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be-taka.PREF\Desktop\"/>
    </mc:Choice>
  </mc:AlternateContent>
  <xr:revisionPtr revIDLastSave="0" documentId="13_ncr:1_{54DC3694-3F63-4E5A-AB50-4E2D85A2803C}" xr6:coauthVersionLast="36" xr6:coauthVersionMax="36" xr10:uidLastSave="{00000000-0000-0000-0000-000000000000}"/>
  <bookViews>
    <workbookView xWindow="0" yWindow="28200" windowWidth="19200" windowHeight="6855" activeTab="2" xr2:uid="{70946D12-A87B-4F50-BDF2-1F84A2E875F8}"/>
  </bookViews>
  <sheets>
    <sheet name="使用上の注意" sheetId="13" r:id="rId1"/>
    <sheet name="入力例" sheetId="11" r:id="rId2"/>
    <sheet name="入力シート" sheetId="12" r:id="rId3"/>
    <sheet name="印刷シート" sheetId="1" r:id="rId4"/>
    <sheet name="支給率" sheetId="2" state="hidden" r:id="rId5"/>
    <sheet name="所属" sheetId="6" state="hidden" r:id="rId6"/>
    <sheet name="給料表" sheetId="10" state="hidden" r:id="rId7"/>
  </sheets>
  <definedNames>
    <definedName name="_xlnm._FilterDatabase" localSheetId="0" hidden="1">使用上の注意!$B$3:$D$13</definedName>
    <definedName name="_xlnm._FilterDatabase" localSheetId="5" hidden="1">所属!$A$1:$A$539</definedName>
    <definedName name="_xlnm._FilterDatabase" localSheetId="2" hidden="1">入力シート!$B$4:$D$11</definedName>
    <definedName name="_xlnm._FilterDatabase" localSheetId="1" hidden="1">入力例!$B$4:$D$11</definedName>
    <definedName name="_xlnm.Criteria" localSheetId="0">使用上の注意!#REF!</definedName>
    <definedName name="_xlnm.Criteria" localSheetId="2">入力シート!$O$65:$O$66</definedName>
    <definedName name="_xlnm.Criteria" localSheetId="1">入力例!$O$65:$O$66</definedName>
    <definedName name="_xlnm.Print_Area" localSheetId="3">印刷シート!$B$1:$M$44</definedName>
    <definedName name="_xlnm.Print_Area" localSheetId="0">使用上の注意!$B$1:$O$32</definedName>
    <definedName name="_xlnm.Print_Area" localSheetId="2">入力シート!$B$2:$M$80</definedName>
    <definedName name="_xlnm.Print_Area" localSheetId="1">入力例!$B$2:$M$80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6" i="1"/>
  <c r="D6" i="1"/>
  <c r="D5" i="1"/>
  <c r="C9" i="12" l="1"/>
  <c r="L7" i="1" l="1"/>
  <c r="F6" i="1"/>
  <c r="H5" i="1"/>
  <c r="Q9" i="12" l="1"/>
  <c r="Q8" i="12"/>
  <c r="Q10" i="12" l="1"/>
  <c r="Q11" i="12" s="1"/>
  <c r="D56" i="12"/>
  <c r="D50" i="11"/>
  <c r="D50" i="12"/>
  <c r="D57" i="12" l="1"/>
  <c r="D12" i="1" s="1"/>
  <c r="D15" i="1"/>
  <c r="Q12" i="12"/>
  <c r="R11" i="11"/>
  <c r="R10" i="11"/>
  <c r="R12" i="11" s="1"/>
  <c r="R9" i="12"/>
  <c r="R8" i="12"/>
  <c r="C11" i="12" l="1"/>
  <c r="Q47" i="12"/>
  <c r="R10" i="12"/>
  <c r="R11" i="12" s="1"/>
  <c r="F11" i="11"/>
  <c r="Q48" i="11"/>
  <c r="C49" i="11" s="1"/>
  <c r="F50" i="11" s="1"/>
  <c r="G19" i="12"/>
  <c r="E18" i="12"/>
  <c r="D18" i="12"/>
  <c r="G36" i="12"/>
  <c r="E35" i="12"/>
  <c r="J8" i="1"/>
  <c r="R12" i="12" l="1"/>
  <c r="B18" i="12"/>
  <c r="G18" i="12" s="1"/>
  <c r="E19" i="12" s="1"/>
  <c r="D4" i="12"/>
  <c r="F11" i="12" l="1"/>
  <c r="D14" i="1" s="1"/>
  <c r="Q48" i="12"/>
  <c r="D22" i="12"/>
  <c r="D35" i="12" l="1"/>
  <c r="D31" i="12"/>
  <c r="B31" i="12" s="1"/>
  <c r="D26" i="12"/>
  <c r="D17" i="1" l="1"/>
  <c r="B35" i="12"/>
  <c r="G35" i="12" s="1"/>
  <c r="E36" i="12" s="1"/>
  <c r="Z39" i="1"/>
  <c r="Z38" i="1"/>
  <c r="G40" i="12"/>
  <c r="E39" i="12"/>
  <c r="Z43" i="1"/>
  <c r="E23" i="1" l="1"/>
  <c r="J22" i="1"/>
  <c r="E22" i="1"/>
  <c r="J21" i="1"/>
  <c r="E21" i="1"/>
  <c r="J20" i="1"/>
  <c r="E20" i="1"/>
  <c r="D8" i="1"/>
  <c r="D7" i="1"/>
  <c r="D73" i="12" l="1"/>
  <c r="O68" i="12" s="1" a="1"/>
  <c r="O68" i="12" s="1"/>
  <c r="P72" i="12"/>
  <c r="Q72" i="12" s="1"/>
  <c r="O72" i="12"/>
  <c r="P71" i="12"/>
  <c r="O71" i="12"/>
  <c r="P70" i="12"/>
  <c r="Q70" i="12" s="1"/>
  <c r="O70" i="12"/>
  <c r="P69" i="12"/>
  <c r="O69" i="12"/>
  <c r="P68" i="12"/>
  <c r="Q68" i="12" s="1"/>
  <c r="P67" i="12"/>
  <c r="Q67" i="12" s="1"/>
  <c r="O67" i="12" a="1"/>
  <c r="O67" i="12" s="1"/>
  <c r="P66" i="12"/>
  <c r="Q66" i="12" s="1" a="1"/>
  <c r="Q66" i="12" s="1"/>
  <c r="R61" i="12"/>
  <c r="D63" i="12" s="1"/>
  <c r="M40" i="12"/>
  <c r="M39" i="12"/>
  <c r="D39" i="12"/>
  <c r="G39" i="12" s="1"/>
  <c r="E40" i="12" s="1"/>
  <c r="M36" i="12"/>
  <c r="M35" i="12"/>
  <c r="M32" i="12"/>
  <c r="G32" i="12"/>
  <c r="M31" i="12"/>
  <c r="E31" i="12"/>
  <c r="M27" i="12"/>
  <c r="G27" i="12"/>
  <c r="M26" i="12"/>
  <c r="E26" i="12"/>
  <c r="M23" i="12"/>
  <c r="G23" i="12"/>
  <c r="M22" i="12"/>
  <c r="E22" i="12"/>
  <c r="M19" i="12"/>
  <c r="M18" i="12"/>
  <c r="Q7" i="12"/>
  <c r="L6" i="1"/>
  <c r="Q6" i="12"/>
  <c r="D30" i="1" l="1"/>
  <c r="D31" i="1" s="1"/>
  <c r="Q71" i="12"/>
  <c r="Q58" i="12"/>
  <c r="P58" i="12" s="1"/>
  <c r="Q57" i="12"/>
  <c r="P57" i="12" s="1"/>
  <c r="Q56" i="12"/>
  <c r="P56" i="12" s="1"/>
  <c r="Q55" i="12"/>
  <c r="P55" i="12" s="1"/>
  <c r="Q54" i="12"/>
  <c r="P54" i="12" s="1"/>
  <c r="Q52" i="12"/>
  <c r="P52" i="12" s="1"/>
  <c r="Q51" i="12"/>
  <c r="P51" i="12" s="1"/>
  <c r="C46" i="12"/>
  <c r="N36" i="12"/>
  <c r="O36" i="12" s="1"/>
  <c r="B26" i="12"/>
  <c r="G26" i="12" s="1"/>
  <c r="E27" i="12" s="1"/>
  <c r="N27" i="12" s="1"/>
  <c r="O27" i="12" s="1"/>
  <c r="B22" i="12"/>
  <c r="N35" i="12"/>
  <c r="O35" i="12" s="1"/>
  <c r="N19" i="12"/>
  <c r="O19" i="12" s="1"/>
  <c r="Q53" i="12"/>
  <c r="P53" i="12" s="1"/>
  <c r="N40" i="12"/>
  <c r="O40" i="12" s="1"/>
  <c r="N39" i="12"/>
  <c r="O39" i="12" s="1"/>
  <c r="Q69" i="12"/>
  <c r="G31" i="12"/>
  <c r="E32" i="12" s="1"/>
  <c r="N32" i="12" s="1"/>
  <c r="O32" i="12" s="1"/>
  <c r="B39" i="12"/>
  <c r="M40" i="11"/>
  <c r="M39" i="11"/>
  <c r="N36" i="11"/>
  <c r="M36" i="11"/>
  <c r="N35" i="11"/>
  <c r="M35" i="11"/>
  <c r="D73" i="11"/>
  <c r="O68" i="11" s="1" a="1"/>
  <c r="O68" i="11" s="1"/>
  <c r="P72" i="11"/>
  <c r="Q72" i="11" s="1"/>
  <c r="O72" i="11"/>
  <c r="P71" i="11"/>
  <c r="Q71" i="11" s="1"/>
  <c r="O71" i="11"/>
  <c r="P70" i="11"/>
  <c r="Q70" i="11" s="1"/>
  <c r="O70" i="11"/>
  <c r="P69" i="11"/>
  <c r="O69" i="11"/>
  <c r="P68" i="11"/>
  <c r="Q68" i="11" s="1"/>
  <c r="P67" i="11"/>
  <c r="Q67" i="11" s="1"/>
  <c r="O67" i="11" a="1"/>
  <c r="O67" i="11" s="1"/>
  <c r="P66" i="11"/>
  <c r="Q66" i="11" s="1" a="1"/>
  <c r="Q66" i="11" s="1"/>
  <c r="R61" i="11"/>
  <c r="D63" i="11" s="1"/>
  <c r="D56" i="11"/>
  <c r="D57" i="11" s="1"/>
  <c r="G40" i="11"/>
  <c r="E39" i="11"/>
  <c r="D39" i="11"/>
  <c r="G39" i="11" s="1"/>
  <c r="E40" i="11" s="1"/>
  <c r="D35" i="11"/>
  <c r="B35" i="11" s="1"/>
  <c r="M32" i="11"/>
  <c r="G32" i="11"/>
  <c r="M31" i="11"/>
  <c r="E31" i="11"/>
  <c r="D31" i="11"/>
  <c r="B31" i="11" s="1"/>
  <c r="M27" i="11"/>
  <c r="G27" i="11"/>
  <c r="M26" i="11"/>
  <c r="E26" i="11"/>
  <c r="D26" i="11"/>
  <c r="G26" i="11" s="1"/>
  <c r="M23" i="11"/>
  <c r="G23" i="11"/>
  <c r="M22" i="11"/>
  <c r="E22" i="11"/>
  <c r="D22" i="11"/>
  <c r="B22" i="11" s="1"/>
  <c r="M19" i="11"/>
  <c r="G19" i="11"/>
  <c r="M18" i="11"/>
  <c r="E18" i="11"/>
  <c r="D18" i="11"/>
  <c r="Q11" i="11"/>
  <c r="Q10" i="11"/>
  <c r="Q9" i="11"/>
  <c r="C9" i="11"/>
  <c r="Q8" i="11"/>
  <c r="Q52" i="11" s="1"/>
  <c r="P52" i="11" s="1"/>
  <c r="D4" i="11"/>
  <c r="N26" i="12" l="1"/>
  <c r="O26" i="12" s="1"/>
  <c r="O28" i="12" s="1"/>
  <c r="J25" i="12" s="1"/>
  <c r="N40" i="11"/>
  <c r="Q12" i="11"/>
  <c r="Q47" i="11" s="1"/>
  <c r="C48" i="11" s="1"/>
  <c r="C50" i="11" s="1"/>
  <c r="Q69" i="11"/>
  <c r="G22" i="12"/>
  <c r="N22" i="12" s="1"/>
  <c r="O22" i="12" s="1"/>
  <c r="D11" i="1"/>
  <c r="B26" i="11"/>
  <c r="G22" i="11"/>
  <c r="E23" i="11" s="1"/>
  <c r="N23" i="11" s="1"/>
  <c r="O23" i="11" s="1"/>
  <c r="N18" i="12"/>
  <c r="O37" i="12"/>
  <c r="O41" i="12"/>
  <c r="N31" i="12"/>
  <c r="N39" i="11"/>
  <c r="O39" i="11" s="1"/>
  <c r="O35" i="11"/>
  <c r="B18" i="11"/>
  <c r="G18" i="11" s="1"/>
  <c r="O40" i="11"/>
  <c r="O36" i="11"/>
  <c r="B39" i="11"/>
  <c r="G31" i="11"/>
  <c r="E32" i="11" s="1"/>
  <c r="N32" i="11" s="1"/>
  <c r="O32" i="11" s="1"/>
  <c r="E27" i="11"/>
  <c r="N27" i="11" s="1"/>
  <c r="O27" i="11" s="1"/>
  <c r="N26" i="11"/>
  <c r="O26" i="11" s="1"/>
  <c r="Q56" i="11"/>
  <c r="P56" i="11" s="1"/>
  <c r="Q53" i="11"/>
  <c r="P53" i="11" s="1"/>
  <c r="Q54" i="11"/>
  <c r="P54" i="11" s="1"/>
  <c r="Q57" i="11"/>
  <c r="P57" i="11" s="1"/>
  <c r="Q55" i="11"/>
  <c r="P55" i="11" s="1"/>
  <c r="Q58" i="11"/>
  <c r="P58" i="11" s="1"/>
  <c r="C11" i="11" l="1"/>
  <c r="C46" i="11" s="1"/>
  <c r="O31" i="12"/>
  <c r="O33" i="12" s="1"/>
  <c r="J30" i="12" s="1"/>
  <c r="O18" i="12"/>
  <c r="O20" i="12" s="1"/>
  <c r="J17" i="12" s="1"/>
  <c r="E23" i="12"/>
  <c r="N23" i="12" s="1"/>
  <c r="O23" i="12" s="1"/>
  <c r="O24" i="12" s="1"/>
  <c r="J21" i="12" s="1"/>
  <c r="Z37" i="1"/>
  <c r="N22" i="11"/>
  <c r="O22" i="11" s="1"/>
  <c r="O24" i="11" s="1"/>
  <c r="J21" i="11" s="1"/>
  <c r="O66" i="11" a="1"/>
  <c r="O66" i="11" s="1"/>
  <c r="Z40" i="1"/>
  <c r="O66" i="12" a="1"/>
  <c r="O66" i="12" s="1"/>
  <c r="D16" i="1"/>
  <c r="J34" i="12"/>
  <c r="Z41" i="1"/>
  <c r="J38" i="12"/>
  <c r="Z42" i="1"/>
  <c r="O37" i="11"/>
  <c r="J34" i="11" s="1"/>
  <c r="E19" i="11"/>
  <c r="N19" i="11" s="1"/>
  <c r="O19" i="11" s="1"/>
  <c r="N18" i="11"/>
  <c r="O18" i="11" s="1"/>
  <c r="O41" i="11"/>
  <c r="J38" i="11" s="1"/>
  <c r="N31" i="11"/>
  <c r="O31" i="11" s="1"/>
  <c r="O33" i="11" s="1"/>
  <c r="J30" i="11" s="1"/>
  <c r="O28" i="11"/>
  <c r="J25" i="11" s="1"/>
  <c r="J42" i="11" l="1"/>
  <c r="O42" i="12"/>
  <c r="S29" i="1"/>
  <c r="J42" i="12"/>
  <c r="AA41" i="1"/>
  <c r="AB41" i="1" s="1"/>
  <c r="D37" i="1" s="1"/>
  <c r="O20" i="11"/>
  <c r="J17" i="11" s="1"/>
  <c r="P42" i="12" l="1"/>
  <c r="J43" i="12" s="1"/>
  <c r="F46" i="12" s="1"/>
  <c r="G11" i="1" s="1"/>
  <c r="G14" i="1" s="1"/>
  <c r="C49" i="12"/>
  <c r="F50" i="12" s="1"/>
  <c r="O42" i="11"/>
  <c r="C47" i="12" l="1"/>
  <c r="C48" i="12"/>
  <c r="C50" i="12" s="1"/>
  <c r="K15" i="1"/>
  <c r="K14" i="1"/>
  <c r="P42" i="11"/>
  <c r="J43" i="11" s="1"/>
  <c r="G17" i="1" l="1"/>
  <c r="J16" i="1"/>
  <c r="K12" i="1"/>
  <c r="K11" i="1"/>
  <c r="C47" i="11"/>
  <c r="F46" i="11"/>
  <c r="R11" i="1"/>
  <c r="R23" i="1" s="1"/>
  <c r="G16" i="1" l="1"/>
  <c r="K17" i="1" s="1"/>
  <c r="L22" i="1"/>
  <c r="L20" i="1"/>
  <c r="L21" i="1" l="1"/>
  <c r="L23" i="1" l="1"/>
  <c r="S23" i="1" l="1"/>
  <c r="K24" i="1" s="1"/>
  <c r="AC24" i="1"/>
  <c r="R29" i="1" l="1"/>
  <c r="R31" i="1" s="1"/>
  <c r="D29" i="1" s="1"/>
  <c r="H29" i="1" l="1"/>
  <c r="S31" i="1" l="1"/>
  <c r="L29" i="1" s="1"/>
  <c r="L30" i="1" l="1"/>
  <c r="J31" i="1" s="1"/>
  <c r="K32" i="1" s="1"/>
  <c r="K26" i="1" l="1"/>
  <c r="J37" i="1"/>
  <c r="H38" i="1" l="1"/>
  <c r="T38" i="1" s="1"/>
  <c r="L4" i="1" l="1"/>
  <c r="K35" i="1" l="1"/>
  <c r="S38" i="1" s="1"/>
  <c r="R38" i="1" s="1"/>
  <c r="Q38" i="1" s="1"/>
  <c r="L38" i="1" s="1"/>
  <c r="E38" i="1" l="1"/>
  <c r="E40" i="1" s="1"/>
  <c r="L40" i="1" s="1"/>
  <c r="E41" i="1" l="1"/>
  <c r="L41" i="1" s="1"/>
  <c r="Q39" i="1"/>
  <c r="E39" i="1"/>
  <c r="G39" i="1" l="1"/>
  <c r="L39" i="1" s="1"/>
  <c r="J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（福）井田 智夫</author>
  </authors>
  <commentList>
    <comment ref="F7" authorId="0" shapeId="0" xr:uid="{D7EC1ACE-D672-4916-A1A7-E8C4A66DF321}">
      <text>
        <r>
          <rPr>
            <b/>
            <sz val="9"/>
            <color indexed="81"/>
            <rFont val="MS P ゴシック"/>
            <family val="3"/>
            <charset val="128"/>
          </rPr>
          <t>※給料が教育職発令の場合、教諭を選択</t>
        </r>
      </text>
    </comment>
    <comment ref="D17" authorId="0" shapeId="0" xr:uid="{B832ACFB-3175-4ECC-9B22-57ED46D0571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育児休業（平成４年４月１日）以降を選択した場合　必ず入力してください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0" authorId="0" shapeId="0" xr:uid="{514B4F27-4275-44D2-A375-20F1D55DBA03}">
      <text>
        <r>
          <rPr>
            <b/>
            <sz val="9"/>
            <color indexed="81"/>
            <rFont val="MS P ゴシック"/>
            <family val="3"/>
            <charset val="128"/>
          </rPr>
          <t>育児休業（平成４年４月１日）以降を選択した場合　必ず入力してください。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（福）井田 智夫</author>
  </authors>
  <commentList>
    <comment ref="D17" authorId="0" shapeId="0" xr:uid="{BA9015F3-30FA-4B6B-B2FD-89C22807A27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育児休業（平成４年４月１日）以降を選択した場合　必ず入力してください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0" authorId="0" shapeId="0" xr:uid="{295C828E-8C64-480E-8371-4277D611AF05}">
      <text>
        <r>
          <rPr>
            <b/>
            <sz val="9"/>
            <color indexed="81"/>
            <rFont val="MS P ゴシック"/>
            <family val="3"/>
            <charset val="128"/>
          </rPr>
          <t>育児休業（平成４年４月１日）以降を選択した場合　必ず入力してください。</t>
        </r>
      </text>
    </comment>
  </commentList>
</comments>
</file>

<file path=xl/sharedStrings.xml><?xml version="1.0" encoding="utf-8"?>
<sst xmlns="http://schemas.openxmlformats.org/spreadsheetml/2006/main" count="1388" uniqueCount="1164">
  <si>
    <t>職員番号</t>
    <rPh sb="0" eb="2">
      <t>ショクイン</t>
    </rPh>
    <rPh sb="2" eb="4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</si>
  <si>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</si>
  <si>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</si>
  <si>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</si>
  <si>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退職事由</t>
    <rPh sb="0" eb="2">
      <t>タイショク</t>
    </rPh>
    <rPh sb="2" eb="4">
      <t>ジユウ</t>
    </rPh>
    <phoneticPr fontId="1"/>
  </si>
  <si>
    <t>職名</t>
    <rPh sb="0" eb="2">
      <t>ショクメイ</t>
    </rPh>
    <phoneticPr fontId="1"/>
  </si>
  <si>
    <t>採用年月日</t>
    <rPh sb="0" eb="2">
      <t>サイヨウ</t>
    </rPh>
    <rPh sb="2" eb="5">
      <t>ネンガッピ</t>
    </rPh>
    <phoneticPr fontId="1"/>
  </si>
  <si>
    <t>退職年月日</t>
    <rPh sb="0" eb="2">
      <t>タイショク</t>
    </rPh>
    <rPh sb="2" eb="5">
      <t>ネンガッピ</t>
    </rPh>
    <phoneticPr fontId="1"/>
  </si>
  <si>
    <t>自己都合等</t>
    <rPh sb="0" eb="2">
      <t>ジコ</t>
    </rPh>
    <rPh sb="2" eb="5">
      <t>ツゴウナド</t>
    </rPh>
    <phoneticPr fontId="1"/>
  </si>
  <si>
    <t>公務外傷病</t>
    <rPh sb="0" eb="2">
      <t>コウム</t>
    </rPh>
    <rPh sb="2" eb="3">
      <t>ガイ</t>
    </rPh>
    <rPh sb="3" eb="5">
      <t>ショウビョウ</t>
    </rPh>
    <phoneticPr fontId="1"/>
  </si>
  <si>
    <t>定年・勧奨
任期終了
公務外死亡</t>
    <rPh sb="0" eb="2">
      <t>テイネン</t>
    </rPh>
    <rPh sb="3" eb="5">
      <t>カンショウ</t>
    </rPh>
    <rPh sb="6" eb="8">
      <t>ニンキ</t>
    </rPh>
    <rPh sb="8" eb="10">
      <t>シュウリョウ</t>
    </rPh>
    <rPh sb="11" eb="13">
      <t>コウム</t>
    </rPh>
    <rPh sb="13" eb="14">
      <t>ガイ</t>
    </rPh>
    <rPh sb="14" eb="16">
      <t>シボウ</t>
    </rPh>
    <phoneticPr fontId="1"/>
  </si>
  <si>
    <t>整理
公務上傷病
公務上死亡</t>
    <rPh sb="0" eb="2">
      <t>セイリ</t>
    </rPh>
    <rPh sb="3" eb="6">
      <t>コウムジョウ</t>
    </rPh>
    <rPh sb="6" eb="8">
      <t>ショウビョウ</t>
    </rPh>
    <rPh sb="9" eb="12">
      <t>コウムジョウ</t>
    </rPh>
    <rPh sb="12" eb="14">
      <t>シボウ</t>
    </rPh>
    <phoneticPr fontId="1"/>
  </si>
  <si>
    <t>1.新条例等退職手当額</t>
    <rPh sb="2" eb="5">
      <t>シンジョウレイ</t>
    </rPh>
    <rPh sb="5" eb="6">
      <t>ナド</t>
    </rPh>
    <rPh sb="6" eb="8">
      <t>タイショク</t>
    </rPh>
    <rPh sb="8" eb="10">
      <t>テアテ</t>
    </rPh>
    <rPh sb="10" eb="11">
      <t>ガク</t>
    </rPh>
    <phoneticPr fontId="1"/>
  </si>
  <si>
    <t>基本額</t>
    <rPh sb="0" eb="2">
      <t>キホン</t>
    </rPh>
    <rPh sb="2" eb="3">
      <t>ガク</t>
    </rPh>
    <phoneticPr fontId="1"/>
  </si>
  <si>
    <t>勤続期間</t>
    <rPh sb="0" eb="2">
      <t>キンゾク</t>
    </rPh>
    <rPh sb="2" eb="4">
      <t>キカン</t>
    </rPh>
    <phoneticPr fontId="1"/>
  </si>
  <si>
    <t>除算期間</t>
    <rPh sb="0" eb="2">
      <t>ジョサン</t>
    </rPh>
    <rPh sb="2" eb="4">
      <t>キカン</t>
    </rPh>
    <phoneticPr fontId="1"/>
  </si>
  <si>
    <t>×</t>
    <phoneticPr fontId="1"/>
  </si>
  <si>
    <t>＝</t>
    <phoneticPr fontId="1"/>
  </si>
  <si>
    <t>調整額</t>
    <rPh sb="0" eb="2">
      <t>チョウセイ</t>
    </rPh>
    <rPh sb="2" eb="3">
      <t>ガク</t>
    </rPh>
    <phoneticPr fontId="1"/>
  </si>
  <si>
    <t>月額</t>
    <rPh sb="0" eb="2">
      <t>ゲツガク</t>
    </rPh>
    <phoneticPr fontId="1"/>
  </si>
  <si>
    <t>①</t>
    <phoneticPr fontId="1"/>
  </si>
  <si>
    <t>2.新制度切替日前日額の保障</t>
    <rPh sb="2" eb="5">
      <t>シンセイド</t>
    </rPh>
    <rPh sb="5" eb="7">
      <t>キリカエ</t>
    </rPh>
    <rPh sb="7" eb="8">
      <t>ビ</t>
    </rPh>
    <rPh sb="8" eb="10">
      <t>ゼンジツ</t>
    </rPh>
    <rPh sb="10" eb="11">
      <t>ガク</t>
    </rPh>
    <rPh sb="12" eb="14">
      <t>ホショウ</t>
    </rPh>
    <phoneticPr fontId="1"/>
  </si>
  <si>
    <t>勤続期間</t>
    <rPh sb="0" eb="2">
      <t>キンゾク</t>
    </rPh>
    <rPh sb="2" eb="4">
      <t>キカン</t>
    </rPh>
    <phoneticPr fontId="1"/>
  </si>
  <si>
    <t>除算期間</t>
    <rPh sb="0" eb="2">
      <t>ジョサン</t>
    </rPh>
    <rPh sb="2" eb="4">
      <t>キカン</t>
    </rPh>
    <phoneticPr fontId="1"/>
  </si>
  <si>
    <t>算定基礎</t>
    <rPh sb="0" eb="2">
      <t>サンテイ</t>
    </rPh>
    <rPh sb="2" eb="4">
      <t>キソ</t>
    </rPh>
    <phoneticPr fontId="1"/>
  </si>
  <si>
    <t>×</t>
    <phoneticPr fontId="1"/>
  </si>
  <si>
    <t>=</t>
    <phoneticPr fontId="1"/>
  </si>
  <si>
    <t>②</t>
    <phoneticPr fontId="1"/>
  </si>
  <si>
    <t>3.退職手当支給額</t>
    <rPh sb="2" eb="4">
      <t>タイショク</t>
    </rPh>
    <rPh sb="4" eb="6">
      <t>テアテ</t>
    </rPh>
    <rPh sb="6" eb="8">
      <t>シキュウ</t>
    </rPh>
    <rPh sb="8" eb="9">
      <t>ガク</t>
    </rPh>
    <phoneticPr fontId="1"/>
  </si>
  <si>
    <t>退職手当支給額</t>
    <rPh sb="0" eb="2">
      <t>タイショク</t>
    </rPh>
    <rPh sb="2" eb="4">
      <t>テアテ</t>
    </rPh>
    <rPh sb="4" eb="6">
      <t>シキュウ</t>
    </rPh>
    <rPh sb="6" eb="7">
      <t>ガク</t>
    </rPh>
    <phoneticPr fontId="1"/>
  </si>
  <si>
    <t>4.税額計算</t>
    <rPh sb="2" eb="4">
      <t>ゼイガク</t>
    </rPh>
    <rPh sb="4" eb="6">
      <t>ケイサン</t>
    </rPh>
    <phoneticPr fontId="1"/>
  </si>
  <si>
    <t>税法上の勤続年</t>
    <rPh sb="0" eb="3">
      <t>ゼイホウジョウ</t>
    </rPh>
    <rPh sb="4" eb="6">
      <t>キンゾク</t>
    </rPh>
    <rPh sb="6" eb="7">
      <t>ネン</t>
    </rPh>
    <phoneticPr fontId="1"/>
  </si>
  <si>
    <t>所得税額</t>
    <rPh sb="0" eb="3">
      <t>ショトクゼイ</t>
    </rPh>
    <rPh sb="3" eb="4">
      <t>ガク</t>
    </rPh>
    <phoneticPr fontId="1"/>
  </si>
  <si>
    <t>都道府県民税</t>
    <rPh sb="0" eb="4">
      <t>トドウフケン</t>
    </rPh>
    <rPh sb="4" eb="5">
      <t>ミン</t>
    </rPh>
    <rPh sb="5" eb="6">
      <t>ゼイ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</si>
  <si>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</si>
  <si>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退職所得控除額L</t>
    <rPh sb="0" eb="2">
      <t>タイショク</t>
    </rPh>
    <rPh sb="2" eb="4">
      <t>ショトク</t>
    </rPh>
    <rPh sb="4" eb="6">
      <t>コウジョ</t>
    </rPh>
    <rPh sb="6" eb="7">
      <t>ガク</t>
    </rPh>
    <phoneticPr fontId="1"/>
  </si>
  <si>
    <t>―</t>
    <phoneticPr fontId="1"/>
  </si>
  <si>
    <t>作成年月日</t>
    <phoneticPr fontId="1"/>
  </si>
  <si>
    <t>720101　群馬県立前橋高等学校</t>
  </si>
  <si>
    <t>720124　群馬県立前橋清陵高等学校</t>
  </si>
  <si>
    <t>720125　群馬県立前橋女子高等学校</t>
  </si>
  <si>
    <t>720138　群馬県立勢多農林高等学校</t>
  </si>
  <si>
    <t>720146　群馬県立前橋工業高等学校</t>
  </si>
  <si>
    <t>720152　群馬県立前橋商業高等学校</t>
  </si>
  <si>
    <t>720157　群馬県立前橋南高等学校</t>
  </si>
  <si>
    <t>720161　群馬県立前橋東高等学校</t>
  </si>
  <si>
    <t>720163　群馬県立前橋西高等学校</t>
  </si>
  <si>
    <t>720191　群馬県立盲学校</t>
  </si>
  <si>
    <t>720192　群馬県立聾学校</t>
  </si>
  <si>
    <t>720193　群馬県立赤城特別支援学校</t>
  </si>
  <si>
    <t>720194　群馬県立二葉特別支援学校</t>
  </si>
  <si>
    <t>720195　群馬県立二葉高等特別支援学校</t>
  </si>
  <si>
    <t>720196　群馬県立しろがね特別支援学校</t>
  </si>
  <si>
    <t>720199　群馬県立前橋高等特別支援学校</t>
  </si>
  <si>
    <t>720202　群馬県立高崎高等学校</t>
  </si>
  <si>
    <t>720214　群馬県立榛名高等学校</t>
  </si>
  <si>
    <t>720226　群馬県立高崎女子高等学校</t>
  </si>
  <si>
    <t>720247　群馬県立高崎工業高等学校</t>
  </si>
  <si>
    <t>720254　群馬県立高崎商業高等学校</t>
  </si>
  <si>
    <t>720260　群馬県立高崎北高等学校</t>
  </si>
  <si>
    <t>720266　群馬県立高崎東高等学校</t>
  </si>
  <si>
    <t>720269　群馬県立中央中等教育学校</t>
  </si>
  <si>
    <t>720295　群馬県立高崎特別支援学校</t>
  </si>
  <si>
    <t>720299　群馬県立高崎高等特別支援学校</t>
  </si>
  <si>
    <t>720303　群馬県立桐生高等学校</t>
  </si>
  <si>
    <t>720322　群馬県立大間々高等学校</t>
  </si>
  <si>
    <t>720348　群馬県立桐生工業高等学校</t>
  </si>
  <si>
    <t>720362　群馬県立桐生清桜高等学校</t>
  </si>
  <si>
    <t>720390　群馬県立あさひ特別支援学校</t>
  </si>
  <si>
    <t>720391　群馬県立桐生特別支援学校</t>
  </si>
  <si>
    <t>720396　群馬県立渡良瀬特別支援学校</t>
  </si>
  <si>
    <t>720421　群馬県立玉村高等学校</t>
  </si>
  <si>
    <t>720428　群馬県立伊勢崎清明高等学校</t>
  </si>
  <si>
    <t>720439　群馬県立伊勢崎興陽高等学校</t>
  </si>
  <si>
    <t>720449　群馬県立伊勢崎工業高等学校</t>
  </si>
  <si>
    <t>720455　群馬県立伊勢崎商業高等学校</t>
  </si>
  <si>
    <t>720471　群馬県立伊勢崎高等学校</t>
  </si>
  <si>
    <t>720491　群馬県立伊勢崎特別支援学校</t>
  </si>
  <si>
    <t>720499　群馬県立伊勢崎高等特別支援学校</t>
  </si>
  <si>
    <t>720505　群馬県立太田高等学校</t>
  </si>
  <si>
    <t>720529　群馬県立太田女子高等学校</t>
  </si>
  <si>
    <t>720544　群馬県立新田暁高等学校</t>
  </si>
  <si>
    <t>720545　群馬県立大泉高等学校</t>
  </si>
  <si>
    <t>720550　群馬県立太田工業高等学校</t>
  </si>
  <si>
    <t>720558　群馬県立西邑楽高等学校</t>
  </si>
  <si>
    <t>720564　群馬県立太田東高等学校</t>
  </si>
  <si>
    <t>720572　群馬県立太田フレックス高等学校</t>
  </si>
  <si>
    <t>720591　群馬県立太田特別支援学校</t>
  </si>
  <si>
    <t>720599　群馬県立太田高等特別支援学校</t>
  </si>
  <si>
    <t>720606　群馬県立沼田高等学校</t>
  </si>
  <si>
    <t>720620　群馬県立尾瀬高等学校</t>
  </si>
  <si>
    <t>720631　群馬県立沼田女子高等学校</t>
  </si>
  <si>
    <t>720640　群馬県立利根実業高等学校</t>
  </si>
  <si>
    <t>720691　群馬県立沼田特別支援学校</t>
  </si>
  <si>
    <t>720707　群馬県立館林高等学校</t>
  </si>
  <si>
    <t>720723　群馬県立板倉高等学校</t>
  </si>
  <si>
    <t>720732　群馬県立館林女子高等学校</t>
  </si>
  <si>
    <t>720767　群馬県立館林商工高等学校</t>
  </si>
  <si>
    <t>720799　群馬県立館林高等特別支援学校</t>
  </si>
  <si>
    <t>720791　群馬県立館林特別支援学校</t>
  </si>
  <si>
    <t>720808　群馬県立渋川高等学校</t>
  </si>
  <si>
    <t>720833　群馬県立渋川女子高等学校</t>
  </si>
  <si>
    <t>720859　群馬県立渋川青翠高等学校</t>
  </si>
  <si>
    <t>720868　群馬県立渋川工業高等学校</t>
  </si>
  <si>
    <t>720897　群馬県立渋川特別支援学校</t>
  </si>
  <si>
    <t>720915　群馬県立万場高等学校</t>
  </si>
  <si>
    <t>720951　群馬県立藤岡工業高等学校</t>
  </si>
  <si>
    <t>720956　群馬県立吉井高等学校</t>
  </si>
  <si>
    <t>720965　群馬県立藤岡北高等学校</t>
  </si>
  <si>
    <t>720970　群馬県立藤岡中央高等学校</t>
  </si>
  <si>
    <t>720991　群馬県立藤岡特別支援学校</t>
  </si>
  <si>
    <t>721012　群馬県立富岡高等学校</t>
  </si>
  <si>
    <t>721016　群馬県立下仁田高等学校</t>
  </si>
  <si>
    <t>721041　群馬県立富岡実業高等学校</t>
  </si>
  <si>
    <t>721091　群馬県立富岡特別支援学校</t>
  </si>
  <si>
    <t>721117　群馬県立松井田高等学校</t>
  </si>
  <si>
    <t>721173　群馬県立安中総合学園高等学校</t>
  </si>
  <si>
    <t>742118　群馬県立長野原高等学校</t>
  </si>
  <si>
    <t>742119　群馬県立嬬恋高等学校</t>
  </si>
  <si>
    <t>742143　群馬県立吾妻中央高等学校</t>
  </si>
  <si>
    <t>742191　群馬県立吾妻特別支援学校</t>
  </si>
  <si>
    <t>800101　前橋市立桃井小学校</t>
  </si>
  <si>
    <t>800102　前橋市立中川小学校</t>
  </si>
  <si>
    <t>800103　前橋市立敷島小学校</t>
  </si>
  <si>
    <t>800104　前橋市立城南小学校</t>
  </si>
  <si>
    <t>800105　前橋市立城東小学校</t>
  </si>
  <si>
    <t>800106　前橋市立若宮小学校</t>
  </si>
  <si>
    <t>800107　前橋市立天川小学校</t>
  </si>
  <si>
    <t>800108　前橋市立岩神小学校</t>
  </si>
  <si>
    <t>800110　前橋市立上川淵小学校</t>
  </si>
  <si>
    <t>800111　前橋市立下川淵小学校</t>
  </si>
  <si>
    <t>800112　前橋市立桂萱小学校</t>
  </si>
  <si>
    <t>800113　前橋市立桂萱東小学校</t>
  </si>
  <si>
    <t>800114　前橋市立芳賀小学校</t>
  </si>
  <si>
    <t>800116　前橋市立総社小学校</t>
  </si>
  <si>
    <t>800117　前橋市立元総社小学校</t>
  </si>
  <si>
    <t>800118　前橋市立東小学校</t>
  </si>
  <si>
    <t>800119　前橋市立細井小学校</t>
  </si>
  <si>
    <t>800120　前橋市立桃川小学校</t>
  </si>
  <si>
    <t>800121　前橋市立清里小学校</t>
  </si>
  <si>
    <t>800122　前橋市立永明小学校</t>
  </si>
  <si>
    <t>800123　前橋市立駒形小学校</t>
  </si>
  <si>
    <t>800124　前橋市立荒子小学校</t>
  </si>
  <si>
    <t>800125　前橋市立大室小学校</t>
  </si>
  <si>
    <t>800126　前橋市立二之宮小学校</t>
  </si>
  <si>
    <t>800127　前橋市立笂井小学校</t>
  </si>
  <si>
    <t>800128　前橋市立広瀬小学校</t>
  </si>
  <si>
    <t>800129　前橋市立大利根小学校</t>
  </si>
  <si>
    <t>800130　前橋市立桃瀬小学校</t>
  </si>
  <si>
    <t>800131　前橋市立荒牧小学校</t>
  </si>
  <si>
    <t>800132　前橋市立わかば小学校</t>
  </si>
  <si>
    <t>800133　前橋市立勝山小学校</t>
  </si>
  <si>
    <t>800134　前橋市立元総社南小学校</t>
  </si>
  <si>
    <t>800135　前橋市立桃木小学校</t>
  </si>
  <si>
    <t>800136　前橋市立山王小学校</t>
  </si>
  <si>
    <t>800137　前橋市立新田小学校</t>
  </si>
  <si>
    <t>800138　前橋市立元総社北小学校</t>
  </si>
  <si>
    <t>801408　前橋市立原小学校</t>
  </si>
  <si>
    <t>801409　前橋市立石井小学校</t>
  </si>
  <si>
    <t>801410　前橋市立時沢小学校</t>
  </si>
  <si>
    <t>801411　前橋市立白川小学校</t>
  </si>
  <si>
    <t>801512　前橋市立大胡小学校</t>
  </si>
  <si>
    <t>801513　前橋市立滝窪小学校</t>
  </si>
  <si>
    <t>801517　前橋市立大胡東小学校</t>
  </si>
  <si>
    <t>801614　前橋市立宮城小学校</t>
  </si>
  <si>
    <t>801715　前橋市立粕川小学校</t>
  </si>
  <si>
    <t>801716　前橋市立月田小学校</t>
  </si>
  <si>
    <t>800150　前橋市立第一中学校</t>
  </si>
  <si>
    <t>800151　前橋市立みずき中学校</t>
  </si>
  <si>
    <t>800152　前橋市立第三中学校</t>
  </si>
  <si>
    <t>800154　前橋市立第五中学校</t>
  </si>
  <si>
    <t>800155　前橋市立第六中学校</t>
  </si>
  <si>
    <t>800156　前橋市立第七中学校</t>
  </si>
  <si>
    <t>800157　前橋市立桂萱中学校</t>
  </si>
  <si>
    <t>800158　前橋市立芳賀中学校</t>
  </si>
  <si>
    <t>800159　前橋市立元総社中学校</t>
  </si>
  <si>
    <t>800160　前橋市立東中学校</t>
  </si>
  <si>
    <t>800161　前橋市立南橘中学校</t>
  </si>
  <si>
    <t>800162　前橋市立木瀬中学校</t>
  </si>
  <si>
    <t>800163　前橋市立荒砥中学校</t>
  </si>
  <si>
    <t>800166　前橋市立鎌倉中学校</t>
  </si>
  <si>
    <t>800167　前橋市立箱田中学校</t>
  </si>
  <si>
    <t>801453　前橋市立富士見中学校</t>
  </si>
  <si>
    <t>801554　前橋市立大胡中学校</t>
  </si>
  <si>
    <t>801655　前橋市立宮城中学校</t>
  </si>
  <si>
    <t>801756　前橋市立粕川中学校</t>
  </si>
  <si>
    <t>800168　前橋市立明桜中学校</t>
  </si>
  <si>
    <t>808191　前橋市立前橋特別支援学校</t>
  </si>
  <si>
    <t>820801　渋川市立渋川北小学校</t>
  </si>
  <si>
    <t>820802　渋川市立渋川南小学校</t>
  </si>
  <si>
    <t>820803　渋川市立金島小学校</t>
  </si>
  <si>
    <t>820804　渋川市立古巻小学校</t>
  </si>
  <si>
    <t>820805　渋川市立豊秋小学校</t>
  </si>
  <si>
    <t>820806　渋川市立渋川西小学校</t>
  </si>
  <si>
    <t>801201　渋川市立橘小学校</t>
  </si>
  <si>
    <t>801202　渋川市立橘北小学校</t>
  </si>
  <si>
    <t>801303　渋川市立三原田小学校</t>
  </si>
  <si>
    <t>801305　渋川市立津久田小学校</t>
  </si>
  <si>
    <t>822501　渋川市立長尾小学校</t>
  </si>
  <si>
    <t>822503　渋川市立中郷小学校</t>
  </si>
  <si>
    <t>822604　渋川市立小野上小学校</t>
  </si>
  <si>
    <t>822705　渋川市立伊香保小学校</t>
  </si>
  <si>
    <t>820850　渋川市立渋川中学校</t>
  </si>
  <si>
    <t>820851　渋川市立金島中学校</t>
  </si>
  <si>
    <t>820852　渋川市立古巻中学校</t>
  </si>
  <si>
    <t>820853　渋川市立渋川北中学校</t>
  </si>
  <si>
    <t>801250　渋川市立北橘中学校</t>
  </si>
  <si>
    <t>801351　渋川市立赤城南中学校</t>
  </si>
  <si>
    <t>801352　渋川市立赤城北中学校</t>
  </si>
  <si>
    <t>822550　渋川市立子持中学校</t>
  </si>
  <si>
    <t>822753　渋川市立伊香保中学校</t>
  </si>
  <si>
    <t>870401　伊勢崎市立北小学校</t>
  </si>
  <si>
    <t>870402　伊勢崎市立南小学校</t>
  </si>
  <si>
    <t>870403　伊勢崎市立殖蓮小学校</t>
  </si>
  <si>
    <t>870404　伊勢崎市立茂呂小学校</t>
  </si>
  <si>
    <t>870405　伊勢崎市立三郷小学校</t>
  </si>
  <si>
    <t>870406　伊勢崎市立宮郷小学校</t>
  </si>
  <si>
    <t>870407　伊勢崎市立名和小学校</t>
  </si>
  <si>
    <t>870408　伊勢崎市立豊受小学校</t>
  </si>
  <si>
    <t>870409　伊勢崎市立北第二小学校</t>
  </si>
  <si>
    <t>870410　伊勢崎市立殖蓮第二小学校</t>
  </si>
  <si>
    <t>870411　伊勢崎市立広瀬小学校</t>
  </si>
  <si>
    <t>870412　伊勢崎市立坂東小学校</t>
  </si>
  <si>
    <t>870413　伊勢崎市立宮郷第二小学校</t>
  </si>
  <si>
    <t>875701　伊勢崎市立赤堀小学校</t>
  </si>
  <si>
    <t>875702　伊勢崎市立赤堀南小学校</t>
  </si>
  <si>
    <t>875715　伊勢崎市立赤堀東小学校</t>
  </si>
  <si>
    <t>875802　伊勢崎市立あずま小学校</t>
  </si>
  <si>
    <t>875811　伊勢崎市立あずま南小学校</t>
  </si>
  <si>
    <t>875813　伊勢崎市立あずま北小学校</t>
  </si>
  <si>
    <t>875903　伊勢崎市立境采女小学校</t>
  </si>
  <si>
    <t>875904　伊勢崎市立境剛志小学校</t>
  </si>
  <si>
    <t>875905　伊勢崎市立境小学校</t>
  </si>
  <si>
    <t>875906　伊勢崎市立境東小学校</t>
  </si>
  <si>
    <t>870450　伊勢崎市立第一中学校</t>
  </si>
  <si>
    <t>870451　伊勢崎市立第二中学校</t>
  </si>
  <si>
    <t>870452　伊勢崎市立第三中学校</t>
  </si>
  <si>
    <t>870453　伊勢崎市立殖蓮中学校</t>
  </si>
  <si>
    <t>870455　伊勢崎市立宮郷中学校</t>
  </si>
  <si>
    <t>870456　伊勢崎市立第四中学校</t>
  </si>
  <si>
    <t>875750　伊勢崎市立赤堀中学校</t>
  </si>
  <si>
    <t>875851　伊勢崎市立あずま中学校</t>
  </si>
  <si>
    <t>875952　伊勢崎市立境北中学校</t>
  </si>
  <si>
    <t>875953　伊勢崎市立境西中学校</t>
  </si>
  <si>
    <t>875954　伊勢崎市立境南中学校</t>
  </si>
  <si>
    <t>870457　伊勢崎市立四ツ葉学園中等教育学校</t>
  </si>
  <si>
    <t>822806　榛東村立北小学校</t>
  </si>
  <si>
    <t>822807　榛東村立南小学校</t>
  </si>
  <si>
    <t>822854　榛東村立榛東中学校</t>
  </si>
  <si>
    <t>822908　吉岡町立明治小学校</t>
  </si>
  <si>
    <t>822909　吉岡町立駒寄小学校</t>
  </si>
  <si>
    <t>822955　吉岡町立吉岡中学校</t>
  </si>
  <si>
    <t>876008　玉村町立玉村小学校</t>
  </si>
  <si>
    <t>876009　玉村町立上陽小学校</t>
  </si>
  <si>
    <t>876010　玉村町立芝根小学校</t>
  </si>
  <si>
    <t>876012　玉村町立中央小学校</t>
  </si>
  <si>
    <t>876014　玉村町立南小学校</t>
  </si>
  <si>
    <t>876055　玉村町立玉村中学校</t>
  </si>
  <si>
    <t>876056　玉村町立南中学校</t>
  </si>
  <si>
    <t>810201　高崎市立中央小学校</t>
  </si>
  <si>
    <t>810202　高崎市立北小学校</t>
  </si>
  <si>
    <t>810203　高崎市立南小学校</t>
  </si>
  <si>
    <t>810204　高崎市立東小学校</t>
  </si>
  <si>
    <t>810205　高崎市立西小学校</t>
  </si>
  <si>
    <t>810206　高崎市立塚沢小学校</t>
  </si>
  <si>
    <t>810207　高崎市立片岡小学校</t>
  </si>
  <si>
    <t>810208　高崎市立佐野小学校</t>
  </si>
  <si>
    <t>810209　高崎市立六郷小学校</t>
  </si>
  <si>
    <t>810210　高崎市立城南小学校</t>
  </si>
  <si>
    <t>810211　高崎市立城東小学校</t>
  </si>
  <si>
    <t>810212　高崎市立新高尾小学校</t>
  </si>
  <si>
    <t>810213　高崎市立中川小学校</t>
  </si>
  <si>
    <t>810214　高崎市立八幡小学校</t>
  </si>
  <si>
    <t>810215　高崎市立豊岡小学校</t>
  </si>
  <si>
    <t>810216　高崎市立長野小学校</t>
  </si>
  <si>
    <t>810217　高崎市立大類小学校</t>
  </si>
  <si>
    <t>810218　高崎市立南八幡小学校</t>
  </si>
  <si>
    <t>810219　高崎市立倉賀野小学校</t>
  </si>
  <si>
    <t>810220　高崎市立岩鼻小学校</t>
  </si>
  <si>
    <t>810221　高崎市立京ヶ島小学校</t>
  </si>
  <si>
    <t>810222　高崎市立滝川小学校</t>
  </si>
  <si>
    <t>810223　高崎市立寺尾小学校</t>
  </si>
  <si>
    <t>810224　高崎市立東部小学校</t>
  </si>
  <si>
    <t>810225　高崎市立中居小学校</t>
  </si>
  <si>
    <t>810226　高崎市立北部小学校</t>
  </si>
  <si>
    <t>810227　高崎市立西部小学校</t>
  </si>
  <si>
    <t>810228　高崎市立乗附小学校</t>
  </si>
  <si>
    <t>810229　高崎市立浜尻小学校</t>
  </si>
  <si>
    <t>810230　高崎市立矢中小学校</t>
  </si>
  <si>
    <t>810231　高崎市立城山小学校</t>
  </si>
  <si>
    <t>810232　高崎市立鼻高小学校</t>
  </si>
  <si>
    <t>812209　高崎市立倉渕小学校</t>
  </si>
  <si>
    <t>812311　高崎市立箕輪小学校</t>
  </si>
  <si>
    <t>812312　高崎市立車郷小学校</t>
  </si>
  <si>
    <t>812318　高崎市立箕郷東小学校</t>
  </si>
  <si>
    <t>812413　高崎市立金古小学校</t>
  </si>
  <si>
    <t>812414　高崎市立国府小学校</t>
  </si>
  <si>
    <t>812415　高崎市立堤ヶ岡小学校</t>
  </si>
  <si>
    <t>812416　高崎市立上郊小学校</t>
  </si>
  <si>
    <t>812417　高崎市立金古南小学校</t>
  </si>
  <si>
    <t>812418　高崎市立桜山小学校</t>
  </si>
  <si>
    <t>833001　高崎市立新町第一小学校</t>
  </si>
  <si>
    <t>833002　高崎市立新町第二小学校</t>
  </si>
  <si>
    <t>812101　高崎市立下室田小学校</t>
  </si>
  <si>
    <t>812102　高崎市立中室田小学校</t>
  </si>
  <si>
    <t>812103　高崎市立上室田小学校</t>
  </si>
  <si>
    <t>812105　高崎市立里見小学校</t>
  </si>
  <si>
    <t>812106　高崎市立久留馬小学校</t>
  </si>
  <si>
    <t>812107　高崎市立下里見小学校</t>
  </si>
  <si>
    <t>812108　高崎市立宮沢小学校</t>
  </si>
  <si>
    <t>833208　高崎市立吉井小学校</t>
  </si>
  <si>
    <t>833209　高崎市立多胡小学校</t>
  </si>
  <si>
    <t>833210　高崎市立入野小学校</t>
  </si>
  <si>
    <t>833211　高崎市立岩平小学校</t>
  </si>
  <si>
    <t>833216　高崎市立馬庭小学校</t>
  </si>
  <si>
    <t>833217　高崎市立吉井西小学校</t>
  </si>
  <si>
    <t>833218　高崎市立南陽台小学校</t>
  </si>
  <si>
    <t>810250　高崎市立第一中学校</t>
  </si>
  <si>
    <t>810253　高崎市立並榎中学校</t>
  </si>
  <si>
    <t>810254　高崎市立豊岡中学校</t>
  </si>
  <si>
    <t>810255　高崎市立中尾中学校</t>
  </si>
  <si>
    <t>810256　高崎市立塚沢中学校</t>
  </si>
  <si>
    <t>810257　高崎市立片岡中学校</t>
  </si>
  <si>
    <t>810258　高崎市立佐野中学校</t>
  </si>
  <si>
    <t>810259　高崎市立長野郷中学校</t>
  </si>
  <si>
    <t>810260　高崎市立南八幡中学校</t>
  </si>
  <si>
    <t>810261　高崎市立倉賀野中学校</t>
  </si>
  <si>
    <t>810262　高崎市立高南中学校</t>
  </si>
  <si>
    <t>810263　高崎市立大類中学校</t>
  </si>
  <si>
    <t>810264　高崎市立寺尾中学校</t>
  </si>
  <si>
    <t>810265　高崎市立八幡中学校</t>
  </si>
  <si>
    <t>810266　高崎市立矢中中学校</t>
  </si>
  <si>
    <t>810267　高崎市立高松中学校</t>
  </si>
  <si>
    <t>812150　高崎市立榛名中学校</t>
  </si>
  <si>
    <t>812253　高崎市立倉渕中学校</t>
  </si>
  <si>
    <t>812354　高崎市立箕郷中学校</t>
  </si>
  <si>
    <t>812455　高崎市立群馬中央中学校</t>
  </si>
  <si>
    <t>812456　高崎市立群馬南中学校</t>
  </si>
  <si>
    <t>833050　高崎市立新町中学校</t>
  </si>
  <si>
    <t>833256　高崎市立入野中学校</t>
  </si>
  <si>
    <t>833263　高崎市立中央中学校</t>
  </si>
  <si>
    <t>833264　高崎市立西中学校</t>
  </si>
  <si>
    <t>818191　高崎市立高崎特別支援学校</t>
  </si>
  <si>
    <t>811101　安中市立安中小学校</t>
  </si>
  <si>
    <t>811102　安中市立原市小学校</t>
  </si>
  <si>
    <t>811103　安中市立磯部小学校</t>
  </si>
  <si>
    <t>811104　安中市立東横野小学校</t>
  </si>
  <si>
    <t>811105　安中市立碓東小学校</t>
  </si>
  <si>
    <t>811106　安中市立秋間小学校</t>
  </si>
  <si>
    <t>811107　安中市立後閑小学校</t>
  </si>
  <si>
    <t>814001　安中市立松井田小学校</t>
  </si>
  <si>
    <t>814005　安中市立西横野小学校</t>
  </si>
  <si>
    <t>814007　安中市立細野小学校</t>
  </si>
  <si>
    <t>811160　安中市立第一中学校</t>
  </si>
  <si>
    <t>811161　安中市立第二中学校</t>
  </si>
  <si>
    <t>814050　安中市立松井田中学校</t>
  </si>
  <si>
    <t>814053　安中市立松井田北中学校</t>
  </si>
  <si>
    <t>830901　藤岡市立藤岡第一小学校</t>
  </si>
  <si>
    <t>830902　藤岡市立藤岡第二小学校</t>
  </si>
  <si>
    <t>830903　藤岡市立神流小学校</t>
  </si>
  <si>
    <t>830904　藤岡市立小野小学校</t>
  </si>
  <si>
    <t>830905　藤岡市立美土里小学校</t>
  </si>
  <si>
    <t>830906　藤岡市立美九里東小学校</t>
  </si>
  <si>
    <t>830907　藤岡市立美九里西小学校</t>
  </si>
  <si>
    <t>830908　藤岡市立平井小学校</t>
  </si>
  <si>
    <t>830909　藤岡市立日野小学校</t>
  </si>
  <si>
    <t>833102　藤岡市立鬼石北小学校</t>
  </si>
  <si>
    <t>833103　藤岡市立鬼石小学校</t>
  </si>
  <si>
    <t>830950　藤岡市立北中学校</t>
  </si>
  <si>
    <t>830954　藤岡市立東中学校</t>
  </si>
  <si>
    <t>830958　藤岡市立西中学校</t>
  </si>
  <si>
    <t>830959　藤岡市立小野中学校</t>
  </si>
  <si>
    <t>833151　藤岡市立鬼石中学校</t>
  </si>
  <si>
    <t>841001　富岡市立富岡小学校</t>
  </si>
  <si>
    <t>841002　富岡市立西小学校</t>
  </si>
  <si>
    <t>841003　富岡市立黒岩小学校</t>
  </si>
  <si>
    <t>841004　富岡市立一ノ宮小学校</t>
  </si>
  <si>
    <t>841005　富岡市立高瀬小学校</t>
  </si>
  <si>
    <t>841006　富岡市立額部小学校</t>
  </si>
  <si>
    <t>841007　富岡市立小野小学校</t>
  </si>
  <si>
    <t>841008　富岡市立吉田小学校</t>
  </si>
  <si>
    <t>841009　富岡市立丹生小学校</t>
  </si>
  <si>
    <t>843601　富岡市立高田小学校</t>
  </si>
  <si>
    <t>843602　富岡市立妙義小学校</t>
  </si>
  <si>
    <t>841050　富岡市立富岡中学校</t>
  </si>
  <si>
    <t>841051　富岡市立東中学校</t>
  </si>
  <si>
    <t>841052　富岡市立西中学校</t>
  </si>
  <si>
    <t>841054　富岡市立北中学校</t>
  </si>
  <si>
    <t>841055　富岡市立南中学校</t>
  </si>
  <si>
    <t>843650　富岡市立妙義中学校</t>
  </si>
  <si>
    <t>833516　上野村立上野小学校</t>
  </si>
  <si>
    <t>833562　上野村立上野中学校</t>
  </si>
  <si>
    <t>833612　神流町立万場小学校</t>
  </si>
  <si>
    <t>833659　神流町立中里中学校</t>
  </si>
  <si>
    <t>843710　下仁田町立下仁田小学校</t>
  </si>
  <si>
    <t>843751　下仁田町立下仁田中学校</t>
  </si>
  <si>
    <t>843814　南牧村立南牧小学校</t>
  </si>
  <si>
    <t>843859　南牧村立南牧中学校</t>
  </si>
  <si>
    <t>843916　甘楽町立小幡小学校</t>
  </si>
  <si>
    <t>843917　甘楽町立福島小学校</t>
  </si>
  <si>
    <t>843918　甘楽町立新屋小学校</t>
  </si>
  <si>
    <t>843956　甘楽町立甘楽中学校</t>
  </si>
  <si>
    <t>854101　中之条町立中之条小学校</t>
  </si>
  <si>
    <t>854736　中之条町立六合小学校</t>
  </si>
  <si>
    <t>854171　中之条町立中之条中学校</t>
  </si>
  <si>
    <t>854768　中之条町立六合中学校</t>
  </si>
  <si>
    <t>854206　東吾妻町立東小学校</t>
  </si>
  <si>
    <t>854308　東吾妻町立原町小学校</t>
  </si>
  <si>
    <t>854309　東吾妻町立太田小学校</t>
  </si>
  <si>
    <t>854310　東吾妻町立岩島小学校</t>
  </si>
  <si>
    <t>854312　東吾妻町立坂上小学校</t>
  </si>
  <si>
    <t>854356　東吾妻町立東吾妻中学校</t>
  </si>
  <si>
    <t>854417　長野原町立中央小学校</t>
  </si>
  <si>
    <t>854419　長野原町立応桑小学校</t>
  </si>
  <si>
    <t>854420　長野原町立北軽井沢小学校</t>
  </si>
  <si>
    <t>854460　長野原町立東中学校</t>
  </si>
  <si>
    <t>854461　長野原町立西中学校</t>
  </si>
  <si>
    <t>854521　嬬恋村立東部小学校</t>
  </si>
  <si>
    <t>854524　嬬恋村立西部小学校</t>
  </si>
  <si>
    <t>854565　嬬恋村立嬬恋中学校</t>
  </si>
  <si>
    <t>854628　草津町立草津小学校</t>
  </si>
  <si>
    <t>854667　草津町立草津中学校</t>
  </si>
  <si>
    <t>854834　高山村立高山小学校</t>
  </si>
  <si>
    <t>854870　高山村立高山中学校</t>
  </si>
  <si>
    <t>860601　沼田市立沼田小学校</t>
  </si>
  <si>
    <t>860602　沼田市立沼田東小学校</t>
  </si>
  <si>
    <t>860603　沼田市立升形小学校</t>
  </si>
  <si>
    <t>860604　沼田市立利南東小学校</t>
  </si>
  <si>
    <t>860605　沼田市立池田小学校</t>
  </si>
  <si>
    <t>860606　沼田市立薄根小学校</t>
  </si>
  <si>
    <t>860607　沼田市立川田小学校</t>
  </si>
  <si>
    <t>860608　沼田市立沼田北小学校</t>
  </si>
  <si>
    <t>864901　沼田市立白沢小学校</t>
  </si>
  <si>
    <t>865002　沼田市立利根小学校</t>
  </si>
  <si>
    <t>865006　沼田市立多那小学校</t>
  </si>
  <si>
    <t>860650　沼田市立沼田中学校</t>
  </si>
  <si>
    <t>860651　沼田市立沼田西中学校</t>
  </si>
  <si>
    <t>860653　沼田市立池田中学校</t>
  </si>
  <si>
    <t>860654　沼田市立薄根中学校</t>
  </si>
  <si>
    <t>860655　沼田市立沼田東中学校</t>
  </si>
  <si>
    <t>860656　沼田市立沼田南中学校</t>
  </si>
  <si>
    <t>864950　沼田市立白沢中学校</t>
  </si>
  <si>
    <t>865051　沼田市立利根中学校</t>
  </si>
  <si>
    <t>865053　沼田市立多那中学校</t>
  </si>
  <si>
    <t>865108　片品村立片品小学校</t>
  </si>
  <si>
    <t>865155　片品村立片品中学校</t>
  </si>
  <si>
    <t>865212　川場村立川場小学校</t>
  </si>
  <si>
    <t>865256　川場村立川場中学校</t>
  </si>
  <si>
    <t>865313　みなかみ町立古馬牧小学校</t>
  </si>
  <si>
    <t>865314　みなかみ町立桃野小学校</t>
  </si>
  <si>
    <t>865315　みなかみ町立月夜野北小学校</t>
  </si>
  <si>
    <t>865416　みなかみ町立水上小学校</t>
  </si>
  <si>
    <t>865418　みなかみ町立藤原小学校</t>
  </si>
  <si>
    <t>865519　みなかみ町立新治小学校</t>
  </si>
  <si>
    <t>865358　みなかみ町立みなかみ中学校</t>
  </si>
  <si>
    <t>865623　昭和村立南小学校</t>
  </si>
  <si>
    <t>865624　昭和村立東小学校</t>
  </si>
  <si>
    <t>865625　昭和村立大河原小学校</t>
  </si>
  <si>
    <t>865664　昭和村立昭和中学校</t>
  </si>
  <si>
    <t>880301　桐生市立東小学校</t>
  </si>
  <si>
    <t>880302　桐生市立西小学校</t>
  </si>
  <si>
    <t>880303　桐生市立南小学校</t>
  </si>
  <si>
    <t>880304　桐生市立北小学校</t>
  </si>
  <si>
    <t>880306　桐生市立境野小学校</t>
  </si>
  <si>
    <t>880307　桐生市立広沢小学校</t>
  </si>
  <si>
    <t>880308　桐生市立梅田南小学校</t>
  </si>
  <si>
    <t>880309　桐生市立相生小学校</t>
  </si>
  <si>
    <t>880310　桐生市立川内小学校</t>
  </si>
  <si>
    <t>880312　桐生市立桜木小学校</t>
  </si>
  <si>
    <t>880313　桐生市立菱小学校</t>
  </si>
  <si>
    <t>880314　桐生市立天沼小学校</t>
  </si>
  <si>
    <t>880315　桐生市立神明小学校</t>
  </si>
  <si>
    <t>881817　桐生市立新里中央小学校</t>
  </si>
  <si>
    <t>881818　桐生市立新里東小学校</t>
  </si>
  <si>
    <t>881819　桐生市立新里北小学校</t>
  </si>
  <si>
    <t>880350　桐生市立清流中学校</t>
  </si>
  <si>
    <t>880354　桐生市立中央中学校</t>
  </si>
  <si>
    <t>880355　桐生市立境野中学校</t>
  </si>
  <si>
    <t>880356　桐生市立広沢中学校</t>
  </si>
  <si>
    <t>880357　桐生市立梅田中学校</t>
  </si>
  <si>
    <t>880358　桐生市立相生中学校</t>
  </si>
  <si>
    <t>880359　桐生市立川内中学校</t>
  </si>
  <si>
    <t>880360　桐生市立桜木中学校</t>
  </si>
  <si>
    <t>881857　桐生市立新里中学校</t>
  </si>
  <si>
    <t>881959　桐生市立黒保根学園学校</t>
  </si>
  <si>
    <t>884083　桐生市立商業（定時制）学校</t>
  </si>
  <si>
    <t>880501　太田市立太田小学校</t>
  </si>
  <si>
    <t>880502　太田市立九合小学校</t>
  </si>
  <si>
    <t>880503　太田市立沢野小学校</t>
  </si>
  <si>
    <t>880504　太田市立韮川小学校</t>
  </si>
  <si>
    <t>880505　太田市立鳥之郷小学校</t>
  </si>
  <si>
    <t>880507　太田市立南小学校</t>
  </si>
  <si>
    <t>880508　太田市立休泊小学校</t>
  </si>
  <si>
    <t>880509　太田市立強戸小学校</t>
  </si>
  <si>
    <t>880510　太田市立宝泉小学校</t>
  </si>
  <si>
    <t>880511　太田市立宝泉南小学校</t>
  </si>
  <si>
    <t>880512　太田市立毛里田小学校</t>
  </si>
  <si>
    <t>880513　太田市立中央小学校</t>
  </si>
  <si>
    <t>880514　太田市立宝泉東小学校</t>
  </si>
  <si>
    <t>880516　太田市立旭小学校</t>
  </si>
  <si>
    <t>880517　太田市立駒形小学校</t>
  </si>
  <si>
    <t>880518　太田市立城西小学校</t>
  </si>
  <si>
    <t>880519　太田市立沢野中央小学校</t>
  </si>
  <si>
    <t>886101　太田市立尾島小学校</t>
  </si>
  <si>
    <t>886102　太田市立世良田小学校</t>
  </si>
  <si>
    <t>886203　太田市立木崎小学校</t>
  </si>
  <si>
    <t>886204　太田市立生品小学校</t>
  </si>
  <si>
    <t>886205　太田市立綿打小学校</t>
  </si>
  <si>
    <t>886306　太田市立藪塚本町小学校</t>
  </si>
  <si>
    <t>886310　太田市立藪塚本町南小学校</t>
  </si>
  <si>
    <t>880550　太田市立西中学校</t>
  </si>
  <si>
    <t>880552　太田市立東中学校</t>
  </si>
  <si>
    <t>880553　太田市立南中学校</t>
  </si>
  <si>
    <t>880554　太田市立休泊中学校</t>
  </si>
  <si>
    <t>880555　太田市立強戸中学校</t>
  </si>
  <si>
    <t>880556　太田市立宝泉中学校</t>
  </si>
  <si>
    <t>880557　太田市立毛里田中学校</t>
  </si>
  <si>
    <t>880558　太田市立城西中学校</t>
  </si>
  <si>
    <t>880559　太田市立城東中学校</t>
  </si>
  <si>
    <t>880560　太田市立旭中学校</t>
  </si>
  <si>
    <t>880561　太田市立太田中学校</t>
  </si>
  <si>
    <t>880562　太田市立北の杜学園学校</t>
  </si>
  <si>
    <t>886150　太田市立尾島中学校</t>
  </si>
  <si>
    <t>886252　太田市立木崎中学校</t>
  </si>
  <si>
    <t>886253　太田市立生品中学校</t>
  </si>
  <si>
    <t>886254　太田市立綿打中学校</t>
  </si>
  <si>
    <t>886355　太田市立藪塚本町中学校</t>
  </si>
  <si>
    <t>886407　みどり市立笠懸小学校</t>
  </si>
  <si>
    <t>886408　みどり市立笠懸東小学校</t>
  </si>
  <si>
    <t>886409　みどり市立笠懸北小学校</t>
  </si>
  <si>
    <t>886410　みどり市立笠懸西小学校</t>
  </si>
  <si>
    <t>886501　みどり市立大間々南小学校</t>
  </si>
  <si>
    <t>886506　みどり市立大間々北小学校</t>
  </si>
  <si>
    <t>886507　みどり市立大間々東小学校</t>
  </si>
  <si>
    <t>886456　みどり市立笠懸中学校</t>
  </si>
  <si>
    <t>886457　みどり市立笠懸南中学校</t>
  </si>
  <si>
    <t>886550　みどり市立大間々中学校</t>
  </si>
  <si>
    <t>886551　みどり市立大間々東中学校</t>
  </si>
  <si>
    <t>882060　みどり市立あずま小中学校</t>
  </si>
  <si>
    <t>890701　館林市立第一小学校</t>
  </si>
  <si>
    <t>890702　館林市立第二小学校</t>
  </si>
  <si>
    <t>890703　館林市立第三小学校</t>
  </si>
  <si>
    <t>890704　館林市立第四小学校</t>
  </si>
  <si>
    <t>890705　館林市立第五小学校</t>
  </si>
  <si>
    <t>890706　館林市立第六小学校</t>
  </si>
  <si>
    <t>890707　館林市立第七小学校</t>
  </si>
  <si>
    <t>890708　館林市立第八小学校</t>
  </si>
  <si>
    <t>890709　館林市立第九小学校</t>
  </si>
  <si>
    <t>890710　館林市立第十小学校</t>
  </si>
  <si>
    <t>890711　館林市立美園小学校</t>
  </si>
  <si>
    <t>890750　館林市立第一中学校</t>
  </si>
  <si>
    <t>890751　館林市立第二中学校</t>
  </si>
  <si>
    <t>890752　館林市立第三中学校</t>
  </si>
  <si>
    <t>890753　館林市立第四中学校</t>
  </si>
  <si>
    <t>890754　館林市立多々良中学校</t>
  </si>
  <si>
    <t>896601　板倉町立東小学校</t>
  </si>
  <si>
    <t>896602　板倉町立西小学校</t>
  </si>
  <si>
    <t>896650　板倉町立板倉中学校</t>
  </si>
  <si>
    <t>896705　明和町立明和東小学校</t>
  </si>
  <si>
    <t>896706　明和町立明和西小学校</t>
  </si>
  <si>
    <t>896753　明和町立明和中学校</t>
  </si>
  <si>
    <t>896807　千代田町立東小学校</t>
  </si>
  <si>
    <t>896808　千代田町立西小学校</t>
  </si>
  <si>
    <t>896854　千代田町立千代田中学校</t>
  </si>
  <si>
    <t>896909　大泉町立南小学校</t>
  </si>
  <si>
    <t>896910　大泉町立北小学校</t>
  </si>
  <si>
    <t>896914　大泉町立西小学校</t>
  </si>
  <si>
    <t>896915　大泉町立東小学校</t>
  </si>
  <si>
    <t>896955　大泉町立南中学校</t>
  </si>
  <si>
    <t>896956　大泉町立北中学校</t>
  </si>
  <si>
    <t>896959　大泉町立西中学校</t>
  </si>
  <si>
    <t>897011　邑楽町立中野小学校</t>
  </si>
  <si>
    <t>897012　邑楽町立高島小学校</t>
  </si>
  <si>
    <t>897013　邑楽町立長柄小学校</t>
  </si>
  <si>
    <t>897016　邑楽町立中野東小学校</t>
  </si>
  <si>
    <t>897057　邑楽町立邑楽中学校</t>
  </si>
  <si>
    <t>897058　邑楽町立邑楽南中学校</t>
  </si>
  <si>
    <t>選択してください</t>
    <rPh sb="0" eb="2">
      <t>センタク</t>
    </rPh>
    <phoneticPr fontId="1"/>
  </si>
  <si>
    <t>入力してください</t>
    <rPh sb="0" eb="2">
      <t>ニュウリョク</t>
    </rPh>
    <phoneticPr fontId="1"/>
  </si>
  <si>
    <t>作成日</t>
    <rPh sb="0" eb="3">
      <t>サクセイビ</t>
    </rPh>
    <phoneticPr fontId="1"/>
  </si>
  <si>
    <t>退職時給料月額</t>
    <rPh sb="0" eb="2">
      <t>タイショク</t>
    </rPh>
    <rPh sb="2" eb="3">
      <t>ジ</t>
    </rPh>
    <rPh sb="3" eb="5">
      <t>キュウリョウ</t>
    </rPh>
    <rPh sb="5" eb="7">
      <t>ゲツガク</t>
    </rPh>
    <phoneticPr fontId="1"/>
  </si>
  <si>
    <t>月</t>
  </si>
  <si>
    <t>月</t>
    <rPh sb="0" eb="1">
      <t>ツキ</t>
    </rPh>
    <phoneticPr fontId="1"/>
  </si>
  <si>
    <t>算定基礎（年）</t>
    <rPh sb="0" eb="2">
      <t>サンテイ</t>
    </rPh>
    <rPh sb="2" eb="4">
      <t>キソ</t>
    </rPh>
    <rPh sb="5" eb="6">
      <t>ネン</t>
    </rPh>
    <phoneticPr fontId="1"/>
  </si>
  <si>
    <t>退職時給料の調整額</t>
    <rPh sb="0" eb="3">
      <t>タイショクジ</t>
    </rPh>
    <rPh sb="3" eb="5">
      <t>キュウリョウ</t>
    </rPh>
    <rPh sb="6" eb="9">
      <t>チョウセイガク</t>
    </rPh>
    <phoneticPr fontId="1"/>
  </si>
  <si>
    <t>退職時教職調整額</t>
    <rPh sb="0" eb="3">
      <t>タイショクジ</t>
    </rPh>
    <rPh sb="3" eb="5">
      <t>キョウショク</t>
    </rPh>
    <rPh sb="5" eb="8">
      <t>チョウセイガク</t>
    </rPh>
    <phoneticPr fontId="1"/>
  </si>
  <si>
    <t>円</t>
    <rPh sb="0" eb="1">
      <t>エン</t>
    </rPh>
    <phoneticPr fontId="1"/>
  </si>
  <si>
    <t>基礎給与月額</t>
    <rPh sb="0" eb="2">
      <t>キソ</t>
    </rPh>
    <rPh sb="2" eb="4">
      <t>キュウヨ</t>
    </rPh>
    <rPh sb="4" eb="6">
      <t>ゲツガク</t>
    </rPh>
    <phoneticPr fontId="1"/>
  </si>
  <si>
    <t>給料表</t>
    <rPh sb="0" eb="3">
      <t>キュウリョウヒョウ</t>
    </rPh>
    <phoneticPr fontId="1"/>
  </si>
  <si>
    <t>発令級</t>
    <rPh sb="0" eb="2">
      <t>ハツレイ</t>
    </rPh>
    <rPh sb="2" eb="3">
      <t>キュウ</t>
    </rPh>
    <phoneticPr fontId="1"/>
  </si>
  <si>
    <t>発令号給</t>
    <rPh sb="0" eb="2">
      <t>ハツレイ</t>
    </rPh>
    <rPh sb="2" eb="4">
      <t>ゴウキュウ</t>
    </rPh>
    <phoneticPr fontId="1"/>
  </si>
  <si>
    <t>高等学校教育職</t>
    <rPh sb="0" eb="2">
      <t>コウトウ</t>
    </rPh>
    <rPh sb="2" eb="4">
      <t>ガッコウ</t>
    </rPh>
    <rPh sb="4" eb="6">
      <t>キョウイク</t>
    </rPh>
    <rPh sb="6" eb="7">
      <t>ショク</t>
    </rPh>
    <phoneticPr fontId="1"/>
  </si>
  <si>
    <t>小中学校教育職</t>
    <rPh sb="0" eb="2">
      <t>ショウチュウ</t>
    </rPh>
    <rPh sb="2" eb="4">
      <t>ガッコウ</t>
    </rPh>
    <rPh sb="4" eb="7">
      <t>キョウイクショク</t>
    </rPh>
    <phoneticPr fontId="1"/>
  </si>
  <si>
    <t>事務職</t>
    <rPh sb="0" eb="3">
      <t>ジムショク</t>
    </rPh>
    <phoneticPr fontId="1"/>
  </si>
  <si>
    <t>労務職</t>
    <rPh sb="0" eb="2">
      <t>ロウム</t>
    </rPh>
    <rPh sb="2" eb="3">
      <t>ショク</t>
    </rPh>
    <phoneticPr fontId="1"/>
  </si>
  <si>
    <t xml:space="preserve">   第３号区分</t>
    <rPh sb="3" eb="4">
      <t>ダイ</t>
    </rPh>
    <rPh sb="5" eb="6">
      <t>ゴウ</t>
    </rPh>
    <rPh sb="6" eb="8">
      <t>クブン</t>
    </rPh>
    <phoneticPr fontId="1"/>
  </si>
  <si>
    <t xml:space="preserve">   第４号区分</t>
    <rPh sb="3" eb="4">
      <t>ダイ</t>
    </rPh>
    <rPh sb="5" eb="6">
      <t>ゴウ</t>
    </rPh>
    <rPh sb="6" eb="8">
      <t>クブン</t>
    </rPh>
    <phoneticPr fontId="1"/>
  </si>
  <si>
    <t xml:space="preserve">   第５号区分</t>
    <rPh sb="3" eb="4">
      <t>ダイ</t>
    </rPh>
    <rPh sb="5" eb="6">
      <t>ゴウ</t>
    </rPh>
    <rPh sb="6" eb="8">
      <t>クブン</t>
    </rPh>
    <phoneticPr fontId="1"/>
  </si>
  <si>
    <t xml:space="preserve">   第６号区分</t>
    <rPh sb="3" eb="4">
      <t>ダイ</t>
    </rPh>
    <rPh sb="5" eb="6">
      <t>ゴウ</t>
    </rPh>
    <rPh sb="6" eb="8">
      <t>クブン</t>
    </rPh>
    <phoneticPr fontId="1"/>
  </si>
  <si>
    <t xml:space="preserve">   第７号区分</t>
    <rPh sb="3" eb="4">
      <t>ダイ</t>
    </rPh>
    <rPh sb="5" eb="6">
      <t>ゴウ</t>
    </rPh>
    <rPh sb="6" eb="8">
      <t>クブン</t>
    </rPh>
    <phoneticPr fontId="1"/>
  </si>
  <si>
    <t xml:space="preserve">   第８号区分</t>
    <rPh sb="3" eb="4">
      <t>ダイ</t>
    </rPh>
    <rPh sb="5" eb="6">
      <t>ゴウ</t>
    </rPh>
    <rPh sb="6" eb="8">
      <t>クブン</t>
    </rPh>
    <phoneticPr fontId="1"/>
  </si>
  <si>
    <t>合計</t>
    <rPh sb="0" eb="2">
      <t>ゴウケイ</t>
    </rPh>
    <phoneticPr fontId="1"/>
  </si>
  <si>
    <t>算定基礎年数</t>
    <rPh sb="0" eb="2">
      <t>サンテイ</t>
    </rPh>
    <rPh sb="2" eb="4">
      <t>キソ</t>
    </rPh>
    <rPh sb="4" eb="6">
      <t>ネンスウ</t>
    </rPh>
    <phoneticPr fontId="1"/>
  </si>
  <si>
    <t>①と②の多い額　　　</t>
    <rPh sb="4" eb="5">
      <t>オオ</t>
    </rPh>
    <rPh sb="6" eb="7">
      <t>ガク</t>
    </rPh>
    <phoneticPr fontId="1"/>
  </si>
  <si>
    <t>施行日前給料月額</t>
    <rPh sb="0" eb="2">
      <t>セコウ</t>
    </rPh>
    <rPh sb="2" eb="3">
      <t>ビ</t>
    </rPh>
    <rPh sb="3" eb="4">
      <t>マエ</t>
    </rPh>
    <rPh sb="4" eb="6">
      <t>キュウリョウ</t>
    </rPh>
    <rPh sb="6" eb="8">
      <t>ゲツガク</t>
    </rPh>
    <phoneticPr fontId="1"/>
  </si>
  <si>
    <t>×1/2</t>
    <phoneticPr fontId="1"/>
  </si>
  <si>
    <t>(1000円未満切捨)</t>
    <phoneticPr fontId="1"/>
  </si>
  <si>
    <t>5.本人支給額</t>
    <rPh sb="2" eb="4">
      <t>ホンニン</t>
    </rPh>
    <rPh sb="4" eb="7">
      <t>シキュウガク</t>
    </rPh>
    <phoneticPr fontId="1"/>
  </si>
  <si>
    <t>本人振込額</t>
    <rPh sb="0" eb="2">
      <t>ホンニン</t>
    </rPh>
    <rPh sb="2" eb="3">
      <t>フ</t>
    </rPh>
    <rPh sb="3" eb="4">
      <t>コ</t>
    </rPh>
    <rPh sb="4" eb="5">
      <t>ガク</t>
    </rPh>
    <phoneticPr fontId="1"/>
  </si>
  <si>
    <t>氏　名</t>
    <rPh sb="0" eb="1">
      <t>シ</t>
    </rPh>
    <rPh sb="2" eb="3">
      <t>ナ</t>
    </rPh>
    <phoneticPr fontId="1"/>
  </si>
  <si>
    <t>職　名</t>
    <rPh sb="0" eb="1">
      <t>ショク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</si>
  <si>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</si>
  <si>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 xml:space="preserve">  1    試算希望者の職員番号・氏名等基本情報を入力・選択してください。</t>
    <phoneticPr fontId="1"/>
  </si>
  <si>
    <t>在職期間（年月）</t>
    <rPh sb="0" eb="2">
      <t>ザイショク</t>
    </rPh>
    <rPh sb="2" eb="4">
      <t>キカン</t>
    </rPh>
    <rPh sb="5" eb="6">
      <t>ネン</t>
    </rPh>
    <rPh sb="6" eb="7">
      <t>ツキ</t>
    </rPh>
    <phoneticPr fontId="1"/>
  </si>
  <si>
    <t xml:space="preserve">  ３    勤続期間の確認（入力等不要）してください。</t>
    <rPh sb="7" eb="9">
      <t>キンゾク</t>
    </rPh>
    <rPh sb="9" eb="11">
      <t>キカン</t>
    </rPh>
    <rPh sb="12" eb="14">
      <t>カクニン</t>
    </rPh>
    <rPh sb="15" eb="17">
      <t>ニュウリョク</t>
    </rPh>
    <rPh sb="17" eb="18">
      <t>トウ</t>
    </rPh>
    <rPh sb="18" eb="20">
      <t>フヨウ</t>
    </rPh>
    <phoneticPr fontId="1"/>
  </si>
  <si>
    <t>算定基礎（年月）</t>
    <rPh sb="0" eb="2">
      <t>サンテイ</t>
    </rPh>
    <rPh sb="2" eb="4">
      <t>キソ</t>
    </rPh>
    <rPh sb="5" eb="6">
      <t>ネン</t>
    </rPh>
    <rPh sb="6" eb="7">
      <t>ツキ</t>
    </rPh>
    <phoneticPr fontId="1"/>
  </si>
  <si>
    <t>除算区分</t>
    <rPh sb="0" eb="2">
      <t>ジョサン</t>
    </rPh>
    <rPh sb="2" eb="4">
      <t>クブン</t>
    </rPh>
    <phoneticPr fontId="1"/>
  </si>
  <si>
    <t>支給率</t>
    <rPh sb="0" eb="3">
      <t>シキュウリツ</t>
    </rPh>
    <phoneticPr fontId="1"/>
  </si>
  <si>
    <t>年</t>
    <rPh sb="0" eb="1">
      <t>ネン</t>
    </rPh>
    <phoneticPr fontId="1"/>
  </si>
  <si>
    <t xml:space="preserve">   6    調整額を算出するため，月数を入力してください。（月額の高い方から６０月分まで加算）</t>
    <phoneticPr fontId="1"/>
  </si>
  <si>
    <t>・校長(役職加算20％の者）</t>
    <rPh sb="1" eb="3">
      <t>コウチョウ</t>
    </rPh>
    <rPh sb="4" eb="6">
      <t>ヤクショク</t>
    </rPh>
    <rPh sb="6" eb="8">
      <t>カサン</t>
    </rPh>
    <rPh sb="12" eb="13">
      <t>シャ</t>
    </rPh>
    <phoneticPr fontId="1"/>
  </si>
  <si>
    <t xml:space="preserve">   第２号区分</t>
    <rPh sb="3" eb="4">
      <t>ダイ</t>
    </rPh>
    <rPh sb="5" eb="6">
      <t>ゴウ</t>
    </rPh>
    <rPh sb="6" eb="8">
      <t>クブン</t>
    </rPh>
    <phoneticPr fontId="1"/>
  </si>
  <si>
    <t>・校長(上記以外）
・教頭（管理職手当３種）</t>
    <rPh sb="1" eb="3">
      <t>コウチョウ</t>
    </rPh>
    <rPh sb="4" eb="6">
      <t>ジョウキ</t>
    </rPh>
    <rPh sb="6" eb="8">
      <t>イガイ</t>
    </rPh>
    <rPh sb="11" eb="13">
      <t>キョウトウ</t>
    </rPh>
    <rPh sb="14" eb="17">
      <t>カンリショク</t>
    </rPh>
    <rPh sb="17" eb="19">
      <t>テアテ</t>
    </rPh>
    <rPh sb="20" eb="21">
      <t>シュ</t>
    </rPh>
    <phoneticPr fontId="1"/>
  </si>
  <si>
    <t>・事務職７級</t>
    <rPh sb="1" eb="4">
      <t>ジムショク</t>
    </rPh>
    <rPh sb="5" eb="6">
      <t>キュウ</t>
    </rPh>
    <phoneticPr fontId="1"/>
  </si>
  <si>
    <t>・事務職６級</t>
    <rPh sb="1" eb="4">
      <t>ジムショク</t>
    </rPh>
    <rPh sb="5" eb="6">
      <t>キュウ</t>
    </rPh>
    <phoneticPr fontId="1"/>
  </si>
  <si>
    <t>・教頭（上記以外）
・教諭（役職加算１０％の者）</t>
    <rPh sb="1" eb="3">
      <t>キョウトウ</t>
    </rPh>
    <rPh sb="4" eb="6">
      <t>ジョウキ</t>
    </rPh>
    <rPh sb="6" eb="8">
      <t>イガイ</t>
    </rPh>
    <rPh sb="11" eb="13">
      <t>キョウユ</t>
    </rPh>
    <rPh sb="14" eb="16">
      <t>ヤクショク</t>
    </rPh>
    <rPh sb="16" eb="18">
      <t>カサン</t>
    </rPh>
    <rPh sb="22" eb="23">
      <t>シャ</t>
    </rPh>
    <phoneticPr fontId="1"/>
  </si>
  <si>
    <t>・事務職５級
・栄養職特５級</t>
    <rPh sb="1" eb="4">
      <t>ジムショク</t>
    </rPh>
    <rPh sb="5" eb="6">
      <t>キュウ</t>
    </rPh>
    <rPh sb="8" eb="10">
      <t>エイヨウ</t>
    </rPh>
    <rPh sb="10" eb="11">
      <t>ショク</t>
    </rPh>
    <rPh sb="11" eb="12">
      <t>トク</t>
    </rPh>
    <rPh sb="13" eb="14">
      <t>キュウ</t>
    </rPh>
    <phoneticPr fontId="1"/>
  </si>
  <si>
    <t>・事務職４級
・栄養職５級</t>
    <rPh sb="1" eb="4">
      <t>ジムショク</t>
    </rPh>
    <rPh sb="5" eb="6">
      <t>キュウ</t>
    </rPh>
    <rPh sb="8" eb="10">
      <t>エイヨウ</t>
    </rPh>
    <rPh sb="10" eb="11">
      <t>ショク</t>
    </rPh>
    <rPh sb="12" eb="13">
      <t>キュウ</t>
    </rPh>
    <phoneticPr fontId="1"/>
  </si>
  <si>
    <t>・労務職４級</t>
    <rPh sb="1" eb="3">
      <t>ロウム</t>
    </rPh>
    <rPh sb="3" eb="4">
      <t>ショク</t>
    </rPh>
    <rPh sb="5" eb="6">
      <t>キュウ</t>
    </rPh>
    <phoneticPr fontId="1"/>
  </si>
  <si>
    <t>・教諭（役職加算５％の者）
・労務職３級</t>
    <rPh sb="1" eb="3">
      <t>キョウユ</t>
    </rPh>
    <rPh sb="4" eb="6">
      <t>ヤクショク</t>
    </rPh>
    <rPh sb="6" eb="8">
      <t>カサン</t>
    </rPh>
    <rPh sb="11" eb="12">
      <t>シャ</t>
    </rPh>
    <rPh sb="15" eb="17">
      <t>ロウム</t>
    </rPh>
    <rPh sb="17" eb="18">
      <t>ショク</t>
    </rPh>
    <rPh sb="19" eb="20">
      <t>キュウ</t>
    </rPh>
    <phoneticPr fontId="1"/>
  </si>
  <si>
    <t>上記以外→支給なし</t>
    <rPh sb="0" eb="2">
      <t>ジョウキ</t>
    </rPh>
    <rPh sb="2" eb="4">
      <t>イガイ</t>
    </rPh>
    <rPh sb="5" eb="7">
      <t>シキュウ</t>
    </rPh>
    <phoneticPr fontId="1"/>
  </si>
  <si>
    <t>　 校長職・・・・</t>
    <rPh sb="2" eb="4">
      <t>コウチョウ</t>
    </rPh>
    <rPh sb="4" eb="5">
      <t>ショク</t>
    </rPh>
    <phoneticPr fontId="1"/>
  </si>
  <si>
    <t>・校長(管理職手当1種及び２種）</t>
    <rPh sb="1" eb="3">
      <t>コウチョウ</t>
    </rPh>
    <rPh sb="4" eb="7">
      <t>カンリショク</t>
    </rPh>
    <rPh sb="7" eb="9">
      <t>テアテ</t>
    </rPh>
    <rPh sb="10" eb="11">
      <t>シュ</t>
    </rPh>
    <rPh sb="11" eb="12">
      <t>オヨ</t>
    </rPh>
    <rPh sb="14" eb="15">
      <t>シュ</t>
    </rPh>
    <phoneticPr fontId="1"/>
  </si>
  <si>
    <t>第４号区分に「６０」と入力</t>
    <rPh sb="0" eb="1">
      <t>ダイ</t>
    </rPh>
    <rPh sb="2" eb="3">
      <t>ゴウ</t>
    </rPh>
    <rPh sb="3" eb="5">
      <t>クブン</t>
    </rPh>
    <rPh sb="11" eb="13">
      <t>ニュウリョク</t>
    </rPh>
    <phoneticPr fontId="1"/>
  </si>
  <si>
    <t>　 教頭職・・・・</t>
    <rPh sb="2" eb="4">
      <t>キョウトウ</t>
    </rPh>
    <rPh sb="4" eb="5">
      <t>ショク</t>
    </rPh>
    <phoneticPr fontId="1"/>
  </si>
  <si>
    <t>第５号区分に「６０」と入力</t>
    <rPh sb="0" eb="1">
      <t>ダイ</t>
    </rPh>
    <rPh sb="2" eb="3">
      <t>ゴウ</t>
    </rPh>
    <rPh sb="3" eb="5">
      <t>クブン</t>
    </rPh>
    <rPh sb="11" eb="13">
      <t>ニュウリョク</t>
    </rPh>
    <phoneticPr fontId="1"/>
  </si>
  <si>
    <t>第３号区分に「６０」と入力</t>
    <rPh sb="0" eb="1">
      <t>ダイ</t>
    </rPh>
    <rPh sb="2" eb="3">
      <t>ゴウ</t>
    </rPh>
    <rPh sb="3" eb="5">
      <t>クブン</t>
    </rPh>
    <rPh sb="11" eb="13">
      <t>ニュウリョク</t>
    </rPh>
    <phoneticPr fontId="1"/>
  </si>
  <si>
    <r>
      <t xml:space="preserve">　 教諭職・・
</t>
    </r>
    <r>
      <rPr>
        <b/>
        <sz val="9"/>
        <color theme="1"/>
        <rFont val="游ゴシック"/>
        <family val="3"/>
        <charset val="128"/>
        <scheme val="minor"/>
      </rPr>
      <t>(経験年数24年以上）</t>
    </r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イジョウ</t>
    </rPh>
    <phoneticPr fontId="1"/>
  </si>
  <si>
    <r>
      <t xml:space="preserve">　 教諭職・・
</t>
    </r>
    <r>
      <rPr>
        <b/>
        <sz val="9"/>
        <color theme="1"/>
        <rFont val="游ゴシック"/>
        <family val="3"/>
        <charset val="128"/>
        <scheme val="minor"/>
      </rPr>
      <t>(経験年数24年未満）</t>
    </r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ミマン</t>
    </rPh>
    <phoneticPr fontId="1"/>
  </si>
  <si>
    <t>栄養職</t>
    <rPh sb="0" eb="2">
      <t>エイヨウ</t>
    </rPh>
    <rPh sb="2" eb="3">
      <t>ショク</t>
    </rPh>
    <phoneticPr fontId="1"/>
  </si>
  <si>
    <t>1－2</t>
    <phoneticPr fontId="1"/>
  </si>
  <si>
    <t>1－3</t>
  </si>
  <si>
    <t>1－4</t>
  </si>
  <si>
    <t>1－5</t>
  </si>
  <si>
    <t>1－6</t>
  </si>
  <si>
    <t>1－7</t>
  </si>
  <si>
    <t>1－8</t>
  </si>
  <si>
    <t>1－9</t>
  </si>
  <si>
    <t>1－10</t>
  </si>
  <si>
    <t>1－11</t>
  </si>
  <si>
    <t>1－12</t>
  </si>
  <si>
    <t>1－13</t>
  </si>
  <si>
    <t>1－14</t>
  </si>
  <si>
    <t>1－15</t>
  </si>
  <si>
    <t>1－16</t>
  </si>
  <si>
    <t>1－17</t>
  </si>
  <si>
    <t>1－18</t>
  </si>
  <si>
    <t>1－19</t>
  </si>
  <si>
    <t>1－20</t>
  </si>
  <si>
    <t>1－21</t>
  </si>
  <si>
    <t>1－22</t>
  </si>
  <si>
    <t>1－23</t>
  </si>
  <si>
    <t>1－24</t>
  </si>
  <si>
    <t>1－25</t>
  </si>
  <si>
    <t>1－26</t>
  </si>
  <si>
    <t>1－27</t>
  </si>
  <si>
    <t>1－28</t>
  </si>
  <si>
    <t>1－29</t>
  </si>
  <si>
    <t>1－30</t>
  </si>
  <si>
    <t>1－31</t>
  </si>
  <si>
    <t>1－32</t>
  </si>
  <si>
    <t>1－33</t>
  </si>
  <si>
    <t>1－34</t>
  </si>
  <si>
    <t>1－35</t>
  </si>
  <si>
    <t>1－36</t>
  </si>
  <si>
    <t>1－37</t>
  </si>
  <si>
    <t>1－38</t>
  </si>
  <si>
    <t>1－39</t>
  </si>
  <si>
    <t>1－40</t>
  </si>
  <si>
    <t>1－A1</t>
    <phoneticPr fontId="1"/>
  </si>
  <si>
    <t>1－A2</t>
  </si>
  <si>
    <t>1－A3</t>
  </si>
  <si>
    <t>1－A4</t>
  </si>
  <si>
    <t>1－A5</t>
  </si>
  <si>
    <t>1－A6</t>
  </si>
  <si>
    <t>1－A7</t>
  </si>
  <si>
    <t>1－A8</t>
  </si>
  <si>
    <t>1－A9</t>
  </si>
  <si>
    <t>1－A10</t>
  </si>
  <si>
    <t>1－A11</t>
  </si>
  <si>
    <t>1－A12</t>
  </si>
  <si>
    <t>1－A13</t>
  </si>
  <si>
    <t>1－A14</t>
  </si>
  <si>
    <t>1－A15</t>
  </si>
  <si>
    <t>1－A16</t>
  </si>
  <si>
    <t>1－A17</t>
  </si>
  <si>
    <t>1－A18</t>
  </si>
  <si>
    <t>1－A19</t>
  </si>
  <si>
    <t>1－A20</t>
  </si>
  <si>
    <t>1－A21</t>
  </si>
  <si>
    <t>1－A22</t>
  </si>
  <si>
    <t>1－A23</t>
  </si>
  <si>
    <t>1－A24</t>
  </si>
  <si>
    <t>1－A25</t>
  </si>
  <si>
    <t>1－A26</t>
  </si>
  <si>
    <t>1－A27</t>
  </si>
  <si>
    <t>1－A28</t>
  </si>
  <si>
    <t>1－A29</t>
  </si>
  <si>
    <t>1－A30</t>
  </si>
  <si>
    <t>2－2</t>
    <phoneticPr fontId="1"/>
  </si>
  <si>
    <t>2－3</t>
  </si>
  <si>
    <t>2－4</t>
  </si>
  <si>
    <t>2－5</t>
  </si>
  <si>
    <t>2－6</t>
  </si>
  <si>
    <t>2－7</t>
  </si>
  <si>
    <t>2－8</t>
  </si>
  <si>
    <t>2－9</t>
  </si>
  <si>
    <t>2－10</t>
  </si>
  <si>
    <t>2－11</t>
  </si>
  <si>
    <t>2－12</t>
  </si>
  <si>
    <t>2－13</t>
  </si>
  <si>
    <t>2－14</t>
  </si>
  <si>
    <t>2－15</t>
  </si>
  <si>
    <t>2－16</t>
  </si>
  <si>
    <t>2－17</t>
  </si>
  <si>
    <t>2－18</t>
  </si>
  <si>
    <t>2－19</t>
  </si>
  <si>
    <t>2－20</t>
  </si>
  <si>
    <t>2－21</t>
  </si>
  <si>
    <t>2－22</t>
  </si>
  <si>
    <t>2－23</t>
  </si>
  <si>
    <t>2－24</t>
  </si>
  <si>
    <t>2－25</t>
  </si>
  <si>
    <t>2－26</t>
  </si>
  <si>
    <t>2－27</t>
  </si>
  <si>
    <t>2－28</t>
  </si>
  <si>
    <t>2－29</t>
  </si>
  <si>
    <t>2－30</t>
  </si>
  <si>
    <t>2－31</t>
  </si>
  <si>
    <t>2－32</t>
  </si>
  <si>
    <t>2－33</t>
  </si>
  <si>
    <t>2－34</t>
  </si>
  <si>
    <t>2－35</t>
  </si>
  <si>
    <t>2－36</t>
  </si>
  <si>
    <t>2－A1</t>
    <phoneticPr fontId="1"/>
  </si>
  <si>
    <t>2－A2</t>
  </si>
  <si>
    <t>2－A3</t>
  </si>
  <si>
    <t>2－A4</t>
  </si>
  <si>
    <t>2－A5</t>
  </si>
  <si>
    <t>2－A6</t>
  </si>
  <si>
    <t>2－A7</t>
  </si>
  <si>
    <t>2－A8</t>
  </si>
  <si>
    <t>2－A9</t>
  </si>
  <si>
    <t>2－A10</t>
  </si>
  <si>
    <t>2－A11</t>
  </si>
  <si>
    <t>2－A12</t>
  </si>
  <si>
    <t>2－A13</t>
  </si>
  <si>
    <t>2－A14</t>
  </si>
  <si>
    <t>2－A15</t>
  </si>
  <si>
    <t>3－1</t>
    <phoneticPr fontId="1"/>
  </si>
  <si>
    <t>3－2</t>
  </si>
  <si>
    <t>3－3</t>
  </si>
  <si>
    <t>3－4</t>
  </si>
  <si>
    <t>3－5</t>
  </si>
  <si>
    <t>3－6</t>
  </si>
  <si>
    <t>3－7</t>
  </si>
  <si>
    <t>3－8</t>
  </si>
  <si>
    <t>3－9</t>
  </si>
  <si>
    <t>3－10</t>
  </si>
  <si>
    <t>3－11</t>
  </si>
  <si>
    <t>3－12</t>
  </si>
  <si>
    <t>3－13</t>
  </si>
  <si>
    <t>3－14</t>
  </si>
  <si>
    <t>3－15</t>
  </si>
  <si>
    <t>3－16</t>
  </si>
  <si>
    <t>3－17</t>
  </si>
  <si>
    <t>3－18</t>
  </si>
  <si>
    <t>3－19</t>
  </si>
  <si>
    <t>3－20</t>
  </si>
  <si>
    <t>3－21</t>
  </si>
  <si>
    <t>3－22</t>
  </si>
  <si>
    <t>3－23</t>
  </si>
  <si>
    <t>3－24</t>
  </si>
  <si>
    <t>3－25</t>
  </si>
  <si>
    <t>3－26</t>
  </si>
  <si>
    <t>3－27</t>
  </si>
  <si>
    <t>3－28</t>
  </si>
  <si>
    <t>3－29</t>
  </si>
  <si>
    <t>3－30</t>
  </si>
  <si>
    <t>3－31</t>
  </si>
  <si>
    <t>3－32</t>
  </si>
  <si>
    <t>3－A1</t>
    <phoneticPr fontId="1"/>
  </si>
  <si>
    <t>3－A2</t>
  </si>
  <si>
    <t>3－A3</t>
  </si>
  <si>
    <t>3－A4</t>
  </si>
  <si>
    <t>3－A5</t>
  </si>
  <si>
    <t>3－A6</t>
  </si>
  <si>
    <t>3－A7</t>
  </si>
  <si>
    <t>3－A8</t>
  </si>
  <si>
    <t>3－A9</t>
  </si>
  <si>
    <t>3－A10</t>
  </si>
  <si>
    <t>3－A11</t>
  </si>
  <si>
    <t>3－A12</t>
  </si>
  <si>
    <t>3－A13</t>
  </si>
  <si>
    <t>3－A14</t>
  </si>
  <si>
    <t>3－A15</t>
  </si>
  <si>
    <t>4－A1</t>
    <phoneticPr fontId="1"/>
  </si>
  <si>
    <t>4－1</t>
    <phoneticPr fontId="1"/>
  </si>
  <si>
    <t>4－2</t>
  </si>
  <si>
    <t>4－3</t>
  </si>
  <si>
    <t>4－4</t>
  </si>
  <si>
    <t>4－5</t>
  </si>
  <si>
    <t>4－6</t>
  </si>
  <si>
    <t>4－7</t>
  </si>
  <si>
    <t>4－8</t>
  </si>
  <si>
    <t>4－9</t>
  </si>
  <si>
    <t>4－10</t>
  </si>
  <si>
    <t>4－11</t>
  </si>
  <si>
    <t>4－12</t>
  </si>
  <si>
    <t>4－13</t>
  </si>
  <si>
    <t>4－14</t>
  </si>
  <si>
    <t>4－15</t>
  </si>
  <si>
    <t>4－16</t>
  </si>
  <si>
    <t>4－17</t>
  </si>
  <si>
    <t>4－18</t>
  </si>
  <si>
    <t>4－19</t>
  </si>
  <si>
    <t>4－20</t>
  </si>
  <si>
    <t>4－21</t>
  </si>
  <si>
    <t>4－22</t>
  </si>
  <si>
    <t>4－23</t>
  </si>
  <si>
    <t>4－24</t>
  </si>
  <si>
    <t>4－25</t>
  </si>
  <si>
    <t>4－26</t>
  </si>
  <si>
    <t>4－27</t>
  </si>
  <si>
    <t>4－28</t>
  </si>
  <si>
    <t>4－A2</t>
  </si>
  <si>
    <t>4－A3</t>
  </si>
  <si>
    <t>4－A4</t>
  </si>
  <si>
    <t>4－A5</t>
  </si>
  <si>
    <t>4－A6</t>
  </si>
  <si>
    <t>4－A7</t>
  </si>
  <si>
    <t>4－A8</t>
  </si>
  <si>
    <t>4－A9</t>
  </si>
  <si>
    <t>4－A10</t>
  </si>
  <si>
    <t>4－A11</t>
  </si>
  <si>
    <t>4－A12</t>
  </si>
  <si>
    <t>5－1</t>
    <phoneticPr fontId="1"/>
  </si>
  <si>
    <t>5－2</t>
  </si>
  <si>
    <t>5－3</t>
  </si>
  <si>
    <t>5－4</t>
  </si>
  <si>
    <t>5－5</t>
  </si>
  <si>
    <t>5－6</t>
  </si>
  <si>
    <t>5－7</t>
  </si>
  <si>
    <t>5－8</t>
  </si>
  <si>
    <t>5－9</t>
  </si>
  <si>
    <t>5－10</t>
  </si>
  <si>
    <t>5－11</t>
  </si>
  <si>
    <t>5－12</t>
  </si>
  <si>
    <t>5－13</t>
  </si>
  <si>
    <t>5－14</t>
  </si>
  <si>
    <t>5－15</t>
  </si>
  <si>
    <t>5－16</t>
  </si>
  <si>
    <t>5－17</t>
  </si>
  <si>
    <t>5－18</t>
  </si>
  <si>
    <t>5－19</t>
  </si>
  <si>
    <t>5－20</t>
  </si>
  <si>
    <t>5－21</t>
  </si>
  <si>
    <t>5－22</t>
  </si>
  <si>
    <t>5－23</t>
  </si>
  <si>
    <t>5－24</t>
  </si>
  <si>
    <t>5－25</t>
  </si>
  <si>
    <t>5－26</t>
  </si>
  <si>
    <t>5－A1</t>
    <phoneticPr fontId="1"/>
  </si>
  <si>
    <t>5－A2</t>
  </si>
  <si>
    <t>5－A3</t>
  </si>
  <si>
    <t>5－A4</t>
  </si>
  <si>
    <t>5－A5</t>
  </si>
  <si>
    <t>5－A6</t>
  </si>
  <si>
    <t>5－A7</t>
  </si>
  <si>
    <t>5－A8</t>
  </si>
  <si>
    <t>5－A9</t>
  </si>
  <si>
    <t>5－A10</t>
  </si>
  <si>
    <t>5－A11</t>
  </si>
  <si>
    <t>5－A12</t>
  </si>
  <si>
    <t>A5-１</t>
    <phoneticPr fontId="1"/>
  </si>
  <si>
    <t>A5-２</t>
  </si>
  <si>
    <t>A5-３</t>
  </si>
  <si>
    <t>A5-４</t>
  </si>
  <si>
    <t>A5-５</t>
  </si>
  <si>
    <t>A5-６</t>
  </si>
  <si>
    <t>A5-７</t>
  </si>
  <si>
    <t>A5-８</t>
  </si>
  <si>
    <t>A5-９</t>
  </si>
  <si>
    <t>A5-１０</t>
  </si>
  <si>
    <t>A5-１１</t>
  </si>
  <si>
    <t>A5-１２</t>
  </si>
  <si>
    <t>A5-１３</t>
  </si>
  <si>
    <t>A5-１４</t>
  </si>
  <si>
    <t>A5-１５</t>
  </si>
  <si>
    <t>A5-１６</t>
  </si>
  <si>
    <t>A5-１７</t>
  </si>
  <si>
    <t>A5-１８</t>
  </si>
  <si>
    <t>A5-１９</t>
  </si>
  <si>
    <t>A5-２０</t>
  </si>
  <si>
    <t>A5-２１</t>
  </si>
  <si>
    <t>A5-２２</t>
  </si>
  <si>
    <t>A5－1</t>
    <phoneticPr fontId="1"/>
  </si>
  <si>
    <t>A5－2</t>
  </si>
  <si>
    <t>A5－3</t>
  </si>
  <si>
    <t>A5－4</t>
  </si>
  <si>
    <t>A5－5</t>
  </si>
  <si>
    <t>A5－6</t>
  </si>
  <si>
    <t>A5－7</t>
  </si>
  <si>
    <t>A5－8</t>
  </si>
  <si>
    <t>A5－9</t>
  </si>
  <si>
    <t>A5－10</t>
  </si>
  <si>
    <t>A5－11</t>
  </si>
  <si>
    <t>A5－12</t>
  </si>
  <si>
    <t>6－1</t>
    <phoneticPr fontId="1"/>
  </si>
  <si>
    <t>6－2</t>
  </si>
  <si>
    <t>6－3</t>
  </si>
  <si>
    <t>6－4</t>
  </si>
  <si>
    <t>6－5</t>
  </si>
  <si>
    <t>6－6</t>
  </si>
  <si>
    <t>6－7</t>
  </si>
  <si>
    <t>6－8</t>
  </si>
  <si>
    <t>6－9</t>
  </si>
  <si>
    <t>6－10</t>
  </si>
  <si>
    <t>6－11</t>
  </si>
  <si>
    <t>6－12</t>
  </si>
  <si>
    <t>6－13</t>
  </si>
  <si>
    <t>6－14</t>
  </si>
  <si>
    <t>6－15</t>
  </si>
  <si>
    <t>6－16</t>
  </si>
  <si>
    <t>6－17</t>
  </si>
  <si>
    <t>6－18</t>
  </si>
  <si>
    <t>6－19</t>
  </si>
  <si>
    <t>6－20</t>
  </si>
  <si>
    <t>6－21</t>
  </si>
  <si>
    <t>6－22</t>
  </si>
  <si>
    <t>6－23</t>
  </si>
  <si>
    <t>6－24</t>
  </si>
  <si>
    <t>6－A1</t>
    <phoneticPr fontId="1"/>
  </si>
  <si>
    <t>6－A2</t>
  </si>
  <si>
    <t>6－A3</t>
  </si>
  <si>
    <t>6－A4</t>
  </si>
  <si>
    <t>6－A5</t>
  </si>
  <si>
    <t>6－A6</t>
  </si>
  <si>
    <t>6－A7</t>
  </si>
  <si>
    <t>6－A8</t>
  </si>
  <si>
    <t>6－A9</t>
  </si>
  <si>
    <t>6－A10</t>
  </si>
  <si>
    <t>7－1</t>
    <phoneticPr fontId="1"/>
  </si>
  <si>
    <t>7－2</t>
  </si>
  <si>
    <t>7－3</t>
  </si>
  <si>
    <t>7－4</t>
  </si>
  <si>
    <t>7－5</t>
  </si>
  <si>
    <t>7－6</t>
  </si>
  <si>
    <t>7－7</t>
  </si>
  <si>
    <t>7－8</t>
  </si>
  <si>
    <t>7－9</t>
  </si>
  <si>
    <t>7－10</t>
  </si>
  <si>
    <t>7－11</t>
  </si>
  <si>
    <t>7－12</t>
  </si>
  <si>
    <t>7－13</t>
  </si>
  <si>
    <t>7－14</t>
  </si>
  <si>
    <t>7－15</t>
  </si>
  <si>
    <t>7－16</t>
  </si>
  <si>
    <t>7－17</t>
  </si>
  <si>
    <t>7－18</t>
  </si>
  <si>
    <t>7－19</t>
  </si>
  <si>
    <t>7－20</t>
  </si>
  <si>
    <t>7－21</t>
  </si>
  <si>
    <t>7－22</t>
  </si>
  <si>
    <t>7－A1</t>
    <phoneticPr fontId="1"/>
  </si>
  <si>
    <t>7－A2</t>
  </si>
  <si>
    <t>7－A3</t>
  </si>
  <si>
    <t>7－A4</t>
  </si>
  <si>
    <t>7－A5</t>
  </si>
  <si>
    <t>7－A6</t>
  </si>
  <si>
    <t>7－A7</t>
  </si>
  <si>
    <t>7－A8</t>
  </si>
  <si>
    <t>7－A9</t>
  </si>
  <si>
    <t>7－A10</t>
  </si>
  <si>
    <t>8－1</t>
    <phoneticPr fontId="1"/>
  </si>
  <si>
    <t>8－2</t>
  </si>
  <si>
    <t>8－3</t>
  </si>
  <si>
    <t>8－4</t>
  </si>
  <si>
    <t>8－5</t>
  </si>
  <si>
    <t>8－6</t>
  </si>
  <si>
    <t>8－7</t>
  </si>
  <si>
    <t>8－8</t>
  </si>
  <si>
    <t>8－9</t>
  </si>
  <si>
    <t>8－10</t>
  </si>
  <si>
    <t>8－11</t>
  </si>
  <si>
    <t>8－12</t>
  </si>
  <si>
    <t>8－13</t>
  </si>
  <si>
    <t>8－14</t>
  </si>
  <si>
    <t>8－15</t>
  </si>
  <si>
    <t>8－16</t>
  </si>
  <si>
    <t>8－17</t>
  </si>
  <si>
    <t>8－18</t>
  </si>
  <si>
    <t>8－19</t>
  </si>
  <si>
    <t>8－20</t>
  </si>
  <si>
    <t>8－21</t>
  </si>
  <si>
    <t>8－A1</t>
    <phoneticPr fontId="1"/>
  </si>
  <si>
    <t>8－A2</t>
  </si>
  <si>
    <t>8－A3</t>
  </si>
  <si>
    <t>8－A4</t>
  </si>
  <si>
    <t>8－A5</t>
  </si>
  <si>
    <t>8－A6</t>
  </si>
  <si>
    <t>8－A7</t>
  </si>
  <si>
    <t>8－A8</t>
  </si>
  <si>
    <t>8－A9</t>
  </si>
  <si>
    <t>8－A10</t>
  </si>
  <si>
    <t>9－1</t>
    <phoneticPr fontId="1"/>
  </si>
  <si>
    <t>9－2</t>
  </si>
  <si>
    <t>9－3</t>
  </si>
  <si>
    <t>9－4</t>
  </si>
  <si>
    <t>9－5</t>
  </si>
  <si>
    <t>9－6</t>
  </si>
  <si>
    <t>9－7</t>
  </si>
  <si>
    <t>9－8</t>
  </si>
  <si>
    <t>9－9</t>
  </si>
  <si>
    <t>9－10</t>
  </si>
  <si>
    <t>9－11</t>
  </si>
  <si>
    <t>9－12</t>
  </si>
  <si>
    <t>9－13</t>
  </si>
  <si>
    <t>9－14</t>
  </si>
  <si>
    <t>9－15</t>
  </si>
  <si>
    <t>9－16</t>
  </si>
  <si>
    <t>9－17</t>
  </si>
  <si>
    <t>9－18</t>
  </si>
  <si>
    <t>9－A1</t>
    <phoneticPr fontId="1"/>
  </si>
  <si>
    <t>9－A2</t>
  </si>
  <si>
    <t>9－A3</t>
  </si>
  <si>
    <t>9－A4</t>
  </si>
  <si>
    <t>9－A5</t>
  </si>
  <si>
    <t>9－A6</t>
  </si>
  <si>
    <t>9－A7</t>
  </si>
  <si>
    <t>9－A8</t>
  </si>
  <si>
    <t>9－A9</t>
  </si>
  <si>
    <t>9－A10</t>
  </si>
  <si>
    <r>
      <t>　　</t>
    </r>
    <r>
      <rPr>
        <b/>
        <sz val="11"/>
        <color theme="1"/>
        <rFont val="游ゴシック"/>
        <family val="3"/>
        <charset val="128"/>
        <scheme val="minor"/>
      </rPr>
      <t>※特級の場合は、A○（例：A5）と入力してください</t>
    </r>
    <rPh sb="3" eb="4">
      <t>トク</t>
    </rPh>
    <rPh sb="4" eb="5">
      <t>キュウ</t>
    </rPh>
    <rPh sb="6" eb="8">
      <t>バアイ</t>
    </rPh>
    <rPh sb="13" eb="14">
      <t>レイ</t>
    </rPh>
    <rPh sb="19" eb="21">
      <t>ニュウリョク</t>
    </rPh>
    <phoneticPr fontId="1"/>
  </si>
  <si>
    <r>
      <t>　　</t>
    </r>
    <r>
      <rPr>
        <b/>
        <sz val="11"/>
        <color theme="1"/>
        <rFont val="游ゴシック"/>
        <family val="3"/>
        <charset val="128"/>
        <scheme val="minor"/>
      </rPr>
      <t>※特号給の場合は、A○（例：A2)と入力してください</t>
    </r>
    <rPh sb="3" eb="4">
      <t>トク</t>
    </rPh>
    <rPh sb="4" eb="6">
      <t>ゴウキュウ</t>
    </rPh>
    <rPh sb="7" eb="9">
      <t>バアイ</t>
    </rPh>
    <rPh sb="14" eb="15">
      <t>レイ</t>
    </rPh>
    <rPh sb="20" eb="22">
      <t>ニュウリョク</t>
    </rPh>
    <phoneticPr fontId="1"/>
  </si>
  <si>
    <t xml:space="preserve">   5    平成１８年３月３１日現在の発令号給を入力してください。（人事記録参照）</t>
    <rPh sb="36" eb="38">
      <t>ジンジ</t>
    </rPh>
    <rPh sb="38" eb="40">
      <t>キロク</t>
    </rPh>
    <rPh sb="40" eb="42">
      <t>サンショウ</t>
    </rPh>
    <phoneticPr fontId="1"/>
  </si>
  <si>
    <t>休職</t>
    <rPh sb="0" eb="2">
      <t>キュウショク</t>
    </rPh>
    <phoneticPr fontId="2"/>
  </si>
  <si>
    <t>停職</t>
    <rPh sb="0" eb="2">
      <t>テイショク</t>
    </rPh>
    <phoneticPr fontId="2"/>
  </si>
  <si>
    <t>組合専従</t>
    <rPh sb="0" eb="2">
      <t>クミアイ</t>
    </rPh>
    <rPh sb="2" eb="4">
      <t>センジュウ</t>
    </rPh>
    <phoneticPr fontId="2"/>
  </si>
  <si>
    <t>自己啓発</t>
    <rPh sb="0" eb="2">
      <t>ジコ</t>
    </rPh>
    <rPh sb="2" eb="4">
      <t>ケイハツ</t>
    </rPh>
    <phoneticPr fontId="2"/>
  </si>
  <si>
    <t>配偶者同行休業</t>
    <rPh sb="0" eb="3">
      <t>ハイグウシャ</t>
    </rPh>
    <rPh sb="3" eb="5">
      <t>ドウコウ</t>
    </rPh>
    <rPh sb="5" eb="7">
      <t>キュウギョウ</t>
    </rPh>
    <phoneticPr fontId="2"/>
  </si>
  <si>
    <t>育児休業(平成４年４月１日以降）</t>
    <rPh sb="0" eb="2">
      <t>イクジ</t>
    </rPh>
    <rPh sb="2" eb="4">
      <t>キュウギョウ</t>
    </rPh>
    <rPh sb="5" eb="7">
      <t>ヘイセイ</t>
    </rPh>
    <rPh sb="8" eb="9">
      <t>ネン</t>
    </rPh>
    <rPh sb="10" eb="11">
      <t>ガツ</t>
    </rPh>
    <rPh sb="12" eb="13">
      <t>ニチ</t>
    </rPh>
    <rPh sb="13" eb="15">
      <t>イコウ</t>
    </rPh>
    <phoneticPr fontId="2"/>
  </si>
  <si>
    <t>育児休業</t>
    <rPh sb="0" eb="2">
      <t>イクジ</t>
    </rPh>
    <rPh sb="2" eb="4">
      <t>キュウギョウ</t>
    </rPh>
    <phoneticPr fontId="1"/>
  </si>
  <si>
    <t>育児短時間勤務</t>
    <rPh sb="0" eb="2">
      <t>イクジ</t>
    </rPh>
    <rPh sb="2" eb="5">
      <t>タンジカン</t>
    </rPh>
    <rPh sb="5" eb="7">
      <t>キンム</t>
    </rPh>
    <phoneticPr fontId="2"/>
  </si>
  <si>
    <t>子の誕生日</t>
    <rPh sb="0" eb="1">
      <t>コ</t>
    </rPh>
    <rPh sb="2" eb="5">
      <t>タンジョウビ</t>
    </rPh>
    <phoneticPr fontId="1"/>
  </si>
  <si>
    <t>から</t>
    <phoneticPr fontId="1"/>
  </si>
  <si>
    <t>まで</t>
    <phoneticPr fontId="1"/>
  </si>
  <si>
    <t>除算月</t>
    <rPh sb="0" eb="2">
      <t>ジョサン</t>
    </rPh>
    <rPh sb="2" eb="3">
      <t>ツキ</t>
    </rPh>
    <phoneticPr fontId="1"/>
  </si>
  <si>
    <t>期間</t>
    <rPh sb="0" eb="2">
      <t>キカン</t>
    </rPh>
    <phoneticPr fontId="1"/>
  </si>
  <si>
    <t>除算期間合計</t>
    <rPh sb="0" eb="2">
      <t>ジョサン</t>
    </rPh>
    <rPh sb="2" eb="4">
      <t>キカン</t>
    </rPh>
    <rPh sb="4" eb="6">
      <t>ゴウケイ</t>
    </rPh>
    <phoneticPr fontId="1"/>
  </si>
  <si>
    <t>妙義榛名</t>
    <rPh sb="0" eb="2">
      <t>ミョウギ</t>
    </rPh>
    <rPh sb="2" eb="4">
      <t>ハルナ</t>
    </rPh>
    <phoneticPr fontId="1"/>
  </si>
  <si>
    <t>教  諭</t>
    <phoneticPr fontId="1"/>
  </si>
  <si>
    <t>事  務</t>
    <phoneticPr fontId="1"/>
  </si>
  <si>
    <t>栄養士</t>
    <phoneticPr fontId="1"/>
  </si>
  <si>
    <t>公  仕</t>
    <phoneticPr fontId="1"/>
  </si>
  <si>
    <t>教  頭</t>
    <phoneticPr fontId="1"/>
  </si>
  <si>
    <t>副校長</t>
    <phoneticPr fontId="1"/>
  </si>
  <si>
    <t>退職時年齢</t>
    <rPh sb="0" eb="3">
      <t>タイショクジ</t>
    </rPh>
    <rPh sb="3" eb="5">
      <t>ネンレイ</t>
    </rPh>
    <phoneticPr fontId="1"/>
  </si>
  <si>
    <t>校長</t>
    <rPh sb="0" eb="2">
      <t>コウチョウ</t>
    </rPh>
    <phoneticPr fontId="1"/>
  </si>
  <si>
    <t>・事務職３級
・栄養職３・４級</t>
    <rPh sb="1" eb="4">
      <t>ジムショク</t>
    </rPh>
    <rPh sb="5" eb="6">
      <t>キュウ</t>
    </rPh>
    <rPh sb="8" eb="10">
      <t>エイヨウ</t>
    </rPh>
    <rPh sb="10" eb="11">
      <t>ショク</t>
    </rPh>
    <rPh sb="14" eb="15">
      <t>キュウ</t>
    </rPh>
    <phoneticPr fontId="1"/>
  </si>
  <si>
    <t>入力不要
（自動計算）</t>
    <rPh sb="0" eb="2">
      <t>ニュウリョク</t>
    </rPh>
    <rPh sb="2" eb="4">
      <t>フヨウ</t>
    </rPh>
    <rPh sb="6" eb="8">
      <t>ジドウ</t>
    </rPh>
    <rPh sb="8" eb="10">
      <t>ケイサン</t>
    </rPh>
    <phoneticPr fontId="1"/>
  </si>
  <si>
    <t>（</t>
    <phoneticPr fontId="1"/>
  </si>
  <si>
    <t>)円</t>
    <rPh sb="1" eb="2">
      <t>エン</t>
    </rPh>
    <phoneticPr fontId="1"/>
  </si>
  <si>
    <t>区分</t>
    <rPh sb="0" eb="2">
      <t>クブン</t>
    </rPh>
    <phoneticPr fontId="1"/>
  </si>
  <si>
    <t>支給率</t>
    <phoneticPr fontId="1"/>
  </si>
  <si>
    <t>勧奨退職割増</t>
    <rPh sb="0" eb="2">
      <t>カンショウ</t>
    </rPh>
    <rPh sb="2" eb="4">
      <t>タイショク</t>
    </rPh>
    <rPh sb="4" eb="6">
      <t>ワリマシ</t>
    </rPh>
    <phoneticPr fontId="1"/>
  </si>
  <si>
    <t>第７号区分に「６０」と入力</t>
    <rPh sb="0" eb="1">
      <t>ダイ</t>
    </rPh>
    <rPh sb="2" eb="3">
      <t>ゴウ</t>
    </rPh>
    <rPh sb="3" eb="5">
      <t>クブン</t>
    </rPh>
    <phoneticPr fontId="1"/>
  </si>
  <si>
    <t>月数</t>
    <rPh sb="0" eb="2">
      <t>ツキスウ</t>
    </rPh>
    <phoneticPr fontId="1"/>
  </si>
  <si>
    <t>第２号区分</t>
    <rPh sb="0" eb="1">
      <t>ダイ</t>
    </rPh>
    <rPh sb="2" eb="3">
      <t>ゴウ</t>
    </rPh>
    <rPh sb="3" eb="5">
      <t>クブン</t>
    </rPh>
    <phoneticPr fontId="1"/>
  </si>
  <si>
    <t>第３号区分</t>
    <rPh sb="0" eb="1">
      <t>ダイ</t>
    </rPh>
    <rPh sb="2" eb="3">
      <t>ゴウ</t>
    </rPh>
    <rPh sb="3" eb="5">
      <t>クブン</t>
    </rPh>
    <phoneticPr fontId="1"/>
  </si>
  <si>
    <t>第４号区分</t>
    <rPh sb="0" eb="1">
      <t>ダイ</t>
    </rPh>
    <rPh sb="2" eb="3">
      <t>ゴウ</t>
    </rPh>
    <rPh sb="3" eb="5">
      <t>クブン</t>
    </rPh>
    <phoneticPr fontId="1"/>
  </si>
  <si>
    <t>第５号区分</t>
    <rPh sb="0" eb="1">
      <t>ダイ</t>
    </rPh>
    <rPh sb="2" eb="3">
      <t>ゴウ</t>
    </rPh>
    <rPh sb="3" eb="5">
      <t>クブン</t>
    </rPh>
    <phoneticPr fontId="1"/>
  </si>
  <si>
    <t>第６号区分</t>
    <rPh sb="0" eb="1">
      <t>ダイ</t>
    </rPh>
    <rPh sb="2" eb="3">
      <t>ゴウ</t>
    </rPh>
    <rPh sb="3" eb="5">
      <t>クブン</t>
    </rPh>
    <phoneticPr fontId="1"/>
  </si>
  <si>
    <t>第７号区分</t>
    <rPh sb="0" eb="1">
      <t>ダイ</t>
    </rPh>
    <rPh sb="2" eb="3">
      <t>ゴウ</t>
    </rPh>
    <rPh sb="3" eb="5">
      <t>クブン</t>
    </rPh>
    <phoneticPr fontId="1"/>
  </si>
  <si>
    <t>第８号区分</t>
    <rPh sb="0" eb="1">
      <t>ダイ</t>
    </rPh>
    <rPh sb="2" eb="3">
      <t>ゴウ</t>
    </rPh>
    <rPh sb="3" eb="5">
      <t>クブン</t>
    </rPh>
    <phoneticPr fontId="1"/>
  </si>
  <si>
    <t>合計</t>
    <rPh sb="0" eb="2">
      <t>ゴウケイ</t>
    </rPh>
    <phoneticPr fontId="1"/>
  </si>
  <si>
    <t>新条例等退職手当額</t>
    <rPh sb="0" eb="4">
      <t>シンジョウレイナド</t>
    </rPh>
    <rPh sb="4" eb="6">
      <t>タイショク</t>
    </rPh>
    <rPh sb="6" eb="8">
      <t>テアテ</t>
    </rPh>
    <rPh sb="8" eb="9">
      <t>ガク</t>
    </rPh>
    <phoneticPr fontId="1"/>
  </si>
  <si>
    <t>新制度切替日前日額の保障</t>
    <phoneticPr fontId="1"/>
  </si>
  <si>
    <t>年</t>
    <rPh sb="0" eb="1">
      <t>ネン</t>
    </rPh>
    <phoneticPr fontId="1"/>
  </si>
  <si>
    <t>※平成１８年３月３１日まで</t>
    <rPh sb="1" eb="3">
      <t>ヘイセイ</t>
    </rPh>
    <rPh sb="5" eb="6">
      <t>ネン</t>
    </rPh>
    <rPh sb="7" eb="8">
      <t>ガツ</t>
    </rPh>
    <rPh sb="10" eb="11">
      <t>ニチ</t>
    </rPh>
    <phoneticPr fontId="1"/>
  </si>
  <si>
    <t>※平成１８年４月１日以降</t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phoneticPr fontId="1"/>
  </si>
  <si>
    <t>６</t>
    <phoneticPr fontId="1"/>
  </si>
  <si>
    <t>小中学校教育職</t>
  </si>
  <si>
    <t>195万円以下</t>
    <rPh sb="3" eb="5">
      <t>マンエン</t>
    </rPh>
    <rPh sb="5" eb="7">
      <t>イカ</t>
    </rPh>
    <phoneticPr fontId="1"/>
  </si>
  <si>
    <t>１９５万超３３０万円以下</t>
    <rPh sb="3" eb="4">
      <t>マン</t>
    </rPh>
    <rPh sb="4" eb="5">
      <t>チョウ</t>
    </rPh>
    <rPh sb="8" eb="9">
      <t>マン</t>
    </rPh>
    <rPh sb="9" eb="10">
      <t>エン</t>
    </rPh>
    <rPh sb="10" eb="12">
      <t>イカ</t>
    </rPh>
    <phoneticPr fontId="1"/>
  </si>
  <si>
    <t>３３０万超</t>
    <rPh sb="3" eb="4">
      <t>マン</t>
    </rPh>
    <rPh sb="4" eb="5">
      <t>チョウ</t>
    </rPh>
    <phoneticPr fontId="1"/>
  </si>
  <si>
    <t>＜退職手当計算書　入力シート＞（例）</t>
    <rPh sb="1" eb="3">
      <t>タイショク</t>
    </rPh>
    <rPh sb="3" eb="5">
      <t>テアテ</t>
    </rPh>
    <rPh sb="5" eb="8">
      <t>ケイサンショ</t>
    </rPh>
    <rPh sb="9" eb="11">
      <t>ニュウリョク</t>
    </rPh>
    <rPh sb="16" eb="17">
      <t>レイ</t>
    </rPh>
    <phoneticPr fontId="1"/>
  </si>
  <si>
    <r>
      <t xml:space="preserve">  ２    休職・育児休業・組合専従期間等を入力してください。
　　　（平成４年４月１日以前の育児休業は「育児休業」を選択してください。）
　　　（</t>
    </r>
    <r>
      <rPr>
        <b/>
        <sz val="14"/>
        <color rgb="FFFF0000"/>
        <rFont val="游ゴシック"/>
        <family val="3"/>
        <charset val="128"/>
        <scheme val="minor"/>
      </rPr>
      <t>「育児休業（平成４年４月１日以降)」を選択した場合、子の生年月日を入力してください。）</t>
    </r>
    <rPh sb="7" eb="9">
      <t>キュウショク</t>
    </rPh>
    <rPh sb="10" eb="12">
      <t>イクジ</t>
    </rPh>
    <rPh sb="12" eb="14">
      <t>キュウギョウ</t>
    </rPh>
    <rPh sb="15" eb="17">
      <t>クミアイ</t>
    </rPh>
    <rPh sb="17" eb="19">
      <t>センジュウ</t>
    </rPh>
    <rPh sb="19" eb="21">
      <t>キカン</t>
    </rPh>
    <rPh sb="21" eb="22">
      <t>トウ</t>
    </rPh>
    <rPh sb="23" eb="25">
      <t>ニュウリョク</t>
    </rPh>
    <rPh sb="37" eb="39">
      <t>ヘイセイ</t>
    </rPh>
    <rPh sb="40" eb="41">
      <t>ネン</t>
    </rPh>
    <rPh sb="42" eb="43">
      <t>ガツ</t>
    </rPh>
    <rPh sb="44" eb="45">
      <t>ニチ</t>
    </rPh>
    <rPh sb="45" eb="47">
      <t>イゼン</t>
    </rPh>
    <rPh sb="48" eb="50">
      <t>イクジ</t>
    </rPh>
    <rPh sb="50" eb="52">
      <t>キュウギョウ</t>
    </rPh>
    <rPh sb="54" eb="56">
      <t>イクジ</t>
    </rPh>
    <rPh sb="56" eb="58">
      <t>キュウギョウ</t>
    </rPh>
    <rPh sb="60" eb="62">
      <t>センタク</t>
    </rPh>
    <rPh sb="76" eb="78">
      <t>イクジ</t>
    </rPh>
    <rPh sb="78" eb="80">
      <t>キュウギョウ</t>
    </rPh>
    <rPh sb="81" eb="83">
      <t>ヘイセイ</t>
    </rPh>
    <rPh sb="84" eb="85">
      <t>ネン</t>
    </rPh>
    <rPh sb="86" eb="87">
      <t>ガツ</t>
    </rPh>
    <rPh sb="88" eb="89">
      <t>ニチ</t>
    </rPh>
    <rPh sb="89" eb="91">
      <t>イコウ</t>
    </rPh>
    <rPh sb="94" eb="96">
      <t>センタク</t>
    </rPh>
    <rPh sb="98" eb="100">
      <t>バアイ</t>
    </rPh>
    <rPh sb="101" eb="102">
      <t>コ</t>
    </rPh>
    <rPh sb="103" eb="105">
      <t>セイネン</t>
    </rPh>
    <rPh sb="105" eb="107">
      <t>ガッピ</t>
    </rPh>
    <rPh sb="108" eb="110">
      <t>ニュウリョク</t>
    </rPh>
    <phoneticPr fontId="1"/>
  </si>
  <si>
    <t>※子の誕生日を入力しないと正しく計算されません</t>
    <rPh sb="1" eb="2">
      <t>コ</t>
    </rPh>
    <rPh sb="3" eb="6">
      <t>タンジョウビ</t>
    </rPh>
    <rPh sb="7" eb="9">
      <t>ニュウリョク</t>
    </rPh>
    <rPh sb="13" eb="14">
      <t>タダ</t>
    </rPh>
    <rPh sb="16" eb="18">
      <t>ケイサン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</si>
  <si>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</si>
  <si>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</si>
  <si>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</si>
  <si>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</si>
  <si>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</si>
  <si>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※調整額が分からない場合の入力方法　　下記のとおり入力してください。</t>
    <rPh sb="1" eb="4">
      <t>チョウセイガク</t>
    </rPh>
    <rPh sb="5" eb="6">
      <t>ワ</t>
    </rPh>
    <rPh sb="10" eb="12">
      <t>バアイ</t>
    </rPh>
    <rPh sb="13" eb="15">
      <t>ニュウリョク</t>
    </rPh>
    <rPh sb="15" eb="17">
      <t>ホウホウ</t>
    </rPh>
    <rPh sb="19" eb="21">
      <t>カキ</t>
    </rPh>
    <rPh sb="25" eb="27">
      <t>ニュウリョク</t>
    </rPh>
    <phoneticPr fontId="27"/>
  </si>
  <si>
    <t>退  職  手  当  試  算　書</t>
    <rPh sb="0" eb="1">
      <t>タイ</t>
    </rPh>
    <rPh sb="3" eb="4">
      <t>ショク</t>
    </rPh>
    <rPh sb="6" eb="7">
      <t>テ</t>
    </rPh>
    <rPh sb="9" eb="10">
      <t>トウ</t>
    </rPh>
    <rPh sb="12" eb="13">
      <t>タメシ</t>
    </rPh>
    <rPh sb="15" eb="16">
      <t>サン</t>
    </rPh>
    <rPh sb="17" eb="18">
      <t>ショ</t>
    </rPh>
    <phoneticPr fontId="1"/>
  </si>
  <si>
    <t>＜退職手当計算書　入力シート＞　　</t>
    <rPh sb="1" eb="3">
      <t>タイショク</t>
    </rPh>
    <rPh sb="3" eb="5">
      <t>テアテ</t>
    </rPh>
    <rPh sb="5" eb="8">
      <t>ケイサンショ</t>
    </rPh>
    <rPh sb="9" eb="11">
      <t>ニュウリョク</t>
    </rPh>
    <phoneticPr fontId="1"/>
  </si>
  <si>
    <t>　※この計算書は概算です。
　</t>
    <phoneticPr fontId="1"/>
  </si>
  <si>
    <t>＜退職手当計算書　使用上の注意＞</t>
    <rPh sb="1" eb="3">
      <t>タイショク</t>
    </rPh>
    <rPh sb="3" eb="5">
      <t>テアテ</t>
    </rPh>
    <rPh sb="5" eb="8">
      <t>ケイサンショ</t>
    </rPh>
    <rPh sb="9" eb="12">
      <t>シヨウジョウ</t>
    </rPh>
    <rPh sb="13" eb="15">
      <t>チュウイ</t>
    </rPh>
    <phoneticPr fontId="1"/>
  </si>
  <si>
    <t>注意</t>
    <rPh sb="0" eb="2">
      <t>チュウイ</t>
    </rPh>
    <phoneticPr fontId="1"/>
  </si>
  <si>
    <t>○</t>
    <phoneticPr fontId="1"/>
  </si>
  <si>
    <t>【使用方法の手順】</t>
    <rPh sb="1" eb="3">
      <t>シヨウ</t>
    </rPh>
    <rPh sb="3" eb="5">
      <t>ホウホウ</t>
    </rPh>
    <rPh sb="6" eb="8">
      <t>テジュン</t>
    </rPh>
    <phoneticPr fontId="1"/>
  </si>
  <si>
    <t>必要事項を手入力してください</t>
    <rPh sb="0" eb="2">
      <t>ヒツヨウ</t>
    </rPh>
    <rPh sb="2" eb="4">
      <t>ジコウ</t>
    </rPh>
    <rPh sb="5" eb="6">
      <t>テ</t>
    </rPh>
    <rPh sb="6" eb="8">
      <t>ニュウリョク</t>
    </rPh>
    <phoneticPr fontId="1"/>
  </si>
  <si>
    <t>リストから該当する項目を選択してください</t>
    <rPh sb="5" eb="7">
      <t>ガイトウ</t>
    </rPh>
    <rPh sb="9" eb="11">
      <t>コウモク</t>
    </rPh>
    <rPh sb="12" eb="14">
      <t>センタク</t>
    </rPh>
    <phoneticPr fontId="1"/>
  </si>
  <si>
    <t>入力不要です。操作しないでください（自動計算）</t>
    <rPh sb="0" eb="2">
      <t>ニュウリョク</t>
    </rPh>
    <rPh sb="2" eb="4">
      <t>フヨウ</t>
    </rPh>
    <rPh sb="7" eb="9">
      <t>ソウサ</t>
    </rPh>
    <rPh sb="18" eb="20">
      <t>ジドウ</t>
    </rPh>
    <rPh sb="20" eb="22">
      <t>ケイサン</t>
    </rPh>
    <phoneticPr fontId="1"/>
  </si>
  <si>
    <t>②   休職・育児休業・組合専従期間等を入力してください。</t>
    <phoneticPr fontId="1"/>
  </si>
  <si>
    <t>③    勤続期間の確認（入力等不要）してください。</t>
    <phoneticPr fontId="1"/>
  </si>
  <si>
    <t xml:space="preserve">  ※    共通項目　以下のようになっています。入力例を見ながら入力シートに入力等します。</t>
    <rPh sb="7" eb="9">
      <t>キョウツウ</t>
    </rPh>
    <rPh sb="9" eb="11">
      <t>コウモク</t>
    </rPh>
    <rPh sb="12" eb="14">
      <t>イカ</t>
    </rPh>
    <rPh sb="25" eb="28">
      <t>ニュウリョクレイ</t>
    </rPh>
    <rPh sb="29" eb="30">
      <t>ミ</t>
    </rPh>
    <rPh sb="33" eb="35">
      <t>ニュウリョク</t>
    </rPh>
    <rPh sb="39" eb="41">
      <t>ニュウリョク</t>
    </rPh>
    <rPh sb="41" eb="42">
      <t>トウ</t>
    </rPh>
    <phoneticPr fontId="1"/>
  </si>
  <si>
    <t>④    退職時の給料を入力してください。（給与明細をご覧になって入力してください）</t>
    <phoneticPr fontId="1"/>
  </si>
  <si>
    <t>⑦    印刷シートから印刷する。</t>
    <rPh sb="5" eb="7">
      <t>インサツ</t>
    </rPh>
    <rPh sb="12" eb="14">
      <t>インサツ</t>
    </rPh>
    <phoneticPr fontId="1"/>
  </si>
  <si>
    <t>定年退職</t>
    <rPh sb="0" eb="2">
      <t>テイネン</t>
    </rPh>
    <rPh sb="2" eb="4">
      <t>タイショク</t>
    </rPh>
    <phoneticPr fontId="5"/>
  </si>
  <si>
    <t>勧奨退職</t>
    <rPh sb="0" eb="2">
      <t>カンショウ</t>
    </rPh>
    <rPh sb="2" eb="4">
      <t>タイショク</t>
    </rPh>
    <phoneticPr fontId="5"/>
  </si>
  <si>
    <t>任期終了</t>
    <rPh sb="0" eb="2">
      <t>ニンキ</t>
    </rPh>
    <rPh sb="2" eb="4">
      <t>シュウリョウ</t>
    </rPh>
    <phoneticPr fontId="5"/>
  </si>
  <si>
    <t>自己都合等</t>
    <rPh sb="0" eb="2">
      <t>ジコ</t>
    </rPh>
    <rPh sb="2" eb="4">
      <t>ツゴウ</t>
    </rPh>
    <rPh sb="4" eb="5">
      <t>トウ</t>
    </rPh>
    <phoneticPr fontId="5"/>
  </si>
  <si>
    <t>公務外傷病</t>
    <rPh sb="0" eb="2">
      <t>コウム</t>
    </rPh>
    <rPh sb="2" eb="3">
      <t>ガイ</t>
    </rPh>
    <rPh sb="3" eb="5">
      <t>ショウビョウ</t>
    </rPh>
    <phoneticPr fontId="5"/>
  </si>
  <si>
    <t>公務外死亡</t>
    <rPh sb="0" eb="2">
      <t>コウム</t>
    </rPh>
    <rPh sb="2" eb="3">
      <t>ガイ</t>
    </rPh>
    <rPh sb="3" eb="5">
      <t>シボウ</t>
    </rPh>
    <phoneticPr fontId="5"/>
  </si>
  <si>
    <t>整理、公務上傷病、公務上死亡</t>
    <rPh sb="0" eb="2">
      <t>セイリ</t>
    </rPh>
    <rPh sb="3" eb="6">
      <t>コウムジョウ</t>
    </rPh>
    <rPh sb="6" eb="8">
      <t>ショウビョウ</t>
    </rPh>
    <rPh sb="9" eb="12">
      <t>コウムジョウ</t>
    </rPh>
    <rPh sb="12" eb="14">
      <t>シボウ</t>
    </rPh>
    <phoneticPr fontId="5"/>
  </si>
  <si>
    <t>子の生年月日を入力</t>
    <phoneticPr fontId="1"/>
  </si>
  <si>
    <t>円　　</t>
    <rPh sb="0" eb="1">
      <t>エン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</si>
  <si>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臨時的任用職員・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Ph sb="0" eb="2">
      <t>リンジ</t>
    </rPh>
    <rPh sb="2" eb="3">
      <t>テキ</t>
    </rPh>
    <rPh sb="3" eb="5">
      <t>ニンヨウ</t>
    </rPh>
    <rPh sb="5" eb="7">
      <t>ショクイン</t>
    </rPh>
    <phoneticPr fontId="1"/>
  </si>
  <si>
    <t>該当しないため入力不要</t>
    <rPh sb="0" eb="2">
      <t>ガイトウ</t>
    </rPh>
    <rPh sb="7" eb="9">
      <t>ニュウリョク</t>
    </rPh>
    <rPh sb="9" eb="11">
      <t>フヨウ</t>
    </rPh>
    <phoneticPr fontId="1"/>
  </si>
  <si>
    <t>養護教諭</t>
    <rPh sb="0" eb="2">
      <t>ヨウゴ</t>
    </rPh>
    <rPh sb="2" eb="4">
      <t>キョウユ</t>
    </rPh>
    <phoneticPr fontId="1"/>
  </si>
  <si>
    <t>入力時点の退職手当額の概算になります。支払額を保証するものではありません。</t>
    <rPh sb="0" eb="2">
      <t>ニュウリョク</t>
    </rPh>
    <rPh sb="2" eb="4">
      <t>ジテン</t>
    </rPh>
    <rPh sb="5" eb="7">
      <t>タイショク</t>
    </rPh>
    <rPh sb="7" eb="9">
      <t>テアテ</t>
    </rPh>
    <rPh sb="9" eb="10">
      <t>ガク</t>
    </rPh>
    <rPh sb="11" eb="13">
      <t>ガイサン</t>
    </rPh>
    <rPh sb="19" eb="21">
      <t>シハラ</t>
    </rPh>
    <rPh sb="21" eb="22">
      <t>ガク</t>
    </rPh>
    <rPh sb="23" eb="25">
      <t>ホショウ</t>
    </rPh>
    <phoneticPr fontId="1"/>
  </si>
  <si>
    <t>退職時までに条例改正や給与改定などがある場合、今回の試算額が変更となる場合があります。</t>
    <rPh sb="0" eb="3">
      <t>タイショクジ</t>
    </rPh>
    <rPh sb="6" eb="8">
      <t>ジョウレイ</t>
    </rPh>
    <rPh sb="8" eb="10">
      <t>カイセイ</t>
    </rPh>
    <rPh sb="11" eb="13">
      <t>キュウヨ</t>
    </rPh>
    <rPh sb="13" eb="15">
      <t>カイテイ</t>
    </rPh>
    <rPh sb="20" eb="22">
      <t>バアイ</t>
    </rPh>
    <rPh sb="23" eb="25">
      <t>コンカイ</t>
    </rPh>
    <rPh sb="26" eb="29">
      <t>シサンガク</t>
    </rPh>
    <rPh sb="30" eb="32">
      <t>ヘンコウ</t>
    </rPh>
    <rPh sb="35" eb="37">
      <t>バアイ</t>
    </rPh>
    <phoneticPr fontId="1"/>
  </si>
  <si>
    <t>　　○育児休業と育児休業（平成４年４月１日以降）の２つの選択肢がありますので注意してください。</t>
    <rPh sb="3" eb="5">
      <t>イクジ</t>
    </rPh>
    <rPh sb="5" eb="7">
      <t>キュウギョウ</t>
    </rPh>
    <rPh sb="8" eb="10">
      <t>イクジ</t>
    </rPh>
    <rPh sb="10" eb="12">
      <t>キュウギョウ</t>
    </rPh>
    <rPh sb="13" eb="15">
      <t>ヘイセイ</t>
    </rPh>
    <rPh sb="16" eb="17">
      <t>ネン</t>
    </rPh>
    <rPh sb="18" eb="19">
      <t>ガツ</t>
    </rPh>
    <rPh sb="20" eb="21">
      <t>ニチ</t>
    </rPh>
    <rPh sb="21" eb="23">
      <t>イコウ</t>
    </rPh>
    <rPh sb="28" eb="31">
      <t>センタクシ</t>
    </rPh>
    <rPh sb="38" eb="40">
      <t>チュウイ</t>
    </rPh>
    <phoneticPr fontId="1"/>
  </si>
  <si>
    <t>　　　：平成４年４月１日以前の育児休業は「育児休業」を選択してください。</t>
    <phoneticPr fontId="1"/>
  </si>
  <si>
    <t>　　　：「育児休業（平成４年４月１日以降)」を選択した場合、子の生年月日を入力してください。</t>
    <phoneticPr fontId="1"/>
  </si>
  <si>
    <t>　　　：平成４年４月１日をまたいだ期間は、育児休業（平成４年４月１日以降）以降)」を選択してください。</t>
    <rPh sb="17" eb="19">
      <t>キカン</t>
    </rPh>
    <rPh sb="42" eb="44">
      <t>センタク</t>
    </rPh>
    <phoneticPr fontId="1"/>
  </si>
  <si>
    <t>　 校長職・・</t>
    <rPh sb="2" eb="4">
      <t>コウチョウ</t>
    </rPh>
    <rPh sb="4" eb="5">
      <t>ショク</t>
    </rPh>
    <phoneticPr fontId="1"/>
  </si>
  <si>
    <t>　 教頭職・・</t>
    <rPh sb="2" eb="4">
      <t>キョウトウ</t>
    </rPh>
    <rPh sb="4" eb="5">
      <t>ショク</t>
    </rPh>
    <phoneticPr fontId="1"/>
  </si>
  <si>
    <t>⑤    平成１８年３月３１日現在の発令号給を入力してください。
　　（事務担当者から人事記録を出力してもらい、確認して入力してください。）</t>
    <phoneticPr fontId="1"/>
  </si>
  <si>
    <t>⑥    調整額を算出するため，月数を入力してください。
　　（不明な場合は下記の表などをご覧になって入力してください）</t>
    <phoneticPr fontId="1"/>
  </si>
  <si>
    <t>　 教諭職・・
(経験年数24年以上）</t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イジョウ</t>
    </rPh>
    <phoneticPr fontId="1"/>
  </si>
  <si>
    <t>　 教諭職・・
(経験年数24年未満）</t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ミマン</t>
    </rPh>
    <phoneticPr fontId="1"/>
  </si>
  <si>
    <r>
      <t xml:space="preserve">   5    平成１８年３月３１日現在の発令号給を入力してください。
</t>
    </r>
    <r>
      <rPr>
        <b/>
        <sz val="14"/>
        <color rgb="FFFF0000"/>
        <rFont val="游ゴシック"/>
        <family val="3"/>
        <charset val="128"/>
        <scheme val="minor"/>
      </rPr>
      <t>　　</t>
    </r>
    <r>
      <rPr>
        <b/>
        <u/>
        <sz val="14"/>
        <color rgb="FFFF0000"/>
        <rFont val="游ゴシック"/>
        <family val="3"/>
        <charset val="128"/>
        <scheme val="minor"/>
      </rPr>
      <t>（事務担当者から人事記録を出力してもらい、人事記録をご覧になって入力してください）</t>
    </r>
    <rPh sb="59" eb="61">
      <t>ジンジ</t>
    </rPh>
    <rPh sb="61" eb="63">
      <t>キロク</t>
    </rPh>
    <rPh sb="65" eb="66">
      <t>ラン</t>
    </rPh>
    <rPh sb="70" eb="72">
      <t>ニュウリョク</t>
    </rPh>
    <phoneticPr fontId="1"/>
  </si>
  <si>
    <r>
      <t xml:space="preserve">   6    調整額を算出するため，月数を入力してください。</t>
    </r>
    <r>
      <rPr>
        <b/>
        <sz val="10"/>
        <color rgb="FFFF0000"/>
        <rFont val="游ゴシック"/>
        <family val="3"/>
        <charset val="128"/>
        <scheme val="minor"/>
      </rPr>
      <t>（不明な場合は下記の表ををご覧になって入力してください）</t>
    </r>
    <rPh sb="32" eb="34">
      <t>フメイ</t>
    </rPh>
    <rPh sb="35" eb="37">
      <t>バアイ</t>
    </rPh>
    <rPh sb="38" eb="40">
      <t>カキ</t>
    </rPh>
    <rPh sb="41" eb="42">
      <t>ヒョウ</t>
    </rPh>
    <rPh sb="45" eb="46">
      <t>ラン</t>
    </rPh>
    <rPh sb="50" eb="52">
      <t>ニュウリョク</t>
    </rPh>
    <phoneticPr fontId="1"/>
  </si>
  <si>
    <t>課税退職所得金額</t>
    <rPh sb="0" eb="2">
      <t>カゼイ</t>
    </rPh>
    <rPh sb="2" eb="4">
      <t>タイショク</t>
    </rPh>
    <rPh sb="4" eb="6">
      <t>ショトク</t>
    </rPh>
    <rPh sb="6" eb="8">
      <t>キンガク</t>
    </rPh>
    <phoneticPr fontId="1"/>
  </si>
  <si>
    <t>定年延長前退職日</t>
    <rPh sb="0" eb="2">
      <t>テイネン</t>
    </rPh>
    <rPh sb="2" eb="4">
      <t>エンチョウ</t>
    </rPh>
    <rPh sb="4" eb="5">
      <t>マエ</t>
    </rPh>
    <rPh sb="5" eb="7">
      <t>タイショク</t>
    </rPh>
    <rPh sb="7" eb="8">
      <t>ビ</t>
    </rPh>
    <phoneticPr fontId="1"/>
  </si>
  <si>
    <t>※６０歳の年度末（労務職は６３歳）</t>
    <rPh sb="3" eb="4">
      <t>サイ</t>
    </rPh>
    <rPh sb="5" eb="8">
      <t>ネンドマツ</t>
    </rPh>
    <rPh sb="9" eb="11">
      <t>ロウム</t>
    </rPh>
    <rPh sb="11" eb="12">
      <t>ショク</t>
    </rPh>
    <rPh sb="15" eb="16">
      <t>サイ</t>
    </rPh>
    <phoneticPr fontId="1"/>
  </si>
  <si>
    <t xml:space="preserve">   4    現時点の給料を入力してください。（定年引上げに伴う給料７割に減額される前の給料月額）</t>
    <rPh sb="8" eb="11">
      <t>ゲンジテン</t>
    </rPh>
    <rPh sb="25" eb="27">
      <t>テイネン</t>
    </rPh>
    <rPh sb="27" eb="28">
      <t>ヒ</t>
    </rPh>
    <rPh sb="28" eb="29">
      <t>ア</t>
    </rPh>
    <rPh sb="31" eb="32">
      <t>トモナ</t>
    </rPh>
    <rPh sb="33" eb="35">
      <t>キュウリョウ</t>
    </rPh>
    <rPh sb="36" eb="37">
      <t>ワリ</t>
    </rPh>
    <rPh sb="38" eb="40">
      <t>ゲンガク</t>
    </rPh>
    <rPh sb="43" eb="44">
      <t>マエ</t>
    </rPh>
    <rPh sb="45" eb="47">
      <t>キュウリョウ</t>
    </rPh>
    <rPh sb="47" eb="49">
      <t>ゲツガク</t>
    </rPh>
    <phoneticPr fontId="1"/>
  </si>
  <si>
    <r>
      <t xml:space="preserve">   4    現時点の給料を入力してください。</t>
    </r>
    <r>
      <rPr>
        <b/>
        <sz val="14"/>
        <color rgb="FFFF0000"/>
        <rFont val="游ゴシック"/>
        <family val="3"/>
        <charset val="128"/>
        <scheme val="minor"/>
      </rPr>
      <t>（定年引上げに伴う給料７割に減額される前の給料月額）</t>
    </r>
    <rPh sb="8" eb="11">
      <t>ゲンジテン</t>
    </rPh>
    <rPh sb="25" eb="27">
      <t>テイネン</t>
    </rPh>
    <rPh sb="27" eb="28">
      <t>ヒ</t>
    </rPh>
    <rPh sb="28" eb="29">
      <t>ア</t>
    </rPh>
    <rPh sb="31" eb="32">
      <t>トモナ</t>
    </rPh>
    <rPh sb="33" eb="35">
      <t>キュウリョウ</t>
    </rPh>
    <rPh sb="36" eb="37">
      <t>ワリ</t>
    </rPh>
    <rPh sb="38" eb="40">
      <t>ゲンガク</t>
    </rPh>
    <rPh sb="43" eb="44">
      <t>マエ</t>
    </rPh>
    <rPh sb="45" eb="47">
      <t>キュウリョウ</t>
    </rPh>
    <rPh sb="47" eb="49">
      <t>ゲツガク</t>
    </rPh>
    <phoneticPr fontId="1"/>
  </si>
  <si>
    <t>定年引上後の基礎給料月額</t>
    <rPh sb="0" eb="3">
      <t>テイネンヒ</t>
    </rPh>
    <rPh sb="3" eb="4">
      <t>ア</t>
    </rPh>
    <rPh sb="4" eb="5">
      <t>ゴ</t>
    </rPh>
    <rPh sb="6" eb="8">
      <t>キソ</t>
    </rPh>
    <rPh sb="8" eb="10">
      <t>キュウリョウ</t>
    </rPh>
    <rPh sb="10" eb="12">
      <t>ゲツガク</t>
    </rPh>
    <phoneticPr fontId="1"/>
  </si>
  <si>
    <t>旧定年在職期間</t>
    <rPh sb="0" eb="1">
      <t>キュウ</t>
    </rPh>
    <rPh sb="1" eb="3">
      <t>テイネン</t>
    </rPh>
    <rPh sb="3" eb="5">
      <t>ザイショク</t>
    </rPh>
    <rPh sb="5" eb="7">
      <t>キカン</t>
    </rPh>
    <phoneticPr fontId="1"/>
  </si>
  <si>
    <t>旧定年算定基礎（年）</t>
    <rPh sb="0" eb="1">
      <t>キュウ</t>
    </rPh>
    <rPh sb="1" eb="3">
      <t>テイネン</t>
    </rPh>
    <rPh sb="3" eb="5">
      <t>サンテイ</t>
    </rPh>
    <rPh sb="5" eb="7">
      <t>キソ</t>
    </rPh>
    <rPh sb="8" eb="9">
      <t>ネン</t>
    </rPh>
    <phoneticPr fontId="1"/>
  </si>
  <si>
    <t>旧定年勤続期間</t>
    <rPh sb="0" eb="1">
      <t>キュウ</t>
    </rPh>
    <rPh sb="1" eb="3">
      <t>テイネン</t>
    </rPh>
    <rPh sb="3" eb="5">
      <t>キンゾク</t>
    </rPh>
    <rPh sb="5" eb="7">
      <t>キカン</t>
    </rPh>
    <phoneticPr fontId="1"/>
  </si>
  <si>
    <t>旧定年算定基礎</t>
    <rPh sb="0" eb="1">
      <t>キュウ</t>
    </rPh>
    <rPh sb="1" eb="3">
      <t>テイネン</t>
    </rPh>
    <rPh sb="3" eb="5">
      <t>サンテイ</t>
    </rPh>
    <rPh sb="5" eb="7">
      <t>キソ</t>
    </rPh>
    <phoneticPr fontId="1"/>
  </si>
  <si>
    <t>旧定年給料月額</t>
    <rPh sb="0" eb="1">
      <t>キュウ</t>
    </rPh>
    <rPh sb="1" eb="3">
      <t>テイネン</t>
    </rPh>
    <rPh sb="3" eb="5">
      <t>キュウリョウ</t>
    </rPh>
    <rPh sb="5" eb="7">
      <t>ゲツガク</t>
    </rPh>
    <phoneticPr fontId="1"/>
  </si>
  <si>
    <t>旧定年支給率</t>
    <rPh sb="0" eb="1">
      <t>キュウ</t>
    </rPh>
    <rPh sb="1" eb="3">
      <t>テイネン</t>
    </rPh>
    <rPh sb="3" eb="6">
      <t>シキュウリツ</t>
    </rPh>
    <phoneticPr fontId="1"/>
  </si>
  <si>
    <t>×　　（</t>
    <phoneticPr fontId="1"/>
  </si>
  <si>
    <t>－</t>
    <phoneticPr fontId="1"/>
  </si>
  <si>
    <t>）＋</t>
    <phoneticPr fontId="1"/>
  </si>
  <si>
    <t>※定年延長を希望しない場合、上と同日</t>
    <rPh sb="1" eb="3">
      <t>テイネン</t>
    </rPh>
    <rPh sb="3" eb="5">
      <t>エンチョウ</t>
    </rPh>
    <rPh sb="6" eb="8">
      <t>キボウ</t>
    </rPh>
    <rPh sb="11" eb="13">
      <t>バアイ</t>
    </rPh>
    <rPh sb="14" eb="15">
      <t>ウエ</t>
    </rPh>
    <rPh sb="16" eb="18">
      <t>ドウジツ</t>
    </rPh>
    <phoneticPr fontId="1"/>
  </si>
  <si>
    <t>教諭</t>
  </si>
  <si>
    <r>
      <t>①　職員番号・氏名等基本情報を入力・選択してください。</t>
    </r>
    <r>
      <rPr>
        <b/>
        <sz val="10"/>
        <color theme="1"/>
        <rFont val="游ゴシック"/>
        <family val="3"/>
        <charset val="128"/>
        <scheme val="minor"/>
      </rPr>
      <t>(職名において栄養教諭や実習教諭等は教諭を選択）</t>
    </r>
    <rPh sb="28" eb="30">
      <t>ショクメイ</t>
    </rPh>
    <rPh sb="34" eb="36">
      <t>エイヨウ</t>
    </rPh>
    <rPh sb="36" eb="38">
      <t>キョウユ</t>
    </rPh>
    <rPh sb="39" eb="41">
      <t>ジッシュウ</t>
    </rPh>
    <rPh sb="41" eb="43">
      <t>キョウユ</t>
    </rPh>
    <rPh sb="43" eb="44">
      <t>トウ</t>
    </rPh>
    <rPh sb="45" eb="47">
      <t>キョウユ</t>
    </rPh>
    <rPh sb="48" eb="50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</si>
</sst>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e&quot;年&quot;m&quot;月&quot;d&quot;日&quot;;@"/>
    <numFmt numFmtId="177" formatCode="0.000000"/>
    <numFmt numFmtId="178" formatCode="0_);[Red]\(0\)"/>
    <numFmt numFmtId="179" formatCode="#,##0_ "/>
    <numFmt numFmtId="180" formatCode="0.00_ ;[Red]\-0.00\ "/>
    <numFmt numFmtId="181" formatCode="0_ ;[Red]\-0\ "/>
    <numFmt numFmtId="182" formatCode="[$-411]ge\.m\.d;@"/>
    <numFmt numFmtId="183" formatCode="0.00_ "/>
    <numFmt numFmtId="184" formatCode="0.000%"/>
    <numFmt numFmtId="185" formatCode="ggge&quot;年&quot;m&quot;月&quot;d&quot;日&quot;;;&quot;&quot;"/>
  </numFmts>
  <fonts count="5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ＤＦ平成明朝体W7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ＤＨＰ平成ゴシックW5"/>
      <family val="3"/>
      <charset val="128"/>
    </font>
    <font>
      <sz val="10"/>
      <name val="ＤＨＰ平成ゴシックW5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3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theme="1"/>
      <name val="HG丸ｺﾞｼｯｸM-PRO"/>
      <family val="3"/>
      <charset val="128"/>
    </font>
    <font>
      <sz val="24"/>
      <color theme="1"/>
      <name val="ＤＦ平成明朝体W7"/>
      <family val="1"/>
      <charset val="128"/>
    </font>
    <font>
      <sz val="2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rgb="FFFF0000"/>
      <name val="游ゴシック"/>
      <family val="3"/>
      <charset val="128"/>
      <scheme val="minor"/>
    </font>
    <font>
      <b/>
      <u/>
      <sz val="10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0"/>
      <color rgb="FFFF0000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rgb="FFFF0000"/>
      </left>
      <right/>
      <top style="double">
        <color rgb="FFFF0000"/>
      </top>
      <bottom/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38" fontId="8" fillId="0" borderId="0" applyFont="0" applyFill="0" applyBorder="0" applyAlignment="0" applyProtection="0">
      <alignment vertical="center"/>
    </xf>
  </cellStyleXfs>
  <cellXfs count="5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textRotation="255"/>
    </xf>
    <xf numFmtId="0" fontId="4" fillId="0" borderId="0" xfId="2" applyNumberFormat="1" applyFont="1" applyBorder="1" applyAlignment="1">
      <alignment vertical="center" readingOrder="1"/>
    </xf>
    <xf numFmtId="0" fontId="4" fillId="0" borderId="0" xfId="2" applyNumberFormat="1" applyFont="1" applyFill="1" applyBorder="1" applyAlignment="1">
      <alignment vertical="center" readingOrder="1"/>
    </xf>
    <xf numFmtId="0" fontId="4" fillId="0" borderId="0" xfId="3" applyNumberFormat="1" applyFont="1" applyFill="1" applyBorder="1" applyAlignment="1">
      <alignment vertical="center" readingOrder="1"/>
    </xf>
    <xf numFmtId="0" fontId="4" fillId="0" borderId="0" xfId="2" applyNumberFormat="1" applyFont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3" applyNumberFormat="1" applyFont="1" applyBorder="1" applyAlignment="1">
      <alignment vertical="center" shrinkToFit="1"/>
    </xf>
    <xf numFmtId="0" fontId="4" fillId="0" borderId="0" xfId="3" applyNumberFormat="1" applyFont="1" applyFill="1" applyBorder="1" applyAlignment="1">
      <alignment vertical="center" shrinkToFit="1"/>
    </xf>
    <xf numFmtId="0" fontId="4" fillId="0" borderId="0" xfId="3" applyNumberFormat="1" applyFont="1" applyBorder="1" applyAlignment="1">
      <alignment vertical="center"/>
    </xf>
    <xf numFmtId="0" fontId="4" fillId="0" borderId="0" xfId="3" applyNumberFormat="1" applyFont="1" applyFill="1" applyBorder="1" applyAlignment="1">
      <alignment vertical="center"/>
    </xf>
    <xf numFmtId="0" fontId="6" fillId="0" borderId="0" xfId="3" applyNumberFormat="1" applyFont="1" applyBorder="1" applyAlignment="1">
      <alignment vertical="center"/>
    </xf>
    <xf numFmtId="0" fontId="4" fillId="0" borderId="0" xfId="3" applyNumberFormat="1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NumberFormat="1" applyFont="1" applyBorder="1" applyAlignment="1">
      <alignment vertical="center" readingOrder="1"/>
    </xf>
    <xf numFmtId="14" fontId="0" fillId="0" borderId="0" xfId="0" applyNumberFormat="1">
      <alignment vertical="center"/>
    </xf>
    <xf numFmtId="178" fontId="9" fillId="0" borderId="0" xfId="0" applyNumberFormat="1" applyFont="1" applyBorder="1" applyAlignment="1">
      <alignment horizontal="left" vertical="center"/>
    </xf>
    <xf numFmtId="178" fontId="10" fillId="0" borderId="0" xfId="2" applyNumberFormat="1" applyFont="1" applyBorder="1" applyAlignment="1">
      <alignment horizontal="left" vertical="center"/>
    </xf>
    <xf numFmtId="178" fontId="10" fillId="0" borderId="0" xfId="2" applyNumberFormat="1" applyFont="1" applyFill="1" applyBorder="1" applyAlignment="1">
      <alignment horizontal="left" vertical="center"/>
    </xf>
    <xf numFmtId="178" fontId="10" fillId="0" borderId="0" xfId="3" applyNumberFormat="1" applyFont="1" applyFill="1" applyBorder="1" applyAlignment="1">
      <alignment horizontal="left" vertical="center"/>
    </xf>
    <xf numFmtId="178" fontId="10" fillId="0" borderId="0" xfId="3" applyNumberFormat="1" applyFont="1" applyBorder="1" applyAlignment="1">
      <alignment horizontal="left" vertical="center" shrinkToFit="1"/>
    </xf>
    <xf numFmtId="178" fontId="10" fillId="0" borderId="0" xfId="3" applyNumberFormat="1" applyFont="1" applyFill="1" applyBorder="1" applyAlignment="1">
      <alignment horizontal="left" vertical="center" shrinkToFit="1"/>
    </xf>
    <xf numFmtId="178" fontId="10" fillId="0" borderId="0" xfId="3" applyNumberFormat="1" applyFont="1" applyBorder="1" applyAlignment="1">
      <alignment horizontal="left" vertical="center"/>
    </xf>
    <xf numFmtId="178" fontId="10" fillId="0" borderId="0" xfId="3" quotePrefix="1" applyNumberFormat="1" applyFont="1" applyBorder="1" applyAlignment="1">
      <alignment horizontal="left" vertical="center"/>
    </xf>
    <xf numFmtId="0" fontId="0" fillId="2" borderId="27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58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8" fontId="17" fillId="0" borderId="0" xfId="4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Border="1">
      <alignment vertical="center"/>
    </xf>
    <xf numFmtId="0" fontId="15" fillId="0" borderId="0" xfId="0" applyFont="1">
      <alignment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0" fillId="0" borderId="0" xfId="0" applyFill="1" applyBorder="1">
      <alignment vertical="center"/>
    </xf>
    <xf numFmtId="0" fontId="15" fillId="4" borderId="38" xfId="0" applyFont="1" applyFill="1" applyBorder="1" applyAlignment="1">
      <alignment horizontal="center" vertical="center"/>
    </xf>
    <xf numFmtId="0" fontId="0" fillId="3" borderId="42" xfId="0" applyFill="1" applyBorder="1">
      <alignment vertical="center"/>
    </xf>
    <xf numFmtId="176" fontId="16" fillId="5" borderId="27" xfId="0" applyNumberFormat="1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 vertical="center" shrinkToFit="1"/>
    </xf>
    <xf numFmtId="176" fontId="0" fillId="0" borderId="0" xfId="0" applyNumberForma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center" vertical="center" shrinkToFit="1"/>
    </xf>
    <xf numFmtId="0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>
      <alignment horizontal="right" vertical="center"/>
    </xf>
    <xf numFmtId="176" fontId="13" fillId="5" borderId="39" xfId="0" applyNumberFormat="1" applyFont="1" applyFill="1" applyBorder="1" applyAlignment="1" applyProtection="1">
      <alignment horizontal="center" vertical="center"/>
      <protection hidden="1"/>
    </xf>
    <xf numFmtId="0" fontId="11" fillId="0" borderId="4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3" fillId="0" borderId="0" xfId="0" applyFont="1" applyFill="1" applyAlignment="1">
      <alignment horizontal="left" vertical="center" shrinkToFit="1"/>
    </xf>
    <xf numFmtId="0" fontId="0" fillId="0" borderId="0" xfId="0" applyFill="1" applyBorder="1" applyAlignment="1">
      <alignment horizontal="center" vertical="center" shrinkToFit="1"/>
    </xf>
    <xf numFmtId="0" fontId="25" fillId="0" borderId="0" xfId="0" applyFont="1" applyProtection="1">
      <alignment vertical="center"/>
      <protection hidden="1"/>
    </xf>
    <xf numFmtId="0" fontId="25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0" fontId="0" fillId="0" borderId="0" xfId="0" applyFont="1">
      <alignment vertical="center"/>
    </xf>
    <xf numFmtId="0" fontId="29" fillId="0" borderId="0" xfId="0" applyFont="1">
      <alignment vertical="center"/>
    </xf>
    <xf numFmtId="0" fontId="25" fillId="0" borderId="0" xfId="0" applyFont="1" applyFill="1" applyBorder="1" applyProtection="1">
      <alignment vertical="center"/>
      <protection hidden="1"/>
    </xf>
    <xf numFmtId="0" fontId="30" fillId="0" borderId="0" xfId="0" applyFont="1" applyFill="1" applyBorder="1" applyProtection="1">
      <alignment vertical="center"/>
      <protection hidden="1"/>
    </xf>
    <xf numFmtId="0" fontId="31" fillId="0" borderId="0" xfId="0" applyFont="1" applyFill="1" applyBorder="1" applyProtection="1">
      <alignment vertical="center"/>
      <protection hidden="1"/>
    </xf>
    <xf numFmtId="0" fontId="32" fillId="0" borderId="0" xfId="0" applyFont="1" applyFill="1" applyBorder="1" applyProtection="1">
      <alignment vertical="center"/>
      <protection hidden="1"/>
    </xf>
    <xf numFmtId="0" fontId="28" fillId="0" borderId="0" xfId="0" applyFont="1" applyFill="1" applyBorder="1" applyProtection="1">
      <alignment vertical="center"/>
      <protection hidden="1"/>
    </xf>
    <xf numFmtId="0" fontId="26" fillId="0" borderId="0" xfId="0" applyFont="1" applyFill="1" applyBorder="1" applyProtection="1">
      <alignment vertical="center"/>
      <protection hidden="1"/>
    </xf>
    <xf numFmtId="0" fontId="24" fillId="0" borderId="45" xfId="0" applyFont="1" applyBorder="1" applyAlignment="1">
      <alignment vertical="center"/>
    </xf>
    <xf numFmtId="0" fontId="24" fillId="0" borderId="46" xfId="0" applyFont="1" applyBorder="1" applyAlignment="1">
      <alignment vertical="center"/>
    </xf>
    <xf numFmtId="49" fontId="0" fillId="0" borderId="0" xfId="0" applyNumberFormat="1" applyAlignment="1">
      <alignment horizontal="right" vertical="center"/>
    </xf>
    <xf numFmtId="179" fontId="0" fillId="0" borderId="0" xfId="0" applyNumberFormat="1" applyAlignment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0" fontId="24" fillId="0" borderId="0" xfId="0" applyFont="1" applyFill="1" applyAlignment="1">
      <alignment horizontal="left" vertical="center"/>
    </xf>
    <xf numFmtId="0" fontId="0" fillId="0" borderId="53" xfId="0" applyFill="1" applyBorder="1" applyAlignment="1">
      <alignment vertical="center"/>
    </xf>
    <xf numFmtId="0" fontId="13" fillId="6" borderId="48" xfId="0" applyFont="1" applyFill="1" applyBorder="1" applyProtection="1">
      <alignment vertical="center"/>
      <protection hidden="1"/>
    </xf>
    <xf numFmtId="0" fontId="16" fillId="6" borderId="0" xfId="0" applyFont="1" applyFill="1" applyBorder="1" applyProtection="1">
      <alignment vertical="center"/>
      <protection hidden="1"/>
    </xf>
    <xf numFmtId="0" fontId="32" fillId="6" borderId="0" xfId="0" applyFont="1" applyFill="1" applyBorder="1" applyProtection="1">
      <alignment vertical="center"/>
      <protection hidden="1"/>
    </xf>
    <xf numFmtId="0" fontId="32" fillId="6" borderId="49" xfId="0" applyFont="1" applyFill="1" applyBorder="1" applyProtection="1">
      <alignment vertical="center"/>
      <protection hidden="1"/>
    </xf>
    <xf numFmtId="0" fontId="13" fillId="6" borderId="48" xfId="0" applyFont="1" applyFill="1" applyBorder="1" applyAlignment="1" applyProtection="1">
      <alignment vertical="center" wrapText="1"/>
      <protection hidden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Protection="1">
      <alignment vertical="center"/>
      <protection hidden="1"/>
    </xf>
    <xf numFmtId="180" fontId="15" fillId="0" borderId="44" xfId="0" applyNumberFormat="1" applyFont="1" applyFill="1" applyBorder="1" applyProtection="1">
      <alignment vertical="center"/>
      <protection hidden="1"/>
    </xf>
    <xf numFmtId="179" fontId="11" fillId="0" borderId="0" xfId="0" applyNumberFormat="1" applyFont="1" applyFill="1" applyBorder="1">
      <alignment vertical="center"/>
    </xf>
    <xf numFmtId="0" fontId="15" fillId="0" borderId="0" xfId="0" applyFont="1" applyFill="1" applyBorder="1">
      <alignment vertical="center"/>
    </xf>
    <xf numFmtId="182" fontId="15" fillId="0" borderId="0" xfId="0" applyNumberFormat="1" applyFont="1" applyFill="1" applyBorder="1" applyAlignment="1">
      <alignment horizontal="center" vertical="center" wrapText="1"/>
    </xf>
    <xf numFmtId="183" fontId="0" fillId="0" borderId="0" xfId="0" applyNumberFormat="1">
      <alignment vertical="center"/>
    </xf>
    <xf numFmtId="49" fontId="36" fillId="0" borderId="37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vertical="center"/>
    </xf>
    <xf numFmtId="182" fontId="11" fillId="0" borderId="56" xfId="0" applyNumberFormat="1" applyFont="1" applyFill="1" applyBorder="1" applyAlignment="1">
      <alignment horizontal="center" vertical="center" shrinkToFit="1"/>
    </xf>
    <xf numFmtId="182" fontId="11" fillId="0" borderId="0" xfId="0" applyNumberFormat="1" applyFont="1" applyFill="1" applyBorder="1" applyAlignment="1">
      <alignment horizontal="center" vertical="center" shrinkToFit="1"/>
    </xf>
    <xf numFmtId="14" fontId="22" fillId="0" borderId="1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0" xfId="0" applyFont="1" applyBorder="1">
      <alignment vertical="center"/>
    </xf>
    <xf numFmtId="0" fontId="21" fillId="0" borderId="0" xfId="0" applyFont="1" applyBorder="1">
      <alignment vertical="center"/>
    </xf>
    <xf numFmtId="14" fontId="22" fillId="0" borderId="0" xfId="0" applyNumberFormat="1" applyFont="1" applyBorder="1">
      <alignment vertical="center"/>
    </xf>
    <xf numFmtId="180" fontId="15" fillId="0" borderId="0" xfId="0" applyNumberFormat="1" applyFont="1" applyFill="1" applyBorder="1" applyProtection="1">
      <alignment vertical="center"/>
      <protection hidden="1"/>
    </xf>
    <xf numFmtId="180" fontId="15" fillId="0" borderId="1" xfId="0" applyNumberFormat="1" applyFont="1" applyFill="1" applyBorder="1" applyProtection="1">
      <alignment vertical="center"/>
      <protection hidden="1"/>
    </xf>
    <xf numFmtId="183" fontId="15" fillId="0" borderId="0" xfId="0" applyNumberFormat="1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176" fontId="0" fillId="0" borderId="0" xfId="0" applyNumberForma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16" fillId="6" borderId="51" xfId="0" applyFont="1" applyFill="1" applyBorder="1" applyAlignment="1" applyProtection="1">
      <alignment vertical="top"/>
      <protection hidden="1"/>
    </xf>
    <xf numFmtId="0" fontId="16" fillId="6" borderId="0" xfId="0" applyFont="1" applyFill="1" applyBorder="1" applyAlignment="1" applyProtection="1">
      <alignment vertical="top"/>
      <protection hidden="1"/>
    </xf>
    <xf numFmtId="0" fontId="0" fillId="0" borderId="1" xfId="0" applyBorder="1" applyAlignment="1">
      <alignment vertical="center" shrinkToFit="1"/>
    </xf>
    <xf numFmtId="0" fontId="15" fillId="0" borderId="3" xfId="0" applyFont="1" applyFill="1" applyBorder="1">
      <alignment vertical="center"/>
    </xf>
    <xf numFmtId="180" fontId="15" fillId="0" borderId="3" xfId="0" applyNumberFormat="1" applyFont="1" applyFill="1" applyBorder="1" applyProtection="1">
      <alignment vertical="center"/>
      <protection hidden="1"/>
    </xf>
    <xf numFmtId="3" fontId="0" fillId="0" borderId="0" xfId="0" applyNumberFormat="1">
      <alignment vertical="center"/>
    </xf>
    <xf numFmtId="9" fontId="0" fillId="0" borderId="1" xfId="0" applyNumberFormat="1" applyBorder="1" applyAlignment="1">
      <alignment vertical="center" shrinkToFit="1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24" fillId="0" borderId="45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46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176" fontId="45" fillId="0" borderId="0" xfId="0" applyNumberFormat="1" applyFont="1" applyFill="1" applyBorder="1" applyAlignment="1">
      <alignment horizontal="center" vertical="center"/>
    </xf>
    <xf numFmtId="0" fontId="45" fillId="0" borderId="0" xfId="0" applyFont="1" applyBorder="1">
      <alignment vertical="center"/>
    </xf>
    <xf numFmtId="0" fontId="45" fillId="0" borderId="0" xfId="0" applyFont="1" applyFill="1" applyBorder="1">
      <alignment vertical="center"/>
    </xf>
    <xf numFmtId="0" fontId="42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5" fillId="4" borderId="66" xfId="0" applyFont="1" applyFill="1" applyBorder="1" applyAlignment="1">
      <alignment horizontal="center" vertical="center"/>
    </xf>
    <xf numFmtId="182" fontId="11" fillId="2" borderId="54" xfId="0" applyNumberFormat="1" applyFont="1" applyFill="1" applyBorder="1" applyAlignment="1" applyProtection="1">
      <alignment horizontal="center" vertical="center" shrinkToFit="1"/>
      <protection locked="0"/>
    </xf>
    <xf numFmtId="38" fontId="17" fillId="2" borderId="27" xfId="4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182" fontId="11" fillId="8" borderId="54" xfId="0" applyNumberFormat="1" applyFont="1" applyFill="1" applyBorder="1" applyAlignment="1" applyProtection="1">
      <alignment horizontal="center" vertical="center" shrinkToFit="1"/>
      <protection locked="0"/>
    </xf>
    <xf numFmtId="176" fontId="16" fillId="5" borderId="42" xfId="0" applyNumberFormat="1" applyFont="1" applyFill="1" applyBorder="1" applyAlignment="1" applyProtection="1">
      <alignment horizontal="center" vertical="center"/>
    </xf>
    <xf numFmtId="0" fontId="21" fillId="8" borderId="27" xfId="0" applyFont="1" applyFill="1" applyBorder="1">
      <alignment vertical="center"/>
    </xf>
    <xf numFmtId="0" fontId="0" fillId="0" borderId="0" xfId="0" applyAlignment="1">
      <alignment vertical="center" shrinkToFit="1"/>
    </xf>
    <xf numFmtId="0" fontId="21" fillId="0" borderId="1" xfId="0" applyFont="1" applyBorder="1" applyProtection="1">
      <alignment vertical="center"/>
      <protection hidden="1"/>
    </xf>
    <xf numFmtId="0" fontId="15" fillId="0" borderId="1" xfId="0" applyFont="1" applyFill="1" applyBorder="1" applyProtection="1">
      <alignment vertical="center"/>
      <protection hidden="1"/>
    </xf>
    <xf numFmtId="38" fontId="13" fillId="5" borderId="0" xfId="4" applyFont="1" applyFill="1" applyBorder="1" applyAlignment="1" applyProtection="1">
      <alignment horizontal="center" vertical="center"/>
      <protection hidden="1"/>
    </xf>
    <xf numFmtId="38" fontId="13" fillId="5" borderId="0" xfId="4" applyFont="1" applyFill="1" applyAlignment="1" applyProtection="1">
      <alignment horizontal="center" vertical="center"/>
      <protection hidden="1"/>
    </xf>
    <xf numFmtId="38" fontId="18" fillId="5" borderId="0" xfId="4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76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2" borderId="27" xfId="0" applyFill="1" applyBorder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0" fillId="3" borderId="42" xfId="0" applyFill="1" applyBorder="1" applyProtection="1">
      <alignment vertical="center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5" fillId="4" borderId="36" xfId="0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alignment vertical="center"/>
      <protection hidden="1"/>
    </xf>
    <xf numFmtId="176" fontId="16" fillId="5" borderId="27" xfId="0" applyNumberFormat="1" applyFont="1" applyFill="1" applyBorder="1" applyAlignment="1" applyProtection="1">
      <alignment horizontal="center" vertical="center"/>
      <protection hidden="1"/>
    </xf>
    <xf numFmtId="0" fontId="46" fillId="0" borderId="0" xfId="0" applyFont="1" applyProtection="1">
      <alignment vertical="center"/>
      <protection hidden="1"/>
    </xf>
    <xf numFmtId="0" fontId="21" fillId="8" borderId="27" xfId="0" applyFont="1" applyFill="1" applyBorder="1" applyProtection="1">
      <alignment vertical="center"/>
      <protection hidden="1"/>
    </xf>
    <xf numFmtId="0" fontId="15" fillId="4" borderId="38" xfId="0" applyFont="1" applyFill="1" applyBorder="1" applyAlignment="1" applyProtection="1">
      <alignment horizontal="center" vertical="center"/>
      <protection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11" fillId="0" borderId="40" xfId="0" applyFont="1" applyFill="1" applyBorder="1" applyAlignment="1" applyProtection="1">
      <alignment vertical="center"/>
      <protection hidden="1"/>
    </xf>
    <xf numFmtId="0" fontId="15" fillId="4" borderId="1" xfId="0" applyFont="1" applyFill="1" applyBorder="1" applyAlignment="1" applyProtection="1">
      <alignment horizontal="center" vertical="center" shrinkToFit="1"/>
      <protection hidden="1"/>
    </xf>
    <xf numFmtId="0" fontId="15" fillId="0" borderId="9" xfId="0" applyFont="1" applyFill="1" applyBorder="1" applyAlignment="1" applyProtection="1">
      <alignment horizontal="center" vertical="center" shrinkToFit="1"/>
      <protection hidden="1"/>
    </xf>
    <xf numFmtId="176" fontId="0" fillId="0" borderId="0" xfId="0" applyNumberFormat="1" applyFill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5" fillId="4" borderId="9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  <protection hidden="1"/>
    </xf>
    <xf numFmtId="182" fontId="11" fillId="8" borderId="54" xfId="0" applyNumberFormat="1" applyFont="1" applyFill="1" applyBorder="1" applyAlignment="1" applyProtection="1">
      <alignment horizontal="center" vertical="center" shrinkToFit="1"/>
      <protection hidden="1"/>
    </xf>
    <xf numFmtId="182" fontId="11" fillId="2" borderId="54" xfId="0" applyNumberFormat="1" applyFont="1" applyFill="1" applyBorder="1" applyAlignment="1" applyProtection="1">
      <alignment horizontal="center" vertical="center" shrinkToFit="1"/>
      <protection hidden="1"/>
    </xf>
    <xf numFmtId="182" fontId="11" fillId="0" borderId="56" xfId="0" applyNumberFormat="1" applyFont="1" applyFill="1" applyBorder="1" applyAlignment="1" applyProtection="1">
      <alignment horizontal="center" vertical="center" shrinkToFit="1"/>
      <protection hidden="1"/>
    </xf>
    <xf numFmtId="182" fontId="11" fillId="0" borderId="0" xfId="0" applyNumberFormat="1" applyFont="1" applyFill="1" applyBorder="1" applyAlignment="1" applyProtection="1">
      <alignment horizontal="center" vertical="center" shrinkToFit="1"/>
      <protection hidden="1"/>
    </xf>
    <xf numFmtId="182" fontId="15" fillId="8" borderId="0" xfId="0" applyNumberFormat="1" applyFont="1" applyFill="1" applyBorder="1" applyAlignment="1" applyProtection="1">
      <alignment horizontal="center" vertical="center" wrapText="1"/>
      <protection hidden="1"/>
    </xf>
    <xf numFmtId="182" fontId="15" fillId="0" borderId="0" xfId="0" applyNumberFormat="1" applyFont="1" applyFill="1" applyBorder="1" applyAlignment="1" applyProtection="1">
      <alignment horizontal="center" vertical="center"/>
      <protection hidden="1"/>
    </xf>
    <xf numFmtId="179" fontId="11" fillId="0" borderId="0" xfId="0" applyNumberFormat="1" applyFont="1" applyFill="1" applyBorder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 wrapText="1"/>
      <protection hidden="1"/>
    </xf>
    <xf numFmtId="182" fontId="1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Fill="1" applyBorder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0" fontId="36" fillId="0" borderId="0" xfId="0" applyFont="1" applyFill="1" applyBorder="1" applyAlignment="1" applyProtection="1">
      <alignment horizontal="left" vertical="center" wrapText="1"/>
      <protection hidden="1"/>
    </xf>
    <xf numFmtId="183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NumberForma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58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 shrinkToFit="1"/>
      <protection hidden="1"/>
    </xf>
    <xf numFmtId="38" fontId="17" fillId="2" borderId="27" xfId="4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Alignment="1" applyProtection="1">
      <alignment horizontal="left" vertical="center"/>
      <protection hidden="1"/>
    </xf>
    <xf numFmtId="0" fontId="0" fillId="0" borderId="0" xfId="0" applyFill="1" applyAlignment="1" applyProtection="1">
      <alignment vertical="center" shrinkToFit="1"/>
      <protection hidden="1"/>
    </xf>
    <xf numFmtId="0" fontId="13" fillId="0" borderId="0" xfId="0" applyFont="1" applyFill="1" applyAlignment="1" applyProtection="1">
      <alignment horizontal="left" vertical="center" shrinkToFit="1"/>
      <protection hidden="1"/>
    </xf>
    <xf numFmtId="0" fontId="0" fillId="0" borderId="0" xfId="0" applyFill="1" applyBorder="1" applyAlignment="1" applyProtection="1">
      <alignment horizontal="center" vertical="center" shrinkToFit="1"/>
      <protection hidden="1"/>
    </xf>
    <xf numFmtId="0" fontId="14" fillId="3" borderId="27" xfId="0" applyFont="1" applyFill="1" applyBorder="1" applyAlignment="1" applyProtection="1">
      <alignment horizontal="center" vertical="center"/>
      <protection hidden="1"/>
    </xf>
    <xf numFmtId="0" fontId="0" fillId="0" borderId="53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horizontal="left" vertical="center"/>
      <protection hidden="1"/>
    </xf>
    <xf numFmtId="38" fontId="17" fillId="0" borderId="0" xfId="4" applyFont="1" applyFill="1" applyBorder="1" applyAlignment="1" applyProtection="1">
      <alignment horizontal="center" vertical="center"/>
      <protection hidden="1"/>
    </xf>
    <xf numFmtId="0" fontId="17" fillId="2" borderId="27" xfId="0" applyFont="1" applyFill="1" applyBorder="1" applyAlignment="1" applyProtection="1">
      <alignment horizontal="center" vertical="center"/>
      <protection hidden="1"/>
    </xf>
    <xf numFmtId="0" fontId="24" fillId="0" borderId="45" xfId="0" applyFont="1" applyBorder="1" applyAlignment="1" applyProtection="1">
      <alignment vertical="center"/>
      <protection hidden="1"/>
    </xf>
    <xf numFmtId="0" fontId="24" fillId="0" borderId="46" xfId="0" applyFont="1" applyBorder="1" applyAlignment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0" fillId="0" borderId="25" xfId="0" applyFill="1" applyBorder="1" applyProtection="1">
      <alignment vertical="center"/>
      <protection hidden="1"/>
    </xf>
    <xf numFmtId="176" fontId="0" fillId="0" borderId="25" xfId="0" applyNumberFormat="1" applyFill="1" applyBorder="1" applyAlignment="1" applyProtection="1">
      <alignment vertical="center"/>
      <protection hidden="1"/>
    </xf>
    <xf numFmtId="176" fontId="0" fillId="0" borderId="25" xfId="0" applyNumberFormat="1" applyFill="1" applyBorder="1" applyAlignment="1" applyProtection="1"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176" fontId="0" fillId="0" borderId="9" xfId="0" applyNumberFormat="1" applyFill="1" applyBorder="1" applyAlignment="1" applyProtection="1">
      <alignment horizontal="center" vertical="center"/>
      <protection hidden="1"/>
    </xf>
    <xf numFmtId="0" fontId="19" fillId="0" borderId="11" xfId="0" applyFont="1" applyFill="1" applyBorder="1" applyProtection="1">
      <alignment vertical="center"/>
      <protection hidden="1"/>
    </xf>
    <xf numFmtId="0" fontId="15" fillId="0" borderId="11" xfId="0" applyFont="1" applyFill="1" applyBorder="1" applyProtection="1">
      <alignment vertical="center"/>
      <protection hidden="1"/>
    </xf>
    <xf numFmtId="0" fontId="15" fillId="0" borderId="4" xfId="0" applyFont="1" applyFill="1" applyBorder="1" applyAlignment="1" applyProtection="1">
      <alignment horizontal="center" vertical="center"/>
      <protection hidden="1"/>
    </xf>
    <xf numFmtId="0" fontId="15" fillId="0" borderId="14" xfId="0" applyFont="1" applyFill="1" applyBorder="1" applyAlignment="1" applyProtection="1">
      <alignment horizontal="center" vertical="center"/>
      <protection hidden="1"/>
    </xf>
    <xf numFmtId="0" fontId="15" fillId="0" borderId="3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 textRotation="255"/>
      <protection hidden="1"/>
    </xf>
    <xf numFmtId="0" fontId="14" fillId="0" borderId="9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5" fillId="0" borderId="9" xfId="0" applyFont="1" applyFill="1" applyBorder="1" applyAlignment="1" applyProtection="1">
      <alignment horizontal="center" vertical="center"/>
      <protection hidden="1"/>
    </xf>
    <xf numFmtId="177" fontId="15" fillId="0" borderId="9" xfId="0" applyNumberFormat="1" applyFont="1" applyFill="1" applyBorder="1" applyAlignment="1" applyProtection="1">
      <alignment vertical="center"/>
      <protection hidden="1"/>
    </xf>
    <xf numFmtId="0" fontId="15" fillId="0" borderId="9" xfId="0" applyFont="1" applyFill="1" applyBorder="1" applyAlignment="1" applyProtection="1">
      <alignment vertical="center"/>
      <protection hidden="1"/>
    </xf>
    <xf numFmtId="0" fontId="15" fillId="0" borderId="9" xfId="0" applyFont="1" applyFill="1" applyBorder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38" fontId="15" fillId="0" borderId="0" xfId="4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 shrinkToFit="1"/>
      <protection hidden="1"/>
    </xf>
    <xf numFmtId="38" fontId="0" fillId="0" borderId="1" xfId="4" applyFont="1" applyFill="1" applyBorder="1" applyAlignment="1" applyProtection="1">
      <alignment horizontal="center" vertical="center" shrinkToFit="1"/>
      <protection hidden="1"/>
    </xf>
    <xf numFmtId="38" fontId="0" fillId="0" borderId="1" xfId="4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 textRotation="255"/>
      <protection hidden="1"/>
    </xf>
    <xf numFmtId="0" fontId="0" fillId="0" borderId="9" xfId="0" applyFill="1" applyBorder="1" applyProtection="1">
      <alignment vertical="center"/>
      <protection hidden="1"/>
    </xf>
    <xf numFmtId="0" fontId="0" fillId="0" borderId="19" xfId="0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18" fillId="0" borderId="6" xfId="0" applyFont="1" applyFill="1" applyBorder="1" applyAlignment="1" applyProtection="1">
      <alignment horizontal="center" vertical="center"/>
      <protection hidden="1"/>
    </xf>
    <xf numFmtId="0" fontId="18" fillId="0" borderId="11" xfId="0" applyFont="1" applyFill="1" applyBorder="1" applyProtection="1">
      <alignment vertical="center"/>
      <protection hidden="1"/>
    </xf>
    <xf numFmtId="0" fontId="14" fillId="0" borderId="11" xfId="0" applyFont="1" applyFill="1" applyBorder="1" applyProtection="1">
      <alignment vertical="center"/>
      <protection hidden="1"/>
    </xf>
    <xf numFmtId="0" fontId="14" fillId="0" borderId="0" xfId="0" applyFont="1" applyFill="1" applyBorder="1" applyProtection="1">
      <alignment vertical="center"/>
      <protection hidden="1"/>
    </xf>
    <xf numFmtId="0" fontId="15" fillId="0" borderId="29" xfId="0" applyFont="1" applyFill="1" applyBorder="1" applyAlignment="1" applyProtection="1">
      <alignment horizontal="right" vertical="center"/>
      <protection hidden="1"/>
    </xf>
    <xf numFmtId="0" fontId="15" fillId="0" borderId="2" xfId="0" applyFont="1" applyFill="1" applyBorder="1" applyAlignment="1" applyProtection="1">
      <alignment horizontal="center" vertical="center"/>
      <protection hidden="1"/>
    </xf>
    <xf numFmtId="38" fontId="15" fillId="0" borderId="3" xfId="4" applyFont="1" applyFill="1" applyBorder="1" applyAlignment="1" applyProtection="1">
      <alignment vertical="center"/>
      <protection hidden="1"/>
    </xf>
    <xf numFmtId="3" fontId="15" fillId="0" borderId="3" xfId="0" applyNumberFormat="1" applyFont="1" applyFill="1" applyBorder="1" applyAlignment="1" applyProtection="1">
      <alignment vertical="center" shrinkToFit="1"/>
      <protection hidden="1"/>
    </xf>
    <xf numFmtId="0" fontId="15" fillId="0" borderId="3" xfId="0" applyFont="1" applyFill="1" applyBorder="1" applyAlignment="1" applyProtection="1">
      <alignment vertical="center"/>
      <protection hidden="1"/>
    </xf>
    <xf numFmtId="38" fontId="15" fillId="0" borderId="3" xfId="4" applyFont="1" applyFill="1" applyBorder="1" applyAlignment="1" applyProtection="1">
      <alignment vertical="center" shrinkToFit="1"/>
      <protection hidden="1"/>
    </xf>
    <xf numFmtId="184" fontId="15" fillId="0" borderId="3" xfId="0" applyNumberFormat="1" applyFont="1" applyFill="1" applyBorder="1" applyAlignment="1" applyProtection="1">
      <alignment vertical="center"/>
      <protection hidden="1"/>
    </xf>
    <xf numFmtId="0" fontId="15" fillId="0" borderId="9" xfId="0" applyFont="1" applyFill="1" applyBorder="1" applyAlignment="1" applyProtection="1">
      <alignment horizontal="left" vertical="center"/>
      <protection hidden="1"/>
    </xf>
    <xf numFmtId="38" fontId="15" fillId="0" borderId="9" xfId="4" applyFont="1" applyFill="1" applyBorder="1" applyAlignment="1" applyProtection="1">
      <alignment vertical="center"/>
      <protection hidden="1"/>
    </xf>
    <xf numFmtId="38" fontId="19" fillId="0" borderId="0" xfId="4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Protection="1">
      <alignment vertical="center"/>
      <protection hidden="1"/>
    </xf>
    <xf numFmtId="183" fontId="0" fillId="0" borderId="0" xfId="0" applyNumberFormat="1" applyProtection="1">
      <alignment vertical="center"/>
      <protection hidden="1"/>
    </xf>
    <xf numFmtId="14" fontId="22" fillId="0" borderId="1" xfId="0" applyNumberFormat="1" applyFont="1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22" fillId="0" borderId="1" xfId="0" applyFont="1" applyBorder="1" applyProtection="1">
      <alignment vertical="center"/>
      <protection hidden="1"/>
    </xf>
    <xf numFmtId="0" fontId="22" fillId="0" borderId="0" xfId="0" applyFont="1" applyBorder="1" applyProtection="1">
      <alignment vertical="center"/>
      <protection hidden="1"/>
    </xf>
    <xf numFmtId="0" fontId="21" fillId="0" borderId="0" xfId="0" applyFont="1" applyBorder="1" applyProtection="1">
      <alignment vertical="center"/>
      <protection hidden="1"/>
    </xf>
    <xf numFmtId="183" fontId="15" fillId="0" borderId="0" xfId="0" applyNumberFormat="1" applyFont="1" applyProtection="1">
      <alignment vertical="center"/>
      <protection hidden="1"/>
    </xf>
    <xf numFmtId="181" fontId="0" fillId="0" borderId="0" xfId="0" applyNumberFormat="1" applyProtection="1">
      <alignment vertical="center"/>
      <protection hidden="1"/>
    </xf>
    <xf numFmtId="178" fontId="0" fillId="0" borderId="0" xfId="0" applyNumberFormat="1">
      <alignment vertical="center"/>
    </xf>
    <xf numFmtId="0" fontId="13" fillId="6" borderId="50" xfId="0" applyFont="1" applyFill="1" applyBorder="1" applyAlignment="1" applyProtection="1">
      <alignment vertical="top" wrapText="1"/>
      <protection hidden="1"/>
    </xf>
    <xf numFmtId="0" fontId="32" fillId="6" borderId="51" xfId="0" applyFont="1" applyFill="1" applyBorder="1" applyAlignment="1" applyProtection="1">
      <alignment vertical="center"/>
      <protection hidden="1"/>
    </xf>
    <xf numFmtId="0" fontId="32" fillId="6" borderId="51" xfId="0" applyFont="1" applyFill="1" applyBorder="1" applyAlignment="1" applyProtection="1">
      <alignment vertical="top"/>
      <protection hidden="1"/>
    </xf>
    <xf numFmtId="0" fontId="32" fillId="6" borderId="52" xfId="0" applyFont="1" applyFill="1" applyBorder="1" applyAlignment="1" applyProtection="1">
      <alignment vertical="top"/>
      <protection hidden="1"/>
    </xf>
    <xf numFmtId="0" fontId="24" fillId="0" borderId="59" xfId="0" applyFont="1" applyBorder="1" applyAlignment="1">
      <alignment horizontal="left" vertical="center"/>
    </xf>
    <xf numFmtId="176" fontId="24" fillId="0" borderId="59" xfId="0" applyNumberFormat="1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left" vertical="center"/>
    </xf>
    <xf numFmtId="0" fontId="24" fillId="0" borderId="59" xfId="0" applyFont="1" applyBorder="1">
      <alignment vertical="center"/>
    </xf>
    <xf numFmtId="0" fontId="24" fillId="0" borderId="59" xfId="0" applyFont="1" applyFill="1" applyBorder="1">
      <alignment vertical="center"/>
    </xf>
    <xf numFmtId="0" fontId="37" fillId="0" borderId="67" xfId="0" applyFont="1" applyBorder="1" applyAlignment="1">
      <alignment horizontal="right" vertical="center"/>
    </xf>
    <xf numFmtId="0" fontId="37" fillId="0" borderId="0" xfId="0" applyFont="1" applyBorder="1" applyAlignment="1">
      <alignment horizontal="left" vertical="center"/>
    </xf>
    <xf numFmtId="176" fontId="37" fillId="0" borderId="0" xfId="0" applyNumberFormat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center"/>
    </xf>
    <xf numFmtId="176" fontId="49" fillId="0" borderId="0" xfId="0" applyNumberFormat="1" applyFont="1" applyFill="1" applyBorder="1" applyAlignment="1">
      <alignment horizontal="center" vertical="center"/>
    </xf>
    <xf numFmtId="0" fontId="49" fillId="0" borderId="0" xfId="0" applyFont="1" applyBorder="1">
      <alignment vertical="center"/>
    </xf>
    <xf numFmtId="0" fontId="49" fillId="0" borderId="0" xfId="0" applyFont="1" applyFill="1" applyBorder="1">
      <alignment vertical="center"/>
    </xf>
    <xf numFmtId="0" fontId="24" fillId="0" borderId="60" xfId="0" applyFont="1" applyFill="1" applyBorder="1">
      <alignment vertical="center"/>
    </xf>
    <xf numFmtId="0" fontId="37" fillId="0" borderId="61" xfId="0" applyFont="1" applyBorder="1" applyAlignment="1">
      <alignment horizontal="right" vertical="center"/>
    </xf>
    <xf numFmtId="0" fontId="37" fillId="0" borderId="62" xfId="0" applyFont="1" applyBorder="1" applyAlignment="1">
      <alignment horizontal="left" vertical="center"/>
    </xf>
    <xf numFmtId="176" fontId="49" fillId="0" borderId="62" xfId="0" applyNumberFormat="1" applyFont="1" applyFill="1" applyBorder="1" applyAlignment="1">
      <alignment horizontal="center" vertical="center"/>
    </xf>
    <xf numFmtId="0" fontId="49" fillId="0" borderId="62" xfId="0" applyFont="1" applyFill="1" applyBorder="1" applyAlignment="1">
      <alignment horizontal="left" vertical="center"/>
    </xf>
    <xf numFmtId="0" fontId="49" fillId="0" borderId="62" xfId="0" applyFont="1" applyBorder="1">
      <alignment vertical="center"/>
    </xf>
    <xf numFmtId="0" fontId="49" fillId="0" borderId="62" xfId="0" applyFont="1" applyFill="1" applyBorder="1">
      <alignment vertical="center"/>
    </xf>
    <xf numFmtId="0" fontId="24" fillId="0" borderId="63" xfId="0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0" fontId="50" fillId="0" borderId="0" xfId="0" applyFont="1" applyBorder="1" applyAlignment="1">
      <alignment horizontal="left" vertical="center"/>
    </xf>
    <xf numFmtId="0" fontId="48" fillId="0" borderId="68" xfId="0" applyFont="1" applyBorder="1" applyAlignment="1">
      <alignment horizontal="center" vertical="center"/>
    </xf>
    <xf numFmtId="0" fontId="0" fillId="0" borderId="59" xfId="0" applyFill="1" applyBorder="1">
      <alignment vertical="center"/>
    </xf>
    <xf numFmtId="0" fontId="0" fillId="0" borderId="58" xfId="0" applyFill="1" applyBorder="1">
      <alignment vertical="center"/>
    </xf>
    <xf numFmtId="0" fontId="0" fillId="0" borderId="60" xfId="0" applyFill="1" applyBorder="1">
      <alignment vertical="center"/>
    </xf>
    <xf numFmtId="0" fontId="0" fillId="0" borderId="62" xfId="0" applyFill="1" applyBorder="1">
      <alignment vertical="center"/>
    </xf>
    <xf numFmtId="0" fontId="0" fillId="0" borderId="63" xfId="0" applyFill="1" applyBorder="1">
      <alignment vertical="center"/>
    </xf>
    <xf numFmtId="0" fontId="16" fillId="6" borderId="65" xfId="0" applyFont="1" applyFill="1" applyBorder="1" applyAlignment="1" applyProtection="1">
      <alignment vertical="center"/>
      <protection hidden="1"/>
    </xf>
    <xf numFmtId="0" fontId="16" fillId="6" borderId="69" xfId="0" applyFont="1" applyFill="1" applyBorder="1" applyAlignment="1" applyProtection="1">
      <alignment vertical="center"/>
      <protection hidden="1"/>
    </xf>
    <xf numFmtId="0" fontId="16" fillId="6" borderId="0" xfId="0" applyFont="1" applyFill="1" applyBorder="1" applyAlignment="1" applyProtection="1">
      <alignment vertical="center"/>
      <protection hidden="1"/>
    </xf>
    <xf numFmtId="0" fontId="16" fillId="6" borderId="49" xfId="0" applyFont="1" applyFill="1" applyBorder="1" applyAlignment="1" applyProtection="1">
      <alignment vertical="center"/>
      <protection hidden="1"/>
    </xf>
    <xf numFmtId="0" fontId="16" fillId="6" borderId="49" xfId="0" applyFont="1" applyFill="1" applyBorder="1" applyAlignment="1" applyProtection="1">
      <alignment vertical="top"/>
      <protection hidden="1"/>
    </xf>
    <xf numFmtId="0" fontId="16" fillId="6" borderId="52" xfId="0" applyFont="1" applyFill="1" applyBorder="1" applyAlignment="1" applyProtection="1">
      <alignment vertical="top"/>
      <protection hidden="1"/>
    </xf>
    <xf numFmtId="0" fontId="47" fillId="0" borderId="0" xfId="0" applyFont="1" applyAlignment="1" applyProtection="1">
      <alignment vertical="center" shrinkToFit="1"/>
      <protection hidden="1"/>
    </xf>
    <xf numFmtId="0" fontId="15" fillId="4" borderId="70" xfId="0" applyFont="1" applyFill="1" applyBorder="1" applyAlignment="1">
      <alignment horizontal="center" vertical="center"/>
    </xf>
    <xf numFmtId="0" fontId="15" fillId="4" borderId="70" xfId="0" applyFont="1" applyFill="1" applyBorder="1" applyAlignment="1" applyProtection="1">
      <alignment horizontal="center" vertical="center"/>
      <protection hidden="1"/>
    </xf>
    <xf numFmtId="38" fontId="15" fillId="0" borderId="3" xfId="4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9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4" borderId="71" xfId="0" applyFont="1" applyFill="1" applyBorder="1" applyAlignment="1" applyProtection="1">
      <alignment horizontal="center" vertical="center"/>
      <protection hidden="1"/>
    </xf>
    <xf numFmtId="0" fontId="15" fillId="4" borderId="71" xfId="0" applyFont="1" applyFill="1" applyBorder="1" applyAlignment="1">
      <alignment horizontal="center" vertical="center"/>
    </xf>
    <xf numFmtId="0" fontId="13" fillId="0" borderId="74" xfId="0" applyNumberFormat="1" applyFont="1" applyFill="1" applyBorder="1" applyAlignment="1" applyProtection="1">
      <alignment vertical="center"/>
      <protection hidden="1"/>
    </xf>
    <xf numFmtId="0" fontId="13" fillId="5" borderId="39" xfId="0" applyNumberFormat="1" applyFont="1" applyFill="1" applyBorder="1" applyAlignment="1" applyProtection="1">
      <alignment horizontal="center" vertical="center"/>
      <protection hidden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45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16" fillId="6" borderId="50" xfId="0" applyFont="1" applyFill="1" applyBorder="1" applyAlignment="1" applyProtection="1">
      <alignment horizontal="center" vertical="center" wrapText="1"/>
      <protection hidden="1"/>
    </xf>
    <xf numFmtId="0" fontId="16" fillId="6" borderId="51" xfId="0" applyFont="1" applyFill="1" applyBorder="1" applyAlignment="1" applyProtection="1">
      <alignment horizontal="center" vertical="center" wrapText="1"/>
      <protection hidden="1"/>
    </xf>
    <xf numFmtId="176" fontId="0" fillId="0" borderId="0" xfId="0" applyNumberFormat="1" applyFill="1" applyBorder="1" applyAlignment="1">
      <alignment horizontal="center" vertical="center"/>
    </xf>
    <xf numFmtId="0" fontId="33" fillId="7" borderId="0" xfId="0" applyFont="1" applyFill="1" applyBorder="1" applyAlignment="1">
      <alignment horizontal="center" vertical="center"/>
    </xf>
    <xf numFmtId="0" fontId="0" fillId="0" borderId="5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44" fillId="6" borderId="45" xfId="0" applyFont="1" applyFill="1" applyBorder="1" applyAlignment="1" applyProtection="1">
      <alignment horizontal="center" vertical="center" shrinkToFit="1"/>
      <protection hidden="1"/>
    </xf>
    <xf numFmtId="0" fontId="44" fillId="6" borderId="46" xfId="0" applyFont="1" applyFill="1" applyBorder="1" applyAlignment="1" applyProtection="1">
      <alignment horizontal="center" vertical="center" shrinkToFit="1"/>
      <protection hidden="1"/>
    </xf>
    <xf numFmtId="0" fontId="44" fillId="6" borderId="47" xfId="0" applyFont="1" applyFill="1" applyBorder="1" applyAlignment="1" applyProtection="1">
      <alignment horizontal="center" vertical="center" shrinkToFit="1"/>
      <protection hidden="1"/>
    </xf>
    <xf numFmtId="0" fontId="16" fillId="6" borderId="64" xfId="0" applyFont="1" applyFill="1" applyBorder="1" applyAlignment="1" applyProtection="1">
      <alignment horizontal="center" vertical="center"/>
      <protection hidden="1"/>
    </xf>
    <xf numFmtId="0" fontId="16" fillId="6" borderId="65" xfId="0" applyFont="1" applyFill="1" applyBorder="1" applyAlignment="1" applyProtection="1">
      <alignment horizontal="center" vertical="center"/>
      <protection hidden="1"/>
    </xf>
    <xf numFmtId="0" fontId="16" fillId="6" borderId="48" xfId="0" applyFont="1" applyFill="1" applyBorder="1" applyAlignment="1" applyProtection="1">
      <alignment horizontal="center" vertical="center"/>
      <protection hidden="1"/>
    </xf>
    <xf numFmtId="0" fontId="16" fillId="6" borderId="0" xfId="0" applyFont="1" applyFill="1" applyBorder="1" applyAlignment="1" applyProtection="1">
      <alignment horizontal="center" vertical="center"/>
      <protection hidden="1"/>
    </xf>
    <xf numFmtId="0" fontId="16" fillId="6" borderId="48" xfId="0" applyFont="1" applyFill="1" applyBorder="1" applyAlignment="1" applyProtection="1">
      <alignment horizontal="center" vertical="center" wrapText="1"/>
      <protection hidden="1"/>
    </xf>
    <xf numFmtId="0" fontId="16" fillId="6" borderId="0" xfId="0" applyFont="1" applyFill="1" applyBorder="1" applyAlignment="1" applyProtection="1">
      <alignment horizontal="center" vertical="center" wrapText="1"/>
      <protection hidden="1"/>
    </xf>
    <xf numFmtId="0" fontId="44" fillId="6" borderId="45" xfId="0" applyFont="1" applyFill="1" applyBorder="1" applyAlignment="1" applyProtection="1">
      <alignment horizontal="center" vertical="top" shrinkToFit="1"/>
      <protection hidden="1"/>
    </xf>
    <xf numFmtId="0" fontId="44" fillId="6" borderId="46" xfId="0" applyFont="1" applyFill="1" applyBorder="1" applyAlignment="1" applyProtection="1">
      <alignment horizontal="center" vertical="top" shrinkToFit="1"/>
      <protection hidden="1"/>
    </xf>
    <xf numFmtId="0" fontId="44" fillId="6" borderId="47" xfId="0" applyFont="1" applyFill="1" applyBorder="1" applyAlignment="1" applyProtection="1">
      <alignment horizontal="center" vertical="top" shrinkToFit="1"/>
      <protection hidden="1"/>
    </xf>
    <xf numFmtId="0" fontId="24" fillId="0" borderId="45" xfId="0" applyFont="1" applyBorder="1" applyAlignment="1" applyProtection="1">
      <alignment horizontal="left" vertical="center"/>
      <protection hidden="1"/>
    </xf>
    <xf numFmtId="0" fontId="24" fillId="0" borderId="46" xfId="0" applyFont="1" applyBorder="1" applyAlignment="1" applyProtection="1">
      <alignment horizontal="left" vertical="center"/>
      <protection hidden="1"/>
    </xf>
    <xf numFmtId="0" fontId="24" fillId="0" borderId="47" xfId="0" applyFont="1" applyBorder="1" applyAlignment="1" applyProtection="1">
      <alignment horizontal="left" vertical="center"/>
      <protection hidden="1"/>
    </xf>
    <xf numFmtId="0" fontId="24" fillId="0" borderId="45" xfId="0" applyFont="1" applyBorder="1" applyAlignment="1" applyProtection="1">
      <alignment horizontal="left" vertical="center" wrapText="1"/>
      <protection hidden="1"/>
    </xf>
    <xf numFmtId="0" fontId="24" fillId="0" borderId="47" xfId="0" applyFont="1" applyBorder="1" applyAlignment="1" applyProtection="1">
      <alignment horizontal="left" vertical="center" wrapText="1"/>
      <protection hidden="1"/>
    </xf>
    <xf numFmtId="0" fontId="24" fillId="0" borderId="46" xfId="0" applyFont="1" applyBorder="1" applyAlignment="1" applyProtection="1">
      <alignment horizontal="left" vertical="center" wrapText="1"/>
      <protection hidden="1"/>
    </xf>
    <xf numFmtId="0" fontId="24" fillId="0" borderId="45" xfId="0" applyFont="1" applyBorder="1" applyAlignment="1" applyProtection="1">
      <alignment horizontal="center" vertical="center"/>
      <protection hidden="1"/>
    </xf>
    <xf numFmtId="0" fontId="24" fillId="0" borderId="46" xfId="0" applyFont="1" applyBorder="1" applyAlignment="1" applyProtection="1">
      <alignment horizontal="center" vertical="center"/>
      <protection hidden="1"/>
    </xf>
    <xf numFmtId="0" fontId="24" fillId="0" borderId="47" xfId="0" applyFont="1" applyBorder="1" applyAlignment="1" applyProtection="1">
      <alignment horizontal="center" vertical="center"/>
      <protection hidden="1"/>
    </xf>
    <xf numFmtId="0" fontId="36" fillId="0" borderId="0" xfId="0" applyFont="1" applyFill="1" applyBorder="1" applyAlignment="1" applyProtection="1">
      <alignment horizontal="left" vertical="center" wrapText="1"/>
      <protection hidden="1"/>
    </xf>
    <xf numFmtId="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4" xfId="0" applyNumberFormat="1" applyFont="1" applyFill="1" applyBorder="1" applyAlignment="1" applyProtection="1">
      <alignment horizontal="center" vertical="center"/>
      <protection hidden="1"/>
    </xf>
    <xf numFmtId="183" fontId="13" fillId="5" borderId="2" xfId="0" applyNumberFormat="1" applyFont="1" applyFill="1" applyBorder="1" applyAlignment="1" applyProtection="1">
      <alignment horizontal="center" vertical="center"/>
      <protection hidden="1"/>
    </xf>
    <xf numFmtId="183" fontId="13" fillId="5" borderId="3" xfId="0" applyNumberFormat="1" applyFont="1" applyFill="1" applyBorder="1" applyAlignment="1" applyProtection="1">
      <alignment horizontal="center" vertical="center"/>
      <protection hidden="1"/>
    </xf>
    <xf numFmtId="183" fontId="13" fillId="5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>
      <alignment horizontal="right" vertical="center" shrinkToFit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5" borderId="3" xfId="0" applyNumberFormat="1" applyFont="1" applyFill="1" applyBorder="1" applyAlignment="1" applyProtection="1">
      <alignment horizontal="center" vertical="center"/>
      <protection hidden="1"/>
    </xf>
    <xf numFmtId="55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179" fontId="11" fillId="0" borderId="0" xfId="0" applyNumberFormat="1" applyFont="1" applyFill="1" applyBorder="1" applyAlignment="1" applyProtection="1">
      <alignment horizontal="center"/>
      <protection hidden="1"/>
    </xf>
    <xf numFmtId="179" fontId="11" fillId="0" borderId="18" xfId="0" applyNumberFormat="1" applyFont="1" applyFill="1" applyBorder="1" applyAlignment="1" applyProtection="1">
      <alignment horizontal="center"/>
      <protection hidden="1"/>
    </xf>
    <xf numFmtId="183" fontId="13" fillId="5" borderId="1" xfId="0" applyNumberFormat="1" applyFont="1" applyFill="1" applyBorder="1" applyAlignment="1" applyProtection="1">
      <alignment horizontal="center" vertical="center"/>
      <protection hidden="1"/>
    </xf>
    <xf numFmtId="182" fontId="15" fillId="0" borderId="33" xfId="0" applyNumberFormat="1" applyFont="1" applyFill="1" applyBorder="1" applyAlignment="1" applyProtection="1">
      <alignment horizontal="center" vertical="center" wrapText="1"/>
      <protection hidden="1"/>
    </xf>
    <xf numFmtId="182" fontId="15" fillId="0" borderId="33" xfId="0" applyNumberFormat="1" applyFont="1" applyFill="1" applyBorder="1" applyAlignment="1" applyProtection="1">
      <alignment horizontal="center" vertical="center"/>
      <protection hidden="1"/>
    </xf>
    <xf numFmtId="182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3" borderId="34" xfId="0" applyFont="1" applyFill="1" applyBorder="1" applyAlignment="1" applyProtection="1">
      <alignment horizontal="center" vertical="center" shrinkToFit="1"/>
      <protection hidden="1"/>
    </xf>
    <xf numFmtId="0" fontId="11" fillId="3" borderId="35" xfId="0" applyFont="1" applyFill="1" applyBorder="1" applyAlignment="1" applyProtection="1">
      <alignment horizontal="center" vertical="center" shrinkToFit="1"/>
      <protection hidden="1"/>
    </xf>
    <xf numFmtId="182" fontId="11" fillId="2" borderId="34" xfId="0" applyNumberFormat="1" applyFont="1" applyFill="1" applyBorder="1" applyAlignment="1" applyProtection="1">
      <alignment horizontal="center" vertical="center" shrinkToFit="1"/>
      <protection hidden="1"/>
    </xf>
    <xf numFmtId="182" fontId="11" fillId="2" borderId="35" xfId="0" applyNumberFormat="1" applyFont="1" applyFill="1" applyBorder="1" applyAlignment="1" applyProtection="1">
      <alignment horizontal="center" vertical="center" shrinkToFit="1"/>
      <protection hidden="1"/>
    </xf>
    <xf numFmtId="180" fontId="13" fillId="5" borderId="1" xfId="0" applyNumberFormat="1" applyFont="1" applyFill="1" applyBorder="1" applyAlignment="1" applyProtection="1">
      <alignment horizontal="center" vertical="center" shrinkToFit="1"/>
      <protection hidden="1"/>
    </xf>
    <xf numFmtId="180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left" vertical="center" wrapText="1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5" fillId="4" borderId="4" xfId="0" applyFont="1" applyFill="1" applyBorder="1" applyAlignment="1" applyProtection="1">
      <alignment horizontal="center" vertical="center"/>
      <protection hidden="1"/>
    </xf>
    <xf numFmtId="0" fontId="41" fillId="0" borderId="11" xfId="0" applyFont="1" applyBorder="1" applyAlignment="1" applyProtection="1">
      <alignment horizontal="center" vertical="center" wrapText="1"/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15" fillId="4" borderId="9" xfId="0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Border="1" applyAlignment="1" applyProtection="1">
      <alignment horizontal="center" vertical="center"/>
      <protection hidden="1"/>
    </xf>
    <xf numFmtId="176" fontId="0" fillId="0" borderId="0" xfId="0" applyNumberFormat="1" applyFill="1" applyBorder="1" applyAlignment="1" applyProtection="1">
      <alignment horizontal="center" vertical="center"/>
      <protection hidden="1"/>
    </xf>
    <xf numFmtId="0" fontId="11" fillId="2" borderId="34" xfId="0" applyFont="1" applyFill="1" applyBorder="1" applyAlignment="1" applyProtection="1">
      <alignment horizontal="center" vertical="center"/>
      <protection hidden="1"/>
    </xf>
    <xf numFmtId="0" fontId="11" fillId="2" borderId="35" xfId="0" applyFont="1" applyFill="1" applyBorder="1" applyAlignment="1" applyProtection="1">
      <alignment horizontal="center" vertical="center"/>
      <protection hidden="1"/>
    </xf>
    <xf numFmtId="0" fontId="11" fillId="2" borderId="55" xfId="0" applyFont="1" applyFill="1" applyBorder="1" applyAlignment="1" applyProtection="1">
      <alignment horizontal="center" vertical="center"/>
      <protection hidden="1"/>
    </xf>
    <xf numFmtId="0" fontId="11" fillId="3" borderId="34" xfId="0" applyFont="1" applyFill="1" applyBorder="1" applyAlignment="1" applyProtection="1">
      <alignment horizontal="center" vertical="center"/>
      <protection hidden="1"/>
    </xf>
    <xf numFmtId="0" fontId="11" fillId="3" borderId="55" xfId="0" applyFont="1" applyFill="1" applyBorder="1" applyAlignment="1" applyProtection="1">
      <alignment horizontal="center" vertical="center"/>
      <protection hidden="1"/>
    </xf>
    <xf numFmtId="0" fontId="11" fillId="3" borderId="35" xfId="0" applyFont="1" applyFill="1" applyBorder="1" applyAlignment="1" applyProtection="1">
      <alignment horizontal="center" vertical="center"/>
      <protection hidden="1"/>
    </xf>
    <xf numFmtId="57" fontId="11" fillId="2" borderId="34" xfId="0" applyNumberFormat="1" applyFont="1" applyFill="1" applyBorder="1" applyAlignment="1" applyProtection="1">
      <alignment horizontal="center" vertical="center"/>
    </xf>
    <xf numFmtId="0" fontId="11" fillId="2" borderId="35" xfId="0" applyFont="1" applyFill="1" applyBorder="1" applyAlignment="1" applyProtection="1">
      <alignment horizontal="center" vertical="center"/>
    </xf>
    <xf numFmtId="0" fontId="13" fillId="5" borderId="72" xfId="0" applyFont="1" applyFill="1" applyBorder="1" applyAlignment="1" applyProtection="1">
      <alignment horizontal="center" vertical="center"/>
    </xf>
    <xf numFmtId="0" fontId="13" fillId="5" borderId="55" xfId="0" applyFont="1" applyFill="1" applyBorder="1" applyAlignment="1" applyProtection="1">
      <alignment horizontal="center" vertical="center"/>
    </xf>
    <xf numFmtId="0" fontId="13" fillId="5" borderId="73" xfId="0" applyFont="1" applyFill="1" applyBorder="1" applyAlignment="1" applyProtection="1">
      <alignment horizontal="center" vertical="center"/>
    </xf>
    <xf numFmtId="57" fontId="11" fillId="2" borderId="34" xfId="0" applyNumberFormat="1" applyFont="1" applyFill="1" applyBorder="1" applyAlignment="1" applyProtection="1">
      <alignment horizontal="center" vertical="center"/>
      <protection hidden="1"/>
    </xf>
    <xf numFmtId="182" fontId="11" fillId="2" borderId="34" xfId="0" applyNumberFormat="1" applyFont="1" applyFill="1" applyBorder="1" applyAlignment="1" applyProtection="1">
      <alignment horizontal="center" vertical="center"/>
      <protection hidden="1"/>
    </xf>
    <xf numFmtId="182" fontId="11" fillId="2" borderId="55" xfId="0" applyNumberFormat="1" applyFont="1" applyFill="1" applyBorder="1" applyAlignment="1" applyProtection="1">
      <alignment horizontal="center" vertical="center"/>
      <protection hidden="1"/>
    </xf>
    <xf numFmtId="182" fontId="11" fillId="2" borderId="35" xfId="0" applyNumberFormat="1" applyFont="1" applyFill="1" applyBorder="1" applyAlignment="1" applyProtection="1">
      <alignment horizontal="center" vertical="center"/>
      <protection hidden="1"/>
    </xf>
    <xf numFmtId="182" fontId="11" fillId="2" borderId="34" xfId="0" applyNumberFormat="1" applyFont="1" applyFill="1" applyBorder="1" applyAlignment="1" applyProtection="1">
      <alignment horizontal="center" vertical="center"/>
    </xf>
    <xf numFmtId="182" fontId="11" fillId="2" borderId="55" xfId="0" applyNumberFormat="1" applyFont="1" applyFill="1" applyBorder="1" applyAlignment="1" applyProtection="1">
      <alignment horizontal="center" vertical="center"/>
    </xf>
    <xf numFmtId="182" fontId="11" fillId="2" borderId="35" xfId="0" applyNumberFormat="1" applyFont="1" applyFill="1" applyBorder="1" applyAlignment="1" applyProtection="1">
      <alignment horizontal="center" vertical="center"/>
    </xf>
    <xf numFmtId="0" fontId="13" fillId="5" borderId="43" xfId="0" applyNumberFormat="1" applyFont="1" applyFill="1" applyBorder="1" applyAlignment="1" applyProtection="1">
      <alignment horizontal="center" vertical="center"/>
      <protection hidden="1"/>
    </xf>
    <xf numFmtId="0" fontId="13" fillId="5" borderId="41" xfId="0" applyNumberFormat="1" applyFont="1" applyFill="1" applyBorder="1" applyAlignment="1" applyProtection="1">
      <alignment horizontal="center" vertical="center"/>
      <protection hidden="1"/>
    </xf>
    <xf numFmtId="0" fontId="51" fillId="0" borderId="56" xfId="0" applyFont="1" applyBorder="1" applyAlignment="1">
      <alignment horizontal="left" vertical="center" shrinkToFit="1"/>
    </xf>
    <xf numFmtId="0" fontId="51" fillId="0" borderId="0" xfId="0" applyFont="1" applyAlignment="1">
      <alignment horizontal="left" vertical="center" shrinkToFit="1"/>
    </xf>
    <xf numFmtId="0" fontId="24" fillId="0" borderId="45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179" fontId="11" fillId="0" borderId="0" xfId="0" applyNumberFormat="1" applyFont="1" applyFill="1" applyBorder="1" applyAlignment="1">
      <alignment horizontal="center" vertical="center"/>
    </xf>
    <xf numFmtId="179" fontId="11" fillId="0" borderId="18" xfId="0" applyNumberFormat="1" applyFont="1" applyFill="1" applyBorder="1" applyAlignment="1">
      <alignment horizontal="center" vertical="center"/>
    </xf>
    <xf numFmtId="0" fontId="11" fillId="3" borderId="34" xfId="0" applyFont="1" applyFill="1" applyBorder="1" applyAlignment="1" applyProtection="1">
      <alignment horizontal="center" vertical="center" shrinkToFit="1"/>
      <protection locked="0"/>
    </xf>
    <xf numFmtId="0" fontId="11" fillId="3" borderId="35" xfId="0" applyFont="1" applyFill="1" applyBorder="1" applyAlignment="1" applyProtection="1">
      <alignment horizontal="center" vertical="center" shrinkToFit="1"/>
      <protection locked="0"/>
    </xf>
    <xf numFmtId="182" fontId="11" fillId="2" borderId="34" xfId="0" applyNumberFormat="1" applyFont="1" applyFill="1" applyBorder="1" applyAlignment="1" applyProtection="1">
      <alignment horizontal="center" vertical="center" shrinkToFit="1"/>
      <protection locked="0"/>
    </xf>
    <xf numFmtId="182" fontId="11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>
      <alignment horizontal="left" vertical="center" wrapText="1"/>
    </xf>
    <xf numFmtId="0" fontId="33" fillId="8" borderId="0" xfId="0" applyFont="1" applyFill="1" applyBorder="1" applyAlignment="1">
      <alignment horizontal="center" vertical="center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35" xfId="0" applyFont="1" applyFill="1" applyBorder="1" applyAlignment="1" applyProtection="1">
      <alignment horizontal="center" vertical="center"/>
      <protection locked="0"/>
    </xf>
    <xf numFmtId="0" fontId="11" fillId="2" borderId="55" xfId="0" applyFont="1" applyFill="1" applyBorder="1" applyAlignment="1" applyProtection="1">
      <alignment horizontal="center" vertical="center"/>
      <protection locked="0"/>
    </xf>
    <xf numFmtId="0" fontId="11" fillId="3" borderId="34" xfId="0" applyFont="1" applyFill="1" applyBorder="1" applyAlignment="1" applyProtection="1">
      <alignment horizontal="center" vertical="center"/>
      <protection locked="0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35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Alignment="1">
      <alignment horizontal="center" vertical="top" wrapText="1"/>
    </xf>
    <xf numFmtId="0" fontId="41" fillId="0" borderId="11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57" fontId="11" fillId="2" borderId="34" xfId="0" applyNumberFormat="1" applyFont="1" applyFill="1" applyBorder="1" applyAlignment="1" applyProtection="1">
      <alignment horizontal="center" vertical="center"/>
      <protection locked="0"/>
    </xf>
    <xf numFmtId="182" fontId="11" fillId="2" borderId="34" xfId="0" applyNumberFormat="1" applyFont="1" applyFill="1" applyBorder="1" applyAlignment="1" applyProtection="1">
      <alignment horizontal="center" vertical="center"/>
      <protection locked="0"/>
    </xf>
    <xf numFmtId="182" fontId="11" fillId="2" borderId="55" xfId="0" applyNumberFormat="1" applyFont="1" applyFill="1" applyBorder="1" applyAlignment="1" applyProtection="1">
      <alignment horizontal="center" vertical="center"/>
      <protection locked="0"/>
    </xf>
    <xf numFmtId="182" fontId="11" fillId="2" borderId="3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wrapText="1"/>
    </xf>
    <xf numFmtId="38" fontId="19" fillId="0" borderId="33" xfId="4" applyFont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15" fillId="0" borderId="26" xfId="0" applyFont="1" applyFill="1" applyBorder="1" applyAlignment="1" applyProtection="1">
      <alignment horizontal="center" vertical="center"/>
      <protection hidden="1"/>
    </xf>
    <xf numFmtId="0" fontId="15" fillId="0" borderId="12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29" xfId="0" applyFont="1" applyFill="1" applyBorder="1" applyAlignment="1" applyProtection="1">
      <alignment horizontal="right" vertical="center"/>
      <protection hidden="1"/>
    </xf>
    <xf numFmtId="38" fontId="19" fillId="0" borderId="5" xfId="4" applyFont="1" applyFill="1" applyBorder="1" applyAlignment="1" applyProtection="1">
      <alignment horizontal="center" vertical="center"/>
      <protection hidden="1"/>
    </xf>
    <xf numFmtId="38" fontId="19" fillId="0" borderId="6" xfId="4" applyFont="1" applyFill="1" applyBorder="1" applyAlignment="1" applyProtection="1">
      <alignment horizontal="center" vertical="center"/>
      <protection hidden="1"/>
    </xf>
    <xf numFmtId="38" fontId="19" fillId="0" borderId="7" xfId="4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left" vertical="center"/>
      <protection hidden="1"/>
    </xf>
    <xf numFmtId="0" fontId="15" fillId="0" borderId="2" xfId="0" applyFont="1" applyFill="1" applyBorder="1" applyAlignment="1" applyProtection="1">
      <alignment horizontal="left" vertical="center"/>
      <protection hidden="1"/>
    </xf>
    <xf numFmtId="38" fontId="19" fillId="9" borderId="5" xfId="4" applyFont="1" applyFill="1" applyBorder="1" applyAlignment="1" applyProtection="1">
      <alignment horizontal="center" vertical="center"/>
      <protection hidden="1"/>
    </xf>
    <xf numFmtId="38" fontId="19" fillId="9" borderId="6" xfId="4" applyFont="1" applyFill="1" applyBorder="1" applyAlignment="1" applyProtection="1">
      <alignment horizontal="center" vertical="center"/>
      <protection hidden="1"/>
    </xf>
    <xf numFmtId="38" fontId="19" fillId="9" borderId="7" xfId="4" applyFont="1" applyFill="1" applyBorder="1" applyAlignment="1" applyProtection="1">
      <alignment horizontal="center" vertical="center"/>
      <protection hidden="1"/>
    </xf>
    <xf numFmtId="178" fontId="15" fillId="0" borderId="1" xfId="0" applyNumberFormat="1" applyFont="1" applyFill="1" applyBorder="1" applyAlignment="1" applyProtection="1">
      <alignment horizontal="center" vertical="center"/>
      <protection hidden="1"/>
    </xf>
    <xf numFmtId="38" fontId="19" fillId="0" borderId="5" xfId="4" applyFont="1" applyFill="1" applyBorder="1" applyAlignment="1" applyProtection="1">
      <alignment horizontal="center" vertical="center" shrinkToFit="1"/>
      <protection hidden="1"/>
    </xf>
    <xf numFmtId="38" fontId="19" fillId="0" borderId="7" xfId="4" applyFont="1" applyFill="1" applyBorder="1" applyAlignment="1" applyProtection="1">
      <alignment horizontal="center" vertical="center" shrinkToFit="1"/>
      <protection hidden="1"/>
    </xf>
    <xf numFmtId="38" fontId="15" fillId="0" borderId="9" xfId="4" applyFont="1" applyFill="1" applyBorder="1" applyAlignment="1" applyProtection="1">
      <alignment horizontal="center" vertical="center"/>
      <protection hidden="1"/>
    </xf>
    <xf numFmtId="3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15" fillId="0" borderId="57" xfId="0" applyFont="1" applyFill="1" applyBorder="1" applyAlignment="1" applyProtection="1">
      <alignment horizontal="right" vertical="center"/>
      <protection hidden="1"/>
    </xf>
    <xf numFmtId="38" fontId="20" fillId="9" borderId="30" xfId="0" applyNumberFormat="1" applyFont="1" applyFill="1" applyBorder="1" applyAlignment="1" applyProtection="1">
      <alignment horizontal="center" vertical="center"/>
      <protection hidden="1"/>
    </xf>
    <xf numFmtId="0" fontId="20" fillId="9" borderId="31" xfId="0" applyFont="1" applyFill="1" applyBorder="1" applyAlignment="1" applyProtection="1">
      <alignment horizontal="center" vertical="center"/>
      <protection hidden="1"/>
    </xf>
    <xf numFmtId="0" fontId="20" fillId="9" borderId="32" xfId="0" applyFont="1" applyFill="1" applyBorder="1" applyAlignment="1" applyProtection="1">
      <alignment horizontal="center" vertical="center"/>
      <protection hidden="1"/>
    </xf>
    <xf numFmtId="38" fontId="15" fillId="0" borderId="2" xfId="4" applyFont="1" applyFill="1" applyBorder="1" applyAlignment="1" applyProtection="1">
      <alignment horizontal="center" vertical="center"/>
      <protection hidden="1"/>
    </xf>
    <xf numFmtId="38" fontId="15" fillId="0" borderId="3" xfId="4" applyFont="1" applyFill="1" applyBorder="1" applyAlignment="1" applyProtection="1">
      <alignment horizontal="center" vertical="center"/>
      <protection hidden="1"/>
    </xf>
    <xf numFmtId="38" fontId="15" fillId="0" borderId="10" xfId="4" applyFont="1" applyFill="1" applyBorder="1" applyAlignment="1" applyProtection="1">
      <alignment horizontal="center" vertical="center"/>
      <protection hidden="1"/>
    </xf>
    <xf numFmtId="0" fontId="15" fillId="0" borderId="2" xfId="0" applyFont="1" applyFill="1" applyBorder="1" applyAlignment="1" applyProtection="1">
      <alignment horizontal="center" vertical="center"/>
      <protection hidden="1"/>
    </xf>
    <xf numFmtId="0" fontId="15" fillId="0" borderId="3" xfId="0" applyFont="1" applyFill="1" applyBorder="1" applyAlignment="1" applyProtection="1">
      <alignment horizontal="center" vertical="center"/>
      <protection hidden="1"/>
    </xf>
    <xf numFmtId="0" fontId="15" fillId="0" borderId="4" xfId="0" applyFont="1" applyFill="1" applyBorder="1" applyAlignment="1" applyProtection="1">
      <alignment horizontal="center" vertical="center"/>
      <protection hidden="1"/>
    </xf>
    <xf numFmtId="38" fontId="19" fillId="0" borderId="16" xfId="4" applyFont="1" applyFill="1" applyBorder="1" applyAlignment="1" applyProtection="1">
      <alignment horizontal="center" vertical="center"/>
      <protection hidden="1"/>
    </xf>
    <xf numFmtId="38" fontId="19" fillId="0" borderId="17" xfId="4" applyFont="1" applyFill="1" applyBorder="1" applyAlignment="1" applyProtection="1">
      <alignment horizontal="center" vertical="center"/>
      <protection hidden="1"/>
    </xf>
    <xf numFmtId="38" fontId="15" fillId="0" borderId="2" xfId="0" applyNumberFormat="1" applyFont="1" applyFill="1" applyBorder="1" applyAlignment="1" applyProtection="1">
      <alignment horizontal="center" vertical="center"/>
      <protection hidden="1"/>
    </xf>
    <xf numFmtId="185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34" fillId="0" borderId="21" xfId="0" applyFont="1" applyFill="1" applyBorder="1" applyAlignment="1" applyProtection="1">
      <alignment horizontal="center" vertical="center"/>
      <protection hidden="1"/>
    </xf>
    <xf numFmtId="0" fontId="35" fillId="0" borderId="20" xfId="0" applyFont="1" applyFill="1" applyBorder="1" applyAlignment="1" applyProtection="1">
      <alignment horizontal="center" vertical="center"/>
      <protection hidden="1"/>
    </xf>
    <xf numFmtId="0" fontId="35" fillId="0" borderId="22" xfId="0" applyFont="1" applyFill="1" applyBorder="1" applyAlignment="1" applyProtection="1">
      <alignment horizontal="center" vertical="center"/>
      <protection hidden="1"/>
    </xf>
    <xf numFmtId="0" fontId="35" fillId="0" borderId="23" xfId="0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horizontal="center" vertical="center"/>
      <protection hidden="1"/>
    </xf>
    <xf numFmtId="0" fontId="35" fillId="0" borderId="24" xfId="0" applyFont="1" applyFill="1" applyBorder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176" fontId="0" fillId="0" borderId="25" xfId="0" applyNumberFormat="1" applyFill="1" applyBorder="1" applyAlignment="1" applyProtection="1">
      <alignment horizontal="center"/>
      <protection hidden="1"/>
    </xf>
    <xf numFmtId="0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 shrinkToFit="1"/>
      <protection hidden="1"/>
    </xf>
    <xf numFmtId="38" fontId="0" fillId="0" borderId="14" xfId="4" applyFont="1" applyFill="1" applyBorder="1" applyAlignment="1" applyProtection="1">
      <alignment horizontal="center" vertical="center"/>
      <protection hidden="1"/>
    </xf>
    <xf numFmtId="0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15" fillId="0" borderId="4" xfId="0" applyNumberFormat="1" applyFont="1" applyFill="1" applyBorder="1" applyAlignment="1" applyProtection="1">
      <alignment horizontal="center" vertical="center"/>
      <protection hidden="1"/>
    </xf>
    <xf numFmtId="0" fontId="15" fillId="0" borderId="14" xfId="0" applyFont="1" applyFill="1" applyBorder="1" applyAlignment="1" applyProtection="1">
      <alignment horizontal="center" vertical="center"/>
      <protection hidden="1"/>
    </xf>
    <xf numFmtId="0" fontId="15" fillId="0" borderId="8" xfId="0" applyFont="1" applyFill="1" applyBorder="1" applyAlignment="1" applyProtection="1">
      <alignment horizontal="center" vertical="center"/>
      <protection hidden="1"/>
    </xf>
    <xf numFmtId="0" fontId="15" fillId="0" borderId="10" xfId="0" applyFont="1" applyFill="1" applyBorder="1" applyAlignment="1" applyProtection="1">
      <alignment horizontal="center" vertical="center"/>
      <protection hidden="1"/>
    </xf>
    <xf numFmtId="0" fontId="15" fillId="0" borderId="13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9" xfId="0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15" fillId="0" borderId="2" xfId="0" applyFont="1" applyFill="1" applyBorder="1" applyAlignment="1" applyProtection="1">
      <alignment horizontal="center" vertical="center" shrinkToFit="1"/>
      <protection hidden="1"/>
    </xf>
    <xf numFmtId="0" fontId="15" fillId="0" borderId="3" xfId="0" applyFont="1" applyFill="1" applyBorder="1" applyAlignment="1" applyProtection="1">
      <alignment horizontal="center" vertical="center" shrinkToFit="1"/>
      <protection hidden="1"/>
    </xf>
    <xf numFmtId="0" fontId="15" fillId="0" borderId="4" xfId="0" applyFont="1" applyFill="1" applyBorder="1" applyAlignment="1" applyProtection="1">
      <alignment horizontal="center" vertical="center" shrinkToFit="1"/>
      <protection hidden="1"/>
    </xf>
    <xf numFmtId="177" fontId="15" fillId="0" borderId="2" xfId="0" applyNumberFormat="1" applyFont="1" applyFill="1" applyBorder="1" applyAlignment="1" applyProtection="1">
      <alignment horizontal="center" vertical="center"/>
      <protection hidden="1"/>
    </xf>
    <xf numFmtId="177" fontId="15" fillId="0" borderId="3" xfId="0" applyNumberFormat="1" applyFont="1" applyFill="1" applyBorder="1" applyAlignment="1" applyProtection="1">
      <alignment horizontal="center" vertical="center"/>
      <protection hidden="1"/>
    </xf>
    <xf numFmtId="177" fontId="15" fillId="0" borderId="4" xfId="0" applyNumberFormat="1" applyFont="1" applyFill="1" applyBorder="1" applyAlignment="1" applyProtection="1">
      <alignment horizontal="center" vertical="center"/>
      <protection hidden="1"/>
    </xf>
    <xf numFmtId="38" fontId="18" fillId="0" borderId="5" xfId="0" applyNumberFormat="1" applyFont="1" applyFill="1" applyBorder="1" applyAlignment="1" applyProtection="1">
      <alignment horizontal="center" vertical="center"/>
      <protection hidden="1"/>
    </xf>
    <xf numFmtId="0" fontId="18" fillId="0" borderId="6" xfId="0" applyFont="1" applyFill="1" applyBorder="1" applyAlignment="1" applyProtection="1">
      <alignment horizontal="center" vertical="center"/>
      <protection hidden="1"/>
    </xf>
    <xf numFmtId="0" fontId="18" fillId="0" borderId="7" xfId="0" applyFont="1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38" fontId="18" fillId="9" borderId="5" xfId="4" applyFont="1" applyFill="1" applyBorder="1" applyAlignment="1" applyProtection="1">
      <alignment horizontal="center" vertical="center"/>
      <protection hidden="1"/>
    </xf>
    <xf numFmtId="38" fontId="18" fillId="9" borderId="6" xfId="4" applyFont="1" applyFill="1" applyBorder="1" applyAlignment="1" applyProtection="1">
      <alignment horizontal="center" vertical="center"/>
      <protection hidden="1"/>
    </xf>
    <xf numFmtId="38" fontId="18" fillId="9" borderId="7" xfId="4" applyFont="1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right" vertical="center"/>
      <protection hidden="1"/>
    </xf>
    <xf numFmtId="0" fontId="0" fillId="0" borderId="26" xfId="0" applyFill="1" applyBorder="1" applyAlignment="1" applyProtection="1">
      <alignment horizontal="right" vertical="center"/>
      <protection hidden="1"/>
    </xf>
    <xf numFmtId="0" fontId="0" fillId="0" borderId="28" xfId="0" applyFill="1" applyBorder="1" applyAlignment="1" applyProtection="1">
      <alignment horizontal="right" vertical="center"/>
      <protection hidden="1"/>
    </xf>
    <xf numFmtId="0" fontId="0" fillId="0" borderId="1" xfId="0" applyFill="1" applyBorder="1" applyAlignment="1" applyProtection="1">
      <alignment horizontal="center" vertical="center" textRotation="255"/>
      <protection hidden="1"/>
    </xf>
    <xf numFmtId="38" fontId="15" fillId="0" borderId="1" xfId="4" applyNumberFormat="1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center" vertical="center" textRotation="255"/>
      <protection hidden="1"/>
    </xf>
    <xf numFmtId="38" fontId="0" fillId="0" borderId="1" xfId="4" applyFont="1" applyFill="1" applyBorder="1" applyAlignment="1" applyProtection="1">
      <alignment horizontal="center" vertical="center"/>
      <protection hidden="1"/>
    </xf>
    <xf numFmtId="38" fontId="15" fillId="0" borderId="1" xfId="0" applyNumberFormat="1" applyFont="1" applyFill="1" applyBorder="1" applyAlignment="1" applyProtection="1">
      <alignment horizontal="center" vertical="center"/>
      <protection hidden="1"/>
    </xf>
    <xf numFmtId="177" fontId="15" fillId="0" borderId="9" xfId="0" applyNumberFormat="1" applyFont="1" applyFill="1" applyBorder="1" applyAlignment="1" applyProtection="1">
      <alignment horizontal="center" vertical="center"/>
      <protection hidden="1"/>
    </xf>
    <xf numFmtId="38" fontId="15" fillId="0" borderId="0" xfId="0" applyNumberFormat="1" applyFont="1" applyFill="1" applyBorder="1" applyAlignment="1" applyProtection="1">
      <alignment horizontal="center" vertical="center"/>
      <protection hidden="1"/>
    </xf>
    <xf numFmtId="177" fontId="15" fillId="0" borderId="0" xfId="0" applyNumberFormat="1" applyFont="1" applyFill="1" applyBorder="1" applyAlignment="1" applyProtection="1">
      <alignment horizontal="center" vertical="center"/>
      <protection hidden="1"/>
    </xf>
    <xf numFmtId="38" fontId="15" fillId="0" borderId="4" xfId="4" applyFont="1" applyFill="1" applyBorder="1" applyAlignment="1" applyProtection="1">
      <alignment horizontal="center" vertical="center"/>
      <protection hidden="1"/>
    </xf>
  </cellXfs>
  <cellStyles count="5">
    <cellStyle name="桁区切り" xfId="4" builtinId="6"/>
    <cellStyle name="標準" xfId="0" builtinId="0"/>
    <cellStyle name="標準 2" xfId="2" xr:uid="{F54303F8-088D-45A0-AF69-F7677F525BC6}"/>
    <cellStyle name="標準 2 2" xfId="3" xr:uid="{C5B7BA48-E887-4347-8D4B-A4D812C8D686}"/>
    <cellStyle name="標準 3" xfId="1" xr:uid="{846C881B-A410-4ED8-A901-E4CE6AED6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07BB0AF-EA46-4083-870B-8892A7D91F10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BE17CB1-E70A-488E-A741-5029187F3693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ACABE60-4212-4BD8-9458-41F20B8D858D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32177A74-8B4F-44D9-9DBF-DC4E44D415B7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7634C9A1-E1BF-484D-9DB3-CC40D90D603E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4A593FDA-746B-4CDD-B5E8-E044ACCB7067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5560D14C-6B60-4AA9-8518-5BBC84DE676A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558948E-2E21-49CF-B9B2-8D3294FD08B6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FBC9866-64F6-4A26-81C1-F73FEE35B77F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1C7FA01D-585F-4E12-8640-88DFE4F2BB7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D25AC386-A90B-4499-96EA-A0BC33A71680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E72CA285-C9A6-4AE0-8786-9171F3AAD1C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6F8C5820-9D1B-4CCC-BFEC-3EC7AB549CA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1CE9FCB8-21BC-48FE-A078-ED01ECA740F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2D7B79DA-B245-4B9B-A79C-BDF65CB9E68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8967C6AC-19D7-430E-8B76-59DF5970E0C4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C525A357-F6BA-4B87-A032-4A7508D7694E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A8E15E57-7031-4D68-B61E-560AB0858251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id="{68DEB494-5547-44E8-BDEE-69D8169DE52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602BD4FC-8D7E-4C39-A159-4E328C53FAF9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3985CC50-4C99-4D70-A9D5-8F486AD2D574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D7CB5449-FAD5-4F0F-8330-D666EACCE431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FB914BE5-C9E0-4FE8-848C-48305380E70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id="{F8D70BDB-7742-4012-B015-2D1F2C94F57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B57EFC2A-0854-4812-9439-3895E8AD2CF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86079DC3-FE4F-4609-B911-5BD93954BC71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1A5D41B0-A70E-47FC-BC86-1587D5AE817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C4897A18-A695-4301-898A-C7D664F933AB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47E099A6-E5F8-4477-877C-76DA9197E370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6B232FF7-AC9D-4DDC-A01E-C5E03C16009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1A25812C-7786-4D6C-9105-AAE9193A975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67262EC0-7113-467C-B83D-F5B8FDDD939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CDD9FF49-885F-4234-B3A7-7887685E2CF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E186246B-FBF9-4581-97A1-3D343B2AE85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id="{C77096E3-8349-4C8B-8A67-182EF1FC17E0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id="{9E57D791-13EB-475A-B5FF-DF615E57E83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B474FDC5-63AC-4E24-942C-A77491948E4E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9E98096E-8C71-4815-8FA5-E4D0408D94C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2" name="Text Box 4">
          <a:extLst>
            <a:ext uri="{FF2B5EF4-FFF2-40B4-BE49-F238E27FC236}">
              <a16:creationId xmlns:a16="http://schemas.microsoft.com/office/drawing/2014/main" id="{8DA406F1-7FE8-4CF3-8E24-6BC1A3B72985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EA7EDE44-2A0D-440A-9A8B-04C3A437248F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40F9C965-CF1A-4847-AC72-8E430FE7B49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D4C3D91D-DF2B-422F-BCDB-1EAF4E9ED225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6" name="Text Box 4">
          <a:extLst>
            <a:ext uri="{FF2B5EF4-FFF2-40B4-BE49-F238E27FC236}">
              <a16:creationId xmlns:a16="http://schemas.microsoft.com/office/drawing/2014/main" id="{C52AA60C-9CAB-49AF-988E-FB8D330FE50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id="{44EBB5A0-8736-4DBC-BDA4-C3F9E47EA586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2D8E0F60-8AF5-4571-9A6A-60A6D1674E3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99C6A348-E802-41A5-B232-94B0862ECB0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id="{E55AB129-6039-4302-BBD9-515BF126E85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06EAB0A0-8811-4D80-BC63-5A4BC021FA23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13BA-FC7C-4ADD-BEB7-31C767F9BDAD}">
  <sheetPr>
    <tabColor theme="8"/>
    <pageSetUpPr fitToPage="1"/>
  </sheetPr>
  <dimension ref="B1:CG38"/>
  <sheetViews>
    <sheetView topLeftCell="A34" zoomScaleNormal="100" workbookViewId="0">
      <selection activeCell="W11" sqref="W11"/>
    </sheetView>
  </sheetViews>
  <sheetFormatPr defaultRowHeight="18.75"/>
  <cols>
    <col min="1" max="1" width="3.75" customWidth="1"/>
    <col min="2" max="2" width="11" style="47" customWidth="1"/>
    <col min="3" max="3" width="8.75" customWidth="1"/>
    <col min="4" max="4" width="8.75" style="47" customWidth="1"/>
    <col min="5" max="5" width="8.75" style="35" customWidth="1"/>
    <col min="6" max="6" width="4.125" style="35" customWidth="1"/>
    <col min="7" max="7" width="13.375" style="47" customWidth="1"/>
    <col min="8" max="8" width="2.25" style="47" customWidth="1"/>
    <col min="9" max="9" width="2.375" style="47" customWidth="1"/>
    <col min="10" max="10" width="2.25" style="47" customWidth="1"/>
    <col min="11" max="11" width="10.625" customWidth="1"/>
    <col min="12" max="12" width="8.875" customWidth="1"/>
    <col min="13" max="13" width="9" customWidth="1"/>
    <col min="14" max="14" width="6.25" customWidth="1"/>
    <col min="15" max="15" width="12" customWidth="1"/>
    <col min="16" max="16" width="9.875" customWidth="1"/>
    <col min="17" max="17" width="12.25" hidden="1" customWidth="1"/>
    <col min="18" max="18" width="6.375" hidden="1" customWidth="1"/>
    <col min="19" max="19" width="7.25" hidden="1" customWidth="1"/>
    <col min="20" max="20" width="10.5" customWidth="1"/>
    <col min="21" max="21" width="13.625" customWidth="1"/>
    <col min="22" max="22" width="16.625" customWidth="1"/>
    <col min="23" max="23" width="17.25" customWidth="1"/>
  </cols>
  <sheetData>
    <row r="1" spans="2:16" ht="9" customHeight="1"/>
    <row r="2" spans="2:16" ht="34.15" customHeight="1">
      <c r="B2" s="339" t="s">
        <v>1108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</row>
    <row r="3" spans="2:16" ht="14.45" customHeight="1">
      <c r="C3" s="32"/>
      <c r="D3" s="135"/>
      <c r="E3" s="135"/>
      <c r="F3" s="135"/>
      <c r="G3" s="114"/>
      <c r="H3" s="338"/>
      <c r="I3" s="338"/>
      <c r="J3" s="338"/>
      <c r="L3" s="49" ph="1"/>
      <c r="M3" s="49" ph="1"/>
      <c r="N3" s="49"/>
      <c r="O3" s="49"/>
      <c r="P3" s="49"/>
    </row>
    <row r="4" spans="2:16" ht="30" customHeight="1" thickBot="1">
      <c r="B4" s="306" t="s">
        <v>1109</v>
      </c>
      <c r="C4" s="284"/>
      <c r="D4" s="285"/>
      <c r="E4" s="285"/>
      <c r="F4" s="285"/>
      <c r="G4" s="286"/>
      <c r="H4" s="285"/>
      <c r="I4" s="285"/>
      <c r="J4" s="285"/>
      <c r="K4" s="287"/>
      <c r="L4" s="288" ph="1"/>
      <c r="M4" s="288" ph="1"/>
      <c r="N4" s="307"/>
      <c r="O4" s="308"/>
      <c r="P4" s="49"/>
    </row>
    <row r="5" spans="2:16" ht="34.9" customHeight="1" thickTop="1">
      <c r="B5" s="289" t="s">
        <v>1110</v>
      </c>
      <c r="C5" s="290" t="s">
        <v>1132</v>
      </c>
      <c r="D5" s="291"/>
      <c r="E5" s="291"/>
      <c r="F5" s="291"/>
      <c r="G5" s="292"/>
      <c r="H5" s="293"/>
      <c r="I5" s="293"/>
      <c r="J5" s="293"/>
      <c r="K5" s="294"/>
      <c r="L5" s="295" ph="1"/>
      <c r="M5" s="296" ph="1"/>
      <c r="N5" s="49"/>
      <c r="O5" s="309"/>
      <c r="P5" s="49"/>
    </row>
    <row r="6" spans="2:16" ht="34.9" customHeight="1">
      <c r="B6" s="297" t="s">
        <v>1110</v>
      </c>
      <c r="C6" s="298" t="s">
        <v>1133</v>
      </c>
      <c r="D6" s="299"/>
      <c r="E6" s="299"/>
      <c r="F6" s="299"/>
      <c r="G6" s="300"/>
      <c r="H6" s="299"/>
      <c r="I6" s="299"/>
      <c r="J6" s="299"/>
      <c r="K6" s="301"/>
      <c r="L6" s="302" ph="1"/>
      <c r="M6" s="303" ph="1"/>
      <c r="N6" s="310"/>
      <c r="O6" s="311"/>
      <c r="P6" s="49"/>
    </row>
    <row r="7" spans="2:16" ht="7.15" customHeight="1">
      <c r="B7" s="148"/>
      <c r="C7" s="143"/>
      <c r="D7" s="145"/>
      <c r="E7" s="145"/>
      <c r="F7" s="145"/>
      <c r="G7" s="144"/>
      <c r="H7" s="145"/>
      <c r="I7" s="145"/>
      <c r="J7" s="145"/>
      <c r="K7" s="146"/>
      <c r="L7" s="147" ph="1"/>
      <c r="M7" s="49" ph="1"/>
      <c r="N7" s="49"/>
      <c r="O7" s="49"/>
      <c r="P7" s="49"/>
    </row>
    <row r="8" spans="2:16" ht="30" customHeight="1">
      <c r="B8" s="39" t="s">
        <v>1111</v>
      </c>
      <c r="C8" s="32"/>
      <c r="D8" s="135"/>
      <c r="E8" s="135"/>
      <c r="F8" s="135"/>
      <c r="G8" s="114"/>
      <c r="H8" s="135"/>
      <c r="I8" s="135"/>
      <c r="J8" s="135"/>
      <c r="L8" s="49" ph="1"/>
      <c r="M8" s="49" ph="1"/>
      <c r="N8" s="49"/>
      <c r="O8" s="49"/>
      <c r="P8" s="49"/>
    </row>
    <row r="9" spans="2:16" ht="30" customHeight="1" thickBot="1">
      <c r="B9" s="149" t="s">
        <v>1117</v>
      </c>
      <c r="C9" s="39"/>
      <c r="D9" s="135"/>
      <c r="E9" s="135"/>
      <c r="F9" s="135"/>
      <c r="L9" s="49" ph="1"/>
      <c r="M9" s="49" ph="1"/>
      <c r="N9" s="49"/>
      <c r="O9" s="49"/>
      <c r="P9" s="49"/>
    </row>
    <row r="10" spans="2:16" ht="30" customHeight="1" thickBot="1">
      <c r="B10" s="149"/>
      <c r="C10" s="31"/>
      <c r="D10" t="s">
        <v>1112</v>
      </c>
      <c r="E10" s="135"/>
      <c r="F10" s="135"/>
      <c r="L10" s="49" ph="1"/>
      <c r="M10" s="49" ph="1"/>
      <c r="N10" s="49"/>
      <c r="O10" s="49"/>
      <c r="P10" s="49"/>
    </row>
    <row r="11" spans="2:16" ht="30" customHeight="1" thickBot="1">
      <c r="B11" s="149"/>
      <c r="C11" s="51"/>
      <c r="D11" t="s">
        <v>1113</v>
      </c>
      <c r="E11" s="135"/>
      <c r="F11" s="135"/>
      <c r="L11" s="49" ph="1"/>
      <c r="M11" s="49" ph="1"/>
      <c r="N11" s="49"/>
      <c r="O11" s="49"/>
      <c r="P11" s="49"/>
    </row>
    <row r="12" spans="2:16" ht="30" customHeight="1" thickBot="1">
      <c r="B12" s="149"/>
      <c r="C12" s="52"/>
      <c r="D12" s="340" t="s">
        <v>1114</v>
      </c>
      <c r="E12" s="341"/>
      <c r="F12" s="341"/>
      <c r="G12" s="341"/>
      <c r="L12" s="49" ph="1"/>
      <c r="M12" s="49" ph="1"/>
      <c r="N12" s="49"/>
      <c r="O12" s="49"/>
      <c r="P12" s="49"/>
    </row>
    <row r="13" spans="2:16" ht="30" customHeight="1">
      <c r="B13" s="149" t="s">
        <v>1163</v>
      </c>
      <c r="C13" s="150"/>
      <c r="D13" s="135"/>
      <c r="E13" s="135"/>
      <c r="F13" s="135"/>
      <c r="L13" s="49" ph="1"/>
      <c r="M13" s="49" ph="1"/>
      <c r="N13" s="49"/>
      <c r="O13" s="49"/>
      <c r="P13" s="49"/>
    </row>
    <row r="14" spans="2:16" ht="30" customHeight="1">
      <c r="B14" s="149" t="s">
        <v>1115</v>
      </c>
      <c r="C14" s="150"/>
      <c r="D14" s="135"/>
      <c r="E14" s="135"/>
      <c r="F14" s="135"/>
      <c r="L14" s="49" ph="1"/>
      <c r="M14" s="49" ph="1"/>
      <c r="N14" s="49"/>
      <c r="O14" s="49"/>
      <c r="P14" s="49"/>
    </row>
    <row r="15" spans="2:16" ht="30" customHeight="1">
      <c r="B15" s="149" t="s">
        <v>1134</v>
      </c>
      <c r="C15" s="150"/>
      <c r="D15" s="136"/>
      <c r="E15" s="136"/>
      <c r="F15" s="136"/>
      <c r="L15" s="49" ph="1"/>
      <c r="M15" s="49" ph="1"/>
      <c r="N15" s="49"/>
      <c r="O15" s="49"/>
      <c r="P15" s="49"/>
    </row>
    <row r="16" spans="2:16" ht="30" customHeight="1">
      <c r="B16" s="305" t="s">
        <v>1135</v>
      </c>
      <c r="C16" s="150"/>
      <c r="D16" s="136"/>
      <c r="E16" s="136"/>
      <c r="F16" s="136"/>
      <c r="L16" s="49" ph="1"/>
      <c r="M16" s="49" ph="1"/>
      <c r="N16" s="49"/>
      <c r="O16" s="49"/>
      <c r="P16" s="49"/>
    </row>
    <row r="17" spans="2:16" ht="30" customHeight="1">
      <c r="B17" s="305" t="s">
        <v>1136</v>
      </c>
      <c r="C17" s="150"/>
      <c r="D17" s="136"/>
      <c r="E17" s="136"/>
      <c r="F17" s="136"/>
      <c r="L17" s="49" ph="1"/>
      <c r="M17" s="49" ph="1"/>
      <c r="N17" s="49"/>
      <c r="O17" s="49"/>
      <c r="P17" s="49"/>
    </row>
    <row r="18" spans="2:16" ht="30" customHeight="1">
      <c r="B18" s="305" t="s">
        <v>1137</v>
      </c>
      <c r="C18" s="150"/>
      <c r="D18" s="304"/>
      <c r="E18" s="304"/>
      <c r="F18" s="304"/>
      <c r="L18" s="49" ph="1"/>
      <c r="M18" s="49" ph="1"/>
      <c r="N18" s="49"/>
      <c r="O18" s="49"/>
      <c r="P18" s="49"/>
    </row>
    <row r="19" spans="2:16" ht="30" customHeight="1">
      <c r="B19" s="149" t="s">
        <v>1116</v>
      </c>
      <c r="C19" s="150"/>
      <c r="D19" s="136"/>
      <c r="E19" s="136"/>
      <c r="F19" s="136"/>
      <c r="L19" s="49" ph="1"/>
      <c r="M19" s="49" ph="1"/>
      <c r="N19" s="49"/>
      <c r="O19" s="49"/>
      <c r="P19" s="49"/>
    </row>
    <row r="20" spans="2:16" ht="30" customHeight="1">
      <c r="B20" s="149" t="s">
        <v>1118</v>
      </c>
      <c r="C20" s="150"/>
      <c r="D20" s="136"/>
      <c r="E20" s="136"/>
      <c r="F20" s="136"/>
      <c r="L20" s="49" ph="1"/>
      <c r="M20" s="49" ph="1"/>
      <c r="N20" s="49"/>
      <c r="O20" s="49"/>
      <c r="P20" s="49"/>
    </row>
    <row r="21" spans="2:16" ht="48.6" customHeight="1">
      <c r="B21" s="342" t="s">
        <v>1140</v>
      </c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49"/>
      <c r="O21" s="49"/>
      <c r="P21" s="49"/>
    </row>
    <row r="22" spans="2:16" ht="40.9" customHeight="1">
      <c r="B22" s="342" t="s">
        <v>1141</v>
      </c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49"/>
      <c r="O22" s="49"/>
      <c r="P22" s="49"/>
    </row>
    <row r="23" spans="2:16" ht="10.9" customHeight="1" thickBot="1">
      <c r="B23" s="149"/>
      <c r="C23" s="150"/>
      <c r="D23" s="304"/>
      <c r="E23" s="304"/>
      <c r="F23" s="304"/>
      <c r="L23" s="49" ph="1"/>
      <c r="M23" s="49" ph="1"/>
      <c r="N23" s="49"/>
      <c r="O23" s="49"/>
      <c r="P23" s="49"/>
    </row>
    <row r="24" spans="2:16" ht="36" customHeight="1" thickTop="1" thickBot="1">
      <c r="B24" s="151" t="s">
        <v>621</v>
      </c>
      <c r="C24" s="329" t="s">
        <v>620</v>
      </c>
      <c r="D24" s="330"/>
      <c r="E24" s="330"/>
      <c r="F24" s="330"/>
      <c r="G24" s="139"/>
      <c r="H24" s="140"/>
      <c r="J24" s="343" t="s">
        <v>1104</v>
      </c>
      <c r="K24" s="344"/>
      <c r="L24" s="344"/>
      <c r="M24" s="344"/>
      <c r="N24" s="344"/>
      <c r="O24" s="345"/>
    </row>
    <row r="25" spans="2:16" ht="36" customHeight="1" thickTop="1" thickBot="1">
      <c r="B25" s="151" t="s">
        <v>595</v>
      </c>
      <c r="C25" s="329" t="s">
        <v>632</v>
      </c>
      <c r="D25" s="330"/>
      <c r="E25" s="330"/>
      <c r="F25" s="331"/>
      <c r="G25" s="137" t="s">
        <v>623</v>
      </c>
      <c r="H25" s="138"/>
      <c r="J25" s="346" t="s">
        <v>1138</v>
      </c>
      <c r="K25" s="347"/>
      <c r="L25" s="347"/>
      <c r="M25" s="312" t="s">
        <v>636</v>
      </c>
      <c r="N25" s="312"/>
      <c r="O25" s="313"/>
    </row>
    <row r="26" spans="2:16" ht="36" customHeight="1" thickTop="1" thickBot="1">
      <c r="B26" s="151" t="s">
        <v>596</v>
      </c>
      <c r="C26" s="329" t="s">
        <v>622</v>
      </c>
      <c r="D26" s="330"/>
      <c r="E26" s="330"/>
      <c r="F26" s="331"/>
      <c r="G26" s="137" t="s">
        <v>624</v>
      </c>
      <c r="H26" s="138"/>
      <c r="J26" s="348" t="s">
        <v>1139</v>
      </c>
      <c r="K26" s="349"/>
      <c r="L26" s="349"/>
      <c r="M26" s="314" t="s">
        <v>633</v>
      </c>
      <c r="N26" s="314"/>
      <c r="O26" s="315"/>
    </row>
    <row r="27" spans="2:16" ht="36" customHeight="1" thickTop="1" thickBot="1">
      <c r="B27" s="151" t="s">
        <v>597</v>
      </c>
      <c r="C27" s="329" t="s">
        <v>625</v>
      </c>
      <c r="D27" s="330"/>
      <c r="E27" s="330"/>
      <c r="F27" s="331"/>
      <c r="G27" s="137" t="s">
        <v>626</v>
      </c>
      <c r="H27" s="138"/>
      <c r="J27" s="350" t="s">
        <v>1142</v>
      </c>
      <c r="K27" s="351"/>
      <c r="L27" s="351"/>
      <c r="M27" s="129" t="s">
        <v>635</v>
      </c>
      <c r="N27" s="129"/>
      <c r="O27" s="316"/>
    </row>
    <row r="28" spans="2:16" ht="36" customHeight="1" thickTop="1" thickBot="1">
      <c r="B28" s="151" t="s">
        <v>598</v>
      </c>
      <c r="C28" s="329" t="s">
        <v>628</v>
      </c>
      <c r="D28" s="330"/>
      <c r="E28" s="330"/>
      <c r="F28" s="331"/>
      <c r="G28" s="137" t="s">
        <v>627</v>
      </c>
      <c r="H28" s="138"/>
      <c r="J28" s="336" t="s">
        <v>1143</v>
      </c>
      <c r="K28" s="337"/>
      <c r="L28" s="337"/>
      <c r="M28" s="128" t="s">
        <v>1076</v>
      </c>
      <c r="N28" s="128"/>
      <c r="O28" s="317"/>
    </row>
    <row r="29" spans="2:16" ht="36" customHeight="1" thickTop="1" thickBot="1">
      <c r="B29" s="151" t="s">
        <v>599</v>
      </c>
      <c r="C29" s="329" t="s">
        <v>629</v>
      </c>
      <c r="D29" s="330"/>
      <c r="E29" s="330"/>
      <c r="F29" s="331"/>
      <c r="G29" s="334" t="s">
        <v>1069</v>
      </c>
      <c r="H29" s="335"/>
    </row>
    <row r="30" spans="2:16" ht="36" customHeight="1" thickTop="1" thickBot="1">
      <c r="B30" s="151" t="s">
        <v>600</v>
      </c>
      <c r="C30" s="332" t="s">
        <v>630</v>
      </c>
      <c r="D30" s="333"/>
      <c r="E30" s="333"/>
      <c r="F30" s="333"/>
      <c r="G30" s="141"/>
      <c r="H30" s="142"/>
    </row>
    <row r="31" spans="2:16" ht="15" customHeight="1" thickTop="1">
      <c r="C31" s="47"/>
      <c r="D31" s="35"/>
      <c r="E31" s="47"/>
      <c r="F31" s="47"/>
      <c r="I31"/>
      <c r="J31"/>
    </row>
    <row r="32" spans="2:16" ht="30" customHeight="1">
      <c r="B32" s="149" t="s">
        <v>1119</v>
      </c>
      <c r="C32" s="150"/>
      <c r="D32" s="136"/>
      <c r="E32" s="136"/>
      <c r="F32" s="136"/>
      <c r="L32" s="49" ph="1"/>
      <c r="M32" s="49" ph="1"/>
      <c r="N32" s="49"/>
      <c r="O32" s="49"/>
      <c r="P32" s="49"/>
    </row>
    <row r="33" spans="2:85" s="72" customFormat="1">
      <c r="B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7"/>
      <c r="BU33" s="77"/>
      <c r="BV33" s="77"/>
      <c r="BW33" s="69"/>
      <c r="BX33" s="69"/>
      <c r="BY33" s="69"/>
      <c r="BZ33" s="69"/>
      <c r="CA33" s="69"/>
      <c r="CB33" s="69"/>
      <c r="CC33" s="69"/>
      <c r="CD33" s="70"/>
      <c r="CE33" s="71"/>
      <c r="CF33" s="71"/>
      <c r="CG33" s="71"/>
    </row>
    <row r="34" spans="2:85" s="72" customFormat="1">
      <c r="B34" s="73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7"/>
      <c r="BU34" s="77"/>
      <c r="BV34" s="77"/>
      <c r="BW34" s="69"/>
      <c r="BX34" s="69"/>
      <c r="BY34" s="69"/>
      <c r="BZ34" s="69"/>
      <c r="CA34" s="69"/>
      <c r="CB34" s="69"/>
      <c r="CC34" s="69"/>
      <c r="CD34" s="70"/>
      <c r="CE34" s="71"/>
      <c r="CF34" s="71"/>
      <c r="CG34" s="71"/>
    </row>
    <row r="35" spans="2:85" s="72" customFormat="1">
      <c r="B35" s="73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7"/>
      <c r="BU35" s="77"/>
      <c r="BV35" s="77"/>
      <c r="BW35" s="69"/>
      <c r="BX35" s="69"/>
      <c r="BY35" s="69"/>
      <c r="BZ35" s="69"/>
      <c r="CA35" s="69"/>
      <c r="CB35" s="69"/>
      <c r="CC35" s="69"/>
      <c r="CD35" s="70"/>
      <c r="CE35" s="71"/>
      <c r="CF35" s="71"/>
      <c r="CG35" s="71"/>
    </row>
    <row r="36" spans="2:85" s="72" customFormat="1">
      <c r="B36" s="73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7"/>
      <c r="BU36" s="77"/>
      <c r="BV36" s="77"/>
      <c r="BW36" s="69"/>
      <c r="BX36" s="69"/>
      <c r="BY36" s="69"/>
      <c r="BZ36" s="69"/>
      <c r="CA36" s="69"/>
      <c r="CB36" s="69"/>
      <c r="CC36" s="69"/>
      <c r="CD36" s="70"/>
      <c r="CE36" s="71"/>
      <c r="CF36" s="71"/>
      <c r="CG36" s="71"/>
    </row>
    <row r="37" spans="2:85" s="72" customFormat="1">
      <c r="B37" s="73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7"/>
      <c r="BU37" s="77"/>
      <c r="BV37" s="77"/>
      <c r="BW37" s="69"/>
      <c r="BX37" s="69"/>
      <c r="BY37" s="69"/>
      <c r="BZ37" s="69"/>
      <c r="CA37" s="69"/>
      <c r="CB37" s="69"/>
      <c r="CC37" s="69"/>
      <c r="CD37" s="70"/>
      <c r="CE37" s="71"/>
      <c r="CF37" s="71"/>
      <c r="CG37" s="71"/>
    </row>
    <row r="38" spans="2:85" s="72" customFormat="1">
      <c r="B38" s="73"/>
      <c r="C38" s="78"/>
      <c r="D38" s="73"/>
      <c r="E38" s="73"/>
      <c r="F38" s="73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76"/>
      <c r="BQ38" s="76"/>
      <c r="BR38" s="76"/>
      <c r="BS38" s="76"/>
      <c r="BT38" s="77"/>
      <c r="BU38" s="77"/>
      <c r="BV38" s="77"/>
      <c r="BW38" s="69"/>
      <c r="BX38" s="69"/>
      <c r="BY38" s="69"/>
      <c r="BZ38" s="69"/>
      <c r="CA38" s="69"/>
      <c r="CB38" s="69"/>
      <c r="CC38" s="69"/>
      <c r="CD38" s="70"/>
      <c r="CE38" s="71"/>
      <c r="CF38" s="71"/>
      <c r="CG38" s="71"/>
    </row>
  </sheetData>
  <sheetProtection algorithmName="SHA-512" hashValue="fn/ZKQAED/5xARrxf9EWSS4t2wn/T4Sbjz7YN8f0RKzWU4Eey5rc4btTgs+CJ5DBpLSn75QMObPmvlleEYb9uA==" saltValue="jR6hMpUwZydTQRzZ0eBqxQ==" spinCount="100000" sheet="1" objects="1" scenarios="1"/>
  <mergeCells count="18">
    <mergeCell ref="J28:L28"/>
    <mergeCell ref="H3:J3"/>
    <mergeCell ref="B2:O2"/>
    <mergeCell ref="C27:F27"/>
    <mergeCell ref="C28:F28"/>
    <mergeCell ref="D12:G12"/>
    <mergeCell ref="B21:M21"/>
    <mergeCell ref="B22:M22"/>
    <mergeCell ref="J24:O24"/>
    <mergeCell ref="J25:L25"/>
    <mergeCell ref="J26:L26"/>
    <mergeCell ref="J27:L27"/>
    <mergeCell ref="C29:F29"/>
    <mergeCell ref="C30:F30"/>
    <mergeCell ref="G29:H29"/>
    <mergeCell ref="C24:F24"/>
    <mergeCell ref="C25:F25"/>
    <mergeCell ref="C26:F26"/>
  </mergeCells>
  <phoneticPr fontId="1"/>
  <pageMargins left="0.51181102362204722" right="0.51181102362204722" top="0.55118110236220474" bottom="0.55118110236220474" header="0.31496062992125984" footer="0.31496062992125984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1DE6-3A82-4FA5-9AB4-75B5557CDC8B}">
  <sheetPr>
    <tabColor rgb="FF92D050"/>
    <pageSetUpPr fitToPage="1"/>
  </sheetPr>
  <dimension ref="A1:CG81"/>
  <sheetViews>
    <sheetView zoomScaleNormal="100" workbookViewId="0">
      <selection activeCell="M8" sqref="M8"/>
    </sheetView>
  </sheetViews>
  <sheetFormatPr defaultRowHeight="18.75"/>
  <cols>
    <col min="1" max="1" width="3.75" customWidth="1"/>
    <col min="2" max="2" width="15.75" style="47" customWidth="1"/>
    <col min="3" max="3" width="15.75" customWidth="1"/>
    <col min="4" max="4" width="15.75" style="47" customWidth="1"/>
    <col min="5" max="5" width="16.5" style="35" customWidth="1"/>
    <col min="6" max="6" width="4.125" style="35" customWidth="1"/>
    <col min="7" max="7" width="11.75" style="47" customWidth="1"/>
    <col min="8" max="9" width="3.875" style="47" customWidth="1"/>
    <col min="10" max="10" width="11.75" style="47" customWidth="1"/>
    <col min="11" max="11" width="3" customWidth="1"/>
    <col min="12" max="12" width="9.625" customWidth="1"/>
    <col min="13" max="13" width="13.25" customWidth="1"/>
    <col min="14" max="14" width="9.75" customWidth="1"/>
    <col min="15" max="15" width="12" customWidth="1"/>
    <col min="16" max="16" width="4.25" customWidth="1"/>
    <col min="17" max="17" width="5.5" hidden="1" customWidth="1"/>
    <col min="18" max="18" width="8.625" hidden="1" customWidth="1"/>
    <col min="19" max="19" width="10" hidden="1" customWidth="1"/>
    <col min="20" max="20" width="19.625" hidden="1" customWidth="1"/>
    <col min="21" max="21" width="13.625" customWidth="1"/>
    <col min="22" max="22" width="16.625" customWidth="1"/>
    <col min="23" max="23" width="17.25" customWidth="1"/>
  </cols>
  <sheetData>
    <row r="1" spans="2:18" ht="9" customHeight="1">
      <c r="B1" s="166"/>
      <c r="C1" s="68"/>
      <c r="D1" s="166"/>
      <c r="E1" s="167"/>
      <c r="F1" s="167"/>
      <c r="G1" s="166"/>
      <c r="H1" s="166"/>
      <c r="I1" s="166"/>
      <c r="J1" s="166"/>
      <c r="K1" s="68"/>
      <c r="L1" s="68"/>
      <c r="M1" s="68"/>
      <c r="N1" s="68"/>
    </row>
    <row r="2" spans="2:18" ht="34.15" customHeight="1">
      <c r="B2" s="393" t="s">
        <v>1096</v>
      </c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68"/>
    </row>
    <row r="3" spans="2:18" ht="9" customHeight="1" thickBot="1">
      <c r="B3" s="166"/>
      <c r="C3" s="68"/>
      <c r="D3" s="166"/>
      <c r="E3" s="167"/>
      <c r="F3" s="167"/>
      <c r="G3" s="166"/>
      <c r="H3" s="166"/>
      <c r="I3" s="166"/>
      <c r="J3" s="166"/>
      <c r="K3" s="68"/>
      <c r="L3" s="68"/>
      <c r="M3" s="68"/>
      <c r="N3" s="68"/>
    </row>
    <row r="4" spans="2:18" ht="30" customHeight="1" thickBot="1">
      <c r="B4" s="166"/>
      <c r="C4" s="168" t="s">
        <v>579</v>
      </c>
      <c r="D4" s="169">
        <f ca="1">TODAY()</f>
        <v>45105</v>
      </c>
      <c r="E4" s="169"/>
      <c r="F4" s="169"/>
      <c r="G4" s="170"/>
      <c r="H4" s="394"/>
      <c r="I4" s="394"/>
      <c r="J4" s="394"/>
      <c r="K4" s="68"/>
      <c r="L4" s="171"/>
      <c r="M4" s="318" t="s">
        <v>578</v>
      </c>
      <c r="N4" s="172"/>
      <c r="O4" s="49"/>
      <c r="P4" s="49"/>
    </row>
    <row r="5" spans="2:18" ht="30" customHeight="1" thickBot="1">
      <c r="B5" s="173" t="s">
        <v>612</v>
      </c>
      <c r="C5" s="173"/>
      <c r="D5" s="169"/>
      <c r="E5" s="169"/>
      <c r="F5" s="169"/>
      <c r="G5" s="166"/>
      <c r="H5" s="166"/>
      <c r="I5" s="166"/>
      <c r="J5" s="166"/>
      <c r="K5" s="68"/>
      <c r="L5" s="174"/>
      <c r="M5" s="318" t="s">
        <v>577</v>
      </c>
      <c r="N5" s="172"/>
      <c r="O5" s="49"/>
      <c r="P5" s="49"/>
    </row>
    <row r="6" spans="2:18" s="48" customFormat="1" ht="30" customHeight="1" thickTop="1" thickBot="1">
      <c r="B6" s="175" t="s">
        <v>0</v>
      </c>
      <c r="C6" s="395">
        <v>123456</v>
      </c>
      <c r="D6" s="396"/>
      <c r="E6" s="176" t="s">
        <v>609</v>
      </c>
      <c r="F6" s="395" t="s">
        <v>1060</v>
      </c>
      <c r="G6" s="397"/>
      <c r="H6" s="397"/>
      <c r="I6" s="397"/>
      <c r="J6" s="396"/>
      <c r="K6" s="177"/>
      <c r="L6" s="178"/>
      <c r="M6" s="318" t="s">
        <v>1070</v>
      </c>
      <c r="N6" s="68"/>
      <c r="O6"/>
      <c r="P6"/>
    </row>
    <row r="7" spans="2:18" s="48" customFormat="1" ht="30" customHeight="1" thickTop="1" thickBot="1">
      <c r="B7" s="175" t="s">
        <v>611</v>
      </c>
      <c r="C7" s="381" t="s">
        <v>38</v>
      </c>
      <c r="D7" s="382"/>
      <c r="E7" s="320" t="s">
        <v>610</v>
      </c>
      <c r="F7" s="398" t="s">
        <v>1162</v>
      </c>
      <c r="G7" s="399"/>
      <c r="H7" s="399"/>
      <c r="I7" s="399"/>
      <c r="J7" s="400"/>
      <c r="K7" s="179"/>
      <c r="L7" s="180"/>
      <c r="M7" s="318" t="s">
        <v>1127</v>
      </c>
      <c r="N7" s="68"/>
      <c r="O7"/>
      <c r="P7"/>
    </row>
    <row r="8" spans="2:18" s="48" customFormat="1" ht="30" customHeight="1" thickTop="1" thickBot="1">
      <c r="B8" s="181" t="s">
        <v>3</v>
      </c>
      <c r="C8" s="401">
        <v>23438</v>
      </c>
      <c r="D8" s="402"/>
      <c r="E8" s="325" t="s">
        <v>4</v>
      </c>
      <c r="F8" s="403" t="s">
        <v>1120</v>
      </c>
      <c r="G8" s="404"/>
      <c r="H8" s="404"/>
      <c r="I8" s="404"/>
      <c r="J8" s="405"/>
      <c r="K8" s="177"/>
      <c r="L8" s="177"/>
      <c r="M8" s="68"/>
      <c r="N8" s="68"/>
      <c r="O8"/>
      <c r="Q8" s="48" t="str">
        <f>F8&amp;F7</f>
        <v>定年退職教諭</v>
      </c>
    </row>
    <row r="9" spans="2:18" s="48" customFormat="1" ht="30" customHeight="1" thickTop="1" thickBot="1">
      <c r="B9" s="182" t="s">
        <v>1067</v>
      </c>
      <c r="C9" s="58" t="str">
        <f>IF(DATEDIF(C8,$F$10,"y")&gt;65,0,DATEDIF(C8,$F$10,"y"))&amp;"歳"</f>
        <v>61歳</v>
      </c>
      <c r="D9" s="183"/>
      <c r="E9" s="53" t="s">
        <v>1147</v>
      </c>
      <c r="F9" s="410">
        <v>45382</v>
      </c>
      <c r="G9" s="411"/>
      <c r="H9" s="411"/>
      <c r="I9" s="411"/>
      <c r="J9" s="412"/>
      <c r="K9" s="415" t="s">
        <v>1148</v>
      </c>
      <c r="L9" s="416"/>
      <c r="M9" s="416"/>
      <c r="N9" s="68"/>
      <c r="O9"/>
      <c r="Q9" s="48">
        <f>IF(DATEDIF(C8,$F$10,"y")&gt;60,0,DATEDIF(C8,$F$10,"y"))</f>
        <v>0</v>
      </c>
    </row>
    <row r="10" spans="2:18" s="48" customFormat="1" ht="30" customHeight="1" thickTop="1" thickBot="1">
      <c r="B10" s="175" t="s">
        <v>6</v>
      </c>
      <c r="C10" s="406">
        <v>33329</v>
      </c>
      <c r="D10" s="396"/>
      <c r="E10" s="320" t="s">
        <v>7</v>
      </c>
      <c r="F10" s="407">
        <v>45747</v>
      </c>
      <c r="G10" s="408"/>
      <c r="H10" s="408"/>
      <c r="I10" s="408"/>
      <c r="J10" s="409"/>
      <c r="K10" s="415" t="s">
        <v>1161</v>
      </c>
      <c r="L10" s="416"/>
      <c r="M10" s="416"/>
      <c r="N10" s="68"/>
      <c r="O10"/>
      <c r="P10"/>
      <c r="Q10" s="22">
        <f>+DATE(YEAR(C10),MONTH(C10),1)</f>
        <v>33329</v>
      </c>
      <c r="R10" s="22">
        <f>+DATE(YEAR(C10),MONTH(C10),1)</f>
        <v>33329</v>
      </c>
    </row>
    <row r="11" spans="2:18" ht="30" customHeight="1" thickTop="1">
      <c r="B11" s="53" t="s">
        <v>613</v>
      </c>
      <c r="C11" s="328" t="str">
        <f>ROUNDDOWN(Q12/12,0)&amp;"年"&amp;MOD(Q12,12)&amp;"月"</f>
        <v>34年0月</v>
      </c>
      <c r="D11" s="327"/>
      <c r="E11" s="53" t="s">
        <v>1152</v>
      </c>
      <c r="F11" s="413" t="str">
        <f>ROUNDDOWN(R12/12,0)&amp;"年"&amp;MOD(R12,12)&amp;"月"</f>
        <v>33年0月</v>
      </c>
      <c r="G11" s="414"/>
      <c r="H11" s="166"/>
      <c r="I11" s="166"/>
      <c r="J11" s="166"/>
      <c r="K11" s="68"/>
      <c r="L11" s="68"/>
      <c r="M11" s="68"/>
      <c r="N11" s="68"/>
      <c r="Q11" s="22">
        <f>+DATE(YEAR(F10),MONTH(F10),1)</f>
        <v>45717</v>
      </c>
      <c r="R11" s="22">
        <f>+DATE(YEAR(F9),MONTH(F9),1)</f>
        <v>45352</v>
      </c>
    </row>
    <row r="12" spans="2:18" ht="30" customHeight="1">
      <c r="B12" s="185"/>
      <c r="C12" s="56"/>
      <c r="D12" s="186"/>
      <c r="E12" s="169"/>
      <c r="F12" s="169"/>
      <c r="G12" s="166"/>
      <c r="H12" s="166"/>
      <c r="I12" s="166"/>
      <c r="J12" s="166"/>
      <c r="K12" s="68"/>
      <c r="L12" s="68"/>
      <c r="M12" s="68"/>
      <c r="N12" s="68"/>
      <c r="Q12">
        <f>+DATEDIF(Q10,Q11,"m")+1</f>
        <v>408</v>
      </c>
      <c r="R12">
        <f>+DATEDIF(R10,R11,"m")+1</f>
        <v>396</v>
      </c>
    </row>
    <row r="13" spans="2:18" ht="64.900000000000006" customHeight="1">
      <c r="B13" s="371" t="s">
        <v>1097</v>
      </c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68"/>
      <c r="N13" s="172"/>
      <c r="O13" s="49"/>
      <c r="P13" s="49"/>
    </row>
    <row r="14" spans="2:18" ht="13.9" customHeight="1"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68"/>
      <c r="N14" s="172"/>
      <c r="O14" s="49"/>
      <c r="P14" s="49"/>
    </row>
    <row r="15" spans="2:18" ht="26.45" customHeight="1">
      <c r="B15" s="387" t="s">
        <v>1089</v>
      </c>
      <c r="C15" s="387"/>
      <c r="D15" s="387"/>
      <c r="E15" s="390" t="s">
        <v>1098</v>
      </c>
      <c r="F15" s="390"/>
      <c r="G15" s="390"/>
      <c r="H15" s="390"/>
      <c r="I15" s="390"/>
      <c r="J15" s="390"/>
      <c r="K15" s="390"/>
      <c r="L15" s="187"/>
      <c r="M15" s="68"/>
      <c r="N15" s="172"/>
      <c r="O15" s="49"/>
      <c r="P15" s="49"/>
    </row>
    <row r="16" spans="2:18" s="48" customFormat="1" ht="30" customHeight="1" thickBot="1">
      <c r="B16" s="391" t="s">
        <v>616</v>
      </c>
      <c r="C16" s="392"/>
      <c r="D16" s="188" t="s">
        <v>1054</v>
      </c>
      <c r="E16" s="391" t="s">
        <v>1058</v>
      </c>
      <c r="F16" s="392"/>
      <c r="G16" s="392"/>
      <c r="H16" s="392"/>
      <c r="I16" s="188"/>
      <c r="J16" s="388" t="s">
        <v>1057</v>
      </c>
      <c r="K16" s="389"/>
      <c r="L16" s="177"/>
      <c r="M16" s="189"/>
      <c r="N16" s="68"/>
      <c r="O16"/>
      <c r="P16"/>
      <c r="Q16" s="22"/>
    </row>
    <row r="17" spans="1:19" s="48" customFormat="1" ht="33.6" customHeight="1" thickTop="1" thickBot="1">
      <c r="A17" s="100" t="s">
        <v>1099</v>
      </c>
      <c r="B17" s="381" t="s">
        <v>1051</v>
      </c>
      <c r="C17" s="382"/>
      <c r="D17" s="190">
        <v>36270</v>
      </c>
      <c r="E17" s="191">
        <v>36349</v>
      </c>
      <c r="F17" s="192" t="s">
        <v>1055</v>
      </c>
      <c r="G17" s="383">
        <v>36616</v>
      </c>
      <c r="H17" s="384"/>
      <c r="I17" s="193" t="s">
        <v>1056</v>
      </c>
      <c r="J17" s="385" t="str">
        <f>ROUNDDOWN(O20/12,0)&amp;"年"&amp;MOD(O20,12)&amp;"月"</f>
        <v>0年2.6月</v>
      </c>
      <c r="K17" s="385"/>
      <c r="L17" s="177"/>
      <c r="M17" s="68"/>
      <c r="N17" s="68"/>
      <c r="O17"/>
      <c r="P17"/>
      <c r="Q17" s="104" t="s">
        <v>1051</v>
      </c>
      <c r="R17" s="5">
        <v>3</v>
      </c>
      <c r="S17" s="5">
        <v>2</v>
      </c>
    </row>
    <row r="18" spans="1:19" s="48" customFormat="1" ht="24.75" hidden="1" thickTop="1">
      <c r="B18" s="378">
        <f>EOMONTH(D18,-1)</f>
        <v>36616</v>
      </c>
      <c r="C18" s="378"/>
      <c r="D18" s="194">
        <f>IF(B17="育児休業(平成４年４月１日以降）",D17+364,"")</f>
        <v>36634</v>
      </c>
      <c r="E18" s="195">
        <f>IF(E17="","",IF(DAY(E17)=1,E17,IF(DAY(E17)&lt;&gt;1,EOMONTH(E17,0)+1,"")))</f>
        <v>36373</v>
      </c>
      <c r="F18" s="196"/>
      <c r="G18" s="379">
        <f>IF(G17&gt;D18,EOMONTH(B18,1),IF(G17="","",IF(EOMONTH(G17,0)&lt;&gt;G17,EOMONTH(G17,-1),IF(G17=EOMONTH(G17,0),G17,""))))</f>
        <v>36616</v>
      </c>
      <c r="H18" s="379"/>
      <c r="I18" s="95" t="s">
        <v>20</v>
      </c>
      <c r="J18" s="161"/>
      <c r="K18" s="111"/>
      <c r="L18" s="177"/>
      <c r="M18" s="177">
        <f>IFERROR(VLOOKUP(B17,$Q$17:$S$24,2,FALSE),"")</f>
        <v>3</v>
      </c>
      <c r="N18" s="94">
        <f>IFERROR(DATEDIF(E18,G18,"M")+1,"")</f>
        <v>8</v>
      </c>
      <c r="O18" s="99">
        <f>IFERROR(ROUNDDOWN(N18/M18,1),0)</f>
        <v>2.6</v>
      </c>
      <c r="P18" s="99"/>
      <c r="Q18" s="104" t="s">
        <v>1052</v>
      </c>
      <c r="R18" s="105">
        <v>2</v>
      </c>
      <c r="S18" s="105">
        <v>2</v>
      </c>
    </row>
    <row r="19" spans="1:19" s="48" customFormat="1" ht="24" hidden="1">
      <c r="B19" s="197"/>
      <c r="C19" s="198"/>
      <c r="D19" s="194"/>
      <c r="E19" s="195" t="str">
        <f>IF(G18&lt;&gt;G17,G18+1,"")</f>
        <v/>
      </c>
      <c r="F19" s="196"/>
      <c r="G19" s="380">
        <f>IF(G17="","",IF(EOMONTH(G17,0)&lt;&gt;G17,EOMONTH(G17,-1),IF(G17=EOMONTH(G17,0),G17,"")))</f>
        <v>36616</v>
      </c>
      <c r="H19" s="380"/>
      <c r="I19" s="95" t="s">
        <v>27</v>
      </c>
      <c r="J19" s="161"/>
      <c r="K19" s="111"/>
      <c r="L19" s="94"/>
      <c r="M19" s="177">
        <f>IFERROR(VLOOKUP(B17,$Q$17:$S$24,3,FALSE),"")</f>
        <v>2</v>
      </c>
      <c r="N19" s="189" t="str">
        <f>IFERROR(DATEDIF(E19,G19,"M")+1,"")</f>
        <v/>
      </c>
      <c r="O19" s="99">
        <f>IFERROR(ROUNDDOWN(N19/M19,1),0)</f>
        <v>0</v>
      </c>
      <c r="P19" s="99"/>
      <c r="Q19" s="104" t="s">
        <v>1046</v>
      </c>
      <c r="R19" s="5">
        <v>2</v>
      </c>
      <c r="S19" s="5">
        <v>2</v>
      </c>
    </row>
    <row r="20" spans="1:19" s="48" customFormat="1" ht="24.75" hidden="1" thickBot="1">
      <c r="B20" s="197"/>
      <c r="C20" s="198"/>
      <c r="D20" s="194"/>
      <c r="E20" s="198"/>
      <c r="F20" s="198"/>
      <c r="G20" s="196"/>
      <c r="H20" s="196"/>
      <c r="I20" s="196"/>
      <c r="J20" s="162"/>
      <c r="K20" s="111"/>
      <c r="L20" s="94"/>
      <c r="M20" s="189"/>
      <c r="N20" s="68"/>
      <c r="O20" s="99">
        <f>IFERROR(O18+O19,"")</f>
        <v>2.6</v>
      </c>
      <c r="P20"/>
      <c r="Q20" s="104" t="s">
        <v>1047</v>
      </c>
      <c r="R20" s="105">
        <v>2</v>
      </c>
      <c r="S20" s="105">
        <v>2</v>
      </c>
    </row>
    <row r="21" spans="1:19" s="48" customFormat="1" ht="34.15" customHeight="1" thickTop="1" thickBot="1">
      <c r="A21" s="100" t="s">
        <v>1100</v>
      </c>
      <c r="B21" s="381"/>
      <c r="C21" s="382"/>
      <c r="D21" s="190"/>
      <c r="E21" s="191"/>
      <c r="F21" s="192" t="s">
        <v>1055</v>
      </c>
      <c r="G21" s="383"/>
      <c r="H21" s="384"/>
      <c r="I21" s="193" t="s">
        <v>1056</v>
      </c>
      <c r="J21" s="385" t="str">
        <f>ROUNDDOWN(O24/12,0)&amp;"年"&amp;MOD(O24,12)&amp;"月"</f>
        <v>0年0月</v>
      </c>
      <c r="K21" s="385"/>
      <c r="L21" s="177"/>
      <c r="M21" s="68"/>
      <c r="N21" s="68"/>
      <c r="O21"/>
      <c r="P21"/>
      <c r="Q21" s="104" t="s">
        <v>1053</v>
      </c>
      <c r="R21" s="5">
        <v>3</v>
      </c>
      <c r="S21" s="5">
        <v>3</v>
      </c>
    </row>
    <row r="22" spans="1:19" s="48" customFormat="1" ht="24.75" hidden="1" thickTop="1">
      <c r="B22" s="378" t="e">
        <f>EOMONTH(D22,-1)</f>
        <v>#VALUE!</v>
      </c>
      <c r="C22" s="378"/>
      <c r="D22" s="194" t="str">
        <f>IF(B21="育児休業(平成４年４月１日以降）",D21+364,"")</f>
        <v/>
      </c>
      <c r="E22" s="195" t="str">
        <f>IF(E21="","",IF(DAY(E21)=1,E21,IF(DAY(E21)&lt;&gt;1,EOMONTH(E21,0)+1,"")))</f>
        <v/>
      </c>
      <c r="F22" s="196"/>
      <c r="G22" s="379" t="str">
        <f>IF(G21&gt;D22,EOMONTH(B22,1),IF(G21="","",IF(EOMONTH(G21,0)&lt;&gt;G21,EOMONTH(G21,-1),IF(G21=EOMONTH(G21,0),G21,""))))</f>
        <v/>
      </c>
      <c r="H22" s="379"/>
      <c r="I22" s="95" t="s">
        <v>20</v>
      </c>
      <c r="J22" s="161"/>
      <c r="K22" s="111"/>
      <c r="L22" s="177"/>
      <c r="M22" s="177" t="str">
        <f>IFERROR(VLOOKUP(B21,$Q$17:$S$24,2,FALSE),"")</f>
        <v/>
      </c>
      <c r="N22" s="94" t="str">
        <f>IFERROR(DATEDIF(E22,G22,"M")+1,"")</f>
        <v/>
      </c>
      <c r="O22" s="99">
        <f>IFERROR(ROUNDDOWN(N22/M22,1),0)</f>
        <v>0</v>
      </c>
      <c r="P22" s="99"/>
      <c r="Q22" s="106" t="s">
        <v>1050</v>
      </c>
      <c r="R22" s="105">
        <v>1</v>
      </c>
      <c r="S22" s="105">
        <v>1</v>
      </c>
    </row>
    <row r="23" spans="1:19" s="48" customFormat="1" ht="24" hidden="1">
      <c r="B23" s="197"/>
      <c r="C23" s="198"/>
      <c r="D23" s="194"/>
      <c r="E23" s="195" t="str">
        <f>IF(G22&lt;&gt;G21,G22+1,"")</f>
        <v/>
      </c>
      <c r="F23" s="196"/>
      <c r="G23" s="380" t="str">
        <f>IF(G21="","",IF(EOMONTH(G21,0)&lt;&gt;G21,EOMONTH(G21,-1),IF(G21=EOMONTH(G21,0),G21,"")))</f>
        <v/>
      </c>
      <c r="H23" s="380"/>
      <c r="I23" s="95" t="s">
        <v>27</v>
      </c>
      <c r="J23" s="161"/>
      <c r="K23" s="111"/>
      <c r="L23" s="94"/>
      <c r="M23" s="177" t="str">
        <f>IFERROR(VLOOKUP(B21,$Q$17:$S$24,3,FALSE),"")</f>
        <v/>
      </c>
      <c r="N23" s="189" t="str">
        <f>IFERROR(DATEDIF(E23,G23,"M")+1,"")</f>
        <v/>
      </c>
      <c r="O23" s="99">
        <f>IFERROR(ROUNDDOWN(N23/M23,1),0)</f>
        <v>0</v>
      </c>
      <c r="P23" s="99"/>
      <c r="Q23" s="106" t="s">
        <v>1049</v>
      </c>
      <c r="R23" s="105">
        <v>1</v>
      </c>
      <c r="S23" s="105">
        <v>1</v>
      </c>
    </row>
    <row r="24" spans="1:19" s="48" customFormat="1" ht="24.75" hidden="1" thickBot="1">
      <c r="B24" s="197"/>
      <c r="C24" s="198"/>
      <c r="D24" s="194"/>
      <c r="E24" s="198"/>
      <c r="F24" s="198"/>
      <c r="G24" s="196"/>
      <c r="H24" s="196"/>
      <c r="I24" s="196"/>
      <c r="J24" s="162"/>
      <c r="K24" s="111"/>
      <c r="L24" s="94"/>
      <c r="M24" s="189"/>
      <c r="N24" s="68"/>
      <c r="O24" s="99">
        <f>IFERROR(O22+O23,"")</f>
        <v>0</v>
      </c>
      <c r="P24"/>
      <c r="Q24" s="106" t="s">
        <v>1048</v>
      </c>
      <c r="R24" s="5">
        <v>1</v>
      </c>
      <c r="S24" s="5">
        <v>1</v>
      </c>
    </row>
    <row r="25" spans="1:19" s="48" customFormat="1" ht="34.15" customHeight="1" thickTop="1" thickBot="1">
      <c r="A25" s="100" t="s">
        <v>1101</v>
      </c>
      <c r="B25" s="381"/>
      <c r="C25" s="382"/>
      <c r="D25" s="190"/>
      <c r="E25" s="191"/>
      <c r="F25" s="192" t="s">
        <v>1055</v>
      </c>
      <c r="G25" s="383"/>
      <c r="H25" s="384"/>
      <c r="I25" s="193" t="s">
        <v>1056</v>
      </c>
      <c r="J25" s="385" t="str">
        <f>ROUNDDOWN(O28/12,0)&amp;"年"&amp;MOD(O28,12)&amp;"月"</f>
        <v>0年0月</v>
      </c>
      <c r="K25" s="385"/>
      <c r="L25" s="177"/>
      <c r="M25" s="68"/>
      <c r="N25" s="68"/>
      <c r="O25"/>
      <c r="P25"/>
      <c r="Q25" s="104"/>
      <c r="R25" s="5"/>
      <c r="S25" s="5"/>
    </row>
    <row r="26" spans="1:19" s="48" customFormat="1" ht="24.75" hidden="1" thickTop="1">
      <c r="B26" s="378" t="e">
        <f>EOMONTH(D26,-1)</f>
        <v>#VALUE!</v>
      </c>
      <c r="C26" s="378"/>
      <c r="D26" s="198" t="str">
        <f>IF(B25="育児休業(平成４年４月１日以降）",D25+364,"")</f>
        <v/>
      </c>
      <c r="E26" s="195" t="str">
        <f>IF(E25="","",IF(DAY(E25)=1,E25,IF(DAY(E25)&lt;&gt;1,EOMONTH(E25,0)+1,"")))</f>
        <v/>
      </c>
      <c r="F26" s="196"/>
      <c r="G26" s="379" t="str">
        <f>IF(G25&gt;D26,EOMONTH(B26,1),IF(G25="","",IF(EOMONTH(G25,0)&lt;&gt;G25,EOMONTH(G25,-1),IF(G25=EOMONTH(G25,0),G25,""))))</f>
        <v/>
      </c>
      <c r="H26" s="379"/>
      <c r="I26" s="95" t="s">
        <v>20</v>
      </c>
      <c r="J26" s="161"/>
      <c r="K26" s="111"/>
      <c r="L26" s="177"/>
      <c r="M26" s="177" t="str">
        <f>IFERROR(VLOOKUP(B25,$Q$17:$S$24,2,FALSE),"")</f>
        <v/>
      </c>
      <c r="N26" s="94" t="str">
        <f>IFERROR(DATEDIF(E26,G26,"M")+1,"")</f>
        <v/>
      </c>
      <c r="O26" s="99">
        <f>IFERROR(ROUNDDOWN(N26/M26,1),0)</f>
        <v>0</v>
      </c>
      <c r="P26" s="99"/>
      <c r="Q26" s="107"/>
      <c r="R26" s="108"/>
      <c r="S26" s="108"/>
    </row>
    <row r="27" spans="1:19" s="48" customFormat="1" ht="24" hidden="1">
      <c r="B27" s="197"/>
      <c r="C27" s="198"/>
      <c r="D27" s="198"/>
      <c r="E27" s="195" t="str">
        <f>IF(G26&lt;&gt;G25,G26+1,"")</f>
        <v/>
      </c>
      <c r="F27" s="196"/>
      <c r="G27" s="380" t="str">
        <f>IF(G25="","",IF(EOMONTH(G25,0)&lt;&gt;G25,EOMONTH(G25,-1),IF(G25=EOMONTH(G25,0),G25,"")))</f>
        <v/>
      </c>
      <c r="H27" s="380"/>
      <c r="I27" s="95" t="s">
        <v>27</v>
      </c>
      <c r="J27" s="161"/>
      <c r="K27" s="111"/>
      <c r="L27" s="94"/>
      <c r="M27" s="177" t="str">
        <f>IFERROR(VLOOKUP(B25,$Q$17:$S$24,3,FALSE),"")</f>
        <v/>
      </c>
      <c r="N27" s="189" t="str">
        <f>IFERROR(DATEDIF(E27,G27,"M")+1,"")</f>
        <v/>
      </c>
      <c r="O27" s="99">
        <f>IFERROR(ROUNDDOWN(N27/M27,1),0)</f>
        <v>0</v>
      </c>
      <c r="P27" s="99"/>
      <c r="Q27" s="107"/>
      <c r="R27" s="108"/>
      <c r="S27" s="108"/>
    </row>
    <row r="28" spans="1:19" s="48" customFormat="1" ht="24" hidden="1">
      <c r="B28" s="197"/>
      <c r="C28" s="198"/>
      <c r="D28" s="198"/>
      <c r="E28" s="198"/>
      <c r="F28" s="198"/>
      <c r="G28" s="196"/>
      <c r="H28" s="196"/>
      <c r="I28" s="196"/>
      <c r="J28" s="162"/>
      <c r="K28" s="111"/>
      <c r="L28" s="94"/>
      <c r="M28" s="189"/>
      <c r="N28" s="68"/>
      <c r="O28" s="99">
        <f>IFERROR(O26+O27,"")</f>
        <v>0</v>
      </c>
      <c r="P28"/>
      <c r="Q28" s="107"/>
      <c r="R28" s="7"/>
      <c r="S28" s="7"/>
    </row>
    <row r="29" spans="1:19" s="48" customFormat="1" ht="25.5" thickTop="1" thickBot="1">
      <c r="B29" s="387" t="s">
        <v>1090</v>
      </c>
      <c r="C29" s="387"/>
      <c r="D29" s="387"/>
      <c r="E29" s="198"/>
      <c r="F29" s="198"/>
      <c r="G29" s="196"/>
      <c r="H29" s="196"/>
      <c r="I29" s="196"/>
      <c r="J29" s="199"/>
      <c r="K29" s="132"/>
      <c r="L29" s="94"/>
      <c r="M29" s="189"/>
      <c r="N29" s="68"/>
      <c r="O29" s="99"/>
      <c r="P29"/>
      <c r="Q29" s="107"/>
      <c r="R29" s="7"/>
      <c r="S29" s="7"/>
    </row>
    <row r="30" spans="1:19" s="48" customFormat="1" ht="34.15" customHeight="1" thickTop="1" thickBot="1">
      <c r="A30" s="100" t="s">
        <v>1102</v>
      </c>
      <c r="B30" s="381" t="s">
        <v>1051</v>
      </c>
      <c r="C30" s="382"/>
      <c r="D30" s="190">
        <v>38837</v>
      </c>
      <c r="E30" s="191">
        <v>38899</v>
      </c>
      <c r="F30" s="192" t="s">
        <v>1055</v>
      </c>
      <c r="G30" s="383">
        <v>39538</v>
      </c>
      <c r="H30" s="384"/>
      <c r="I30" s="193" t="s">
        <v>1056</v>
      </c>
      <c r="J30" s="385" t="str">
        <f>ROUNDDOWN(O33/12,0)&amp;"年"&amp;MOD(O33,12)&amp;"月"</f>
        <v>0年8.8月</v>
      </c>
      <c r="K30" s="385"/>
      <c r="L30" s="177"/>
      <c r="M30" s="68"/>
      <c r="N30" s="68"/>
      <c r="O30"/>
      <c r="P30"/>
      <c r="Q30" s="109"/>
      <c r="R30" s="7"/>
      <c r="S30" s="7"/>
    </row>
    <row r="31" spans="1:19" s="48" customFormat="1" ht="24.75" hidden="1" thickTop="1">
      <c r="B31" s="378">
        <f>EOMONTH(D31,-1)</f>
        <v>39172</v>
      </c>
      <c r="C31" s="378"/>
      <c r="D31" s="194">
        <f>IF(B30="育児休業(平成４年４月１日以降）",D30+364,"")</f>
        <v>39201</v>
      </c>
      <c r="E31" s="195">
        <f>IF(E30="","",IF(DAY(E30)=1,E30,IF(DAY(E30)&lt;&gt;1,EOMONTH(E30,0)+1,"")))</f>
        <v>38899</v>
      </c>
      <c r="F31" s="196"/>
      <c r="G31" s="379">
        <f>IF(G30&gt;D31,EOMONTH(B31,1),IF(G30="","",IF(EOMONTH(G30,0)&lt;&gt;G30,EOMONTH(G30,-1),IF(G30=EOMONTH(G30,0),G30,""))))</f>
        <v>39202</v>
      </c>
      <c r="H31" s="379"/>
      <c r="I31" s="95" t="s">
        <v>20</v>
      </c>
      <c r="J31" s="161"/>
      <c r="K31" s="111"/>
      <c r="L31" s="177"/>
      <c r="M31" s="177">
        <f>IFERROR(VLOOKUP(B30,$Q$17:$S$24,2,FALSE),"")</f>
        <v>3</v>
      </c>
      <c r="N31" s="94">
        <f>IFERROR(DATEDIF(E31,G31,"M")+1,"")</f>
        <v>10</v>
      </c>
      <c r="O31" s="99">
        <f>IFERROR(ROUNDDOWN(N31/M31,1),0)</f>
        <v>3.3</v>
      </c>
      <c r="P31" s="99"/>
      <c r="Q31" s="107"/>
      <c r="R31" s="108"/>
      <c r="S31" s="108"/>
    </row>
    <row r="32" spans="1:19" s="48" customFormat="1" ht="24" hidden="1">
      <c r="B32" s="197"/>
      <c r="C32" s="198"/>
      <c r="D32" s="194"/>
      <c r="E32" s="195">
        <f>IF(G31&lt;&gt;G30,G31+1,"")</f>
        <v>39203</v>
      </c>
      <c r="F32" s="196"/>
      <c r="G32" s="380">
        <f>IF(G30="","",IF(EOMONTH(G30,0)&lt;&gt;G30,EOMONTH(G30,-1),IF(G30=EOMONTH(G30,0),G30,"")))</f>
        <v>39538</v>
      </c>
      <c r="H32" s="380"/>
      <c r="I32" s="95" t="s">
        <v>27</v>
      </c>
      <c r="J32" s="161"/>
      <c r="K32" s="111"/>
      <c r="L32" s="94"/>
      <c r="M32" s="177">
        <f>IFERROR(VLOOKUP(B30,$Q$17:$S$24,3,FALSE),"")</f>
        <v>2</v>
      </c>
      <c r="N32" s="189">
        <f>IFERROR(DATEDIF(E32,G32,"M")+1,"")</f>
        <v>11</v>
      </c>
      <c r="O32" s="99">
        <f>IFERROR(ROUNDDOWN(N32/M32,1),0)</f>
        <v>5.5</v>
      </c>
      <c r="P32" s="99"/>
      <c r="Q32" s="107"/>
      <c r="R32" s="108"/>
      <c r="S32" s="108"/>
    </row>
    <row r="33" spans="1:19" s="48" customFormat="1" ht="24.75" hidden="1" thickBot="1">
      <c r="B33" s="197"/>
      <c r="C33" s="198"/>
      <c r="D33" s="194"/>
      <c r="E33" s="198"/>
      <c r="F33" s="198"/>
      <c r="G33" s="196"/>
      <c r="H33" s="196"/>
      <c r="I33" s="196"/>
      <c r="J33" s="162"/>
      <c r="K33" s="111"/>
      <c r="L33" s="94"/>
      <c r="M33" s="189"/>
      <c r="N33" s="68"/>
      <c r="O33" s="99">
        <f>IFERROR(O31+O32,"")</f>
        <v>8.8000000000000007</v>
      </c>
      <c r="P33"/>
      <c r="Q33" s="107"/>
      <c r="R33" s="7"/>
      <c r="S33" s="7"/>
    </row>
    <row r="34" spans="1:19" s="48" customFormat="1" ht="34.15" customHeight="1" thickTop="1" thickBot="1">
      <c r="A34" s="100" t="s">
        <v>1103</v>
      </c>
      <c r="B34" s="381"/>
      <c r="C34" s="382"/>
      <c r="D34" s="190"/>
      <c r="E34" s="191"/>
      <c r="F34" s="192" t="s">
        <v>1055</v>
      </c>
      <c r="G34" s="383"/>
      <c r="H34" s="384"/>
      <c r="I34" s="193" t="s">
        <v>1056</v>
      </c>
      <c r="J34" s="385" t="str">
        <f>ROUNDDOWN(O37/12,0)&amp;"年"&amp;MOD(O37,12)&amp;"月"</f>
        <v>0年0月</v>
      </c>
      <c r="K34" s="385"/>
      <c r="L34" s="177"/>
      <c r="M34" s="68"/>
      <c r="N34" s="68"/>
      <c r="O34"/>
      <c r="P34"/>
      <c r="Q34" s="109"/>
      <c r="R34" s="7"/>
      <c r="S34" s="7"/>
    </row>
    <row r="35" spans="1:19" s="48" customFormat="1" ht="24.75" hidden="1" thickTop="1">
      <c r="B35" s="378" t="e">
        <f>EOMONTH(D35,-1)</f>
        <v>#VALUE!</v>
      </c>
      <c r="C35" s="378"/>
      <c r="D35" s="194" t="str">
        <f>IF(B34="育児休業(平成４年４月１日以降）",D34+364,"")</f>
        <v/>
      </c>
      <c r="E35" s="195"/>
      <c r="F35" s="196"/>
      <c r="G35" s="379"/>
      <c r="H35" s="379"/>
      <c r="I35" s="95" t="s">
        <v>20</v>
      </c>
      <c r="J35" s="161"/>
      <c r="K35" s="111"/>
      <c r="L35" s="177"/>
      <c r="M35" s="177" t="str">
        <f>IFERROR(VLOOKUP(B34,$Q$17:$S$24,2,FALSE),"")</f>
        <v/>
      </c>
      <c r="N35" s="94">
        <f>IFERROR(DATEDIF(E35,G35,"M")+1,"")</f>
        <v>1</v>
      </c>
      <c r="O35" s="99">
        <f>IFERROR(ROUNDDOWN(N35/M35,1),0)</f>
        <v>0</v>
      </c>
      <c r="P35" s="99"/>
      <c r="Q35" s="107"/>
      <c r="R35" s="108"/>
      <c r="S35" s="108"/>
    </row>
    <row r="36" spans="1:19" s="48" customFormat="1" ht="24" hidden="1">
      <c r="B36" s="197"/>
      <c r="C36" s="198"/>
      <c r="D36" s="194"/>
      <c r="E36" s="195"/>
      <c r="F36" s="196"/>
      <c r="G36" s="380"/>
      <c r="H36" s="380"/>
      <c r="I36" s="95" t="s">
        <v>27</v>
      </c>
      <c r="J36" s="161"/>
      <c r="K36" s="111"/>
      <c r="L36" s="94"/>
      <c r="M36" s="177" t="str">
        <f>IFERROR(VLOOKUP(B34,$Q$17:$S$24,3,FALSE),"")</f>
        <v/>
      </c>
      <c r="N36" s="189">
        <f>IFERROR(DATEDIF(E36,G36,"M")+1,"")</f>
        <v>1</v>
      </c>
      <c r="O36" s="99">
        <f>IFERROR(ROUNDDOWN(N36/M36,1),0)</f>
        <v>0</v>
      </c>
      <c r="P36" s="99"/>
      <c r="Q36" s="107"/>
      <c r="R36" s="108"/>
      <c r="S36" s="108"/>
    </row>
    <row r="37" spans="1:19" s="48" customFormat="1" ht="24.75" hidden="1" thickBot="1">
      <c r="B37" s="197"/>
      <c r="C37" s="198"/>
      <c r="D37" s="194"/>
      <c r="E37" s="198"/>
      <c r="F37" s="198"/>
      <c r="G37" s="196"/>
      <c r="H37" s="196"/>
      <c r="I37" s="196"/>
      <c r="J37" s="161"/>
      <c r="K37" s="161"/>
      <c r="L37" s="94"/>
      <c r="M37" s="189"/>
      <c r="N37" s="68"/>
      <c r="O37" s="99">
        <f>IFERROR(O35+O36,"")</f>
        <v>0</v>
      </c>
      <c r="P37"/>
      <c r="Q37" s="107"/>
      <c r="R37" s="7"/>
      <c r="S37" s="7"/>
    </row>
    <row r="38" spans="1:19" s="48" customFormat="1" ht="33.6" customHeight="1" thickTop="1" thickBot="1">
      <c r="A38" s="100" t="s">
        <v>1091</v>
      </c>
      <c r="B38" s="381"/>
      <c r="C38" s="382"/>
      <c r="D38" s="190"/>
      <c r="E38" s="191"/>
      <c r="F38" s="192" t="s">
        <v>1055</v>
      </c>
      <c r="G38" s="383"/>
      <c r="H38" s="384"/>
      <c r="I38" s="193" t="s">
        <v>1056</v>
      </c>
      <c r="J38" s="385" t="str">
        <f>ROUNDDOWN(O41/12,0)&amp;"年"&amp;MOD(O41,12)&amp;"月"</f>
        <v>0年0月</v>
      </c>
      <c r="K38" s="385"/>
      <c r="L38" s="177"/>
      <c r="M38" s="68"/>
      <c r="N38" s="68"/>
      <c r="O38"/>
      <c r="P38"/>
      <c r="Q38" s="109"/>
      <c r="R38" s="7"/>
      <c r="S38" s="7"/>
    </row>
    <row r="39" spans="1:19" s="48" customFormat="1" ht="24.75" hidden="1" thickTop="1">
      <c r="B39" s="378" t="e">
        <f>EOMONTH(D39,-1)</f>
        <v>#VALUE!</v>
      </c>
      <c r="C39" s="378"/>
      <c r="D39" s="198" t="str">
        <f>IF(B38="育児休業(平成４年４月１日以降）",D38+364,"")</f>
        <v/>
      </c>
      <c r="E39" s="195" t="str">
        <f>IF(E38="","",IF(DAY(E38)=1,E38,IF(DAY(E38)&lt;&gt;1,EOMONTH(E38,0)+1,"")))</f>
        <v/>
      </c>
      <c r="F39" s="196"/>
      <c r="G39" s="379" t="str">
        <f>IF(G38&gt;D39,EOMONTH(B39,1),IF(G38="","",IF(EOMONTH(G38,0)&lt;&gt;G38,EOMONTH(G38,-1),IF(G38=EOMONTH(G38,0),G38,""))))</f>
        <v/>
      </c>
      <c r="H39" s="379"/>
      <c r="I39" s="95" t="s">
        <v>20</v>
      </c>
      <c r="J39" s="161"/>
      <c r="K39" s="111"/>
      <c r="L39" s="177"/>
      <c r="M39" s="177" t="str">
        <f>IFERROR(VLOOKUP(B38,$Q$17:$S$24,2,FALSE),"")</f>
        <v/>
      </c>
      <c r="N39" s="94" t="str">
        <f>IFERROR(DATEDIF(E39,G39,"M")+1,"")</f>
        <v/>
      </c>
      <c r="O39" s="99">
        <f>IFERROR(ROUNDDOWN(N39/M39,1),0)</f>
        <v>0</v>
      </c>
      <c r="P39" s="99"/>
      <c r="Q39" s="107"/>
      <c r="R39" s="108"/>
      <c r="S39" s="108"/>
    </row>
    <row r="40" spans="1:19" s="48" customFormat="1" ht="24.75" hidden="1" thickTop="1">
      <c r="B40" s="197"/>
      <c r="C40" s="198"/>
      <c r="D40" s="198"/>
      <c r="E40" s="195" t="str">
        <f>IF(G39&lt;&gt;G38,G39+1,"")</f>
        <v/>
      </c>
      <c r="F40" s="196"/>
      <c r="G40" s="380" t="str">
        <f>IF(G38="","",IF(EOMONTH(G38,0)&lt;&gt;G38,EOMONTH(G38,-1),IF(G38=EOMONTH(G38,0),G38,"")))</f>
        <v/>
      </c>
      <c r="H40" s="380"/>
      <c r="I40" s="95" t="s">
        <v>27</v>
      </c>
      <c r="J40" s="161"/>
      <c r="K40" s="111"/>
      <c r="L40" s="94"/>
      <c r="M40" s="177" t="str">
        <f>IFERROR(VLOOKUP(B38,$Q$17:$S$24,3,FALSE),"")</f>
        <v/>
      </c>
      <c r="N40" s="189" t="str">
        <f>IFERROR(DATEDIF(E40,G40,"M")+1,"")</f>
        <v/>
      </c>
      <c r="O40" s="99">
        <f>IFERROR(ROUNDDOWN(N40/M40,1),0)</f>
        <v>0</v>
      </c>
      <c r="P40" s="99"/>
      <c r="Q40" s="107"/>
      <c r="R40" s="108"/>
      <c r="S40" s="108"/>
    </row>
    <row r="41" spans="1:19" s="48" customFormat="1" ht="24" hidden="1">
      <c r="B41" s="197"/>
      <c r="C41" s="198"/>
      <c r="D41" s="198"/>
      <c r="E41" s="198"/>
      <c r="F41" s="198"/>
      <c r="G41" s="196"/>
      <c r="H41" s="196"/>
      <c r="I41" s="196"/>
      <c r="J41" s="161"/>
      <c r="K41" s="161"/>
      <c r="L41" s="94"/>
      <c r="M41" s="189"/>
      <c r="N41" s="68"/>
      <c r="O41" s="99">
        <f>IFERROR(O39+O40,"")</f>
        <v>0</v>
      </c>
      <c r="P41"/>
      <c r="Q41" s="107"/>
      <c r="R41" s="7"/>
      <c r="S41" s="7"/>
    </row>
    <row r="42" spans="1:19" s="48" customFormat="1" ht="24" hidden="1">
      <c r="B42" s="374"/>
      <c r="C42" s="374"/>
      <c r="D42" s="374"/>
      <c r="E42" s="374"/>
      <c r="F42" s="200"/>
      <c r="G42" s="196"/>
      <c r="H42" s="196"/>
      <c r="I42" s="196"/>
      <c r="J42" s="386" t="str">
        <f>IFERROR(J22+J26+J30+J35+J38,"")</f>
        <v/>
      </c>
      <c r="K42" s="386"/>
      <c r="L42" s="110"/>
      <c r="M42" s="68"/>
      <c r="N42" s="68"/>
      <c r="O42" s="99">
        <f>O20+O24+O28+O33+O37+O41</f>
        <v>11.4</v>
      </c>
      <c r="P42" s="99">
        <f>ROUNDDOWN(O42,0)</f>
        <v>11</v>
      </c>
      <c r="Q42" s="112"/>
    </row>
    <row r="43" spans="1:19" s="48" customFormat="1" ht="30" customHeight="1" thickTop="1">
      <c r="B43" s="374"/>
      <c r="C43" s="374"/>
      <c r="D43" s="374"/>
      <c r="E43" s="374"/>
      <c r="F43" s="200"/>
      <c r="G43" s="375" t="s">
        <v>1059</v>
      </c>
      <c r="H43" s="375"/>
      <c r="I43" s="376"/>
      <c r="J43" s="377" t="str">
        <f>ROUNDDOWN(P42/12,0)&amp;"年"&amp;MOD(P42,12)&amp;"月"</f>
        <v>0年11月</v>
      </c>
      <c r="K43" s="377"/>
      <c r="L43" s="94"/>
      <c r="M43" s="189"/>
      <c r="N43" s="68"/>
      <c r="O43"/>
      <c r="P43"/>
    </row>
    <row r="44" spans="1:19" s="48" customFormat="1" ht="30" customHeight="1">
      <c r="B44" s="364"/>
      <c r="C44" s="364"/>
      <c r="D44" s="364"/>
      <c r="E44" s="364"/>
      <c r="F44" s="201"/>
      <c r="G44" s="196"/>
      <c r="H44" s="196"/>
      <c r="I44" s="196"/>
      <c r="J44" s="94"/>
      <c r="K44" s="110"/>
      <c r="L44" s="94"/>
      <c r="M44" s="68"/>
      <c r="N44" s="68"/>
      <c r="O44"/>
      <c r="P44"/>
    </row>
    <row r="45" spans="1:19" ht="30" customHeight="1">
      <c r="B45" s="173" t="s">
        <v>614</v>
      </c>
      <c r="C45" s="173"/>
      <c r="D45" s="169"/>
      <c r="E45" s="169"/>
      <c r="F45" s="169"/>
      <c r="G45" s="166"/>
      <c r="H45" s="166"/>
      <c r="I45" s="166"/>
      <c r="J45" s="166"/>
      <c r="K45" s="189"/>
      <c r="L45" s="172"/>
      <c r="M45" s="68"/>
      <c r="N45" s="172"/>
      <c r="O45" s="49"/>
      <c r="P45" s="49"/>
    </row>
    <row r="46" spans="1:19" ht="30" customHeight="1">
      <c r="B46" s="175" t="s">
        <v>14</v>
      </c>
      <c r="C46" s="365" t="str">
        <f>C11</f>
        <v>34年0月</v>
      </c>
      <c r="D46" s="366"/>
      <c r="E46" s="184" t="s">
        <v>15</v>
      </c>
      <c r="F46" s="367" t="str">
        <f>J43</f>
        <v>0年11月</v>
      </c>
      <c r="G46" s="368"/>
      <c r="H46" s="368"/>
      <c r="I46" s="368"/>
      <c r="J46" s="369"/>
      <c r="K46" s="68"/>
      <c r="L46" s="68"/>
      <c r="M46" s="68"/>
      <c r="N46" s="68"/>
    </row>
    <row r="47" spans="1:19" ht="32.450000000000003" hidden="1" customHeight="1">
      <c r="B47" s="184" t="s">
        <v>615</v>
      </c>
      <c r="C47" s="373" t="str">
        <f>ROUNDDOWN(Q47/12,0)&amp;"年"&amp;MOD(Q47,12)&amp;"月"</f>
        <v>33年0.600000000000023月</v>
      </c>
      <c r="D47" s="366"/>
      <c r="E47" s="202"/>
      <c r="F47" s="203"/>
      <c r="G47" s="166"/>
      <c r="H47" s="166"/>
      <c r="I47" s="166"/>
      <c r="J47" s="166"/>
      <c r="K47" s="68"/>
      <c r="L47" s="68"/>
      <c r="M47" s="68"/>
      <c r="N47" s="68"/>
      <c r="Q47" s="278">
        <f>Q12-O42</f>
        <v>396.6</v>
      </c>
    </row>
    <row r="48" spans="1:19" ht="30" customHeight="1">
      <c r="B48" s="184" t="s">
        <v>583</v>
      </c>
      <c r="C48" s="365">
        <f>ROUNDDOWN(Q47/12,0)</f>
        <v>33</v>
      </c>
      <c r="D48" s="366"/>
      <c r="E48" s="204" t="s">
        <v>618</v>
      </c>
      <c r="F48" s="205"/>
      <c r="G48" s="206"/>
      <c r="H48" s="206"/>
      <c r="I48" s="206"/>
      <c r="J48" s="207"/>
      <c r="K48" s="68"/>
      <c r="L48" s="68"/>
      <c r="M48" s="68"/>
      <c r="N48" s="68"/>
      <c r="Q48" s="278">
        <f>R12-O42</f>
        <v>384.6</v>
      </c>
    </row>
    <row r="49" spans="2:18" ht="30" customHeight="1">
      <c r="B49" s="53" t="s">
        <v>1153</v>
      </c>
      <c r="C49" s="365">
        <f>ROUNDDOWN(Q48/12,0)</f>
        <v>32</v>
      </c>
      <c r="D49" s="366"/>
      <c r="E49" s="116" t="s">
        <v>618</v>
      </c>
      <c r="F49" s="60"/>
      <c r="G49" s="34"/>
      <c r="H49" s="34"/>
      <c r="I49" s="34"/>
      <c r="J49" s="33"/>
    </row>
    <row r="50" spans="2:18" ht="30" customHeight="1">
      <c r="B50" s="53" t="s">
        <v>617</v>
      </c>
      <c r="C50" s="365">
        <f>IF(F8="定年退職",VLOOKUP(C48,支給率!A:E,4,FALSE),IF(F9="勧奨退職",VLOOKUP(C49,支給率!A:E,4,FALSE),IF(F9="任期終了",VLOOKUP(C49,支給率!A:E,4,FALSE),IF(F9="自己都合等",VLOOKUP(C49,支給率!A:E,2,FALSE),IF(F9="公務外傷病",VLOOKUP(C49,支給率!A:E,3,FALSE),IF(F9="公務外死亡",VLOOKUP(C49,支給率!A:E,4,FALSE),IF(F9="整理、公務上傷病、公務上死亡",VLOOKUP(C49,支給率!A:E,5,FALSE),0)))))))</f>
        <v>45.323549999999997</v>
      </c>
      <c r="D50" s="366">
        <f>IF(G6="定年退職",VLOOKUP(D49,支給率!A:E,4,FALSE),IF(G6="勧奨退職",VLOOKUP(D49,支給率!A:E,4,FALSE),IF(G6="任期終了",VLOOKUP(D49,支給率!A:E,4,FALSE),IF(G6="自己都合等",VLOOKUP(D49,支給率!A:E,2,FALSE),IF(G6="公務外傷病",VLOOKUP(D49,支給率!A:E,3,FALSE),IF(G6="公務外死亡",VLOOKUP(D49,支給率!A:E,4,FALSE),IF(G6="整理、公務上傷病、公務上死亡",VLOOKUP(D49,支給率!A:E,5,FALSE),0)))))))</f>
        <v>0</v>
      </c>
      <c r="E50" s="53" t="s">
        <v>617</v>
      </c>
      <c r="F50" s="365">
        <f>IF(F8="定年退職",VLOOKUP(C49,支給率!A:E,4,FALSE),IF(I9="勧奨退職",VLOOKUP(F49,支給率!D:H,4,FALSE),IF(I9="任期終了",VLOOKUP(F49,支給率!D:H,4,FALSE),IF(I9="自己都合等",VLOOKUP(F49,支給率!D:H,2,FALSE),IF(I9="公務外傷病",VLOOKUP(F49,支給率!D:H,3,FALSE),IF(I9="公務外死亡",VLOOKUP(F49,支給率!D:H,4,FALSE),IF(I9="整理、公務上傷病、公務上死亡",VLOOKUP(F49,支給率!D:H,5,FALSE),0)))))))</f>
        <v>43.816949999999999</v>
      </c>
      <c r="G50" s="372"/>
      <c r="H50" s="372"/>
      <c r="I50" s="366"/>
      <c r="J50" s="33"/>
    </row>
    <row r="51" spans="2:18" ht="21.6" customHeight="1">
      <c r="B51" s="166"/>
      <c r="C51" s="208"/>
      <c r="D51" s="167"/>
      <c r="E51" s="209"/>
      <c r="F51" s="209"/>
      <c r="G51" s="206"/>
      <c r="H51" s="206"/>
      <c r="I51" s="206"/>
      <c r="J51" s="207"/>
      <c r="K51" s="68"/>
      <c r="L51" s="68"/>
      <c r="M51" s="68"/>
      <c r="N51" s="68"/>
    </row>
    <row r="52" spans="2:18" ht="30" customHeight="1" thickBot="1">
      <c r="B52" s="39" t="s">
        <v>1150</v>
      </c>
      <c r="C52" s="173"/>
      <c r="D52" s="210"/>
      <c r="E52" s="211"/>
      <c r="F52" s="211"/>
      <c r="G52" s="168"/>
      <c r="H52" s="168"/>
      <c r="I52" s="168"/>
      <c r="J52" s="166"/>
      <c r="K52" s="68"/>
      <c r="L52" s="68"/>
      <c r="M52" s="68"/>
      <c r="N52" s="68"/>
      <c r="P52" t="str">
        <f t="shared" ref="P52:P58" si="0">IFERROR(Q52,0)</f>
        <v/>
      </c>
      <c r="Q52" t="str">
        <f>IF(Q8="勧奨退職公仕",VLOOKUP(Q9,支給率!G:O,5,FALSE),"")</f>
        <v/>
      </c>
    </row>
    <row r="53" spans="2:18" ht="30" customHeight="1" thickBot="1">
      <c r="B53" s="166"/>
      <c r="C53" s="212" t="s">
        <v>580</v>
      </c>
      <c r="D53" s="213">
        <v>405000</v>
      </c>
      <c r="E53" s="214" t="s">
        <v>586</v>
      </c>
      <c r="F53" s="167"/>
      <c r="G53" s="166"/>
      <c r="H53" s="166"/>
      <c r="I53" s="166"/>
      <c r="J53" s="166"/>
      <c r="K53" s="68"/>
      <c r="L53" s="68"/>
      <c r="M53" s="68"/>
      <c r="N53" s="68"/>
      <c r="P53" t="str">
        <f t="shared" si="0"/>
        <v/>
      </c>
      <c r="Q53" t="str">
        <f>IF(Q8="勧奨退職教諭",VLOOKUP(Q9,支給率!G:O,2,FALSE),"")</f>
        <v/>
      </c>
    </row>
    <row r="54" spans="2:18" ht="30" customHeight="1" thickBot="1">
      <c r="B54" s="166"/>
      <c r="C54" s="212" t="s">
        <v>584</v>
      </c>
      <c r="D54" s="213">
        <v>11000</v>
      </c>
      <c r="E54" s="214" t="s">
        <v>586</v>
      </c>
      <c r="F54" s="167"/>
      <c r="G54" s="166"/>
      <c r="H54" s="166"/>
      <c r="I54" s="166"/>
      <c r="J54" s="166"/>
      <c r="K54" s="68"/>
      <c r="L54" s="68"/>
      <c r="M54" s="68"/>
      <c r="N54" s="68"/>
      <c r="P54" t="str">
        <f t="shared" si="0"/>
        <v/>
      </c>
      <c r="Q54" t="str">
        <f>IF(Q8="勧奨退職事務",VLOOKUP(Q9,支給率!G:O,3,FALSE),"")</f>
        <v/>
      </c>
    </row>
    <row r="55" spans="2:18" ht="30" customHeight="1" thickBot="1">
      <c r="B55" s="166"/>
      <c r="C55" s="212" t="s">
        <v>585</v>
      </c>
      <c r="D55" s="213">
        <v>16200</v>
      </c>
      <c r="E55" s="214" t="s">
        <v>1128</v>
      </c>
      <c r="F55" s="167"/>
      <c r="G55" s="166"/>
      <c r="H55" s="166"/>
      <c r="I55" s="166"/>
      <c r="J55" s="166"/>
      <c r="K55" s="68"/>
      <c r="L55" s="68"/>
      <c r="M55" s="68"/>
      <c r="N55" s="68"/>
      <c r="P55" t="str">
        <f t="shared" si="0"/>
        <v/>
      </c>
      <c r="Q55" t="str">
        <f>IF(Q8="勧奨退職栄養士",VLOOKUP(Q9,支給率!G:O,4,FALSE),"")</f>
        <v/>
      </c>
    </row>
    <row r="56" spans="2:18" ht="30" customHeight="1">
      <c r="B56" s="166"/>
      <c r="C56" s="212" t="s">
        <v>587</v>
      </c>
      <c r="D56" s="163">
        <f>SUM(D53:D55)</f>
        <v>432200</v>
      </c>
      <c r="E56" s="214" t="s">
        <v>586</v>
      </c>
      <c r="F56" s="167"/>
      <c r="G56" s="166"/>
      <c r="H56" s="166"/>
      <c r="I56" s="166"/>
      <c r="J56" s="166"/>
      <c r="K56" s="68"/>
      <c r="L56" s="68"/>
      <c r="M56" s="68"/>
      <c r="N56" s="68"/>
      <c r="P56" t="str">
        <f t="shared" si="0"/>
        <v/>
      </c>
      <c r="Q56" t="str">
        <f>IF(Q8="勧奨退職校長",VLOOKUP(Q9,支給率!G:O,6,FALSE),"")</f>
        <v/>
      </c>
    </row>
    <row r="57" spans="2:18" ht="30" customHeight="1">
      <c r="B57" s="370" t="s">
        <v>1151</v>
      </c>
      <c r="C57" s="370"/>
      <c r="D57" s="163">
        <f>D56*0.7</f>
        <v>302540</v>
      </c>
      <c r="E57" s="214" t="s">
        <v>586</v>
      </c>
      <c r="F57" s="167"/>
      <c r="G57" s="166"/>
      <c r="H57" s="166"/>
      <c r="I57" s="166"/>
      <c r="J57" s="166"/>
      <c r="K57" s="68"/>
      <c r="L57" s="68"/>
      <c r="M57" s="68"/>
      <c r="N57" s="68"/>
      <c r="P57" t="str">
        <f t="shared" si="0"/>
        <v/>
      </c>
      <c r="Q57" t="str">
        <f>IF(Q8="勧奨退職教頭",VLOOKUP(Q9&gt;50,支給率!G:O,7,FALSE),"")</f>
        <v/>
      </c>
    </row>
    <row r="58" spans="2:18">
      <c r="B58" s="166"/>
      <c r="C58" s="215"/>
      <c r="D58" s="166"/>
      <c r="E58" s="167"/>
      <c r="F58" s="167"/>
      <c r="G58" s="166"/>
      <c r="H58" s="166"/>
      <c r="I58" s="166"/>
      <c r="J58" s="166"/>
      <c r="K58" s="68"/>
      <c r="L58" s="68"/>
      <c r="M58" s="68"/>
      <c r="N58" s="68"/>
      <c r="P58" t="str">
        <f t="shared" si="0"/>
        <v/>
      </c>
      <c r="Q58" t="str">
        <f>IF(Q8="勧奨退職副校長",VLOOKUP(Q9,支給率!G:O,8,FALSE),"")</f>
        <v/>
      </c>
    </row>
    <row r="59" spans="2:18" ht="41.45" customHeight="1" thickBot="1">
      <c r="B59" s="371" t="s">
        <v>1144</v>
      </c>
      <c r="C59" s="371"/>
      <c r="D59" s="371"/>
      <c r="E59" s="371"/>
      <c r="F59" s="371"/>
      <c r="G59" s="371"/>
      <c r="H59" s="371"/>
      <c r="I59" s="371"/>
      <c r="J59" s="371"/>
      <c r="K59" s="371"/>
      <c r="L59" s="371"/>
      <c r="M59" s="68"/>
      <c r="N59" s="68"/>
    </row>
    <row r="60" spans="2:18" ht="30" customHeight="1" thickBot="1">
      <c r="B60" s="166"/>
      <c r="C60" s="217" t="s">
        <v>588</v>
      </c>
      <c r="D60" s="218" t="s">
        <v>1092</v>
      </c>
      <c r="E60" s="167"/>
      <c r="F60" s="167"/>
      <c r="G60" s="166"/>
      <c r="H60" s="166"/>
      <c r="I60" s="166"/>
      <c r="J60" s="166"/>
      <c r="K60" s="68"/>
      <c r="L60" s="68"/>
      <c r="M60" s="68"/>
      <c r="N60" s="68"/>
    </row>
    <row r="61" spans="2:18" ht="30" customHeight="1" thickBot="1">
      <c r="B61" s="166"/>
      <c r="C61" s="217" t="s">
        <v>589</v>
      </c>
      <c r="D61" s="213">
        <v>2</v>
      </c>
      <c r="E61" s="219" t="s">
        <v>1043</v>
      </c>
      <c r="F61" s="220"/>
      <c r="G61" s="221"/>
      <c r="H61" s="221"/>
      <c r="I61" s="221"/>
      <c r="J61" s="222"/>
      <c r="K61" s="68"/>
      <c r="L61" s="68"/>
      <c r="M61" s="68"/>
      <c r="N61" s="68"/>
      <c r="R61" t="str">
        <f>D61&amp;"－"&amp;D62</f>
        <v>2－23</v>
      </c>
    </row>
    <row r="62" spans="2:18" ht="30" customHeight="1" thickBot="1">
      <c r="B62" s="166"/>
      <c r="C62" s="217" t="s">
        <v>590</v>
      </c>
      <c r="D62" s="213">
        <v>23</v>
      </c>
      <c r="E62" s="219" t="s">
        <v>1044</v>
      </c>
      <c r="F62" s="220"/>
      <c r="G62" s="221"/>
      <c r="H62" s="221"/>
      <c r="I62" s="221"/>
      <c r="J62" s="166"/>
      <c r="K62" s="68"/>
      <c r="L62" s="68"/>
      <c r="M62" s="68"/>
      <c r="N62" s="68"/>
    </row>
    <row r="63" spans="2:18" ht="30" customHeight="1">
      <c r="B63" s="166"/>
      <c r="C63" s="203"/>
      <c r="D63" s="164">
        <f>IF(D60="高等学校教育職",VLOOKUP(R61,給料表!A:F,2,FALSE),IF(D60="小中学校教育職",VLOOKUP(R61,給料表!A:F,3,FALSE),IF(D60="栄養職",VLOOKUP(R61,給料表!A:F,4,FALSE),IF(D60="事務職",VLOOKUP(R61,給料表!A:F,5,FALSE),IF(D60="労務職",VLOOKUP(R61,給料表!A:F,6,FALSE),)))))</f>
        <v>391976</v>
      </c>
      <c r="E63" s="223" t="s">
        <v>586</v>
      </c>
      <c r="F63" s="223"/>
      <c r="G63" s="166"/>
      <c r="H63" s="166"/>
      <c r="I63" s="166"/>
      <c r="J63" s="166"/>
      <c r="K63" s="68"/>
      <c r="L63" s="68"/>
      <c r="M63" s="68"/>
      <c r="N63" s="68"/>
    </row>
    <row r="64" spans="2:18" ht="30" customHeight="1">
      <c r="B64" s="166"/>
      <c r="C64" s="203"/>
      <c r="D64" s="224"/>
      <c r="E64" s="167"/>
      <c r="F64" s="167"/>
      <c r="G64" s="166"/>
      <c r="H64" s="166"/>
      <c r="I64" s="166"/>
      <c r="J64" s="166"/>
      <c r="K64" s="68"/>
      <c r="L64" s="68"/>
      <c r="M64" s="68"/>
      <c r="N64" s="68"/>
    </row>
    <row r="65" spans="2:85" ht="30" customHeight="1" thickBot="1">
      <c r="B65" s="173" t="s">
        <v>1145</v>
      </c>
      <c r="C65" s="216"/>
      <c r="D65" s="210"/>
      <c r="E65" s="211"/>
      <c r="F65" s="211"/>
      <c r="G65" s="168"/>
      <c r="H65" s="168"/>
      <c r="I65" s="168"/>
      <c r="J65" s="166"/>
      <c r="K65" s="68"/>
      <c r="L65" s="68"/>
      <c r="M65" s="68"/>
      <c r="N65" s="68"/>
    </row>
    <row r="66" spans="2:85" ht="36" customHeight="1" thickTop="1" thickBot="1">
      <c r="B66" s="206"/>
      <c r="C66" s="166" t="s">
        <v>621</v>
      </c>
      <c r="D66" s="225"/>
      <c r="E66" s="167" t="s">
        <v>582</v>
      </c>
      <c r="F66" s="167"/>
      <c r="G66" s="355" t="s">
        <v>620</v>
      </c>
      <c r="H66" s="356"/>
      <c r="I66" s="356"/>
      <c r="J66" s="356"/>
      <c r="K66" s="356"/>
      <c r="L66" s="357"/>
      <c r="M66" s="68"/>
      <c r="N66" s="68"/>
      <c r="O66" t="str">
        <f t="array" aca="1" ref="O66" ca="1">IFERROR(INDEX(D:D,SMALL(IF(D:D&lt;&gt;"",ROW(D:D)),ROW())),"")</f>
        <v/>
      </c>
      <c r="P66">
        <f>+IF(D66&lt;&gt;"",ROW()-57,10)</f>
        <v>10</v>
      </c>
      <c r="Q66">
        <f t="array" ref="Q66">+IF(P66&lt;&gt;10,RANK(P66,$P$66:$P$72,1),10)</f>
        <v>10</v>
      </c>
    </row>
    <row r="67" spans="2:85" ht="36" customHeight="1" thickTop="1" thickBot="1">
      <c r="B67" s="206"/>
      <c r="C67" s="166" t="s">
        <v>595</v>
      </c>
      <c r="D67" s="225"/>
      <c r="E67" s="167" t="s">
        <v>582</v>
      </c>
      <c r="F67" s="167"/>
      <c r="G67" s="226" t="s">
        <v>632</v>
      </c>
      <c r="H67" s="227"/>
      <c r="I67" s="227"/>
      <c r="J67" s="227"/>
      <c r="K67" s="358" t="s">
        <v>623</v>
      </c>
      <c r="L67" s="359"/>
      <c r="M67" s="68"/>
      <c r="N67" s="68"/>
      <c r="O67" t="str">
        <f t="array" ref="O67">IFERROR(INDEX(D66:D72,SMALL(IF(D66:D72&lt;&gt;"",ROW(D66:D72)),ROW())),"")</f>
        <v/>
      </c>
      <c r="P67">
        <f t="shared" ref="P67:P72" si="1">+IF(D67&lt;&gt;"",ROW()-57,10)</f>
        <v>10</v>
      </c>
      <c r="Q67">
        <f>+IF(P67&lt;&gt;10,RANK(P67,$P$66:$P$72,1),10)</f>
        <v>10</v>
      </c>
    </row>
    <row r="68" spans="2:85" ht="36" customHeight="1" thickTop="1" thickBot="1">
      <c r="B68" s="206"/>
      <c r="C68" s="166" t="s">
        <v>596</v>
      </c>
      <c r="D68" s="225"/>
      <c r="E68" s="167" t="s">
        <v>582</v>
      </c>
      <c r="F68" s="167"/>
      <c r="G68" s="358" t="s">
        <v>622</v>
      </c>
      <c r="H68" s="360"/>
      <c r="I68" s="360"/>
      <c r="J68" s="359"/>
      <c r="K68" s="358" t="s">
        <v>624</v>
      </c>
      <c r="L68" s="359"/>
      <c r="M68" s="68"/>
      <c r="N68" s="68"/>
      <c r="O68" t="str">
        <f t="array" ref="O68">IFERROR(INDEX(D67:D73,SMALL(IF(D67:D73&lt;&gt;"",ROW(D67:D73)),ROW())),"")</f>
        <v/>
      </c>
      <c r="P68">
        <f t="shared" si="1"/>
        <v>10</v>
      </c>
      <c r="Q68">
        <f t="shared" ref="Q68:Q72" si="2">+IF(P68&lt;&gt;10,RANK(P68,$P$66:$P$72,1),10)</f>
        <v>10</v>
      </c>
    </row>
    <row r="69" spans="2:85" ht="36" customHeight="1" thickTop="1" thickBot="1">
      <c r="B69" s="206"/>
      <c r="C69" s="166" t="s">
        <v>597</v>
      </c>
      <c r="D69" s="225">
        <v>60</v>
      </c>
      <c r="E69" s="167" t="s">
        <v>581</v>
      </c>
      <c r="F69" s="167"/>
      <c r="G69" s="358" t="s">
        <v>625</v>
      </c>
      <c r="H69" s="360"/>
      <c r="I69" s="360"/>
      <c r="J69" s="359"/>
      <c r="K69" s="358" t="s">
        <v>626</v>
      </c>
      <c r="L69" s="359"/>
      <c r="M69" s="68"/>
      <c r="N69" s="68"/>
      <c r="O69" t="str">
        <f t="shared" ref="O69:O72" si="3">IFERROR(INDEX(D68:D74,SMALL(IF(D68:D74&lt;&gt;"",ROW(D68:D74)),ROW())),"")</f>
        <v/>
      </c>
      <c r="P69">
        <f t="shared" si="1"/>
        <v>12</v>
      </c>
      <c r="Q69">
        <f t="shared" si="2"/>
        <v>7</v>
      </c>
    </row>
    <row r="70" spans="2:85" ht="36" customHeight="1" thickTop="1" thickBot="1">
      <c r="B70" s="206"/>
      <c r="C70" s="166" t="s">
        <v>598</v>
      </c>
      <c r="D70" s="225"/>
      <c r="E70" s="167" t="s">
        <v>581</v>
      </c>
      <c r="F70" s="167"/>
      <c r="G70" s="355" t="s">
        <v>628</v>
      </c>
      <c r="H70" s="356"/>
      <c r="I70" s="356"/>
      <c r="J70" s="357"/>
      <c r="K70" s="358" t="s">
        <v>627</v>
      </c>
      <c r="L70" s="359"/>
      <c r="M70" s="68"/>
      <c r="N70" s="68"/>
      <c r="O70" t="str">
        <f t="shared" si="3"/>
        <v/>
      </c>
      <c r="P70">
        <f t="shared" si="1"/>
        <v>10</v>
      </c>
      <c r="Q70">
        <f t="shared" si="2"/>
        <v>10</v>
      </c>
    </row>
    <row r="71" spans="2:85" ht="36" customHeight="1" thickTop="1" thickBot="1">
      <c r="B71" s="206"/>
      <c r="C71" s="166" t="s">
        <v>599</v>
      </c>
      <c r="D71" s="225"/>
      <c r="E71" s="167" t="s">
        <v>581</v>
      </c>
      <c r="F71" s="167"/>
      <c r="G71" s="358" t="s">
        <v>629</v>
      </c>
      <c r="H71" s="360"/>
      <c r="I71" s="360"/>
      <c r="J71" s="359"/>
      <c r="K71" s="358" t="s">
        <v>1069</v>
      </c>
      <c r="L71" s="359"/>
      <c r="M71" s="68"/>
      <c r="N71" s="68"/>
      <c r="O71" t="str">
        <f t="shared" si="3"/>
        <v/>
      </c>
      <c r="P71">
        <f t="shared" si="1"/>
        <v>10</v>
      </c>
      <c r="Q71">
        <f t="shared" si="2"/>
        <v>10</v>
      </c>
    </row>
    <row r="72" spans="2:85" ht="36" customHeight="1" thickTop="1" thickBot="1">
      <c r="B72" s="206"/>
      <c r="C72" s="166" t="s">
        <v>600</v>
      </c>
      <c r="D72" s="225"/>
      <c r="E72" s="167" t="s">
        <v>581</v>
      </c>
      <c r="F72" s="167"/>
      <c r="G72" s="361" t="s">
        <v>630</v>
      </c>
      <c r="H72" s="362"/>
      <c r="I72" s="362"/>
      <c r="J72" s="362"/>
      <c r="K72" s="362"/>
      <c r="L72" s="363"/>
      <c r="M72" s="68"/>
      <c r="N72" s="68"/>
      <c r="O72" t="str">
        <f t="shared" si="3"/>
        <v/>
      </c>
      <c r="P72">
        <f t="shared" si="1"/>
        <v>10</v>
      </c>
      <c r="Q72">
        <f t="shared" si="2"/>
        <v>10</v>
      </c>
    </row>
    <row r="73" spans="2:85" ht="30" customHeight="1">
      <c r="B73" s="166"/>
      <c r="C73" s="166" t="s">
        <v>601</v>
      </c>
      <c r="D73" s="165">
        <f>(D66*59550)+(D67*54150)+(D68*43350)+(D69*32500)+(D70*27100)+(D71*21700)</f>
        <v>1950000</v>
      </c>
      <c r="E73" s="167" t="s">
        <v>586</v>
      </c>
      <c r="F73" s="167"/>
      <c r="G73" s="166"/>
      <c r="H73" s="166"/>
      <c r="I73" s="166"/>
      <c r="J73" s="166"/>
      <c r="K73" s="68"/>
      <c r="L73" s="68"/>
      <c r="M73" s="68"/>
      <c r="N73" s="68"/>
    </row>
    <row r="74" spans="2:85" s="72" customFormat="1" ht="21" customHeight="1" thickBot="1">
      <c r="B74" s="65"/>
      <c r="C74" s="228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7"/>
      <c r="AP74" s="67"/>
      <c r="AQ74" s="67"/>
      <c r="AR74" s="67"/>
      <c r="AS74" s="67"/>
      <c r="AT74" s="67"/>
      <c r="AU74" s="67"/>
      <c r="AV74" s="67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70"/>
      <c r="CE74" s="71"/>
      <c r="CF74" s="71"/>
      <c r="CG74" s="71"/>
    </row>
    <row r="75" spans="2:85" s="72" customFormat="1" ht="20.25" thickTop="1" thickBot="1">
      <c r="B75" s="73"/>
      <c r="C75" s="352" t="s">
        <v>1104</v>
      </c>
      <c r="D75" s="353"/>
      <c r="E75" s="353"/>
      <c r="F75" s="353"/>
      <c r="G75" s="35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7"/>
      <c r="BU75" s="77"/>
      <c r="BV75" s="77"/>
      <c r="BW75" s="69"/>
      <c r="BX75" s="69"/>
      <c r="BY75" s="69"/>
      <c r="BZ75" s="69"/>
      <c r="CA75" s="69"/>
      <c r="CB75" s="69"/>
      <c r="CC75" s="69"/>
      <c r="CD75" s="70"/>
      <c r="CE75" s="71"/>
      <c r="CF75" s="71"/>
      <c r="CG75" s="71"/>
    </row>
    <row r="76" spans="2:85" s="72" customFormat="1" ht="24.75" thickTop="1">
      <c r="B76" s="73"/>
      <c r="C76" s="87" t="s">
        <v>631</v>
      </c>
      <c r="D76" s="88" t="s">
        <v>636</v>
      </c>
      <c r="E76" s="89"/>
      <c r="F76" s="89"/>
      <c r="G76" s="90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7"/>
      <c r="BU76" s="77"/>
      <c r="BV76" s="77"/>
      <c r="BW76" s="69"/>
      <c r="BX76" s="69"/>
      <c r="BY76" s="69"/>
      <c r="BZ76" s="69"/>
      <c r="CA76" s="69"/>
      <c r="CB76" s="69"/>
      <c r="CC76" s="69"/>
      <c r="CD76" s="70"/>
      <c r="CE76" s="71"/>
      <c r="CF76" s="71"/>
      <c r="CG76" s="71"/>
    </row>
    <row r="77" spans="2:85" s="72" customFormat="1" ht="24">
      <c r="B77" s="73"/>
      <c r="C77" s="87" t="s">
        <v>634</v>
      </c>
      <c r="D77" s="88" t="s">
        <v>633</v>
      </c>
      <c r="E77" s="89"/>
      <c r="F77" s="89"/>
      <c r="G77" s="90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7"/>
      <c r="BU77" s="77"/>
      <c r="BV77" s="77"/>
      <c r="BW77" s="69"/>
      <c r="BX77" s="69"/>
      <c r="BY77" s="69"/>
      <c r="BZ77" s="69"/>
      <c r="CA77" s="69"/>
      <c r="CB77" s="69"/>
      <c r="CC77" s="69"/>
      <c r="CD77" s="70"/>
      <c r="CE77" s="71"/>
      <c r="CF77" s="71"/>
      <c r="CG77" s="71"/>
    </row>
    <row r="78" spans="2:85" s="72" customFormat="1" ht="39.75">
      <c r="B78" s="73"/>
      <c r="C78" s="91" t="s">
        <v>637</v>
      </c>
      <c r="D78" s="129" t="s">
        <v>635</v>
      </c>
      <c r="E78" s="89"/>
      <c r="F78" s="89"/>
      <c r="G78" s="90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7"/>
      <c r="BU78" s="77"/>
      <c r="BV78" s="77"/>
      <c r="BW78" s="69"/>
      <c r="BX78" s="69"/>
      <c r="BY78" s="69"/>
      <c r="BZ78" s="69"/>
      <c r="CA78" s="69"/>
      <c r="CB78" s="69"/>
      <c r="CC78" s="69"/>
      <c r="CD78" s="70"/>
      <c r="CE78" s="71"/>
      <c r="CF78" s="71"/>
      <c r="CG78" s="71"/>
    </row>
    <row r="79" spans="2:85" s="72" customFormat="1" ht="39.75">
      <c r="B79" s="73"/>
      <c r="C79" s="91" t="s">
        <v>638</v>
      </c>
      <c r="D79" s="129" t="s">
        <v>1076</v>
      </c>
      <c r="E79" s="89"/>
      <c r="F79" s="89"/>
      <c r="G79" s="90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7"/>
      <c r="BU79" s="77"/>
      <c r="BV79" s="77"/>
      <c r="BW79" s="69"/>
      <c r="BX79" s="69"/>
      <c r="BY79" s="69"/>
      <c r="BZ79" s="69"/>
      <c r="CA79" s="69"/>
      <c r="CB79" s="69"/>
      <c r="CC79" s="69"/>
      <c r="CD79" s="70"/>
      <c r="CE79" s="71"/>
      <c r="CF79" s="71"/>
      <c r="CG79" s="71"/>
    </row>
    <row r="80" spans="2:85" s="72" customFormat="1" ht="25.9" customHeight="1" thickBot="1">
      <c r="B80" s="73"/>
      <c r="C80" s="280" t="s">
        <v>1129</v>
      </c>
      <c r="D80" s="128" t="s">
        <v>1130</v>
      </c>
      <c r="E80" s="281"/>
      <c r="F80" s="282"/>
      <c r="G80" s="283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7"/>
      <c r="BU80" s="77"/>
      <c r="BV80" s="77"/>
      <c r="BW80" s="69"/>
      <c r="BX80" s="69"/>
      <c r="BY80" s="69"/>
      <c r="BZ80" s="69"/>
      <c r="CA80" s="69"/>
      <c r="CB80" s="69"/>
      <c r="CC80" s="69"/>
      <c r="CD80" s="70"/>
      <c r="CE80" s="71"/>
      <c r="CF80" s="71"/>
      <c r="CG80" s="71"/>
    </row>
    <row r="81" ht="19.5" thickTop="1"/>
  </sheetData>
  <sheetProtection algorithmName="SHA-512" hashValue="c8ouxfDMOPPunJx2qH4DRExapWG5iDRdU+VFn7DMBwWCkvV8YvyLZRLSR5QhUHGChb6IO98N+Jw9ALN6B55NUw==" saltValue="uypB4z3Xr5OgZN3E2xP9zQ==" spinCount="100000" sheet="1" sort="0" autoFilter="0" pivotTables="0"/>
  <mergeCells count="84">
    <mergeCell ref="B13:L13"/>
    <mergeCell ref="B2:M2"/>
    <mergeCell ref="H4:J4"/>
    <mergeCell ref="C6:D6"/>
    <mergeCell ref="F6:J6"/>
    <mergeCell ref="C7:D7"/>
    <mergeCell ref="F7:J7"/>
    <mergeCell ref="C8:D8"/>
    <mergeCell ref="F8:J8"/>
    <mergeCell ref="C10:D10"/>
    <mergeCell ref="F10:J10"/>
    <mergeCell ref="F9:J9"/>
    <mergeCell ref="F11:G11"/>
    <mergeCell ref="K9:M9"/>
    <mergeCell ref="K10:M10"/>
    <mergeCell ref="J16:K16"/>
    <mergeCell ref="B17:C17"/>
    <mergeCell ref="G17:H17"/>
    <mergeCell ref="J17:K17"/>
    <mergeCell ref="E15:K15"/>
    <mergeCell ref="B15:D15"/>
    <mergeCell ref="B16:C16"/>
    <mergeCell ref="E16:H16"/>
    <mergeCell ref="J25:K25"/>
    <mergeCell ref="B18:C18"/>
    <mergeCell ref="G18:H18"/>
    <mergeCell ref="G19:H19"/>
    <mergeCell ref="B21:C21"/>
    <mergeCell ref="G21:H21"/>
    <mergeCell ref="J21:K21"/>
    <mergeCell ref="B22:C22"/>
    <mergeCell ref="G22:H22"/>
    <mergeCell ref="G23:H23"/>
    <mergeCell ref="B25:C25"/>
    <mergeCell ref="G25:H25"/>
    <mergeCell ref="B26:C26"/>
    <mergeCell ref="G26:H26"/>
    <mergeCell ref="G27:H27"/>
    <mergeCell ref="B29:D29"/>
    <mergeCell ref="B30:C30"/>
    <mergeCell ref="G30:H30"/>
    <mergeCell ref="J30:K30"/>
    <mergeCell ref="B31:C31"/>
    <mergeCell ref="G31:H31"/>
    <mergeCell ref="G32:H32"/>
    <mergeCell ref="B34:C34"/>
    <mergeCell ref="G34:H34"/>
    <mergeCell ref="J34:K34"/>
    <mergeCell ref="B43:E43"/>
    <mergeCell ref="G43:I43"/>
    <mergeCell ref="J43:K43"/>
    <mergeCell ref="B35:C35"/>
    <mergeCell ref="G35:H35"/>
    <mergeCell ref="G36:H36"/>
    <mergeCell ref="B38:C38"/>
    <mergeCell ref="G38:H38"/>
    <mergeCell ref="J38:K38"/>
    <mergeCell ref="B39:C39"/>
    <mergeCell ref="G39:H39"/>
    <mergeCell ref="G40:H40"/>
    <mergeCell ref="B42:E42"/>
    <mergeCell ref="J42:K42"/>
    <mergeCell ref="G69:J69"/>
    <mergeCell ref="K69:L69"/>
    <mergeCell ref="B44:E44"/>
    <mergeCell ref="C46:D46"/>
    <mergeCell ref="F46:J46"/>
    <mergeCell ref="B57:C57"/>
    <mergeCell ref="G66:L66"/>
    <mergeCell ref="K67:L67"/>
    <mergeCell ref="G68:J68"/>
    <mergeCell ref="K68:L68"/>
    <mergeCell ref="B59:L59"/>
    <mergeCell ref="C50:D50"/>
    <mergeCell ref="F50:I50"/>
    <mergeCell ref="C47:D47"/>
    <mergeCell ref="C48:D48"/>
    <mergeCell ref="C49:D49"/>
    <mergeCell ref="C75:G75"/>
    <mergeCell ref="G70:J70"/>
    <mergeCell ref="K70:L70"/>
    <mergeCell ref="G71:J71"/>
    <mergeCell ref="K71:L71"/>
    <mergeCell ref="G72:L72"/>
  </mergeCells>
  <phoneticPr fontId="1"/>
  <dataValidations count="5">
    <dataValidation type="list" allowBlank="1" showInputMessage="1" showErrorMessage="1" sqref="F7:J7" xr:uid="{17102129-8E5A-40B3-90B8-8486815C8FEC}">
      <formula1>"教諭,事務,栄養士,公仕,教頭,副校長,校長"</formula1>
    </dataValidation>
    <dataValidation type="list" allowBlank="1" showInputMessage="1" showErrorMessage="1" sqref="D60" xr:uid="{E1CF5AB2-6602-4508-A47A-124057C311F5}">
      <formula1>"高等学校教育職,小中学校教育職,事務職,栄養職,労務職"</formula1>
    </dataValidation>
    <dataValidation type="list" allowBlank="1" showInputMessage="1" showErrorMessage="1" sqref="D52 D65" xr:uid="{8FD74665-C7BF-4B4C-9AC2-E62BE091C3E4}">
      <formula1>"定年・勧奨,自己都合等,公務外傷病,任期終了、公務外死亡,整理、公務上傷病、公務上死亡"</formula1>
    </dataValidation>
    <dataValidation type="list" allowBlank="1" showInputMessage="1" showErrorMessage="1" sqref="D52 D65" xr:uid="{1F8BA34C-8C1A-4438-8B49-3308F42B7E5F}">
      <formula1>"教諭,教諭(臨),事務,栄養士,公仕,副教頭,教頭,副校長,校長"</formula1>
    </dataValidation>
    <dataValidation type="list" allowBlank="1" showInputMessage="1" showErrorMessage="1" sqref="B17:C17 B21:C21 B25:C25 B30:C30 B34:C34 B38:C38" xr:uid="{B0E8E525-6C7B-47FD-851F-F39903A9E3F4}">
      <formula1>$Q$16:$Q$24</formula1>
    </dataValidation>
  </dataValidations>
  <pageMargins left="0.7" right="0.7" top="0.75" bottom="0.75" header="0.3" footer="0.3"/>
  <pageSetup paperSize="9" scale="64" fitToHeight="0" orientation="portrait" r:id="rId1"/>
  <rowBreaks count="1" manualBreakCount="1">
    <brk id="58" max="16383" man="1"/>
  </rowBreaks>
  <ignoredErrors>
    <ignoredError sqref="A17 A21:A38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41DC95-54F3-4992-8792-D45C3C76FF90}">
          <x14:formula1>
            <xm:f>所属!$A$1:$A$539</xm:f>
          </x14:formula1>
          <xm:sqref>C7:D7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942D-3FEE-4228-BFFD-74175B87F679}">
  <sheetPr>
    <tabColor rgb="FFFFFF00"/>
    <pageSetUpPr fitToPage="1"/>
  </sheetPr>
  <dimension ref="A1:CG81"/>
  <sheetViews>
    <sheetView tabSelected="1" topLeftCell="A10" zoomScaleNormal="100" workbookViewId="0">
      <selection activeCell="U11" sqref="U11"/>
    </sheetView>
  </sheetViews>
  <sheetFormatPr defaultRowHeight="18.75"/>
  <cols>
    <col min="1" max="1" width="3.75" customWidth="1"/>
    <col min="2" max="2" width="15.75" style="47" customWidth="1"/>
    <col min="3" max="3" width="15.75" customWidth="1"/>
    <col min="4" max="4" width="15.75" style="47" customWidth="1"/>
    <col min="5" max="5" width="16.5" style="35" customWidth="1"/>
    <col min="6" max="6" width="4.125" style="35" customWidth="1"/>
    <col min="7" max="7" width="11.75" style="47" customWidth="1"/>
    <col min="8" max="9" width="3.875" style="47" customWidth="1"/>
    <col min="10" max="10" width="11.75" style="47" customWidth="1"/>
    <col min="11" max="11" width="3" customWidth="1"/>
    <col min="12" max="12" width="11.75" customWidth="1"/>
    <col min="13" max="13" width="16.25" customWidth="1"/>
    <col min="14" max="14" width="10.125" customWidth="1"/>
    <col min="15" max="15" width="8.375" hidden="1" customWidth="1"/>
    <col min="16" max="16" width="5.875" hidden="1" customWidth="1"/>
    <col min="17" max="17" width="9.25" hidden="1" customWidth="1"/>
    <col min="18" max="18" width="12.75" hidden="1" customWidth="1"/>
    <col min="19" max="19" width="19.625" hidden="1" customWidth="1"/>
    <col min="20" max="20" width="10.5" customWidth="1"/>
    <col min="21" max="21" width="11.875" customWidth="1"/>
    <col min="22" max="22" width="16.625" customWidth="1"/>
    <col min="23" max="23" width="17.25" customWidth="1"/>
  </cols>
  <sheetData>
    <row r="1" spans="2:18" ht="9" customHeight="1"/>
    <row r="2" spans="2:18" ht="34.15" customHeight="1">
      <c r="B2" s="431" t="s">
        <v>1106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</row>
    <row r="3" spans="2:18" ht="9" customHeight="1" thickBot="1"/>
    <row r="4" spans="2:18" ht="30" customHeight="1" thickBot="1">
      <c r="C4" s="32" t="s">
        <v>579</v>
      </c>
      <c r="D4" s="119">
        <f ca="1">TODAY()</f>
        <v>45105</v>
      </c>
      <c r="E4" s="119"/>
      <c r="F4" s="119"/>
      <c r="G4" s="438" t="s">
        <v>1107</v>
      </c>
      <c r="H4" s="438"/>
      <c r="I4" s="438"/>
      <c r="J4" s="438"/>
      <c r="L4" s="31"/>
      <c r="M4" t="s">
        <v>578</v>
      </c>
      <c r="N4" s="49"/>
      <c r="O4" s="49"/>
      <c r="P4" s="49"/>
    </row>
    <row r="5" spans="2:18" ht="30" customHeight="1" thickBot="1">
      <c r="B5" s="39" t="s">
        <v>612</v>
      </c>
      <c r="C5" s="39"/>
      <c r="D5" s="119"/>
      <c r="E5" s="119"/>
      <c r="F5" s="119"/>
      <c r="L5" s="51"/>
      <c r="M5" t="s">
        <v>577</v>
      </c>
      <c r="N5" s="49"/>
      <c r="O5" s="49"/>
      <c r="P5" s="49"/>
    </row>
    <row r="6" spans="2:18" s="48" customFormat="1" ht="30" customHeight="1" thickTop="1" thickBot="1">
      <c r="B6" s="124" t="s">
        <v>0</v>
      </c>
      <c r="C6" s="432"/>
      <c r="D6" s="433"/>
      <c r="E6" s="319" t="s">
        <v>609</v>
      </c>
      <c r="F6" s="432"/>
      <c r="G6" s="434"/>
      <c r="H6" s="434"/>
      <c r="I6" s="434"/>
      <c r="J6" s="433"/>
      <c r="L6" s="158"/>
      <c r="M6" s="118" t="s">
        <v>1070</v>
      </c>
      <c r="N6"/>
      <c r="O6"/>
      <c r="P6"/>
      <c r="Q6" s="48" t="str">
        <f>F8&amp;F7</f>
        <v>定年退職</v>
      </c>
    </row>
    <row r="7" spans="2:18" s="48" customFormat="1" ht="30" customHeight="1" thickTop="1" thickBot="1">
      <c r="B7" s="124" t="s">
        <v>611</v>
      </c>
      <c r="C7" s="426"/>
      <c r="D7" s="427"/>
      <c r="E7" s="319" t="s">
        <v>610</v>
      </c>
      <c r="F7" s="435"/>
      <c r="G7" s="436"/>
      <c r="H7" s="436"/>
      <c r="I7" s="436"/>
      <c r="J7" s="437"/>
      <c r="L7" s="159"/>
      <c r="M7" s="160" t="s">
        <v>1127</v>
      </c>
      <c r="N7"/>
      <c r="O7"/>
      <c r="P7"/>
      <c r="Q7" s="48">
        <f>IF(DATEDIF(C8,$F$10,"y")&gt;60,0,DATEDIF(C8,$F$10,"y"))</f>
        <v>0</v>
      </c>
    </row>
    <row r="8" spans="2:18" s="48" customFormat="1" ht="30" customHeight="1" thickTop="1" thickBot="1">
      <c r="B8" s="50" t="s">
        <v>3</v>
      </c>
      <c r="C8" s="444"/>
      <c r="D8" s="433"/>
      <c r="E8" s="326" t="s">
        <v>4</v>
      </c>
      <c r="F8" s="403" t="s">
        <v>1120</v>
      </c>
      <c r="G8" s="404"/>
      <c r="H8" s="404"/>
      <c r="I8" s="404"/>
      <c r="J8" s="405"/>
      <c r="M8"/>
      <c r="N8"/>
      <c r="O8"/>
      <c r="Q8" s="22">
        <f>+DATE(YEAR(C10),MONTH(C10),1)</f>
        <v>1</v>
      </c>
      <c r="R8" s="22">
        <f>+DATE(YEAR(C10),MONTH(C10),1)</f>
        <v>1</v>
      </c>
    </row>
    <row r="9" spans="2:18" s="48" customFormat="1" ht="30" customHeight="1" thickTop="1" thickBot="1">
      <c r="B9" s="125" t="s">
        <v>1067</v>
      </c>
      <c r="C9" s="58" t="str">
        <f>IFERROR(IF(DATEDIF(C8,$F$10,"y")&gt;65,0,DATEDIF(C8,$F$10,"y"))&amp;"歳","")</f>
        <v>0歳</v>
      </c>
      <c r="D9" s="59"/>
      <c r="E9" s="53" t="s">
        <v>1147</v>
      </c>
      <c r="F9" s="445"/>
      <c r="G9" s="446"/>
      <c r="H9" s="446"/>
      <c r="I9" s="446"/>
      <c r="J9" s="447"/>
      <c r="K9" s="415" t="s">
        <v>1148</v>
      </c>
      <c r="L9" s="416"/>
      <c r="M9" s="416"/>
      <c r="N9"/>
      <c r="O9"/>
      <c r="Q9" s="22">
        <f>+DATE(YEAR(F10),MONTH(F10),1)</f>
        <v>1</v>
      </c>
      <c r="R9" s="22">
        <f>+DATE(YEAR(F9),MONTH(F9),1)</f>
        <v>1</v>
      </c>
    </row>
    <row r="10" spans="2:18" s="48" customFormat="1" ht="30" customHeight="1" thickTop="1" thickBot="1">
      <c r="B10" s="124" t="s">
        <v>6</v>
      </c>
      <c r="C10" s="444"/>
      <c r="D10" s="433"/>
      <c r="E10" s="319" t="s">
        <v>7</v>
      </c>
      <c r="F10" s="445"/>
      <c r="G10" s="446"/>
      <c r="H10" s="446"/>
      <c r="I10" s="446"/>
      <c r="J10" s="447"/>
      <c r="K10" s="415" t="s">
        <v>1161</v>
      </c>
      <c r="L10" s="416"/>
      <c r="M10" s="416"/>
      <c r="N10"/>
      <c r="O10"/>
      <c r="P10"/>
      <c r="Q10">
        <f>+DATEDIF(Q8,Q9,"m")</f>
        <v>0</v>
      </c>
      <c r="R10">
        <f>+DATEDIF(R8,R9,"m")</f>
        <v>0</v>
      </c>
    </row>
    <row r="11" spans="2:18" ht="30" customHeight="1" thickTop="1">
      <c r="B11" s="53" t="s">
        <v>613</v>
      </c>
      <c r="C11" s="328" t="str">
        <f>IFERROR(ROUNDDOWN(Q12/12,0)&amp;"年"&amp;MOD(Q12,12)&amp;"月","")</f>
        <v>0年0月</v>
      </c>
      <c r="D11" s="327"/>
      <c r="E11" s="53" t="s">
        <v>1152</v>
      </c>
      <c r="F11" s="413" t="str">
        <f>IFERROR(ROUNDDOWN(R12/12,0)&amp;"年"&amp;MOD(R12,12)&amp;"月","")</f>
        <v>0年0月</v>
      </c>
      <c r="G11" s="414"/>
      <c r="Q11">
        <f>IF(Q10=0,0,1)</f>
        <v>0</v>
      </c>
      <c r="R11">
        <f>IF(R10=0,0,1)</f>
        <v>0</v>
      </c>
    </row>
    <row r="12" spans="2:18" ht="30" customHeight="1">
      <c r="B12" s="55"/>
      <c r="C12" s="56"/>
      <c r="D12" s="54"/>
      <c r="E12" s="119"/>
      <c r="F12" s="119"/>
      <c r="Q12">
        <f>SUM(Q10:Q11)</f>
        <v>0</v>
      </c>
      <c r="R12">
        <f>SUM(R10:R11)</f>
        <v>0</v>
      </c>
    </row>
    <row r="13" spans="2:18" ht="64.900000000000006" customHeight="1">
      <c r="B13" s="448" t="s">
        <v>1097</v>
      </c>
      <c r="C13" s="448"/>
      <c r="D13" s="448"/>
      <c r="E13" s="448"/>
      <c r="F13" s="448"/>
      <c r="G13" s="448"/>
      <c r="H13" s="448"/>
      <c r="I13" s="448"/>
      <c r="J13" s="448"/>
      <c r="K13" s="448"/>
      <c r="L13" s="448"/>
      <c r="N13" s="49"/>
      <c r="O13" s="49"/>
      <c r="P13" s="49"/>
    </row>
    <row r="14" spans="2:18" ht="13.9" customHeight="1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N14" s="49"/>
      <c r="O14" s="49"/>
      <c r="P14" s="49"/>
    </row>
    <row r="15" spans="2:18" ht="26.45" customHeight="1">
      <c r="B15" s="430" t="s">
        <v>1089</v>
      </c>
      <c r="C15" s="430"/>
      <c r="D15" s="430"/>
      <c r="E15" s="439" t="s">
        <v>1098</v>
      </c>
      <c r="F15" s="439"/>
      <c r="G15" s="439"/>
      <c r="H15" s="439"/>
      <c r="I15" s="439"/>
      <c r="J15" s="439"/>
      <c r="K15" s="439"/>
      <c r="L15" s="121"/>
      <c r="N15" s="49"/>
      <c r="O15" s="49"/>
      <c r="P15" s="49"/>
    </row>
    <row r="16" spans="2:18" s="48" customFormat="1" ht="30" customHeight="1" thickBot="1">
      <c r="B16" s="440" t="s">
        <v>616</v>
      </c>
      <c r="C16" s="441"/>
      <c r="D16" s="152" t="s">
        <v>1054</v>
      </c>
      <c r="E16" s="440" t="s">
        <v>1058</v>
      </c>
      <c r="F16" s="441"/>
      <c r="G16" s="441"/>
      <c r="H16" s="441"/>
      <c r="I16" s="123"/>
      <c r="J16" s="442" t="s">
        <v>1057</v>
      </c>
      <c r="K16" s="443"/>
      <c r="M16" s="7"/>
      <c r="N16"/>
      <c r="O16"/>
      <c r="P16"/>
      <c r="Q16" s="22"/>
    </row>
    <row r="17" spans="1:19" s="48" customFormat="1" ht="34.15" customHeight="1" thickTop="1" thickBot="1">
      <c r="A17" s="100" t="s">
        <v>1099</v>
      </c>
      <c r="B17" s="426"/>
      <c r="C17" s="427"/>
      <c r="D17" s="157"/>
      <c r="E17" s="153"/>
      <c r="F17" s="102" t="s">
        <v>1055</v>
      </c>
      <c r="G17" s="428"/>
      <c r="H17" s="429"/>
      <c r="I17" s="103" t="s">
        <v>1056</v>
      </c>
      <c r="J17" s="385" t="str">
        <f>ROUNDDOWN(O20/12,0)&amp;"年"&amp;MOD(O20,12)&amp;"月"</f>
        <v>0年0月</v>
      </c>
      <c r="K17" s="385"/>
      <c r="M17"/>
      <c r="N17"/>
      <c r="O17"/>
      <c r="P17"/>
      <c r="Q17" s="104" t="s">
        <v>1051</v>
      </c>
      <c r="R17" s="5">
        <v>3</v>
      </c>
      <c r="S17" s="5">
        <v>2</v>
      </c>
    </row>
    <row r="18" spans="1:19" s="177" customFormat="1" ht="22.9" hidden="1" customHeight="1" thickTop="1">
      <c r="B18" s="378" t="e">
        <f>EOMONTH(D18,-1)</f>
        <v>#VALUE!</v>
      </c>
      <c r="C18" s="378"/>
      <c r="D18" s="194" t="str">
        <f>IF(B17="育児休業(平成４年４月１日以降）",D17+365,"")</f>
        <v/>
      </c>
      <c r="E18" s="195" t="str">
        <f>IF(E17="","",IF(DAY(E17)=1,E17,IF(DAY(E17)&lt;&gt;1,EOMONTH(E17,0)+1,"")))</f>
        <v/>
      </c>
      <c r="F18" s="196"/>
      <c r="G18" s="379" t="str">
        <f>IF(G17&gt;D18,EOMONTH(B18,1),IF(G17="","",IF(EOMONTH(G17,0)&lt;&gt;G17,EOMONTH(G17,-1),IF(G17=EOMONTH(G17,0),G17,""))))</f>
        <v/>
      </c>
      <c r="H18" s="379"/>
      <c r="I18" s="95" t="s">
        <v>20</v>
      </c>
      <c r="J18" s="161"/>
      <c r="K18" s="111"/>
      <c r="M18" s="177" t="str">
        <f>IFERROR(VLOOKUP(B17,$Q$17:$S$24,2,FALSE),"")</f>
        <v/>
      </c>
      <c r="N18" s="94" t="str">
        <f>IFERROR(DATEDIF(E18,G18,"M")+1,"")</f>
        <v/>
      </c>
      <c r="O18" s="271">
        <f>IFERROR(ROUNDDOWN(N18/M18,2),0)</f>
        <v>0</v>
      </c>
      <c r="P18" s="271"/>
      <c r="Q18" s="272" t="s">
        <v>1052</v>
      </c>
      <c r="R18" s="161">
        <v>2</v>
      </c>
      <c r="S18" s="161">
        <v>2</v>
      </c>
    </row>
    <row r="19" spans="1:19" s="177" customFormat="1" ht="22.15" hidden="1" customHeight="1">
      <c r="B19" s="197"/>
      <c r="C19" s="198"/>
      <c r="D19" s="194"/>
      <c r="E19" s="195" t="str">
        <f>IF(G18&lt;&gt;G17,G18+1,"")</f>
        <v/>
      </c>
      <c r="F19" s="196"/>
      <c r="G19" s="380" t="str">
        <f>IF(G17="","",IF(EOMONTH(G17,0)&lt;&gt;G17,EOMONTH(G17,-1),IF(G17=EOMONTH(G17,0),G17,"")))</f>
        <v/>
      </c>
      <c r="H19" s="380"/>
      <c r="I19" s="95" t="s">
        <v>27</v>
      </c>
      <c r="J19" s="161"/>
      <c r="K19" s="111"/>
      <c r="L19" s="94"/>
      <c r="M19" s="177" t="str">
        <f>IFERROR(VLOOKUP(B17,$Q$17:$S$24,3,FALSE),"")</f>
        <v/>
      </c>
      <c r="N19" s="189" t="str">
        <f>IFERROR(DATEDIF(E19,G19,"M")+1,"")</f>
        <v/>
      </c>
      <c r="O19" s="271">
        <f>IFERROR(ROUNDDOWN(N19/M19,1),0)</f>
        <v>0</v>
      </c>
      <c r="P19" s="271"/>
      <c r="Q19" s="272" t="s">
        <v>1046</v>
      </c>
      <c r="R19" s="273">
        <v>2</v>
      </c>
      <c r="S19" s="273">
        <v>2</v>
      </c>
    </row>
    <row r="20" spans="1:19" s="177" customFormat="1" ht="22.9" hidden="1" customHeight="1" thickBot="1">
      <c r="B20" s="197"/>
      <c r="C20" s="198"/>
      <c r="D20" s="194"/>
      <c r="E20" s="198"/>
      <c r="F20" s="198"/>
      <c r="G20" s="196"/>
      <c r="H20" s="196"/>
      <c r="I20" s="196"/>
      <c r="J20" s="162"/>
      <c r="K20" s="111"/>
      <c r="L20" s="94"/>
      <c r="M20" s="189"/>
      <c r="N20" s="68"/>
      <c r="O20" s="271">
        <f>IFERROR(O18+O19,"")</f>
        <v>0</v>
      </c>
      <c r="P20" s="68"/>
      <c r="Q20" s="272" t="s">
        <v>1047</v>
      </c>
      <c r="R20" s="161">
        <v>2</v>
      </c>
      <c r="S20" s="161">
        <v>2</v>
      </c>
    </row>
    <row r="21" spans="1:19" s="48" customFormat="1" ht="34.15" customHeight="1" thickTop="1" thickBot="1">
      <c r="A21" s="100" t="s">
        <v>1100</v>
      </c>
      <c r="B21" s="426"/>
      <c r="C21" s="427"/>
      <c r="D21" s="157"/>
      <c r="E21" s="153"/>
      <c r="F21" s="102" t="s">
        <v>1055</v>
      </c>
      <c r="G21" s="428"/>
      <c r="H21" s="429"/>
      <c r="I21" s="103" t="s">
        <v>1056</v>
      </c>
      <c r="J21" s="385" t="str">
        <f>ROUNDDOWN(O24/12,0)&amp;"年"&amp;MOD(O24,12)&amp;"月"</f>
        <v>0年0月</v>
      </c>
      <c r="K21" s="385"/>
      <c r="M21"/>
      <c r="N21"/>
      <c r="O21"/>
      <c r="P21"/>
      <c r="Q21" s="104" t="s">
        <v>1053</v>
      </c>
      <c r="R21" s="5">
        <v>3</v>
      </c>
      <c r="S21" s="5">
        <v>3</v>
      </c>
    </row>
    <row r="22" spans="1:19" s="177" customFormat="1" ht="22.9" hidden="1" customHeight="1" thickTop="1">
      <c r="B22" s="378" t="e">
        <f>EOMONTH(D22,-1)</f>
        <v>#VALUE!</v>
      </c>
      <c r="C22" s="378"/>
      <c r="D22" s="194" t="str">
        <f>IF(B21="育児休業(平成４年４月１日以降）",D21+365,"")</f>
        <v/>
      </c>
      <c r="E22" s="195" t="str">
        <f>IF(E21="","",IF(DAY(E21)=1,E21,IF(DAY(E21)&lt;&gt;1,EOMONTH(E21,0)+1,"")))</f>
        <v/>
      </c>
      <c r="F22" s="196"/>
      <c r="G22" s="379" t="str">
        <f>IF(G21&gt;D22,EOMONTH(B22,1),IF(G21="","",IF(EOMONTH(G21,0)&lt;&gt;G21,EOMONTH(G21,-1),IF(G21=EOMONTH(G21,0),G21,""))))</f>
        <v/>
      </c>
      <c r="H22" s="379"/>
      <c r="I22" s="95" t="s">
        <v>20</v>
      </c>
      <c r="J22" s="161"/>
      <c r="K22" s="111"/>
      <c r="M22" s="177" t="str">
        <f>IFERROR(VLOOKUP(B21,$Q$17:$S$24,2,FALSE),"")</f>
        <v/>
      </c>
      <c r="N22" s="94" t="str">
        <f>IFERROR(DATEDIF(E22,G22,"M")+1,"")</f>
        <v/>
      </c>
      <c r="O22" s="271">
        <f>IFERROR(ROUNDDOWN(N22/M22,2),0)</f>
        <v>0</v>
      </c>
      <c r="P22" s="271"/>
      <c r="Q22" s="274" t="s">
        <v>1050</v>
      </c>
      <c r="R22" s="161">
        <v>1</v>
      </c>
      <c r="S22" s="161">
        <v>1</v>
      </c>
    </row>
    <row r="23" spans="1:19" s="177" customFormat="1" ht="22.15" hidden="1" customHeight="1">
      <c r="B23" s="197"/>
      <c r="C23" s="198"/>
      <c r="D23" s="194"/>
      <c r="E23" s="195" t="str">
        <f>IF(G22&lt;&gt;G21,G22+1,"")</f>
        <v/>
      </c>
      <c r="F23" s="196"/>
      <c r="G23" s="380" t="str">
        <f>IF(G21="","",IF(EOMONTH(G21,0)&lt;&gt;G21,EOMONTH(G21,-1),IF(G21=EOMONTH(G21,0),G21,"")))</f>
        <v/>
      </c>
      <c r="H23" s="380"/>
      <c r="I23" s="95" t="s">
        <v>27</v>
      </c>
      <c r="J23" s="161"/>
      <c r="K23" s="111"/>
      <c r="L23" s="94"/>
      <c r="M23" s="177" t="str">
        <f>IFERROR(VLOOKUP(B21,$Q$17:$S$24,3,FALSE),"")</f>
        <v/>
      </c>
      <c r="N23" s="189" t="str">
        <f>IFERROR(DATEDIF(E23,G23,"M")+1,"")</f>
        <v/>
      </c>
      <c r="O23" s="271">
        <f>IFERROR(ROUNDDOWN(N23/M23,1),0)</f>
        <v>0</v>
      </c>
      <c r="P23" s="271"/>
      <c r="Q23" s="274" t="s">
        <v>1049</v>
      </c>
      <c r="R23" s="161">
        <v>1</v>
      </c>
      <c r="S23" s="161">
        <v>1</v>
      </c>
    </row>
    <row r="24" spans="1:19" s="177" customFormat="1" ht="22.9" hidden="1" customHeight="1" thickBot="1">
      <c r="B24" s="197"/>
      <c r="C24" s="198"/>
      <c r="D24" s="194"/>
      <c r="E24" s="198"/>
      <c r="F24" s="198"/>
      <c r="G24" s="196"/>
      <c r="H24" s="196"/>
      <c r="I24" s="196"/>
      <c r="J24" s="162"/>
      <c r="K24" s="111"/>
      <c r="L24" s="94"/>
      <c r="M24" s="189"/>
      <c r="N24" s="68"/>
      <c r="O24" s="271">
        <f>IFERROR(O22+O23,"")</f>
        <v>0</v>
      </c>
      <c r="P24" s="68"/>
      <c r="Q24" s="274" t="s">
        <v>1048</v>
      </c>
      <c r="R24" s="273">
        <v>1</v>
      </c>
      <c r="S24" s="273">
        <v>1</v>
      </c>
    </row>
    <row r="25" spans="1:19" s="48" customFormat="1" ht="34.15" customHeight="1" thickTop="1" thickBot="1">
      <c r="A25" s="100" t="s">
        <v>1101</v>
      </c>
      <c r="B25" s="426"/>
      <c r="C25" s="427"/>
      <c r="D25" s="157"/>
      <c r="E25" s="153"/>
      <c r="F25" s="102" t="s">
        <v>1055</v>
      </c>
      <c r="G25" s="428"/>
      <c r="H25" s="429"/>
      <c r="I25" s="103" t="s">
        <v>1056</v>
      </c>
      <c r="J25" s="385" t="str">
        <f>ROUNDDOWN(O28/12,0)&amp;"年"&amp;MOD(O28,12)&amp;"月"</f>
        <v>0年0月</v>
      </c>
      <c r="K25" s="385"/>
      <c r="M25"/>
      <c r="N25"/>
      <c r="O25"/>
      <c r="P25"/>
      <c r="Q25" s="104"/>
      <c r="R25" s="5"/>
      <c r="S25" s="5"/>
    </row>
    <row r="26" spans="1:19" s="177" customFormat="1" ht="24.75" hidden="1" thickTop="1">
      <c r="B26" s="378" t="e">
        <f>EOMONTH(D26,-1)</f>
        <v>#VALUE!</v>
      </c>
      <c r="C26" s="378"/>
      <c r="D26" s="198" t="str">
        <f>IF(B25="育児休業(平成４年４月１日以降）",D25+365,"")</f>
        <v/>
      </c>
      <c r="E26" s="195" t="str">
        <f>IF(E25="","",IF(DAY(E25)=1,E25,IF(DAY(E25)&lt;&gt;1,EOMONTH(E25,0)+1,"")))</f>
        <v/>
      </c>
      <c r="F26" s="196"/>
      <c r="G26" s="379" t="str">
        <f>IF(G25&gt;D26,EOMONTH(B26,1),IF(G25="","",IF(EOMONTH(G25,0)&lt;&gt;G25,EOMONTH(G25,-1),IF(G25=EOMONTH(G25,0),G25,""))))</f>
        <v/>
      </c>
      <c r="H26" s="379"/>
      <c r="I26" s="95" t="s">
        <v>20</v>
      </c>
      <c r="J26" s="161"/>
      <c r="K26" s="111"/>
      <c r="M26" s="177" t="str">
        <f>IFERROR(VLOOKUP(B25,$Q$17:$S$24,2,FALSE),"")</f>
        <v/>
      </c>
      <c r="N26" s="94" t="str">
        <f>IFERROR(DATEDIF(E26,G26,"M")+1,"")</f>
        <v/>
      </c>
      <c r="O26" s="271">
        <f>IFERROR(ROUNDDOWN(N26/M26,2),0)</f>
        <v>0</v>
      </c>
      <c r="P26" s="271"/>
      <c r="Q26" s="275"/>
      <c r="R26" s="276"/>
      <c r="S26" s="276"/>
    </row>
    <row r="27" spans="1:19" s="177" customFormat="1" ht="24" hidden="1">
      <c r="B27" s="197"/>
      <c r="C27" s="198"/>
      <c r="D27" s="198"/>
      <c r="E27" s="195" t="str">
        <f>IF(G26&lt;&gt;G25,G26+1,"")</f>
        <v/>
      </c>
      <c r="F27" s="196"/>
      <c r="G27" s="380" t="str">
        <f>IF(G25="","",IF(EOMONTH(G25,0)&lt;&gt;G25,EOMONTH(G25,-1),IF(G25=EOMONTH(G25,0),G25,"")))</f>
        <v/>
      </c>
      <c r="H27" s="380"/>
      <c r="I27" s="95" t="s">
        <v>27</v>
      </c>
      <c r="J27" s="161"/>
      <c r="K27" s="111"/>
      <c r="L27" s="94"/>
      <c r="M27" s="177" t="str">
        <f>IFERROR(VLOOKUP(B25,$Q$17:$S$24,3,FALSE),"")</f>
        <v/>
      </c>
      <c r="N27" s="189" t="str">
        <f>IFERROR(DATEDIF(E27,G27,"M")+1,"")</f>
        <v/>
      </c>
      <c r="O27" s="271">
        <f>IFERROR(ROUNDDOWN(N27/M27,1),0)</f>
        <v>0</v>
      </c>
      <c r="P27" s="271"/>
      <c r="Q27" s="275"/>
      <c r="R27" s="276"/>
      <c r="S27" s="276"/>
    </row>
    <row r="28" spans="1:19" s="177" customFormat="1" ht="24" hidden="1">
      <c r="B28" s="197"/>
      <c r="C28" s="198"/>
      <c r="D28" s="198"/>
      <c r="E28" s="198"/>
      <c r="F28" s="198"/>
      <c r="G28" s="196"/>
      <c r="H28" s="196"/>
      <c r="I28" s="196"/>
      <c r="J28" s="162"/>
      <c r="K28" s="111"/>
      <c r="L28" s="94"/>
      <c r="M28" s="189"/>
      <c r="N28" s="68"/>
      <c r="O28" s="271">
        <f>IFERROR(O26+O27,"")</f>
        <v>0</v>
      </c>
      <c r="P28" s="68"/>
      <c r="Q28" s="275"/>
      <c r="R28" s="189"/>
      <c r="S28" s="189"/>
    </row>
    <row r="29" spans="1:19" s="48" customFormat="1" ht="25.5" thickTop="1" thickBot="1">
      <c r="B29" s="430" t="s">
        <v>1090</v>
      </c>
      <c r="C29" s="430"/>
      <c r="D29" s="430"/>
      <c r="E29" s="98"/>
      <c r="F29" s="98"/>
      <c r="G29" s="96"/>
      <c r="H29" s="96"/>
      <c r="I29" s="96"/>
      <c r="J29" s="131"/>
      <c r="K29" s="132"/>
      <c r="L29" s="94"/>
      <c r="M29" s="7"/>
      <c r="N29"/>
      <c r="O29" s="99"/>
      <c r="P29"/>
      <c r="Q29" s="107"/>
      <c r="R29" s="7"/>
      <c r="S29" s="7"/>
    </row>
    <row r="30" spans="1:19" s="48" customFormat="1" ht="34.15" customHeight="1" thickTop="1" thickBot="1">
      <c r="A30" s="100" t="s">
        <v>1102</v>
      </c>
      <c r="B30" s="426"/>
      <c r="C30" s="427"/>
      <c r="D30" s="157"/>
      <c r="E30" s="153"/>
      <c r="F30" s="102" t="s">
        <v>1055</v>
      </c>
      <c r="G30" s="428"/>
      <c r="H30" s="429"/>
      <c r="I30" s="103" t="s">
        <v>1056</v>
      </c>
      <c r="J30" s="385" t="str">
        <f>ROUNDDOWN(O33/12,0)&amp;"年"&amp;MOD(O33,12)&amp;"月"</f>
        <v>0年0月</v>
      </c>
      <c r="K30" s="385"/>
      <c r="M30"/>
      <c r="N30"/>
      <c r="O30"/>
      <c r="P30"/>
      <c r="Q30" s="109"/>
      <c r="R30" s="7"/>
      <c r="S30" s="7"/>
    </row>
    <row r="31" spans="1:19" s="177" customFormat="1" ht="28.9" hidden="1" customHeight="1" thickTop="1">
      <c r="B31" s="378" t="e">
        <f>EOMONTH(D31,-1)</f>
        <v>#VALUE!</v>
      </c>
      <c r="C31" s="378"/>
      <c r="D31" s="194" t="str">
        <f>IF(B30="育児休業(平成４年４月１日以降）",D30+365,"")</f>
        <v/>
      </c>
      <c r="E31" s="195" t="str">
        <f>IF(E30="","",IF(DAY(E30)=1,E30,IF(DAY(E30)&lt;&gt;1,EOMONTH(E30,0)+1,"")))</f>
        <v/>
      </c>
      <c r="F31" s="196"/>
      <c r="G31" s="379" t="str">
        <f>IF(G30&gt;D31,EOMONTH(B31,1),IF(G30="","",IF(EOMONTH(G30,0)&lt;&gt;G30,EOMONTH(G30,-1),IF(G30=EOMONTH(G30,0),G30,""))))</f>
        <v/>
      </c>
      <c r="H31" s="379"/>
      <c r="I31" s="95" t="s">
        <v>20</v>
      </c>
      <c r="J31" s="161"/>
      <c r="K31" s="111"/>
      <c r="M31" s="177" t="str">
        <f>IFERROR(VLOOKUP(B30,$Q$17:$S$24,2,FALSE),"")</f>
        <v/>
      </c>
      <c r="N31" s="94" t="str">
        <f>IFERROR(DATEDIF(E31,G31,"M")+1,"")</f>
        <v/>
      </c>
      <c r="O31" s="271">
        <f>IFERROR(ROUNDDOWN(N31/M31,2),0)</f>
        <v>0</v>
      </c>
      <c r="P31" s="271"/>
      <c r="Q31" s="275"/>
      <c r="R31" s="276"/>
      <c r="S31" s="276"/>
    </row>
    <row r="32" spans="1:19" s="177" customFormat="1" ht="22.15" hidden="1" customHeight="1">
      <c r="B32" s="197"/>
      <c r="C32" s="198"/>
      <c r="D32" s="194"/>
      <c r="E32" s="195" t="str">
        <f>IF(G31&lt;&gt;G30,G31+1,"")</f>
        <v/>
      </c>
      <c r="F32" s="196"/>
      <c r="G32" s="380" t="str">
        <f>IF(G30="","",IF(EOMONTH(G30,0)&lt;&gt;G30,EOMONTH(G30,-1),IF(G30=EOMONTH(G30,0),G30,"")))</f>
        <v/>
      </c>
      <c r="H32" s="380"/>
      <c r="I32" s="95" t="s">
        <v>27</v>
      </c>
      <c r="J32" s="161"/>
      <c r="K32" s="111"/>
      <c r="L32" s="94"/>
      <c r="M32" s="177" t="str">
        <f>IFERROR(VLOOKUP(B30,$Q$17:$S$24,3,FALSE),"")</f>
        <v/>
      </c>
      <c r="N32" s="189" t="str">
        <f>IFERROR(DATEDIF(E32,G32,"M")+1,"")</f>
        <v/>
      </c>
      <c r="O32" s="271">
        <f>IFERROR(ROUNDDOWN(N32/M32,1),0)</f>
        <v>0</v>
      </c>
      <c r="P32" s="271"/>
      <c r="Q32" s="275"/>
      <c r="R32" s="276"/>
      <c r="S32" s="276"/>
    </row>
    <row r="33" spans="1:19" s="177" customFormat="1" ht="25.15" hidden="1" customHeight="1" thickBot="1">
      <c r="B33" s="197"/>
      <c r="C33" s="198"/>
      <c r="D33" s="194"/>
      <c r="E33" s="198"/>
      <c r="F33" s="198"/>
      <c r="G33" s="196"/>
      <c r="H33" s="196"/>
      <c r="I33" s="196"/>
      <c r="J33" s="162"/>
      <c r="K33" s="111"/>
      <c r="L33" s="94"/>
      <c r="M33" s="189"/>
      <c r="N33" s="68"/>
      <c r="O33" s="271">
        <f>IFERROR(O31+O32,"")</f>
        <v>0</v>
      </c>
      <c r="P33" s="68"/>
      <c r="Q33" s="275"/>
      <c r="R33" s="189"/>
      <c r="S33" s="189"/>
    </row>
    <row r="34" spans="1:19" s="48" customFormat="1" ht="34.9" customHeight="1" thickTop="1" thickBot="1">
      <c r="A34" s="100" t="s">
        <v>1103</v>
      </c>
      <c r="B34" s="426"/>
      <c r="C34" s="427"/>
      <c r="D34" s="157"/>
      <c r="E34" s="153"/>
      <c r="F34" s="102" t="s">
        <v>1055</v>
      </c>
      <c r="G34" s="428"/>
      <c r="H34" s="429"/>
      <c r="I34" s="103" t="s">
        <v>1056</v>
      </c>
      <c r="J34" s="385" t="str">
        <f>ROUNDDOWN(O37/12,0)&amp;"年"&amp;MOD(O37,12)&amp;"月"</f>
        <v>0年0月</v>
      </c>
      <c r="K34" s="385"/>
      <c r="M34"/>
      <c r="N34"/>
      <c r="O34"/>
      <c r="P34"/>
      <c r="Q34" s="109"/>
      <c r="R34" s="7"/>
      <c r="S34" s="7"/>
    </row>
    <row r="35" spans="1:19" s="177" customFormat="1" ht="24.75" hidden="1" thickTop="1">
      <c r="B35" s="378" t="e">
        <f>EOMONTH(D35,-1)</f>
        <v>#VALUE!</v>
      </c>
      <c r="C35" s="378"/>
      <c r="D35" s="194" t="str">
        <f>IF(B34="育児休業(平成４年４月１日以降）",D34+365,"")</f>
        <v/>
      </c>
      <c r="E35" s="195" t="str">
        <f>IF(E34="","",IF(DAY(E34)=1,E34,IF(DAY(E34)&lt;&gt;1,EOMONTH(E34,0)+1,"")))</f>
        <v/>
      </c>
      <c r="F35" s="196"/>
      <c r="G35" s="379" t="str">
        <f>IF(G34&gt;D35,EOMONTH(B35,1),IF(G34="","",IF(EOMONTH(G34,0)&lt;&gt;G34,EOMONTH(G34,-1),IF(G34=EOMONTH(G34,0),G34,""))))</f>
        <v/>
      </c>
      <c r="H35" s="379"/>
      <c r="I35" s="95" t="s">
        <v>20</v>
      </c>
      <c r="J35" s="161"/>
      <c r="K35" s="111"/>
      <c r="M35" s="177" t="str">
        <f>IFERROR(VLOOKUP(B34,$Q$17:$S$24,2,FALSE),"")</f>
        <v/>
      </c>
      <c r="N35" s="94" t="str">
        <f>IFERROR(DATEDIF(E35,G35,"M")+1,"")</f>
        <v/>
      </c>
      <c r="O35" s="271">
        <f>IFERROR(ROUNDDOWN(N35/M35,2),0)</f>
        <v>0</v>
      </c>
      <c r="P35" s="271"/>
      <c r="Q35" s="275"/>
      <c r="R35" s="276"/>
      <c r="S35" s="276"/>
    </row>
    <row r="36" spans="1:19" s="177" customFormat="1" ht="24" hidden="1">
      <c r="B36" s="197"/>
      <c r="C36" s="198"/>
      <c r="D36" s="194"/>
      <c r="E36" s="195" t="str">
        <f>IF(G35&lt;&gt;G34,G35+1,"")</f>
        <v/>
      </c>
      <c r="F36" s="196"/>
      <c r="G36" s="380" t="str">
        <f>IF(G34="","",IF(EOMONTH(G34,0)&lt;&gt;G34,EOMONTH(G34,-1),IF(G34=EOMONTH(G34,0),G34,"")))</f>
        <v/>
      </c>
      <c r="H36" s="380"/>
      <c r="I36" s="95" t="s">
        <v>27</v>
      </c>
      <c r="J36" s="161"/>
      <c r="K36" s="111"/>
      <c r="L36" s="94"/>
      <c r="M36" s="177" t="str">
        <f>IFERROR(VLOOKUP(B34,$Q$17:$S$24,3,FALSE),"")</f>
        <v/>
      </c>
      <c r="N36" s="189" t="str">
        <f>IFERROR(DATEDIF(E36,G36,"M")+1,"")</f>
        <v/>
      </c>
      <c r="O36" s="271">
        <f>IFERROR(ROUNDDOWN(N36/M36,1),0)</f>
        <v>0</v>
      </c>
      <c r="P36" s="271"/>
      <c r="Q36" s="275"/>
      <c r="R36" s="276"/>
      <c r="S36" s="276"/>
    </row>
    <row r="37" spans="1:19" s="177" customFormat="1" ht="24.75" hidden="1" thickBot="1">
      <c r="B37" s="197"/>
      <c r="C37" s="198"/>
      <c r="D37" s="194"/>
      <c r="E37" s="198"/>
      <c r="F37" s="198"/>
      <c r="G37" s="196"/>
      <c r="H37" s="196"/>
      <c r="I37" s="196"/>
      <c r="J37" s="161"/>
      <c r="K37" s="161"/>
      <c r="L37" s="94"/>
      <c r="M37" s="189"/>
      <c r="N37" s="68"/>
      <c r="O37" s="271">
        <f>IFERROR(O35+O36,"")</f>
        <v>0</v>
      </c>
      <c r="P37" s="68"/>
      <c r="Q37" s="275"/>
      <c r="R37" s="189"/>
      <c r="S37" s="189"/>
    </row>
    <row r="38" spans="1:19" s="48" customFormat="1" ht="34.9" customHeight="1" thickTop="1" thickBot="1">
      <c r="A38" s="100" t="s">
        <v>1091</v>
      </c>
      <c r="B38" s="426"/>
      <c r="C38" s="427"/>
      <c r="D38" s="157"/>
      <c r="E38" s="153"/>
      <c r="F38" s="102" t="s">
        <v>1055</v>
      </c>
      <c r="G38" s="428"/>
      <c r="H38" s="429"/>
      <c r="I38" s="103" t="s">
        <v>1056</v>
      </c>
      <c r="J38" s="385" t="str">
        <f>ROUNDDOWN(O41/12,0)&amp;"年"&amp;MOD(O41,12)&amp;"月"</f>
        <v>0年0月</v>
      </c>
      <c r="K38" s="385"/>
      <c r="M38"/>
      <c r="N38"/>
      <c r="O38"/>
      <c r="P38"/>
      <c r="Q38" s="109"/>
      <c r="R38" s="7"/>
      <c r="S38" s="7"/>
    </row>
    <row r="39" spans="1:19" s="177" customFormat="1" ht="24.75" hidden="1" thickTop="1">
      <c r="B39" s="378" t="e">
        <f>EOMONTH(D39,-1)</f>
        <v>#VALUE!</v>
      </c>
      <c r="C39" s="378"/>
      <c r="D39" s="198" t="str">
        <f>IF(B38="育児休業(平成４年４月１日以降）",D38+364,"")</f>
        <v/>
      </c>
      <c r="E39" s="195" t="str">
        <f>IF(E38="","",IF(DAY(E38)=1,E38,IF(DAY(E38)&lt;&gt;1,EOMONTH(E38,0)+1,"")))</f>
        <v/>
      </c>
      <c r="F39" s="196"/>
      <c r="G39" s="379" t="str">
        <f>IF(G38&gt;D39,EOMONTH(B39,1),IF(G38="","",IF(EOMONTH(G38,0)&lt;&gt;G38,EOMONTH(G38,-1),IF(G38=EOMONTH(G38,0),G38,""))))</f>
        <v/>
      </c>
      <c r="H39" s="379"/>
      <c r="I39" s="95" t="s">
        <v>20</v>
      </c>
      <c r="J39" s="161"/>
      <c r="K39" s="111"/>
      <c r="M39" s="177" t="str">
        <f>IFERROR(VLOOKUP(B38,$Q$17:$S$24,2,FALSE),"")</f>
        <v/>
      </c>
      <c r="N39" s="94" t="str">
        <f>IFERROR(DATEDIF(E39,G39,"M")+1,"")</f>
        <v/>
      </c>
      <c r="O39" s="271">
        <f>IFERROR(ROUNDDOWN(N39/M39,2),0)</f>
        <v>0</v>
      </c>
      <c r="P39" s="271"/>
      <c r="Q39" s="275"/>
      <c r="R39" s="276"/>
      <c r="S39" s="276"/>
    </row>
    <row r="40" spans="1:19" s="177" customFormat="1" ht="24" hidden="1">
      <c r="B40" s="197"/>
      <c r="C40" s="198"/>
      <c r="D40" s="198"/>
      <c r="E40" s="195" t="str">
        <f>IF(G39&lt;&gt;G38,G39+1,"")</f>
        <v/>
      </c>
      <c r="F40" s="196"/>
      <c r="G40" s="380" t="str">
        <f>IF(G38="","",IF(EOMONTH(G38,0)&lt;&gt;G38,EOMONTH(G38,-1),IF(G38=EOMONTH(G38,0),G38,"")))</f>
        <v/>
      </c>
      <c r="H40" s="380"/>
      <c r="I40" s="95" t="s">
        <v>27</v>
      </c>
      <c r="J40" s="161"/>
      <c r="K40" s="111"/>
      <c r="L40" s="94"/>
      <c r="M40" s="177" t="str">
        <f>IFERROR(VLOOKUP(B38,$Q$17:$S$24,3,FALSE),"")</f>
        <v/>
      </c>
      <c r="N40" s="189" t="str">
        <f>IFERROR(DATEDIF(E40,G40,"M")+1,"")</f>
        <v/>
      </c>
      <c r="O40" s="271">
        <f>IFERROR(ROUNDDOWN(N40/M40,1),0)</f>
        <v>0</v>
      </c>
      <c r="P40" s="271"/>
      <c r="Q40" s="275"/>
      <c r="R40" s="276"/>
      <c r="S40" s="276"/>
    </row>
    <row r="41" spans="1:19" s="177" customFormat="1" ht="24" hidden="1">
      <c r="B41" s="197"/>
      <c r="C41" s="198"/>
      <c r="D41" s="198"/>
      <c r="E41" s="198"/>
      <c r="F41" s="198"/>
      <c r="G41" s="196"/>
      <c r="H41" s="196"/>
      <c r="I41" s="196"/>
      <c r="J41" s="161"/>
      <c r="K41" s="161"/>
      <c r="L41" s="94"/>
      <c r="M41" s="189"/>
      <c r="N41" s="68"/>
      <c r="O41" s="271">
        <f>IFERROR(O39+O40,"")</f>
        <v>0</v>
      </c>
      <c r="P41" s="68"/>
      <c r="Q41" s="275"/>
      <c r="R41" s="189"/>
      <c r="S41" s="189"/>
    </row>
    <row r="42" spans="1:19" s="177" customFormat="1" ht="24.75" thickTop="1">
      <c r="B42" s="374"/>
      <c r="C42" s="374"/>
      <c r="D42" s="374"/>
      <c r="E42" s="374"/>
      <c r="F42" s="200"/>
      <c r="G42" s="196"/>
      <c r="H42" s="196"/>
      <c r="I42" s="196"/>
      <c r="J42" s="386" t="str">
        <f>IFERROR(J22+J26+J30+J35+J38,"")</f>
        <v/>
      </c>
      <c r="K42" s="386"/>
      <c r="L42" s="110"/>
      <c r="M42" s="68"/>
      <c r="N42" s="68"/>
      <c r="O42" s="271">
        <f>O20+O24+O28+O33+O37+O41</f>
        <v>0</v>
      </c>
      <c r="P42" s="271">
        <f>ROUNDDOWN(O42,0)</f>
        <v>0</v>
      </c>
      <c r="Q42" s="277"/>
    </row>
    <row r="43" spans="1:19" s="48" customFormat="1" ht="30" customHeight="1">
      <c r="B43" s="423"/>
      <c r="C43" s="423"/>
      <c r="D43" s="423"/>
      <c r="E43" s="423"/>
      <c r="F43" s="122"/>
      <c r="G43" s="424" t="s">
        <v>1059</v>
      </c>
      <c r="H43" s="424"/>
      <c r="I43" s="425"/>
      <c r="J43" s="377" t="str">
        <f>ROUNDDOWN(P42/12,0)&amp;"年"&amp;MOD(P42,12)&amp;"月"</f>
        <v>0年0月</v>
      </c>
      <c r="K43" s="377"/>
      <c r="L43" s="94"/>
      <c r="M43" s="7"/>
      <c r="N43"/>
      <c r="O43"/>
      <c r="P43"/>
    </row>
    <row r="44" spans="1:19" s="48" customFormat="1" ht="30" customHeight="1">
      <c r="B44" s="422"/>
      <c r="C44" s="422"/>
      <c r="D44" s="422"/>
      <c r="E44" s="422"/>
      <c r="F44" s="120"/>
      <c r="G44" s="96"/>
      <c r="H44" s="96"/>
      <c r="I44" s="96"/>
      <c r="J44" s="97"/>
      <c r="K44" s="110"/>
      <c r="L44" s="94"/>
      <c r="M44"/>
      <c r="N44"/>
      <c r="O44"/>
      <c r="P44"/>
    </row>
    <row r="45" spans="1:19" ht="30" customHeight="1">
      <c r="B45" s="39" t="s">
        <v>614</v>
      </c>
      <c r="C45" s="39"/>
      <c r="D45" s="119"/>
      <c r="E45" s="119"/>
      <c r="F45" s="119"/>
      <c r="K45" s="7"/>
      <c r="L45" s="49"/>
      <c r="N45" s="49"/>
      <c r="O45" s="49"/>
      <c r="P45" s="49"/>
    </row>
    <row r="46" spans="1:19" ht="30" customHeight="1">
      <c r="B46" s="124" t="s">
        <v>14</v>
      </c>
      <c r="C46" s="365" t="str">
        <f>C11</f>
        <v>0年0月</v>
      </c>
      <c r="D46" s="366"/>
      <c r="E46" s="53" t="s">
        <v>15</v>
      </c>
      <c r="F46" s="367" t="str">
        <f>J43</f>
        <v>0年0月</v>
      </c>
      <c r="G46" s="368"/>
      <c r="H46" s="368"/>
      <c r="I46" s="368"/>
      <c r="J46" s="369"/>
    </row>
    <row r="47" spans="1:19" s="68" customFormat="1" ht="24" hidden="1">
      <c r="B47" s="184" t="s">
        <v>615</v>
      </c>
      <c r="C47" s="373" t="str">
        <f>ROUNDDOWN(Q47/12,0)&amp;"年"&amp;MOD(Q47,12)&amp;"月"</f>
        <v>0年0月</v>
      </c>
      <c r="D47" s="366"/>
      <c r="E47" s="202"/>
      <c r="F47" s="203"/>
      <c r="G47" s="166"/>
      <c r="H47" s="166"/>
      <c r="I47" s="166"/>
      <c r="J47" s="166"/>
      <c r="Q47" s="278">
        <f>Q12-O42</f>
        <v>0</v>
      </c>
    </row>
    <row r="48" spans="1:19" ht="30" customHeight="1">
      <c r="B48" s="53" t="s">
        <v>583</v>
      </c>
      <c r="C48" s="365">
        <f>IFERROR(ROUNDDOWN(Q47/12,0),"")</f>
        <v>0</v>
      </c>
      <c r="D48" s="366"/>
      <c r="E48" s="116" t="s">
        <v>618</v>
      </c>
      <c r="F48" s="60"/>
      <c r="G48" s="34"/>
      <c r="H48" s="34"/>
      <c r="I48" s="34"/>
      <c r="J48" s="33"/>
      <c r="Q48" s="278">
        <f>R12-O42</f>
        <v>0</v>
      </c>
    </row>
    <row r="49" spans="2:18" ht="30" customHeight="1">
      <c r="B49" s="53" t="s">
        <v>1153</v>
      </c>
      <c r="C49" s="365">
        <f>IFERROR(ROUNDDOWN(Q48/12,0),"")</f>
        <v>0</v>
      </c>
      <c r="D49" s="366"/>
      <c r="E49" s="116" t="s">
        <v>618</v>
      </c>
      <c r="F49" s="60"/>
      <c r="G49" s="34"/>
      <c r="H49" s="34"/>
      <c r="I49" s="34"/>
      <c r="J49" s="33"/>
    </row>
    <row r="50" spans="2:18" ht="30" customHeight="1">
      <c r="B50" s="53" t="s">
        <v>617</v>
      </c>
      <c r="C50" s="365" t="str">
        <f>IFERROR(IF(F8="定年退職",VLOOKUP(C48,支給率!A:E,4,FALSE),IF(F9="勧奨退職",VLOOKUP(C49,支給率!A:E,4,FALSE),IF(F9="任期終了",VLOOKUP(C49,支給率!A:E,4,FALSE),IF(F9="自己都合等",VLOOKUP(C49,支給率!A:E,2,FALSE),IF(F9="公務外傷病",VLOOKUP(C49,支給率!A:E,3,FALSE),IF(F9="公務外死亡",VLOOKUP(C49,支給率!A:E,4,FALSE),IF(F9="整理、公務上傷病、公務上死亡",VLOOKUP(C49,支給率!A:E,5,FALSE),0))))))),"")</f>
        <v/>
      </c>
      <c r="D50" s="366">
        <f>IF(G6="定年退職",VLOOKUP(D49,支給率!A:E,4,FALSE),IF(G6="勧奨退職",VLOOKUP(D49,支給率!A:E,4,FALSE),IF(G6="任期終了",VLOOKUP(D49,支給率!A:E,4,FALSE),IF(G6="自己都合等",VLOOKUP(D49,支給率!A:E,2,FALSE),IF(G6="公務外傷病",VLOOKUP(D49,支給率!A:E,3,FALSE),IF(G6="公務外死亡",VLOOKUP(D49,支給率!A:E,4,FALSE),IF(G6="整理、公務上傷病、公務上死亡",VLOOKUP(D49,支給率!A:E,5,FALSE),0)))))))</f>
        <v>0</v>
      </c>
      <c r="E50" s="53" t="s">
        <v>617</v>
      </c>
      <c r="F50" s="365" t="str">
        <f>IFERROR(IF(F8="定年退職",VLOOKUP(C49,支給率!A:E,4,FALSE),IF(I9="勧奨退職",VLOOKUP(F49,支給率!D:H,4,FALSE),IF(I9="任期終了",VLOOKUP(F49,支給率!D:H,4,FALSE),IF(I9="自己都合等",VLOOKUP(F49,支給率!D:H,2,FALSE),IF(I9="公務外傷病",VLOOKUP(F49,支給率!D:H,3,FALSE),IF(I9="公務外死亡",VLOOKUP(F49,支給率!D:H,4,FALSE),IF(I9="整理、公務上傷病、公務上死亡",VLOOKUP(F49,支給率!D:H,5,FALSE),0))))))),"")</f>
        <v/>
      </c>
      <c r="G50" s="372"/>
      <c r="H50" s="372"/>
      <c r="I50" s="366"/>
      <c r="J50" s="33"/>
    </row>
    <row r="51" spans="2:18" ht="21.6" customHeight="1">
      <c r="C51" s="57"/>
      <c r="D51" s="35"/>
      <c r="E51" s="38"/>
      <c r="F51" s="38"/>
      <c r="G51" s="34"/>
      <c r="H51" s="34"/>
      <c r="I51" s="34"/>
      <c r="J51" s="33"/>
      <c r="P51" t="str">
        <f t="shared" ref="P51" si="0">IFERROR(Q51,0)</f>
        <v/>
      </c>
      <c r="Q51" t="str">
        <f>IF(Q6="勧奨退職養護教諭",VLOOKUP(Q7,支給率!G:O,3,FALSE),"")</f>
        <v/>
      </c>
    </row>
    <row r="52" spans="2:18" ht="30" customHeight="1" thickBot="1">
      <c r="B52" s="39" t="s">
        <v>1149</v>
      </c>
      <c r="C52" s="39"/>
      <c r="D52" s="40"/>
      <c r="E52" s="37"/>
      <c r="F52" s="37"/>
      <c r="G52" s="32"/>
      <c r="H52" s="32"/>
      <c r="I52" s="32"/>
      <c r="P52" t="str">
        <f t="shared" ref="P52:P58" si="1">IFERROR(Q52,0)</f>
        <v/>
      </c>
      <c r="Q52" t="str">
        <f>IF(Q6="勧奨退職公仕",VLOOKUP(Q7,支給率!G:O,6,FALSE),"")</f>
        <v/>
      </c>
    </row>
    <row r="53" spans="2:18" ht="30" customHeight="1" thickBot="1">
      <c r="C53" s="61" t="s">
        <v>580</v>
      </c>
      <c r="D53" s="154"/>
      <c r="E53" s="117" t="s">
        <v>586</v>
      </c>
      <c r="P53" t="str">
        <f t="shared" si="1"/>
        <v/>
      </c>
      <c r="Q53" t="str">
        <f>IF(Q6="勧奨退職教諭",VLOOKUP(Q7,支給率!G:O,2,FALSE),"")</f>
        <v/>
      </c>
    </row>
    <row r="54" spans="2:18" ht="30" customHeight="1" thickBot="1">
      <c r="C54" s="61" t="s">
        <v>584</v>
      </c>
      <c r="D54" s="154"/>
      <c r="E54" s="117" t="s">
        <v>586</v>
      </c>
      <c r="P54" t="str">
        <f t="shared" si="1"/>
        <v/>
      </c>
      <c r="Q54" t="str">
        <f>IF(Q6="勧奨退職事務",VLOOKUP(Q7,支給率!G:O,4,FALSE),"")</f>
        <v/>
      </c>
    </row>
    <row r="55" spans="2:18" ht="30" customHeight="1" thickBot="1">
      <c r="C55" s="61" t="s">
        <v>585</v>
      </c>
      <c r="D55" s="154"/>
      <c r="E55" s="117" t="s">
        <v>586</v>
      </c>
      <c r="P55" t="str">
        <f t="shared" si="1"/>
        <v/>
      </c>
      <c r="Q55" t="str">
        <f>IF(Q6="勧奨退職栄養士",VLOOKUP(Q7,支給率!G:O,5,FALSE),"")</f>
        <v/>
      </c>
    </row>
    <row r="56" spans="2:18" ht="30" customHeight="1">
      <c r="C56" s="61" t="s">
        <v>587</v>
      </c>
      <c r="D56" s="163">
        <f>SUM(D53:D55)</f>
        <v>0</v>
      </c>
      <c r="E56" s="117" t="s">
        <v>586</v>
      </c>
      <c r="P56" t="str">
        <f t="shared" si="1"/>
        <v/>
      </c>
      <c r="Q56" t="str">
        <f>IF(Q6="勧奨退職校長",VLOOKUP(Q7,支給率!G:O,7,FALSE),"")</f>
        <v/>
      </c>
    </row>
    <row r="57" spans="2:18" ht="30" customHeight="1">
      <c r="B57" s="370" t="s">
        <v>1151</v>
      </c>
      <c r="C57" s="370"/>
      <c r="D57" s="163">
        <f>D56*0.7</f>
        <v>0</v>
      </c>
      <c r="E57" s="117" t="s">
        <v>586</v>
      </c>
      <c r="P57" t="str">
        <f t="shared" si="1"/>
        <v/>
      </c>
      <c r="Q57" t="str">
        <f>IF(Q6="勧奨退職教頭",VLOOKUP(Q7&gt;50,支給率!G:O,8,FALSE),"")</f>
        <v/>
      </c>
    </row>
    <row r="58" spans="2:18" ht="27.6" customHeight="1">
      <c r="C58" s="62"/>
      <c r="P58" t="str">
        <f t="shared" si="1"/>
        <v/>
      </c>
      <c r="Q58" t="str">
        <f>IF(Q6="勧奨退職副校長",VLOOKUP(Q7,支給率!G:O,9,FALSE),"")</f>
        <v/>
      </c>
    </row>
    <row r="59" spans="2:18" ht="30" customHeight="1" thickBot="1">
      <c r="B59" s="39" t="s">
        <v>1045</v>
      </c>
      <c r="C59" s="63"/>
      <c r="D59" s="40"/>
      <c r="E59" s="37"/>
      <c r="F59" s="37"/>
      <c r="G59" s="32"/>
      <c r="H59" s="32"/>
      <c r="I59" s="32"/>
    </row>
    <row r="60" spans="2:18" ht="30" customHeight="1" thickBot="1">
      <c r="C60" s="64" t="s">
        <v>588</v>
      </c>
      <c r="D60" s="155"/>
    </row>
    <row r="61" spans="2:18" ht="30" customHeight="1" thickBot="1">
      <c r="C61" s="64" t="s">
        <v>589</v>
      </c>
      <c r="D61" s="154"/>
      <c r="E61" s="86" t="s">
        <v>1043</v>
      </c>
      <c r="F61" s="101"/>
      <c r="G61" s="2"/>
      <c r="H61" s="2"/>
      <c r="I61" s="2"/>
      <c r="J61" s="41"/>
      <c r="R61" t="str">
        <f>D61&amp;"－"&amp;D62</f>
        <v>－</v>
      </c>
    </row>
    <row r="62" spans="2:18" ht="30" customHeight="1" thickBot="1">
      <c r="C62" s="64" t="s">
        <v>590</v>
      </c>
      <c r="D62" s="154"/>
      <c r="E62" s="86" t="s">
        <v>1044</v>
      </c>
      <c r="F62" s="101"/>
      <c r="G62" s="2"/>
      <c r="H62" s="2"/>
      <c r="I62" s="2"/>
    </row>
    <row r="63" spans="2:18" ht="30" customHeight="1">
      <c r="C63" s="36"/>
      <c r="D63" s="164">
        <f>IFERROR(IF(D60="高等学校教育職",VLOOKUP(R61,給料表!A:F,2,FALSE),IF(D60="小中学校教育職",VLOOKUP(R61,給料表!A:F,3,FALSE),IF(D60="栄養職",VLOOKUP(R61,給料表!A:F,4,FALSE),IF(D60="事務職",VLOOKUP(R61,給料表!A:F,5,FALSE),IF(D60="労務職",VLOOKUP(R61,給料表!A:F,6,FALSE),))))),"")</f>
        <v>0</v>
      </c>
      <c r="E63" s="85" t="s">
        <v>586</v>
      </c>
      <c r="F63" s="85"/>
    </row>
    <row r="64" spans="2:18" ht="30" customHeight="1">
      <c r="C64" s="36"/>
      <c r="D64" s="42"/>
    </row>
    <row r="65" spans="2:85" ht="30" customHeight="1" thickBot="1">
      <c r="B65" s="39" t="s">
        <v>619</v>
      </c>
      <c r="C65" s="63"/>
      <c r="D65" s="40"/>
      <c r="E65" s="37"/>
      <c r="F65" s="37"/>
      <c r="G65" s="32"/>
      <c r="H65" s="32"/>
      <c r="I65" s="32"/>
    </row>
    <row r="66" spans="2:85" ht="34.15" customHeight="1" thickTop="1" thickBot="1">
      <c r="B66" s="34"/>
      <c r="C66" s="47" t="s">
        <v>621</v>
      </c>
      <c r="D66" s="156"/>
      <c r="E66" s="35" t="s">
        <v>582</v>
      </c>
      <c r="G66" s="417" t="s">
        <v>620</v>
      </c>
      <c r="H66" s="418"/>
      <c r="I66" s="418"/>
      <c r="J66" s="418"/>
      <c r="K66" s="418"/>
      <c r="L66" s="419"/>
      <c r="O66" t="str">
        <f t="array" aca="1" ref="O66" ca="1">IFERROR(INDEX(D:D,SMALL(IF(D:D&lt;&gt;"",ROW(D:D)),ROW())),"")</f>
        <v/>
      </c>
      <c r="P66">
        <f>+IF(D66&lt;&gt;"",ROW()-57,10)</f>
        <v>10</v>
      </c>
      <c r="Q66">
        <f t="array" ref="Q66">+IF(P66&lt;&gt;10,RANK(P66,$P$66:$P$72,1),10)</f>
        <v>10</v>
      </c>
    </row>
    <row r="67" spans="2:85" ht="34.15" customHeight="1" thickTop="1" thickBot="1">
      <c r="B67" s="34"/>
      <c r="C67" s="47" t="s">
        <v>595</v>
      </c>
      <c r="D67" s="156"/>
      <c r="E67" s="35" t="s">
        <v>582</v>
      </c>
      <c r="G67" s="79" t="s">
        <v>632</v>
      </c>
      <c r="H67" s="80"/>
      <c r="I67" s="80"/>
      <c r="J67" s="80"/>
      <c r="K67" s="334" t="s">
        <v>623</v>
      </c>
      <c r="L67" s="335"/>
      <c r="O67" t="str">
        <f t="array" ref="O67">IFERROR(INDEX(D66:D72,SMALL(IF(D66:D72&lt;&gt;"",ROW(D66:D72)),ROW())),"")</f>
        <v/>
      </c>
      <c r="P67">
        <f t="shared" ref="P67:P72" si="2">+IF(D67&lt;&gt;"",ROW()-57,10)</f>
        <v>10</v>
      </c>
      <c r="Q67">
        <f>+IF(P67&lt;&gt;10,RANK(P67,$P$66:$P$72,1),10)</f>
        <v>10</v>
      </c>
    </row>
    <row r="68" spans="2:85" ht="34.15" customHeight="1" thickTop="1" thickBot="1">
      <c r="B68" s="34"/>
      <c r="C68" s="47" t="s">
        <v>596</v>
      </c>
      <c r="D68" s="156"/>
      <c r="E68" s="35" t="s">
        <v>582</v>
      </c>
      <c r="G68" s="334" t="s">
        <v>622</v>
      </c>
      <c r="H68" s="420"/>
      <c r="I68" s="420"/>
      <c r="J68" s="335"/>
      <c r="K68" s="334" t="s">
        <v>624</v>
      </c>
      <c r="L68" s="335"/>
      <c r="O68" t="str">
        <f t="array" ref="O68">IFERROR(INDEX(D67:D73,SMALL(IF(D67:D73&lt;&gt;"",ROW(D67:D73)),ROW())),"")</f>
        <v/>
      </c>
      <c r="P68">
        <f t="shared" si="2"/>
        <v>10</v>
      </c>
      <c r="Q68">
        <f t="shared" ref="Q68:Q72" si="3">+IF(P68&lt;&gt;10,RANK(P68,$P$66:$P$72,1),10)</f>
        <v>10</v>
      </c>
    </row>
    <row r="69" spans="2:85" ht="34.15" customHeight="1" thickTop="1" thickBot="1">
      <c r="B69" s="34"/>
      <c r="C69" s="47" t="s">
        <v>597</v>
      </c>
      <c r="D69" s="156"/>
      <c r="E69" s="35" t="s">
        <v>581</v>
      </c>
      <c r="G69" s="334" t="s">
        <v>625</v>
      </c>
      <c r="H69" s="420"/>
      <c r="I69" s="420"/>
      <c r="J69" s="335"/>
      <c r="K69" s="334" t="s">
        <v>626</v>
      </c>
      <c r="L69" s="335"/>
      <c r="O69" t="str">
        <f t="shared" ref="O69" si="4">IFERROR(INDEX(D68:D74,SMALL(IF(D68:D74&lt;&gt;"",ROW(D68:D74)),ROW())),"")</f>
        <v/>
      </c>
      <c r="P69">
        <f t="shared" si="2"/>
        <v>10</v>
      </c>
      <c r="Q69">
        <f t="shared" si="3"/>
        <v>10</v>
      </c>
    </row>
    <row r="70" spans="2:85" ht="34.15" customHeight="1" thickTop="1" thickBot="1">
      <c r="B70" s="34"/>
      <c r="C70" s="47" t="s">
        <v>598</v>
      </c>
      <c r="D70" s="156"/>
      <c r="E70" s="35" t="s">
        <v>581</v>
      </c>
      <c r="G70" s="417" t="s">
        <v>628</v>
      </c>
      <c r="H70" s="418"/>
      <c r="I70" s="418"/>
      <c r="J70" s="419"/>
      <c r="K70" s="334" t="s">
        <v>627</v>
      </c>
      <c r="L70" s="335"/>
      <c r="O70" t="str">
        <f>IFERROR(INDEX(D69:D80,SMALL(IF(D69:D80&lt;&gt;"",ROW(D69:D80)),ROW())),"")</f>
        <v/>
      </c>
      <c r="P70">
        <f t="shared" si="2"/>
        <v>10</v>
      </c>
      <c r="Q70">
        <f t="shared" si="3"/>
        <v>10</v>
      </c>
    </row>
    <row r="71" spans="2:85" ht="34.15" customHeight="1" thickTop="1" thickBot="1">
      <c r="B71" s="34"/>
      <c r="C71" s="47" t="s">
        <v>599</v>
      </c>
      <c r="D71" s="156"/>
      <c r="E71" s="35" t="s">
        <v>581</v>
      </c>
      <c r="G71" s="334" t="s">
        <v>629</v>
      </c>
      <c r="H71" s="420"/>
      <c r="I71" s="420"/>
      <c r="J71" s="335"/>
      <c r="K71" s="334" t="s">
        <v>1069</v>
      </c>
      <c r="L71" s="335"/>
      <c r="O71" t="str">
        <f>IFERROR(INDEX(D70:D80,SMALL(IF(D70:D80&lt;&gt;"",ROW(D70:D80)),ROW())),"")</f>
        <v/>
      </c>
      <c r="P71">
        <f t="shared" si="2"/>
        <v>10</v>
      </c>
      <c r="Q71">
        <f t="shared" si="3"/>
        <v>10</v>
      </c>
    </row>
    <row r="72" spans="2:85" ht="34.15" customHeight="1" thickTop="1" thickBot="1">
      <c r="B72" s="34"/>
      <c r="C72" s="47" t="s">
        <v>600</v>
      </c>
      <c r="D72" s="156"/>
      <c r="E72" s="35" t="s">
        <v>581</v>
      </c>
      <c r="G72" s="332" t="s">
        <v>630</v>
      </c>
      <c r="H72" s="333"/>
      <c r="I72" s="333"/>
      <c r="J72" s="333"/>
      <c r="K72" s="333"/>
      <c r="L72" s="421"/>
      <c r="O72" t="str">
        <f>IFERROR(INDEX(D71:D80,SMALL(IF(D71:D80&lt;&gt;"",ROW(D71:D80)),ROW())),"")</f>
        <v/>
      </c>
      <c r="P72">
        <f t="shared" si="2"/>
        <v>10</v>
      </c>
      <c r="Q72">
        <f t="shared" si="3"/>
        <v>10</v>
      </c>
    </row>
    <row r="73" spans="2:85" ht="34.15" customHeight="1">
      <c r="C73" s="47" t="s">
        <v>601</v>
      </c>
      <c r="D73" s="165">
        <f>(D66*59550)+(D67*54150)+(D68*43350)+(D69*32500)+(D70*27100)+(D71*21700)</f>
        <v>0</v>
      </c>
      <c r="E73" s="35" t="s">
        <v>586</v>
      </c>
    </row>
    <row r="74" spans="2:85" s="72" customFormat="1" ht="21" customHeight="1" thickBot="1">
      <c r="B74" s="65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7"/>
      <c r="AP74" s="67"/>
      <c r="AQ74" s="67"/>
      <c r="AR74" s="67"/>
      <c r="AS74" s="67"/>
      <c r="AT74" s="67"/>
      <c r="AU74" s="67"/>
      <c r="AV74" s="67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9"/>
      <c r="BU74" s="69"/>
      <c r="BV74" s="69"/>
      <c r="BW74" s="69"/>
      <c r="BX74" s="69"/>
      <c r="BY74" s="69"/>
      <c r="BZ74" s="69"/>
      <c r="CA74" s="69"/>
      <c r="CB74" s="69"/>
      <c r="CC74" s="69"/>
      <c r="CD74" s="70"/>
      <c r="CE74" s="71"/>
      <c r="CF74" s="71"/>
      <c r="CG74" s="71"/>
    </row>
    <row r="75" spans="2:85" s="72" customFormat="1" ht="20.25" thickTop="1" thickBot="1">
      <c r="B75" s="73"/>
      <c r="C75" s="352" t="s">
        <v>1104</v>
      </c>
      <c r="D75" s="353"/>
      <c r="E75" s="353"/>
      <c r="F75" s="353"/>
      <c r="G75" s="35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7"/>
      <c r="BU75" s="77"/>
      <c r="BV75" s="77"/>
      <c r="BW75" s="69"/>
      <c r="BX75" s="69"/>
      <c r="BY75" s="69"/>
      <c r="BZ75" s="69"/>
      <c r="CA75" s="69"/>
      <c r="CB75" s="69"/>
      <c r="CC75" s="69"/>
      <c r="CD75" s="70"/>
      <c r="CE75" s="71"/>
      <c r="CF75" s="71"/>
      <c r="CG75" s="71"/>
    </row>
    <row r="76" spans="2:85" s="72" customFormat="1" ht="24.75" thickTop="1">
      <c r="B76" s="73"/>
      <c r="C76" s="87" t="s">
        <v>631</v>
      </c>
      <c r="D76" s="88" t="s">
        <v>636</v>
      </c>
      <c r="E76" s="89"/>
      <c r="F76" s="89"/>
      <c r="G76" s="90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7"/>
      <c r="BU76" s="77"/>
      <c r="BV76" s="77"/>
      <c r="BW76" s="69"/>
      <c r="BX76" s="69"/>
      <c r="BY76" s="69"/>
      <c r="BZ76" s="69"/>
      <c r="CA76" s="69"/>
      <c r="CB76" s="69"/>
      <c r="CC76" s="69"/>
      <c r="CD76" s="70"/>
      <c r="CE76" s="71"/>
      <c r="CF76" s="71"/>
      <c r="CG76" s="71"/>
    </row>
    <row r="77" spans="2:85" s="72" customFormat="1" ht="24">
      <c r="B77" s="73"/>
      <c r="C77" s="87" t="s">
        <v>634</v>
      </c>
      <c r="D77" s="88" t="s">
        <v>633</v>
      </c>
      <c r="E77" s="89"/>
      <c r="F77" s="89"/>
      <c r="G77" s="90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7"/>
      <c r="BU77" s="77"/>
      <c r="BV77" s="77"/>
      <c r="BW77" s="69"/>
      <c r="BX77" s="69"/>
      <c r="BY77" s="69"/>
      <c r="BZ77" s="69"/>
      <c r="CA77" s="69"/>
      <c r="CB77" s="69"/>
      <c r="CC77" s="69"/>
      <c r="CD77" s="70"/>
      <c r="CE77" s="71"/>
      <c r="CF77" s="71"/>
      <c r="CG77" s="71"/>
    </row>
    <row r="78" spans="2:85" s="72" customFormat="1" ht="39.75">
      <c r="B78" s="73"/>
      <c r="C78" s="91" t="s">
        <v>637</v>
      </c>
      <c r="D78" s="129" t="s">
        <v>635</v>
      </c>
      <c r="E78" s="89"/>
      <c r="F78" s="89"/>
      <c r="G78" s="90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7"/>
      <c r="BU78" s="77"/>
      <c r="BV78" s="77"/>
      <c r="BW78" s="69"/>
      <c r="BX78" s="69"/>
      <c r="BY78" s="69"/>
      <c r="BZ78" s="69"/>
      <c r="CA78" s="69"/>
      <c r="CB78" s="69"/>
      <c r="CC78" s="69"/>
      <c r="CD78" s="70"/>
      <c r="CE78" s="71"/>
      <c r="CF78" s="71"/>
      <c r="CG78" s="71"/>
    </row>
    <row r="79" spans="2:85" s="72" customFormat="1" ht="39.75">
      <c r="B79" s="73"/>
      <c r="C79" s="91" t="s">
        <v>638</v>
      </c>
      <c r="D79" s="129" t="s">
        <v>1076</v>
      </c>
      <c r="E79" s="89"/>
      <c r="F79" s="89"/>
      <c r="G79" s="90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7"/>
      <c r="BU79" s="77"/>
      <c r="BV79" s="77"/>
      <c r="BW79" s="69"/>
      <c r="BX79" s="69"/>
      <c r="BY79" s="69"/>
      <c r="BZ79" s="69"/>
      <c r="CA79" s="69"/>
      <c r="CB79" s="69"/>
      <c r="CC79" s="69"/>
      <c r="CD79" s="70"/>
      <c r="CE79" s="71"/>
      <c r="CF79" s="71"/>
      <c r="CG79" s="71"/>
    </row>
    <row r="80" spans="2:85" s="72" customFormat="1" ht="25.9" customHeight="1" thickBot="1">
      <c r="B80" s="73"/>
      <c r="C80" s="280" t="s">
        <v>1129</v>
      </c>
      <c r="D80" s="128" t="s">
        <v>1130</v>
      </c>
      <c r="E80" s="281"/>
      <c r="F80" s="282"/>
      <c r="G80" s="283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7"/>
      <c r="BU80" s="77"/>
      <c r="BV80" s="77"/>
      <c r="BW80" s="69"/>
      <c r="BX80" s="69"/>
      <c r="BY80" s="69"/>
      <c r="BZ80" s="69"/>
      <c r="CA80" s="69"/>
      <c r="CB80" s="69"/>
      <c r="CC80" s="69"/>
      <c r="CD80" s="70"/>
      <c r="CE80" s="71"/>
      <c r="CF80" s="71"/>
      <c r="CG80" s="71"/>
    </row>
    <row r="81" ht="19.5" thickTop="1"/>
  </sheetData>
  <sheetProtection algorithmName="SHA-512" hashValue="nu4+6kJtJZ/LDuS53gD3EnVm9dEqQDzTa/RhfLv+N8TS5aRG8V05LngI/KeduBJdlMQrqx8Z+9FryB9VKfTubw==" saltValue="An6sUSq0ZBx3fFTc6Ya8aQ==" spinCount="100000" sheet="1" pivotTables="0"/>
  <mergeCells count="83">
    <mergeCell ref="C49:D49"/>
    <mergeCell ref="F50:I50"/>
    <mergeCell ref="B17:C17"/>
    <mergeCell ref="G17:H17"/>
    <mergeCell ref="J17:K17"/>
    <mergeCell ref="J25:K25"/>
    <mergeCell ref="B18:C18"/>
    <mergeCell ref="G18:H18"/>
    <mergeCell ref="G19:H19"/>
    <mergeCell ref="B21:C21"/>
    <mergeCell ref="G21:H21"/>
    <mergeCell ref="J21:K21"/>
    <mergeCell ref="B22:C22"/>
    <mergeCell ref="G22:H22"/>
    <mergeCell ref="G23:H23"/>
    <mergeCell ref="B25:C25"/>
    <mergeCell ref="C8:D8"/>
    <mergeCell ref="F8:J8"/>
    <mergeCell ref="C10:D10"/>
    <mergeCell ref="F10:J10"/>
    <mergeCell ref="B13:L13"/>
    <mergeCell ref="F9:J9"/>
    <mergeCell ref="F11:G11"/>
    <mergeCell ref="K10:M10"/>
    <mergeCell ref="K9:M9"/>
    <mergeCell ref="B15:D15"/>
    <mergeCell ref="E15:K15"/>
    <mergeCell ref="B16:C16"/>
    <mergeCell ref="E16:H16"/>
    <mergeCell ref="J16:K16"/>
    <mergeCell ref="B2:M2"/>
    <mergeCell ref="C6:D6"/>
    <mergeCell ref="F6:J6"/>
    <mergeCell ref="C7:D7"/>
    <mergeCell ref="F7:J7"/>
    <mergeCell ref="G4:J4"/>
    <mergeCell ref="G25:H25"/>
    <mergeCell ref="B26:C26"/>
    <mergeCell ref="G26:H26"/>
    <mergeCell ref="G27:H27"/>
    <mergeCell ref="B29:D29"/>
    <mergeCell ref="B30:C30"/>
    <mergeCell ref="G30:H30"/>
    <mergeCell ref="J38:K38"/>
    <mergeCell ref="J30:K30"/>
    <mergeCell ref="B31:C31"/>
    <mergeCell ref="G31:H31"/>
    <mergeCell ref="G32:H32"/>
    <mergeCell ref="B34:C34"/>
    <mergeCell ref="G34:H34"/>
    <mergeCell ref="J34:K34"/>
    <mergeCell ref="B35:C35"/>
    <mergeCell ref="G35:H35"/>
    <mergeCell ref="G36:H36"/>
    <mergeCell ref="B38:C38"/>
    <mergeCell ref="G38:H38"/>
    <mergeCell ref="G72:L72"/>
    <mergeCell ref="C75:G75"/>
    <mergeCell ref="C50:D50"/>
    <mergeCell ref="B39:C39"/>
    <mergeCell ref="G39:H39"/>
    <mergeCell ref="G40:H40"/>
    <mergeCell ref="B42:E42"/>
    <mergeCell ref="B44:E44"/>
    <mergeCell ref="C46:D46"/>
    <mergeCell ref="F46:J46"/>
    <mergeCell ref="C47:D47"/>
    <mergeCell ref="C48:D48"/>
    <mergeCell ref="J42:K42"/>
    <mergeCell ref="B43:E43"/>
    <mergeCell ref="G43:I43"/>
    <mergeCell ref="J43:K43"/>
    <mergeCell ref="G69:J69"/>
    <mergeCell ref="K69:L69"/>
    <mergeCell ref="G70:J70"/>
    <mergeCell ref="K70:L70"/>
    <mergeCell ref="G71:J71"/>
    <mergeCell ref="K71:L71"/>
    <mergeCell ref="B57:C57"/>
    <mergeCell ref="G66:L66"/>
    <mergeCell ref="K67:L67"/>
    <mergeCell ref="G68:J68"/>
    <mergeCell ref="K68:L68"/>
  </mergeCells>
  <phoneticPr fontId="1"/>
  <dataValidations count="5">
    <dataValidation type="list" allowBlank="1" showInputMessage="1" showErrorMessage="1" sqref="D52 D59 D65" xr:uid="{47140F7F-1DCC-44C2-BC51-D6DD0101E742}">
      <formula1>"教諭,教諭(臨),事務,栄養士,公仕,副教頭,教頭,副校長,校長"</formula1>
    </dataValidation>
    <dataValidation type="list" allowBlank="1" showInputMessage="1" showErrorMessage="1" sqref="D52 D59 D65" xr:uid="{62DA91BA-624A-42AF-AEF5-DBE83774830F}">
      <formula1>"定年・勧奨,自己都合等,公務外傷病,任期終了、公務外死亡,整理、公務上傷病、公務上死亡"</formula1>
    </dataValidation>
    <dataValidation type="list" allowBlank="1" showInputMessage="1" showErrorMessage="1" sqref="D60" xr:uid="{77D9881A-6873-4F03-93BB-ACE6CAC97B10}">
      <formula1>"     ,高等学校教育職,小中学校教育職,事務職,栄養職,労務職"</formula1>
    </dataValidation>
    <dataValidation type="list" allowBlank="1" showInputMessage="1" showErrorMessage="1" sqref="F7:J7" xr:uid="{A5DBDAF4-5058-4209-89CC-BF3C4755144D}">
      <formula1>"教諭,養護教諭,事務,栄養士,公仕,教頭,副校長,校長"</formula1>
    </dataValidation>
    <dataValidation type="list" allowBlank="1" showInputMessage="1" showErrorMessage="1" sqref="B17:C17 B21:C21 B25:C25 B30:C30 B34:C34 B38:C38" xr:uid="{7425EB6A-D606-48F2-BFAF-46D052470880}">
      <formula1>$Q$16:$Q$24</formula1>
    </dataValidation>
  </dataValidations>
  <pageMargins left="0.7" right="0.7" top="0.75" bottom="0.75" header="0.3" footer="0.3"/>
  <pageSetup paperSize="9" scale="61" fitToHeight="0" orientation="portrait" r:id="rId1"/>
  <rowBreaks count="1" manualBreakCount="1">
    <brk id="58" max="16383" man="1"/>
  </rowBreaks>
  <ignoredErrors>
    <ignoredError sqref="G23 E22:E23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6EE737-184B-4CE6-8164-A57CB660E456}">
          <x14:formula1>
            <xm:f>所属!$A$1:$A$539</xm:f>
          </x14:formula1>
          <xm:sqref>C7:D7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B431-55C7-455F-967E-1B514C1736E3}">
  <sheetPr>
    <tabColor rgb="FFFF0000"/>
    <pageSetUpPr fitToPage="1"/>
  </sheetPr>
  <dimension ref="A1:AC45"/>
  <sheetViews>
    <sheetView showGridLines="0" zoomScale="85" zoomScaleNormal="85" workbookViewId="0">
      <selection activeCell="AG16" sqref="AG16"/>
    </sheetView>
  </sheetViews>
  <sheetFormatPr defaultRowHeight="18.75"/>
  <cols>
    <col min="1" max="1" width="1.5" customWidth="1"/>
    <col min="2" max="2" width="8.625" customWidth="1"/>
    <col min="3" max="3" width="16.25" bestFit="1" customWidth="1"/>
    <col min="4" max="5" width="10.75" customWidth="1"/>
    <col min="6" max="6" width="14.125" bestFit="1" customWidth="1"/>
    <col min="7" max="7" width="7.5" customWidth="1"/>
    <col min="8" max="8" width="11.75" customWidth="1"/>
    <col min="9" max="9" width="9" customWidth="1"/>
    <col min="10" max="10" width="10.25" customWidth="1"/>
    <col min="11" max="11" width="15.25" customWidth="1"/>
    <col min="14" max="14" width="2.125" customWidth="1"/>
    <col min="15" max="15" width="8.625" customWidth="1"/>
    <col min="16" max="16" width="8.75" customWidth="1"/>
    <col min="17" max="17" width="14.75" hidden="1" customWidth="1"/>
    <col min="18" max="18" width="12.875" hidden="1" customWidth="1"/>
    <col min="19" max="19" width="10.5" hidden="1" customWidth="1"/>
    <col min="20" max="20" width="10.625" hidden="1" customWidth="1"/>
    <col min="21" max="21" width="11.375" hidden="1" customWidth="1"/>
    <col min="22" max="25" width="11.5" hidden="1" customWidth="1"/>
    <col min="26" max="26" width="13.75" hidden="1" customWidth="1"/>
    <col min="27" max="27" width="14.75" hidden="1" customWidth="1"/>
    <col min="28" max="28" width="18.625" hidden="1" customWidth="1"/>
    <col min="29" max="29" width="19.5" customWidth="1"/>
    <col min="30" max="30" width="13.5" customWidth="1"/>
  </cols>
  <sheetData>
    <row r="1" spans="2:18" ht="9.4" customHeight="1" thickBot="1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8">
      <c r="B2" s="482" t="s">
        <v>1105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4"/>
    </row>
    <row r="3" spans="2:18" ht="19.5" thickBot="1">
      <c r="B3" s="485"/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7"/>
    </row>
    <row r="4" spans="2:18" ht="50.45" customHeight="1">
      <c r="B4" s="229"/>
      <c r="C4" s="229"/>
      <c r="D4" s="229"/>
      <c r="E4" s="229"/>
      <c r="F4" s="229"/>
      <c r="G4" s="229"/>
      <c r="H4" s="229"/>
      <c r="I4" s="229"/>
      <c r="J4" s="230"/>
      <c r="K4" s="231" t="s">
        <v>37</v>
      </c>
      <c r="L4" s="489">
        <f ca="1">TODAY()</f>
        <v>45105</v>
      </c>
      <c r="M4" s="489"/>
    </row>
    <row r="5" spans="2:18" ht="27" customHeight="1">
      <c r="B5" s="488" t="s">
        <v>0</v>
      </c>
      <c r="C5" s="476"/>
      <c r="D5" s="450" t="str">
        <f>IF(入力シート!C6="","",入力シート!C6)</f>
        <v/>
      </c>
      <c r="E5" s="450"/>
      <c r="F5" s="475" t="s">
        <v>2</v>
      </c>
      <c r="G5" s="476"/>
      <c r="H5" s="490" t="str">
        <f>IF(入力シート!F6="","",入力シート!F6)</f>
        <v/>
      </c>
      <c r="I5" s="490"/>
      <c r="J5" s="490"/>
      <c r="K5" s="490"/>
      <c r="L5" s="490"/>
      <c r="M5" s="490"/>
      <c r="O5" s="49"/>
      <c r="P5" s="49"/>
      <c r="Q5" s="113"/>
      <c r="R5" s="113"/>
    </row>
    <row r="6" spans="2:18" ht="27" customHeight="1">
      <c r="B6" s="450" t="s">
        <v>1</v>
      </c>
      <c r="C6" s="450"/>
      <c r="D6" s="498" t="str">
        <f>IF(入力シート!C7="","",入力シート!C7)</f>
        <v/>
      </c>
      <c r="E6" s="498"/>
      <c r="F6" s="450" t="str">
        <f>IF(印刷シート!E7="","",入力シート!E7)</f>
        <v/>
      </c>
      <c r="G6" s="450"/>
      <c r="H6" s="488" t="s">
        <v>3</v>
      </c>
      <c r="I6" s="476"/>
      <c r="J6" s="481" t="str">
        <f>IF(入力シート!C8="","",入力シート!C8)</f>
        <v/>
      </c>
      <c r="K6" s="481"/>
      <c r="L6" s="493" t="str">
        <f>入力シート!C9</f>
        <v>0歳</v>
      </c>
      <c r="M6" s="494"/>
      <c r="O6" s="49"/>
      <c r="P6" s="49"/>
      <c r="Q6" s="113"/>
      <c r="R6" s="113"/>
    </row>
    <row r="7" spans="2:18" ht="27" customHeight="1">
      <c r="B7" s="495" t="s">
        <v>4</v>
      </c>
      <c r="C7" s="495"/>
      <c r="D7" s="495" t="str">
        <f>入力シート!F8</f>
        <v>定年退職</v>
      </c>
      <c r="E7" s="495"/>
      <c r="F7" s="495"/>
      <c r="G7" s="495"/>
      <c r="H7" s="496" t="s">
        <v>5</v>
      </c>
      <c r="I7" s="497"/>
      <c r="J7" s="452" t="str">
        <f>IF(入力シート!F7="","",入力シート!F7)</f>
        <v/>
      </c>
      <c r="K7" s="499"/>
      <c r="L7" s="500" t="str">
        <f>IF(印刷シート!K8="","",入力シート!K8)</f>
        <v/>
      </c>
      <c r="M7" s="497"/>
    </row>
    <row r="8" spans="2:18" ht="27" customHeight="1">
      <c r="B8" s="450" t="s">
        <v>6</v>
      </c>
      <c r="C8" s="450"/>
      <c r="D8" s="481">
        <f>入力シート!C10</f>
        <v>0</v>
      </c>
      <c r="E8" s="481"/>
      <c r="F8" s="481"/>
      <c r="G8" s="481"/>
      <c r="H8" s="450" t="s">
        <v>7</v>
      </c>
      <c r="I8" s="450"/>
      <c r="J8" s="481">
        <f>入力シート!F10</f>
        <v>0</v>
      </c>
      <c r="K8" s="481"/>
      <c r="L8" s="481"/>
      <c r="M8" s="481"/>
    </row>
    <row r="9" spans="2:18" ht="27" customHeight="1">
      <c r="B9" s="232"/>
      <c r="C9" s="232"/>
      <c r="D9" s="233"/>
      <c r="E9" s="233"/>
      <c r="F9" s="233"/>
      <c r="G9" s="233"/>
      <c r="H9" s="232"/>
      <c r="I9" s="232"/>
      <c r="J9" s="233"/>
      <c r="K9" s="233"/>
      <c r="L9" s="233"/>
      <c r="M9" s="233"/>
    </row>
    <row r="10" spans="2:18" ht="27" customHeight="1">
      <c r="B10" s="234" t="s">
        <v>12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</row>
    <row r="11" spans="2:18" ht="27" customHeight="1">
      <c r="B11" s="525" t="s">
        <v>13</v>
      </c>
      <c r="C11" s="236" t="s">
        <v>14</v>
      </c>
      <c r="D11" s="496" t="str">
        <f>入力シート!C46</f>
        <v>0年0月</v>
      </c>
      <c r="E11" s="497"/>
      <c r="F11" s="237" t="s">
        <v>15</v>
      </c>
      <c r="G11" s="495" t="str">
        <f>入力シート!F46</f>
        <v>0年0月</v>
      </c>
      <c r="H11" s="495"/>
      <c r="I11" s="450" t="s">
        <v>602</v>
      </c>
      <c r="J11" s="450"/>
      <c r="K11" s="476" t="str">
        <f>入力シート!C48&amp;"年"</f>
        <v>0年</v>
      </c>
      <c r="L11" s="476"/>
      <c r="M11" s="477"/>
      <c r="R11" s="47">
        <f>入力シート!C48</f>
        <v>0</v>
      </c>
    </row>
    <row r="12" spans="2:18" ht="27" customHeight="1">
      <c r="B12" s="525"/>
      <c r="C12" s="238" t="s">
        <v>580</v>
      </c>
      <c r="D12" s="524" t="str">
        <f>IF(入力シート!D57=0,"",入力シート!D57)</f>
        <v/>
      </c>
      <c r="E12" s="524"/>
      <c r="F12" s="502"/>
      <c r="G12" s="503"/>
      <c r="H12" s="504"/>
      <c r="I12" s="475" t="s">
        <v>1074</v>
      </c>
      <c r="J12" s="477"/>
      <c r="K12" s="505" t="str">
        <f>入力シート!C50</f>
        <v/>
      </c>
      <c r="L12" s="506"/>
      <c r="M12" s="507"/>
      <c r="O12" s="22"/>
    </row>
    <row r="13" spans="2:18" ht="27" customHeight="1">
      <c r="B13" s="525"/>
      <c r="C13" s="240"/>
      <c r="D13" s="466"/>
      <c r="E13" s="466"/>
      <c r="F13" s="466"/>
      <c r="G13" s="241"/>
      <c r="H13" s="241"/>
      <c r="I13" s="323"/>
      <c r="J13" s="243"/>
      <c r="K13" s="321"/>
      <c r="L13" s="473"/>
      <c r="M13" s="531"/>
    </row>
    <row r="14" spans="2:18" ht="27" customHeight="1">
      <c r="B14" s="525"/>
      <c r="C14" s="236" t="s">
        <v>1154</v>
      </c>
      <c r="D14" s="496" t="str">
        <f>入力シート!F11</f>
        <v>0年0月</v>
      </c>
      <c r="E14" s="497"/>
      <c r="F14" s="237" t="s">
        <v>15</v>
      </c>
      <c r="G14" s="495" t="str">
        <f>印刷シート!G11</f>
        <v>0年0月</v>
      </c>
      <c r="H14" s="495"/>
      <c r="I14" s="475" t="s">
        <v>1155</v>
      </c>
      <c r="J14" s="477"/>
      <c r="K14" s="475" t="str">
        <f>入力シート!C49&amp;"年"</f>
        <v>0年</v>
      </c>
      <c r="L14" s="476"/>
      <c r="M14" s="477"/>
    </row>
    <row r="15" spans="2:18" ht="27" customHeight="1">
      <c r="B15" s="525"/>
      <c r="C15" s="238" t="s">
        <v>1156</v>
      </c>
      <c r="D15" s="527" t="str">
        <f>IF(入力シート!D56=0,"",入力シート!D56)</f>
        <v/>
      </c>
      <c r="E15" s="450"/>
      <c r="F15" s="502"/>
      <c r="G15" s="503"/>
      <c r="H15" s="504"/>
      <c r="I15" s="475" t="s">
        <v>1157</v>
      </c>
      <c r="J15" s="477"/>
      <c r="K15" s="505" t="str">
        <f>入力シート!F50</f>
        <v/>
      </c>
      <c r="L15" s="506"/>
      <c r="M15" s="507"/>
    </row>
    <row r="16" spans="2:18" ht="27" customHeight="1" thickBot="1">
      <c r="B16" s="239"/>
      <c r="C16" s="240"/>
      <c r="D16" s="466" t="str">
        <f>IFERROR(D12+(D12*G12),"")</f>
        <v/>
      </c>
      <c r="E16" s="466"/>
      <c r="F16" s="324" t="s">
        <v>1158</v>
      </c>
      <c r="G16" s="528" t="str">
        <f>K12</f>
        <v/>
      </c>
      <c r="H16" s="528"/>
      <c r="I16" s="242" t="s">
        <v>1159</v>
      </c>
      <c r="J16" s="243" t="str">
        <f>IFERROR(K15,"")</f>
        <v/>
      </c>
      <c r="K16" s="244" t="s">
        <v>1160</v>
      </c>
      <c r="L16" s="245"/>
      <c r="M16" s="245"/>
    </row>
    <row r="17" spans="1:29" ht="27" customHeight="1" thickBot="1">
      <c r="B17" s="239"/>
      <c r="C17" s="241"/>
      <c r="D17" s="529" t="str">
        <f>D15</f>
        <v/>
      </c>
      <c r="E17" s="499"/>
      <c r="F17" s="322" t="s">
        <v>16</v>
      </c>
      <c r="G17" s="530" t="str">
        <f>K15</f>
        <v/>
      </c>
      <c r="H17" s="499"/>
      <c r="I17" s="241" t="s">
        <v>17</v>
      </c>
      <c r="J17" s="246" t="s">
        <v>13</v>
      </c>
      <c r="K17" s="455" t="str">
        <f>IFERROR(ROUNDDOWN(D16*(G16-J16)+(D17*G17),0),"")</f>
        <v/>
      </c>
      <c r="L17" s="456"/>
      <c r="M17" s="457"/>
    </row>
    <row r="18" spans="1:29" ht="27" customHeight="1">
      <c r="B18" s="239"/>
      <c r="C18" s="241"/>
      <c r="D18" s="241"/>
      <c r="E18" s="241"/>
      <c r="F18" s="241"/>
      <c r="G18" s="241"/>
      <c r="H18" s="241"/>
      <c r="I18" s="241"/>
      <c r="J18" s="246"/>
      <c r="K18" s="247"/>
      <c r="L18" s="247"/>
      <c r="M18" s="247"/>
    </row>
    <row r="19" spans="1:29" ht="27" customHeight="1">
      <c r="B19" s="523" t="s">
        <v>18</v>
      </c>
      <c r="C19" s="501" t="s">
        <v>1073</v>
      </c>
      <c r="D19" s="501"/>
      <c r="E19" s="248" t="s">
        <v>1077</v>
      </c>
      <c r="F19" s="248" t="s">
        <v>19</v>
      </c>
      <c r="G19" s="501" t="s">
        <v>1073</v>
      </c>
      <c r="H19" s="501"/>
      <c r="I19" s="501"/>
      <c r="J19" s="248" t="s">
        <v>1077</v>
      </c>
      <c r="K19" s="248" t="s">
        <v>19</v>
      </c>
      <c r="L19" s="501" t="s">
        <v>18</v>
      </c>
      <c r="M19" s="501"/>
    </row>
    <row r="20" spans="1:29" ht="27" customHeight="1">
      <c r="B20" s="523"/>
      <c r="C20" s="491" t="s">
        <v>1078</v>
      </c>
      <c r="D20" s="491"/>
      <c r="E20" s="249">
        <f>入力シート!D66</f>
        <v>0</v>
      </c>
      <c r="F20" s="250">
        <v>59550</v>
      </c>
      <c r="G20" s="511" t="s">
        <v>1079</v>
      </c>
      <c r="H20" s="512"/>
      <c r="I20" s="513"/>
      <c r="J20" s="248">
        <f>入力シート!D67</f>
        <v>0</v>
      </c>
      <c r="K20" s="251">
        <v>54150</v>
      </c>
      <c r="L20" s="526">
        <f>IFERROR((E20*F20)+(J20*K20),"")</f>
        <v>0</v>
      </c>
      <c r="M20" s="526"/>
    </row>
    <row r="21" spans="1:29" ht="27" customHeight="1">
      <c r="B21" s="523"/>
      <c r="C21" s="491" t="s">
        <v>1080</v>
      </c>
      <c r="D21" s="491"/>
      <c r="E21" s="249">
        <f>入力シート!D68</f>
        <v>0</v>
      </c>
      <c r="F21" s="250">
        <v>43350</v>
      </c>
      <c r="G21" s="511" t="s">
        <v>1081</v>
      </c>
      <c r="H21" s="512"/>
      <c r="I21" s="513"/>
      <c r="J21" s="248">
        <f>入力シート!D69</f>
        <v>0</v>
      </c>
      <c r="K21" s="251">
        <v>32500</v>
      </c>
      <c r="L21" s="526">
        <f>IFERROR((E21*F21)+(J21*K21),"")</f>
        <v>0</v>
      </c>
      <c r="M21" s="526"/>
    </row>
    <row r="22" spans="1:29" ht="27" customHeight="1">
      <c r="B22" s="523"/>
      <c r="C22" s="491" t="s">
        <v>1082</v>
      </c>
      <c r="D22" s="491"/>
      <c r="E22" s="249">
        <f>入力シート!D70</f>
        <v>0</v>
      </c>
      <c r="F22" s="250">
        <v>27100</v>
      </c>
      <c r="G22" s="511" t="s">
        <v>1083</v>
      </c>
      <c r="H22" s="512"/>
      <c r="I22" s="513"/>
      <c r="J22" s="248">
        <f>入力シート!D71</f>
        <v>0</v>
      </c>
      <c r="K22" s="251">
        <v>21700</v>
      </c>
      <c r="L22" s="526">
        <f>IFERROR((E22*F22)+(J22*K22),"")</f>
        <v>0</v>
      </c>
      <c r="M22" s="526"/>
    </row>
    <row r="23" spans="1:29" ht="27" customHeight="1" thickBot="1">
      <c r="B23" s="523"/>
      <c r="C23" s="491" t="s">
        <v>1084</v>
      </c>
      <c r="D23" s="491"/>
      <c r="E23" s="249">
        <f>入力シート!D72</f>
        <v>0</v>
      </c>
      <c r="F23" s="250">
        <v>0</v>
      </c>
      <c r="G23" s="514" t="s">
        <v>1085</v>
      </c>
      <c r="H23" s="515"/>
      <c r="I23" s="515"/>
      <c r="J23" s="515"/>
      <c r="K23" s="516"/>
      <c r="L23" s="492">
        <f>SUM(L20:M22)</f>
        <v>0</v>
      </c>
      <c r="M23" s="492"/>
      <c r="R23" s="279" t="str">
        <f>IF(D7="自己都合等",R11,"")</f>
        <v/>
      </c>
      <c r="S23" s="34">
        <f>IF(R23&gt;=25,L23,IF(R23&gt;=10,L23/2,IF(R23&gt;=0,"0")))</f>
        <v>0</v>
      </c>
    </row>
    <row r="24" spans="1:29" ht="27" customHeight="1" thickBot="1">
      <c r="B24" s="252"/>
      <c r="C24" s="253"/>
      <c r="D24" s="253"/>
      <c r="E24" s="253"/>
      <c r="F24" s="253"/>
      <c r="G24" s="253"/>
      <c r="H24" s="232"/>
      <c r="I24" s="232"/>
      <c r="J24" s="254" t="s">
        <v>18</v>
      </c>
      <c r="K24" s="508" t="str">
        <f>IF(L23=0,"",S23)</f>
        <v/>
      </c>
      <c r="L24" s="509"/>
      <c r="M24" s="510"/>
      <c r="AC24" t="str">
        <f>IF(D7="自己都合等",L23,"")</f>
        <v/>
      </c>
    </row>
    <row r="25" spans="1:29" ht="14.45" customHeight="1" thickBot="1">
      <c r="B25" s="252"/>
      <c r="C25" s="172"/>
      <c r="D25" s="172"/>
      <c r="E25" s="172"/>
      <c r="F25" s="172"/>
      <c r="G25" s="172"/>
      <c r="H25" s="203"/>
      <c r="I25" s="203"/>
      <c r="J25" s="255"/>
      <c r="K25" s="256"/>
      <c r="L25" s="256"/>
      <c r="M25" s="256"/>
    </row>
    <row r="26" spans="1:29" ht="27" customHeight="1" thickBot="1">
      <c r="B26" s="252"/>
      <c r="C26" s="172"/>
      <c r="D26" s="172"/>
      <c r="E26" s="172"/>
      <c r="F26" s="172"/>
      <c r="G26" s="172"/>
      <c r="H26" s="520" t="s">
        <v>1086</v>
      </c>
      <c r="I26" s="521"/>
      <c r="J26" s="522"/>
      <c r="K26" s="517" t="str">
        <f>IFERROR((K17+K24),"")</f>
        <v/>
      </c>
      <c r="L26" s="518"/>
      <c r="M26" s="519"/>
      <c r="N26" t="s">
        <v>20</v>
      </c>
    </row>
    <row r="27" spans="1:29" ht="27" customHeight="1"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</row>
    <row r="28" spans="1:29" ht="27" customHeight="1">
      <c r="A28" s="45"/>
      <c r="B28" s="234" t="s">
        <v>21</v>
      </c>
      <c r="C28" s="235"/>
      <c r="D28" s="235"/>
      <c r="E28" s="235"/>
      <c r="F28" s="235"/>
      <c r="G28" s="235"/>
      <c r="H28" s="235"/>
      <c r="I28" s="235"/>
      <c r="J28" s="235"/>
      <c r="K28" s="235"/>
      <c r="L28" s="235"/>
      <c r="M28" s="235"/>
    </row>
    <row r="29" spans="1:29" ht="27" customHeight="1">
      <c r="A29" s="45"/>
      <c r="B29" s="475" t="s">
        <v>22</v>
      </c>
      <c r="C29" s="477"/>
      <c r="D29" s="475" t="str">
        <f>IF(入力シート!C10="","",IFERROR(ROUNDDOWN(R31/12,0)&amp;"年"&amp;MOD(R31,12)&amp;"月",""))</f>
        <v/>
      </c>
      <c r="E29" s="477"/>
      <c r="F29" s="475" t="s">
        <v>23</v>
      </c>
      <c r="G29" s="477"/>
      <c r="H29" s="475" t="str">
        <f>IFERROR(ROUNDDOWN(S29/12,0)&amp;"年"&amp;MOD(S29,12)&amp;"月","")</f>
        <v>0年0月</v>
      </c>
      <c r="I29" s="477"/>
      <c r="J29" s="475" t="s">
        <v>24</v>
      </c>
      <c r="K29" s="477"/>
      <c r="L29" s="475" t="str">
        <f>IF(D29="","",IFERROR(ROUNDDOWN(S31/12,0),""))</f>
        <v/>
      </c>
      <c r="M29" s="477"/>
      <c r="N29" t="s">
        <v>1088</v>
      </c>
      <c r="R29" s="22">
        <f>+DATE(YEAR(D8),MONTH(D8),1)</f>
        <v>1</v>
      </c>
      <c r="S29">
        <f>入力シート!O20+入力シート!O24+入力シート!O28</f>
        <v>0</v>
      </c>
    </row>
    <row r="30" spans="1:29" ht="27" customHeight="1">
      <c r="A30" s="45"/>
      <c r="B30" s="475" t="s">
        <v>604</v>
      </c>
      <c r="C30" s="477"/>
      <c r="D30" s="480" t="str">
        <f>IF(入力シート!D63=0,"",IFERROR(入力シート!D63," "))</f>
        <v/>
      </c>
      <c r="E30" s="477"/>
      <c r="F30" s="475" t="s">
        <v>1075</v>
      </c>
      <c r="G30" s="477"/>
      <c r="H30" s="475"/>
      <c r="I30" s="477"/>
      <c r="J30" s="475" t="s">
        <v>617</v>
      </c>
      <c r="K30" s="477"/>
      <c r="L30" s="475" t="str">
        <f>IFERROR(IF(D7="定年退職",VLOOKUP(L29,支給率!Q:U,4,FALSE),IF(D7="勧奨退職",VLOOKUP(L29,支給率!Q:U,4,FALSE),IF(D7="任期終了",VLOOKUP(L29,支給率!Q:U,4,FALSE),IF(D7="自己都合等",VLOOKUP(L29,支給率!Q:U,2,FALSE),IF(D7="公務外傷病",VLOOKUP(L29,支給率!Q:U,3,FALSE),IF(D7="公務外死亡",VLOOKUP(L29,支給率!Q:U,4,FALSE),IF(D7="整理、公務上傷病、公務上死亡",VLOOKUP(L29,支給率!Q:U,5,FALSE),0))))))),"")</f>
        <v/>
      </c>
      <c r="M30" s="477"/>
      <c r="R30" s="22">
        <v>38807</v>
      </c>
    </row>
    <row r="31" spans="1:29" ht="27" customHeight="1" thickBot="1">
      <c r="B31" s="239"/>
      <c r="C31" s="240" t="s">
        <v>1071</v>
      </c>
      <c r="D31" s="466" t="str">
        <f>IFERROR(D30," ")</f>
        <v/>
      </c>
      <c r="E31" s="466"/>
      <c r="F31" s="466"/>
      <c r="G31" s="241" t="s">
        <v>1072</v>
      </c>
      <c r="H31" s="241" t="s">
        <v>16</v>
      </c>
      <c r="I31" s="242" t="s">
        <v>617</v>
      </c>
      <c r="J31" s="243" t="str">
        <f>L30</f>
        <v/>
      </c>
      <c r="K31" s="244"/>
      <c r="L31" s="245"/>
      <c r="M31" s="245"/>
      <c r="R31">
        <f>+DATEDIF(R29,R30,"m")+1</f>
        <v>1275</v>
      </c>
      <c r="S31">
        <f>R31-S29</f>
        <v>1275</v>
      </c>
    </row>
    <row r="32" spans="1:29" ht="27" customHeight="1" thickBot="1">
      <c r="A32" s="45"/>
      <c r="B32" s="94"/>
      <c r="C32" s="94"/>
      <c r="D32" s="94"/>
      <c r="E32" s="94"/>
      <c r="F32" s="94"/>
      <c r="G32" s="94"/>
      <c r="H32" s="453" t="s">
        <v>1087</v>
      </c>
      <c r="I32" s="453"/>
      <c r="J32" s="454"/>
      <c r="K32" s="455" t="str">
        <f>IFERROR(ROUNDDOWN(D31*J31,0),"")</f>
        <v/>
      </c>
      <c r="L32" s="456"/>
      <c r="M32" s="457"/>
      <c r="N32" t="s">
        <v>27</v>
      </c>
    </row>
    <row r="33" spans="1:28" ht="27" customHeight="1">
      <c r="A33" s="43"/>
      <c r="B33" s="257" t="s">
        <v>28</v>
      </c>
      <c r="C33" s="258"/>
      <c r="D33" s="258"/>
      <c r="E33" s="258"/>
      <c r="F33" s="258"/>
      <c r="G33" s="258"/>
      <c r="H33" s="258"/>
      <c r="I33" s="258"/>
      <c r="J33" s="259"/>
      <c r="K33" s="259"/>
      <c r="L33" s="259"/>
      <c r="M33" s="259"/>
    </row>
    <row r="34" spans="1:28" ht="27" customHeight="1" thickBot="1">
      <c r="A34" s="43"/>
      <c r="B34" s="450" t="s">
        <v>603</v>
      </c>
      <c r="C34" s="450"/>
      <c r="D34" s="450"/>
      <c r="E34" s="450"/>
      <c r="F34" s="450"/>
      <c r="G34" s="450"/>
      <c r="H34" s="450"/>
      <c r="I34" s="450"/>
      <c r="J34" s="451"/>
      <c r="K34" s="451"/>
      <c r="L34" s="451"/>
      <c r="M34" s="452"/>
    </row>
    <row r="35" spans="1:28" ht="27" customHeight="1" thickBot="1">
      <c r="A35" s="43"/>
      <c r="B35" s="245"/>
      <c r="C35" s="245"/>
      <c r="D35" s="245"/>
      <c r="E35" s="245"/>
      <c r="F35" s="245"/>
      <c r="G35" s="245"/>
      <c r="H35" s="245"/>
      <c r="I35" s="245"/>
      <c r="J35" s="260" t="s">
        <v>29</v>
      </c>
      <c r="K35" s="460">
        <f>MAX(K26,K32)</f>
        <v>0</v>
      </c>
      <c r="L35" s="461"/>
      <c r="M35" s="462"/>
    </row>
    <row r="36" spans="1:28" ht="27" customHeight="1">
      <c r="B36" s="234" t="s">
        <v>30</v>
      </c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</row>
    <row r="37" spans="1:28" ht="27" customHeight="1" thickBot="1">
      <c r="B37" s="458" t="s">
        <v>31</v>
      </c>
      <c r="C37" s="458"/>
      <c r="D37" s="463">
        <f>IFERROR(DATEDIF(D8,$J$8,"y")-AB41+1,"")-AC41</f>
        <v>1</v>
      </c>
      <c r="E37" s="463"/>
      <c r="F37" s="463"/>
      <c r="G37" s="475" t="s">
        <v>35</v>
      </c>
      <c r="H37" s="476"/>
      <c r="I37" s="477"/>
      <c r="J37" s="472">
        <f>IF(D37&lt;20,D37*400000,((D37-20)*700000)+8000000)</f>
        <v>400000</v>
      </c>
      <c r="K37" s="473"/>
      <c r="L37" s="466"/>
      <c r="M37" s="474"/>
      <c r="V37" s="130" t="s">
        <v>1093</v>
      </c>
      <c r="W37" s="130">
        <v>0</v>
      </c>
      <c r="X37" s="134">
        <v>0.05</v>
      </c>
      <c r="Y37" s="130">
        <v>0</v>
      </c>
      <c r="Z37" t="str">
        <f>IF(入力シート!B17="組合専従",入力シート!O20,"")</f>
        <v/>
      </c>
    </row>
    <row r="38" spans="1:28" ht="27" customHeight="1" thickBot="1">
      <c r="B38" s="458" t="s">
        <v>1146</v>
      </c>
      <c r="C38" s="459"/>
      <c r="D38" s="261"/>
      <c r="E38" s="262">
        <f>K35</f>
        <v>0</v>
      </c>
      <c r="F38" s="262"/>
      <c r="G38" s="238" t="s">
        <v>36</v>
      </c>
      <c r="H38" s="467">
        <f>J37</f>
        <v>400000</v>
      </c>
      <c r="I38" s="467"/>
      <c r="J38" s="263" t="s">
        <v>605</v>
      </c>
      <c r="K38" s="199" t="s">
        <v>26</v>
      </c>
      <c r="L38" s="478">
        <f>Q38</f>
        <v>0</v>
      </c>
      <c r="M38" s="479"/>
      <c r="N38" s="6" t="s">
        <v>606</v>
      </c>
      <c r="Q38" s="46">
        <f>ROUNDDOWN(IF(R38&lt;0,0,R38),-3)</f>
        <v>0</v>
      </c>
      <c r="R38">
        <f>(S38-T38)/2</f>
        <v>-200000</v>
      </c>
      <c r="S38" s="46">
        <f>K35</f>
        <v>0</v>
      </c>
      <c r="T38" s="133">
        <f>H38</f>
        <v>400000</v>
      </c>
      <c r="V38" s="130" t="s">
        <v>1094</v>
      </c>
      <c r="W38" s="130">
        <v>1950001</v>
      </c>
      <c r="X38" s="134">
        <v>0.1</v>
      </c>
      <c r="Y38" s="130">
        <v>97500</v>
      </c>
      <c r="Z38" t="str">
        <f>IF(入力シート!B21="組合専従",入力シート!O24,"")</f>
        <v/>
      </c>
    </row>
    <row r="39" spans="1:28" ht="27" customHeight="1" thickBot="1">
      <c r="B39" s="458" t="s">
        <v>32</v>
      </c>
      <c r="C39" s="458"/>
      <c r="D39" s="261"/>
      <c r="E39" s="262">
        <f>$L$38</f>
        <v>0</v>
      </c>
      <c r="F39" s="264" t="s">
        <v>25</v>
      </c>
      <c r="G39" s="265">
        <f>E39*VLOOKUP(E39,$W$37:$Y$39,2,TRUE)-VLOOKUP(E39,$W$37:$Y$39,3,TRUE)</f>
        <v>0</v>
      </c>
      <c r="H39" s="264" t="s">
        <v>25</v>
      </c>
      <c r="I39" s="266">
        <v>1.021E-2</v>
      </c>
      <c r="J39" s="264"/>
      <c r="K39" s="199" t="s">
        <v>26</v>
      </c>
      <c r="L39" s="464">
        <f>IFERROR(ROUNDDOWN(G39*1.021,0),"")</f>
        <v>0</v>
      </c>
      <c r="M39" s="465"/>
      <c r="Q39">
        <f>IF(L38&lt;1950000,0.05,L38*0.1-97500)</f>
        <v>0.05</v>
      </c>
      <c r="V39" s="130" t="s">
        <v>1095</v>
      </c>
      <c r="W39" s="130">
        <v>3300001</v>
      </c>
      <c r="X39" s="134">
        <v>0.2</v>
      </c>
      <c r="Y39" s="130">
        <v>427500</v>
      </c>
      <c r="Z39" t="str">
        <f>IF(入力シート!B25="組合専従",入力シート!O28,"")</f>
        <v/>
      </c>
    </row>
    <row r="40" spans="1:28" ht="27" customHeight="1" thickBot="1">
      <c r="B40" s="458" t="s">
        <v>33</v>
      </c>
      <c r="C40" s="458"/>
      <c r="D40" s="261"/>
      <c r="E40" s="262">
        <f>ROUNDDOWN(L38,-3)</f>
        <v>0</v>
      </c>
      <c r="F40" s="264" t="s">
        <v>25</v>
      </c>
      <c r="G40" s="264">
        <v>0.04</v>
      </c>
      <c r="H40" s="264"/>
      <c r="I40" s="264"/>
      <c r="J40" s="264"/>
      <c r="K40" s="199" t="s">
        <v>26</v>
      </c>
      <c r="L40" s="455">
        <f>IFERROR(ROUNDDOWN(E40*G40,-2),"")</f>
        <v>0</v>
      </c>
      <c r="M40" s="457"/>
      <c r="Z40" t="str">
        <f>IF(入力シート!B30="組合専従",入力シート!O33,"")</f>
        <v/>
      </c>
    </row>
    <row r="41" spans="1:28" ht="27" customHeight="1" thickBot="1">
      <c r="B41" s="458" t="s">
        <v>34</v>
      </c>
      <c r="C41" s="458"/>
      <c r="D41" s="261"/>
      <c r="E41" s="262">
        <f>ROUNDDOWN(L38,-3)</f>
        <v>0</v>
      </c>
      <c r="F41" s="264" t="s">
        <v>25</v>
      </c>
      <c r="G41" s="264">
        <v>0.06</v>
      </c>
      <c r="H41" s="264"/>
      <c r="I41" s="264"/>
      <c r="J41" s="264"/>
      <c r="K41" s="199" t="s">
        <v>26</v>
      </c>
      <c r="L41" s="455">
        <f>IFERROR(ROUNDDOWN(E41*G41,-2),"")</f>
        <v>0</v>
      </c>
      <c r="M41" s="457"/>
      <c r="Z41" t="str">
        <f>IF(入力シート!B34="組合専従",入力シート!O37,"")</f>
        <v/>
      </c>
      <c r="AA41">
        <f>SUM(Z37:Z42)</f>
        <v>0</v>
      </c>
      <c r="AB41">
        <f>ROUNDDOWN(AA41/12,0)</f>
        <v>0</v>
      </c>
    </row>
    <row r="42" spans="1:28" ht="9.6" customHeight="1">
      <c r="B42" s="267"/>
      <c r="C42" s="267"/>
      <c r="D42" s="242"/>
      <c r="E42" s="268"/>
      <c r="F42" s="244"/>
      <c r="G42" s="244"/>
      <c r="H42" s="244"/>
      <c r="I42" s="244"/>
      <c r="J42" s="244"/>
      <c r="K42" s="245"/>
      <c r="L42" s="269"/>
      <c r="M42" s="269"/>
      <c r="Z42" t="str">
        <f>IF(入力シート!B38="組合専従",入力シート!O41,"")</f>
        <v/>
      </c>
    </row>
    <row r="43" spans="1:28" ht="27" customHeight="1" thickBot="1">
      <c r="A43" s="43"/>
      <c r="B43" s="270" t="s">
        <v>607</v>
      </c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Z43" t="str">
        <f>IF(入力シート!B23="組合専従",入力シート!J23,"")</f>
        <v/>
      </c>
    </row>
    <row r="44" spans="1:28" ht="27" customHeight="1" thickTop="1" thickBot="1">
      <c r="A44" s="43"/>
      <c r="B44" s="453" t="s">
        <v>608</v>
      </c>
      <c r="C44" s="453"/>
      <c r="D44" s="453"/>
      <c r="E44" s="453"/>
      <c r="F44" s="453"/>
      <c r="G44" s="453"/>
      <c r="H44" s="453"/>
      <c r="I44" s="468"/>
      <c r="J44" s="469">
        <f>IFERROR(K35-L39-L40-L41,"")</f>
        <v>0</v>
      </c>
      <c r="K44" s="470"/>
      <c r="L44" s="470"/>
      <c r="M44" s="471"/>
    </row>
    <row r="45" spans="1:28" ht="27" customHeight="1" thickTop="1">
      <c r="A45" s="43"/>
      <c r="B45" s="44"/>
      <c r="C45" s="44"/>
      <c r="D45" s="44"/>
      <c r="E45" s="44"/>
      <c r="F45" s="44"/>
      <c r="G45" s="44"/>
      <c r="H45" s="44"/>
      <c r="I45" s="44"/>
      <c r="K45" s="449"/>
      <c r="L45" s="449"/>
      <c r="M45" s="449"/>
    </row>
  </sheetData>
  <sheetProtection algorithmName="SHA-512" hashValue="+5S5Zo1ocPseHB5mzUiiMuqM/zkw4iqMLAylrEE0ad8y25lEdYwC2STk6j6JaYeXk2PK9ah04KmPATRlRNCpHg==" saltValue="VmP/GGYjLOq1hfi+gDylTw==" spinCount="100000" sheet="1" objects="1" scenarios="1"/>
  <mergeCells count="96">
    <mergeCell ref="D16:E16"/>
    <mergeCell ref="G16:H16"/>
    <mergeCell ref="D17:E17"/>
    <mergeCell ref="G17:H17"/>
    <mergeCell ref="K12:M12"/>
    <mergeCell ref="I12:J12"/>
    <mergeCell ref="D13:F13"/>
    <mergeCell ref="F12:H12"/>
    <mergeCell ref="L13:M13"/>
    <mergeCell ref="D11:E11"/>
    <mergeCell ref="D14:E14"/>
    <mergeCell ref="B19:B23"/>
    <mergeCell ref="K11:M11"/>
    <mergeCell ref="I11:J11"/>
    <mergeCell ref="G11:H11"/>
    <mergeCell ref="D12:E12"/>
    <mergeCell ref="B11:B15"/>
    <mergeCell ref="C19:D19"/>
    <mergeCell ref="C20:D20"/>
    <mergeCell ref="L20:M20"/>
    <mergeCell ref="L21:M21"/>
    <mergeCell ref="L22:M22"/>
    <mergeCell ref="D15:E15"/>
    <mergeCell ref="G20:I20"/>
    <mergeCell ref="G21:I21"/>
    <mergeCell ref="K24:M24"/>
    <mergeCell ref="G22:I22"/>
    <mergeCell ref="G23:K23"/>
    <mergeCell ref="K26:M26"/>
    <mergeCell ref="H26:J26"/>
    <mergeCell ref="L19:M19"/>
    <mergeCell ref="K17:M17"/>
    <mergeCell ref="G14:H14"/>
    <mergeCell ref="G19:I19"/>
    <mergeCell ref="F15:H15"/>
    <mergeCell ref="K15:M15"/>
    <mergeCell ref="I15:J15"/>
    <mergeCell ref="I14:J14"/>
    <mergeCell ref="K14:M14"/>
    <mergeCell ref="C21:D21"/>
    <mergeCell ref="C22:D22"/>
    <mergeCell ref="C23:D23"/>
    <mergeCell ref="L23:M23"/>
    <mergeCell ref="L6:M6"/>
    <mergeCell ref="B6:C6"/>
    <mergeCell ref="B7:C7"/>
    <mergeCell ref="B8:C8"/>
    <mergeCell ref="D8:G8"/>
    <mergeCell ref="H8:I8"/>
    <mergeCell ref="H6:I6"/>
    <mergeCell ref="H7:I7"/>
    <mergeCell ref="D6:G6"/>
    <mergeCell ref="D7:G7"/>
    <mergeCell ref="J7:M7"/>
    <mergeCell ref="J6:K6"/>
    <mergeCell ref="J8:M8"/>
    <mergeCell ref="B2:M3"/>
    <mergeCell ref="B5:C5"/>
    <mergeCell ref="D5:E5"/>
    <mergeCell ref="L4:M4"/>
    <mergeCell ref="F5:G5"/>
    <mergeCell ref="H5:M5"/>
    <mergeCell ref="L30:M30"/>
    <mergeCell ref="B29:C29"/>
    <mergeCell ref="F29:G29"/>
    <mergeCell ref="J29:K29"/>
    <mergeCell ref="H29:I29"/>
    <mergeCell ref="D29:E29"/>
    <mergeCell ref="B30:C30"/>
    <mergeCell ref="D30:E30"/>
    <mergeCell ref="F30:G30"/>
    <mergeCell ref="H30:I30"/>
    <mergeCell ref="J30:K30"/>
    <mergeCell ref="L29:M29"/>
    <mergeCell ref="D31:F31"/>
    <mergeCell ref="H38:I38"/>
    <mergeCell ref="B44:I44"/>
    <mergeCell ref="J44:M44"/>
    <mergeCell ref="L41:M41"/>
    <mergeCell ref="J37:M37"/>
    <mergeCell ref="G37:I37"/>
    <mergeCell ref="L38:M38"/>
    <mergeCell ref="K45:M45"/>
    <mergeCell ref="B34:I34"/>
    <mergeCell ref="J34:M34"/>
    <mergeCell ref="H32:J32"/>
    <mergeCell ref="K32:M32"/>
    <mergeCell ref="B37:C37"/>
    <mergeCell ref="B38:C38"/>
    <mergeCell ref="B39:C39"/>
    <mergeCell ref="B40:C40"/>
    <mergeCell ref="K35:M35"/>
    <mergeCell ref="B41:C41"/>
    <mergeCell ref="D37:F37"/>
    <mergeCell ref="L39:M39"/>
    <mergeCell ref="L40:M40"/>
  </mergeCells>
  <phoneticPr fontId="1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0FAD-FF0B-4601-9F17-34398C13AE9B}">
  <dimension ref="A1:U46"/>
  <sheetViews>
    <sheetView workbookViewId="0">
      <selection activeCell="B6" sqref="A6:XFD6"/>
    </sheetView>
  </sheetViews>
  <sheetFormatPr defaultRowHeight="18.75"/>
  <cols>
    <col min="2" max="4" width="10.375" bestFit="1" customWidth="1"/>
    <col min="5" max="5" width="11" customWidth="1"/>
    <col min="18" max="20" width="10.375" bestFit="1" customWidth="1"/>
    <col min="21" max="21" width="11" customWidth="1"/>
  </cols>
  <sheetData>
    <row r="1" spans="1:21" ht="56.25">
      <c r="A1" s="8"/>
      <c r="B1" s="3" t="s">
        <v>8</v>
      </c>
      <c r="C1" s="3" t="s">
        <v>9</v>
      </c>
      <c r="D1" s="4" t="s">
        <v>10</v>
      </c>
      <c r="E1" s="4" t="s">
        <v>11</v>
      </c>
      <c r="F1" s="2"/>
      <c r="G1" s="3"/>
      <c r="H1" s="93" t="s">
        <v>1061</v>
      </c>
      <c r="I1" s="127" t="s">
        <v>1131</v>
      </c>
      <c r="J1" s="93" t="s">
        <v>1062</v>
      </c>
      <c r="K1" s="93" t="s">
        <v>1063</v>
      </c>
      <c r="L1" s="92" t="s">
        <v>1064</v>
      </c>
      <c r="M1" s="115" t="s">
        <v>1068</v>
      </c>
      <c r="N1" s="115" t="s">
        <v>1065</v>
      </c>
      <c r="O1" s="92" t="s">
        <v>1066</v>
      </c>
      <c r="Q1" s="126"/>
      <c r="R1" s="3" t="s">
        <v>8</v>
      </c>
      <c r="S1" s="3" t="s">
        <v>9</v>
      </c>
      <c r="T1" s="4" t="s">
        <v>10</v>
      </c>
      <c r="U1" s="4" t="s">
        <v>11</v>
      </c>
    </row>
    <row r="2" spans="1:21">
      <c r="A2" s="1">
        <v>1</v>
      </c>
      <c r="B2" s="3">
        <v>0.50219999999999998</v>
      </c>
      <c r="C2" s="3">
        <v>0.83699999999999997</v>
      </c>
      <c r="D2" s="3">
        <v>0.83699999999999997</v>
      </c>
      <c r="E2" s="3">
        <v>1.2555000000000001</v>
      </c>
      <c r="F2" s="2"/>
      <c r="G2" s="3">
        <v>50</v>
      </c>
      <c r="H2" s="5">
        <v>20</v>
      </c>
      <c r="I2" s="5">
        <v>20</v>
      </c>
      <c r="J2" s="5">
        <v>20</v>
      </c>
      <c r="K2" s="5">
        <v>20</v>
      </c>
      <c r="L2" s="4"/>
      <c r="M2" s="5">
        <v>20</v>
      </c>
      <c r="N2" s="5">
        <v>20</v>
      </c>
      <c r="O2" s="5">
        <v>20</v>
      </c>
      <c r="Q2" s="127">
        <v>1</v>
      </c>
      <c r="R2" s="3">
        <v>0.50219999999999998</v>
      </c>
      <c r="S2" s="3">
        <v>0.83700000000000008</v>
      </c>
      <c r="T2" s="3">
        <v>0.83700000000000008</v>
      </c>
      <c r="U2" s="3">
        <v>1.2555000000000001</v>
      </c>
    </row>
    <row r="3" spans="1:21">
      <c r="A3" s="1">
        <v>2</v>
      </c>
      <c r="B3" s="3">
        <v>1.0044</v>
      </c>
      <c r="C3" s="3">
        <v>1.6739999999999999</v>
      </c>
      <c r="D3" s="3">
        <v>1.6739999999999999</v>
      </c>
      <c r="E3" s="3">
        <v>2.5110000000000001</v>
      </c>
      <c r="F3" s="2"/>
      <c r="G3" s="3">
        <v>51</v>
      </c>
      <c r="H3" s="5">
        <v>18</v>
      </c>
      <c r="I3" s="5">
        <v>18</v>
      </c>
      <c r="J3" s="5">
        <v>18</v>
      </c>
      <c r="K3" s="5">
        <v>18</v>
      </c>
      <c r="L3" s="4"/>
      <c r="M3" s="5">
        <v>18</v>
      </c>
      <c r="N3" s="5">
        <v>18</v>
      </c>
      <c r="O3" s="5">
        <v>18</v>
      </c>
      <c r="Q3" s="127">
        <v>2</v>
      </c>
      <c r="R3" s="3">
        <v>1.0044</v>
      </c>
      <c r="S3" s="3">
        <v>1.6740000000000002</v>
      </c>
      <c r="T3" s="3">
        <v>1.6740000000000002</v>
      </c>
      <c r="U3" s="3">
        <v>2.5110000000000001</v>
      </c>
    </row>
    <row r="4" spans="1:21">
      <c r="A4" s="1">
        <v>3</v>
      </c>
      <c r="B4" s="3">
        <v>1.5065999999999999</v>
      </c>
      <c r="C4" s="3">
        <v>2.5110000000000001</v>
      </c>
      <c r="D4" s="3">
        <v>2.5110000000000001</v>
      </c>
      <c r="E4" s="3">
        <v>3.7665000000000002</v>
      </c>
      <c r="G4" s="5">
        <v>52</v>
      </c>
      <c r="H4" s="5">
        <v>16</v>
      </c>
      <c r="I4" s="5">
        <v>16</v>
      </c>
      <c r="J4" s="5">
        <v>16</v>
      </c>
      <c r="K4" s="5">
        <v>16</v>
      </c>
      <c r="L4" s="5"/>
      <c r="M4" s="5">
        <v>16</v>
      </c>
      <c r="N4" s="5">
        <v>16</v>
      </c>
      <c r="O4" s="5">
        <v>16</v>
      </c>
      <c r="Q4" s="127">
        <v>3</v>
      </c>
      <c r="R4" s="3">
        <v>1.5065999999999999</v>
      </c>
      <c r="S4" s="3">
        <v>2.5110000000000001</v>
      </c>
      <c r="T4" s="3">
        <v>2.5110000000000001</v>
      </c>
      <c r="U4" s="3">
        <v>3.7665000000000002</v>
      </c>
    </row>
    <row r="5" spans="1:21">
      <c r="A5" s="1">
        <v>4</v>
      </c>
      <c r="B5" s="3">
        <v>2.0087999999999999</v>
      </c>
      <c r="C5" s="3">
        <v>3.3479999999999999</v>
      </c>
      <c r="D5" s="3">
        <v>3.3479999999999999</v>
      </c>
      <c r="E5" s="3">
        <v>5.0220000000000002</v>
      </c>
      <c r="G5" s="5">
        <v>53</v>
      </c>
      <c r="H5" s="5">
        <v>14</v>
      </c>
      <c r="I5" s="5">
        <v>14</v>
      </c>
      <c r="J5" s="5">
        <v>14</v>
      </c>
      <c r="K5" s="5">
        <v>14</v>
      </c>
      <c r="L5" s="5">
        <v>20</v>
      </c>
      <c r="M5" s="5">
        <v>14</v>
      </c>
      <c r="N5" s="5">
        <v>14</v>
      </c>
      <c r="O5" s="5">
        <v>14</v>
      </c>
      <c r="Q5" s="127">
        <v>4</v>
      </c>
      <c r="R5" s="3">
        <v>2.0087999999999999</v>
      </c>
      <c r="S5" s="3">
        <v>3.3480000000000003</v>
      </c>
      <c r="T5" s="3">
        <v>3.3480000000000003</v>
      </c>
      <c r="U5" s="3">
        <v>5.0220000000000002</v>
      </c>
    </row>
    <row r="6" spans="1:21">
      <c r="A6" s="1">
        <v>5</v>
      </c>
      <c r="B6" s="3">
        <v>2.5110000000000001</v>
      </c>
      <c r="C6" s="3">
        <v>4.1849999999999996</v>
      </c>
      <c r="D6" s="3">
        <v>4.1849999999999996</v>
      </c>
      <c r="E6" s="3">
        <v>6.2774999999999999</v>
      </c>
      <c r="G6" s="3">
        <v>54</v>
      </c>
      <c r="H6" s="5">
        <v>12</v>
      </c>
      <c r="I6" s="5">
        <v>12</v>
      </c>
      <c r="J6" s="5">
        <v>12</v>
      </c>
      <c r="K6" s="5">
        <v>12</v>
      </c>
      <c r="L6" s="5">
        <v>18</v>
      </c>
      <c r="M6" s="5">
        <v>12</v>
      </c>
      <c r="N6" s="5">
        <v>12</v>
      </c>
      <c r="O6" s="5">
        <v>12</v>
      </c>
      <c r="Q6" s="127">
        <v>5</v>
      </c>
      <c r="R6" s="3">
        <v>2.5110000000000001</v>
      </c>
      <c r="S6" s="3">
        <v>4.1849999999999996</v>
      </c>
      <c r="T6" s="3">
        <v>4.1849999999999996</v>
      </c>
      <c r="U6" s="3">
        <v>6.2774999999999999</v>
      </c>
    </row>
    <row r="7" spans="1:21">
      <c r="A7" s="1">
        <v>6</v>
      </c>
      <c r="B7" s="3">
        <v>3.0131999999999999</v>
      </c>
      <c r="C7" s="3">
        <v>5.0220000000000002</v>
      </c>
      <c r="D7" s="3">
        <v>5.0220000000000002</v>
      </c>
      <c r="E7" s="3">
        <v>7.5330000000000004</v>
      </c>
      <c r="G7" s="3">
        <v>55</v>
      </c>
      <c r="H7" s="5">
        <v>10</v>
      </c>
      <c r="I7" s="5">
        <v>10</v>
      </c>
      <c r="J7" s="5">
        <v>10</v>
      </c>
      <c r="K7" s="5">
        <v>10</v>
      </c>
      <c r="L7" s="5">
        <v>16</v>
      </c>
      <c r="M7" s="5">
        <v>10</v>
      </c>
      <c r="N7" s="5">
        <v>10</v>
      </c>
      <c r="O7" s="5">
        <v>10</v>
      </c>
      <c r="Q7" s="127">
        <v>6</v>
      </c>
      <c r="R7" s="3">
        <v>3.7665000000000002</v>
      </c>
      <c r="S7" s="3">
        <v>5.0220000000000002</v>
      </c>
      <c r="T7" s="3">
        <v>5.0220000000000002</v>
      </c>
      <c r="U7" s="3">
        <v>7.5330000000000004</v>
      </c>
    </row>
    <row r="8" spans="1:21">
      <c r="A8" s="1">
        <v>7</v>
      </c>
      <c r="B8" s="3">
        <v>3.5154000000000001</v>
      </c>
      <c r="C8" s="3">
        <v>5.859</v>
      </c>
      <c r="D8" s="3">
        <v>5.859</v>
      </c>
      <c r="E8" s="3">
        <v>8.7885000000000009</v>
      </c>
      <c r="G8" s="5">
        <v>56</v>
      </c>
      <c r="H8" s="5">
        <v>8</v>
      </c>
      <c r="I8" s="5">
        <v>8</v>
      </c>
      <c r="J8" s="5">
        <v>8</v>
      </c>
      <c r="K8" s="5">
        <v>8</v>
      </c>
      <c r="L8" s="5">
        <v>14</v>
      </c>
      <c r="M8" s="5">
        <v>8</v>
      </c>
      <c r="N8" s="5">
        <v>8</v>
      </c>
      <c r="O8" s="5">
        <v>8</v>
      </c>
      <c r="Q8" s="127">
        <v>7</v>
      </c>
      <c r="R8" s="3">
        <v>4.3942500000000004</v>
      </c>
      <c r="S8" s="3">
        <v>5.859</v>
      </c>
      <c r="T8" s="3">
        <v>5.859</v>
      </c>
      <c r="U8" s="3">
        <v>8.7885000000000009</v>
      </c>
    </row>
    <row r="9" spans="1:21">
      <c r="A9" s="1">
        <v>8</v>
      </c>
      <c r="B9" s="3">
        <v>4.0175999999999998</v>
      </c>
      <c r="C9" s="3">
        <v>6.6959999999999997</v>
      </c>
      <c r="D9" s="3">
        <v>6.6959999999999997</v>
      </c>
      <c r="E9" s="3">
        <v>10.044</v>
      </c>
      <c r="G9" s="5">
        <v>57</v>
      </c>
      <c r="H9" s="5">
        <v>6</v>
      </c>
      <c r="I9" s="5">
        <v>6</v>
      </c>
      <c r="J9" s="5">
        <v>6</v>
      </c>
      <c r="K9" s="5">
        <v>6</v>
      </c>
      <c r="L9" s="5">
        <v>12</v>
      </c>
      <c r="M9" s="5">
        <v>6</v>
      </c>
      <c r="N9" s="5">
        <v>6</v>
      </c>
      <c r="O9" s="5">
        <v>6</v>
      </c>
      <c r="Q9" s="127">
        <v>8</v>
      </c>
      <c r="R9" s="3">
        <v>5.0220000000000002</v>
      </c>
      <c r="S9" s="3">
        <v>6.6960000000000006</v>
      </c>
      <c r="T9" s="3">
        <v>6.6960000000000006</v>
      </c>
      <c r="U9" s="3">
        <v>10.044</v>
      </c>
    </row>
    <row r="10" spans="1:21">
      <c r="A10" s="1">
        <v>9</v>
      </c>
      <c r="B10" s="3">
        <v>4.5198</v>
      </c>
      <c r="C10" s="3">
        <v>7.5330000000000004</v>
      </c>
      <c r="D10" s="3">
        <v>7.5330000000000004</v>
      </c>
      <c r="E10" s="3">
        <v>11.2995</v>
      </c>
      <c r="G10" s="3">
        <v>58</v>
      </c>
      <c r="H10" s="5">
        <v>4</v>
      </c>
      <c r="I10" s="5">
        <v>4</v>
      </c>
      <c r="J10" s="5">
        <v>4</v>
      </c>
      <c r="K10" s="5">
        <v>4</v>
      </c>
      <c r="L10" s="5">
        <v>10</v>
      </c>
      <c r="M10" s="5">
        <v>4</v>
      </c>
      <c r="N10" s="5">
        <v>4</v>
      </c>
      <c r="O10" s="5">
        <v>4</v>
      </c>
      <c r="Q10" s="127">
        <v>9</v>
      </c>
      <c r="R10" s="3">
        <v>5.64975</v>
      </c>
      <c r="S10" s="3">
        <v>7.5330000000000004</v>
      </c>
      <c r="T10" s="3">
        <v>7.5330000000000004</v>
      </c>
      <c r="U10" s="3">
        <v>11.2995</v>
      </c>
    </row>
    <row r="11" spans="1:21">
      <c r="A11" s="1">
        <v>10</v>
      </c>
      <c r="B11" s="3">
        <v>5.0220000000000002</v>
      </c>
      <c r="C11" s="3">
        <v>8.3699999999999992</v>
      </c>
      <c r="D11" s="3">
        <v>8.3699999999999992</v>
      </c>
      <c r="E11" s="3">
        <v>12.555</v>
      </c>
      <c r="G11" s="3">
        <v>59</v>
      </c>
      <c r="H11" s="5">
        <v>2</v>
      </c>
      <c r="I11" s="5">
        <v>2</v>
      </c>
      <c r="J11" s="5">
        <v>2</v>
      </c>
      <c r="K11" s="5">
        <v>2</v>
      </c>
      <c r="L11" s="5">
        <v>8</v>
      </c>
      <c r="M11" s="5">
        <v>2</v>
      </c>
      <c r="N11" s="5">
        <v>2</v>
      </c>
      <c r="O11" s="5">
        <v>2</v>
      </c>
      <c r="Q11" s="127">
        <v>10</v>
      </c>
      <c r="R11" s="3">
        <v>6.2774999999999999</v>
      </c>
      <c r="S11" s="3">
        <v>8.3699999999999992</v>
      </c>
      <c r="T11" s="3">
        <v>8.3699999999999992</v>
      </c>
      <c r="U11" s="3">
        <v>12.555</v>
      </c>
    </row>
    <row r="12" spans="1:21">
      <c r="A12" s="1">
        <v>11</v>
      </c>
      <c r="B12" s="5">
        <v>7.4325599999999996</v>
      </c>
      <c r="C12" s="5">
        <v>9.2906999999999993</v>
      </c>
      <c r="D12" s="5">
        <v>11.613375</v>
      </c>
      <c r="E12" s="5">
        <v>13.93605</v>
      </c>
      <c r="G12" s="5">
        <v>60</v>
      </c>
      <c r="H12" s="5"/>
      <c r="I12" s="5"/>
      <c r="J12" s="5"/>
      <c r="K12" s="5"/>
      <c r="L12" s="5">
        <v>6</v>
      </c>
      <c r="M12" s="5"/>
      <c r="N12" s="5"/>
      <c r="O12" s="5"/>
      <c r="Q12" s="127">
        <v>11</v>
      </c>
      <c r="R12" s="5">
        <v>7.4325600000000005</v>
      </c>
      <c r="S12" s="5">
        <v>9.2906999999999993</v>
      </c>
      <c r="T12" s="5">
        <v>9.2907000000000011</v>
      </c>
      <c r="U12" s="5">
        <v>13.93605</v>
      </c>
    </row>
    <row r="13" spans="1:21">
      <c r="A13" s="1">
        <v>12</v>
      </c>
      <c r="B13" s="5">
        <v>8.1691199999999995</v>
      </c>
      <c r="C13" s="5">
        <v>10.211399999999999</v>
      </c>
      <c r="D13" s="5">
        <v>12.764250000000001</v>
      </c>
      <c r="E13" s="5">
        <v>15.3171</v>
      </c>
      <c r="G13" s="5">
        <v>61</v>
      </c>
      <c r="H13" s="5"/>
      <c r="I13" s="5"/>
      <c r="J13" s="5"/>
      <c r="K13" s="5"/>
      <c r="L13" s="5">
        <v>4</v>
      </c>
      <c r="M13" s="5"/>
      <c r="N13" s="5"/>
      <c r="O13" s="5"/>
      <c r="Q13" s="127">
        <v>12</v>
      </c>
      <c r="R13" s="5">
        <v>8.1691199999999995</v>
      </c>
      <c r="S13" s="5">
        <v>10.211399999999999</v>
      </c>
      <c r="T13" s="5">
        <v>10.211399999999999</v>
      </c>
      <c r="U13" s="5">
        <v>15.3171</v>
      </c>
    </row>
    <row r="14" spans="1:21">
      <c r="A14" s="1">
        <v>13</v>
      </c>
      <c r="B14" s="5">
        <v>8.9056800000000003</v>
      </c>
      <c r="C14" s="5">
        <v>11.132099999999999</v>
      </c>
      <c r="D14" s="5">
        <v>13.915125</v>
      </c>
      <c r="E14" s="5">
        <v>16.698149999999998</v>
      </c>
      <c r="G14" s="3">
        <v>62</v>
      </c>
      <c r="H14" s="5"/>
      <c r="I14" s="5"/>
      <c r="J14" s="5"/>
      <c r="K14" s="5"/>
      <c r="L14" s="5">
        <v>2</v>
      </c>
      <c r="M14" s="5"/>
      <c r="N14" s="5"/>
      <c r="O14" s="5"/>
      <c r="Q14" s="127">
        <v>13</v>
      </c>
      <c r="R14" s="5">
        <v>8.9056800000000003</v>
      </c>
      <c r="S14" s="5">
        <v>11.132100000000001</v>
      </c>
      <c r="T14" s="5">
        <v>11.132100000000001</v>
      </c>
      <c r="U14" s="5">
        <v>16.698150000000002</v>
      </c>
    </row>
    <row r="15" spans="1:21">
      <c r="A15" s="1">
        <v>14</v>
      </c>
      <c r="B15" s="5">
        <v>9.6422399999999993</v>
      </c>
      <c r="C15" s="5">
        <v>12.0528</v>
      </c>
      <c r="D15" s="5">
        <v>15.066000000000001</v>
      </c>
      <c r="E15" s="5">
        <v>18.0792</v>
      </c>
      <c r="G15" s="3">
        <v>63</v>
      </c>
      <c r="H15" s="5"/>
      <c r="I15" s="5"/>
      <c r="J15" s="5"/>
      <c r="K15" s="5"/>
      <c r="L15" s="5"/>
      <c r="M15" s="5"/>
      <c r="N15" s="5"/>
      <c r="O15" s="5"/>
      <c r="Q15" s="127">
        <v>14</v>
      </c>
      <c r="R15" s="5">
        <v>9.642240000000001</v>
      </c>
      <c r="S15" s="5">
        <v>12.0528</v>
      </c>
      <c r="T15" s="5">
        <v>12.0528</v>
      </c>
      <c r="U15" s="5">
        <v>18.0792</v>
      </c>
    </row>
    <row r="16" spans="1:21">
      <c r="A16" s="1">
        <v>15</v>
      </c>
      <c r="B16" s="5">
        <v>10.3788</v>
      </c>
      <c r="C16" s="5">
        <v>12.9735</v>
      </c>
      <c r="D16" s="5">
        <v>16.216875000000002</v>
      </c>
      <c r="E16" s="5">
        <v>19.460249999999998</v>
      </c>
      <c r="Q16" s="127">
        <v>15</v>
      </c>
      <c r="R16" s="5">
        <v>10.378800000000002</v>
      </c>
      <c r="S16" s="5">
        <v>12.973500000000001</v>
      </c>
      <c r="T16" s="5">
        <v>12.9375</v>
      </c>
      <c r="U16" s="5">
        <v>19.460250000000002</v>
      </c>
    </row>
    <row r="17" spans="1:21">
      <c r="A17" s="1">
        <v>16</v>
      </c>
      <c r="B17" s="5">
        <v>12.88143</v>
      </c>
      <c r="C17" s="5">
        <v>14.3127</v>
      </c>
      <c r="D17" s="5">
        <v>17.890875000000001</v>
      </c>
      <c r="E17" s="5">
        <v>20.8413</v>
      </c>
      <c r="Q17" s="127">
        <v>16</v>
      </c>
      <c r="R17" s="5">
        <v>11.115360000000001</v>
      </c>
      <c r="S17" s="5">
        <v>13.894200000000001</v>
      </c>
      <c r="T17" s="5">
        <v>13.894200000000001</v>
      </c>
      <c r="U17" s="5">
        <v>20.8413</v>
      </c>
    </row>
    <row r="18" spans="1:21">
      <c r="A18" s="1">
        <v>17</v>
      </c>
      <c r="B18" s="5">
        <v>14.08671</v>
      </c>
      <c r="C18" s="5">
        <v>15.651899999999999</v>
      </c>
      <c r="D18" s="5">
        <v>19.564875000000001</v>
      </c>
      <c r="E18" s="5">
        <v>22.222349999999999</v>
      </c>
      <c r="Q18" s="127">
        <v>17</v>
      </c>
      <c r="R18" s="5">
        <v>11.85192</v>
      </c>
      <c r="S18" s="5">
        <v>14.8149</v>
      </c>
      <c r="T18" s="5">
        <v>14.8149</v>
      </c>
      <c r="U18" s="5">
        <v>22.222350000000002</v>
      </c>
    </row>
    <row r="19" spans="1:21">
      <c r="A19" s="1">
        <v>18</v>
      </c>
      <c r="B19" s="5">
        <v>15.29199</v>
      </c>
      <c r="C19" s="5">
        <v>16.991099999999999</v>
      </c>
      <c r="D19" s="5">
        <v>21.238875</v>
      </c>
      <c r="E19" s="5">
        <v>23.603400000000001</v>
      </c>
      <c r="Q19" s="127">
        <v>18</v>
      </c>
      <c r="R19" s="5">
        <v>12.588479999999999</v>
      </c>
      <c r="S19" s="5">
        <v>15.735600000000002</v>
      </c>
      <c r="T19" s="5">
        <v>15.735600000000002</v>
      </c>
      <c r="U19" s="5">
        <v>23.603400000000001</v>
      </c>
    </row>
    <row r="20" spans="1:21">
      <c r="A20" s="1">
        <v>19</v>
      </c>
      <c r="B20" s="5">
        <v>16.49727</v>
      </c>
      <c r="C20" s="5">
        <v>18.330300000000001</v>
      </c>
      <c r="D20" s="5">
        <v>22.912875</v>
      </c>
      <c r="E20" s="5">
        <v>24.984449999999999</v>
      </c>
      <c r="Q20" s="127">
        <v>19</v>
      </c>
      <c r="R20" s="5">
        <v>13.325040000000001</v>
      </c>
      <c r="S20" s="5">
        <v>16.656299999999998</v>
      </c>
      <c r="T20" s="5">
        <v>16.656299999999998</v>
      </c>
      <c r="U20" s="5">
        <v>24.984450000000002</v>
      </c>
    </row>
    <row r="21" spans="1:21">
      <c r="A21" s="1">
        <v>20</v>
      </c>
      <c r="B21" s="5">
        <v>19.669499999999999</v>
      </c>
      <c r="C21" s="5">
        <v>19.669499999999999</v>
      </c>
      <c r="D21" s="5">
        <v>24.586874999999999</v>
      </c>
      <c r="E21" s="5">
        <v>26.365500000000001</v>
      </c>
      <c r="Q21" s="127">
        <v>20</v>
      </c>
      <c r="R21" s="5">
        <v>17.577000000000002</v>
      </c>
      <c r="S21" s="5">
        <v>17.577000000000002</v>
      </c>
      <c r="T21" s="5">
        <v>21.971250000000001</v>
      </c>
      <c r="U21" s="5">
        <v>26.365499999999997</v>
      </c>
    </row>
    <row r="22" spans="1:21">
      <c r="A22" s="1">
        <v>21</v>
      </c>
      <c r="B22" s="5">
        <v>21.343499999999999</v>
      </c>
      <c r="C22" s="5">
        <v>21.343499999999999</v>
      </c>
      <c r="D22" s="5">
        <v>26.260874999999999</v>
      </c>
      <c r="E22" s="5">
        <v>27.746549999999999</v>
      </c>
      <c r="Q22" s="127">
        <v>21</v>
      </c>
      <c r="R22" s="5">
        <v>18.581400000000002</v>
      </c>
      <c r="S22" s="5">
        <v>18.581400000000002</v>
      </c>
      <c r="T22" s="5">
        <v>23.226749999999999</v>
      </c>
      <c r="U22" s="5">
        <v>27.872099999999996</v>
      </c>
    </row>
    <row r="23" spans="1:21">
      <c r="A23" s="1">
        <v>22</v>
      </c>
      <c r="B23" s="5">
        <v>23.017499999999998</v>
      </c>
      <c r="C23" s="5">
        <v>23.017499999999998</v>
      </c>
      <c r="D23" s="5">
        <v>27.934875000000002</v>
      </c>
      <c r="E23" s="5">
        <v>29.127600000000001</v>
      </c>
      <c r="Q23" s="127">
        <v>22</v>
      </c>
      <c r="R23" s="5">
        <v>19.585799999999999</v>
      </c>
      <c r="S23" s="5">
        <v>19.585799999999999</v>
      </c>
      <c r="T23" s="5">
        <v>24.482250000000004</v>
      </c>
      <c r="U23" s="5">
        <v>29.378699999999998</v>
      </c>
    </row>
    <row r="24" spans="1:21">
      <c r="A24" s="1">
        <v>23</v>
      </c>
      <c r="B24" s="5">
        <v>24.691500000000001</v>
      </c>
      <c r="C24" s="5">
        <v>24.691500000000001</v>
      </c>
      <c r="D24" s="5">
        <v>29.608875000000001</v>
      </c>
      <c r="E24" s="5">
        <v>30.508649999999999</v>
      </c>
      <c r="Q24" s="127">
        <v>23</v>
      </c>
      <c r="R24" s="5">
        <v>20.590199999999999</v>
      </c>
      <c r="S24" s="5">
        <v>20.590199999999999</v>
      </c>
      <c r="T24" s="5">
        <v>25.737750000000002</v>
      </c>
      <c r="U24" s="5">
        <v>30.885299999999997</v>
      </c>
    </row>
    <row r="25" spans="1:21">
      <c r="A25" s="1">
        <v>24</v>
      </c>
      <c r="B25" s="5">
        <v>26.365500000000001</v>
      </c>
      <c r="C25" s="5">
        <v>26.365500000000001</v>
      </c>
      <c r="D25" s="5">
        <v>31.282875000000001</v>
      </c>
      <c r="E25" s="5">
        <v>31.889700000000001</v>
      </c>
      <c r="Q25" s="127">
        <v>24</v>
      </c>
      <c r="R25" s="5">
        <v>21.5946</v>
      </c>
      <c r="S25" s="5">
        <v>21.5946</v>
      </c>
      <c r="T25" s="5">
        <v>26.993250000000003</v>
      </c>
      <c r="U25" s="5">
        <v>32.3919</v>
      </c>
    </row>
    <row r="26" spans="1:21">
      <c r="A26" s="1">
        <v>25</v>
      </c>
      <c r="B26" s="5">
        <v>28.0395</v>
      </c>
      <c r="C26" s="5">
        <v>28.0395</v>
      </c>
      <c r="D26" s="5">
        <v>33.27075</v>
      </c>
      <c r="E26" s="5">
        <v>33.27075</v>
      </c>
      <c r="Q26" s="127">
        <v>25</v>
      </c>
      <c r="R26" s="5">
        <v>28.248750000000001</v>
      </c>
      <c r="S26" s="5">
        <v>28.248750000000005</v>
      </c>
      <c r="T26" s="5">
        <v>33.898499999999999</v>
      </c>
      <c r="U26" s="5">
        <v>33.898499999999999</v>
      </c>
    </row>
    <row r="27" spans="1:21">
      <c r="A27" s="1">
        <v>26</v>
      </c>
      <c r="B27" s="5">
        <v>29.378699999999998</v>
      </c>
      <c r="C27" s="5">
        <v>29.378699999999998</v>
      </c>
      <c r="D27" s="5">
        <v>34.777349999999998</v>
      </c>
      <c r="E27" s="5">
        <v>34.777349999999998</v>
      </c>
      <c r="Q27" s="127">
        <v>26</v>
      </c>
      <c r="R27" s="5">
        <v>29.504250000000003</v>
      </c>
      <c r="S27" s="5">
        <v>29.504249999999999</v>
      </c>
      <c r="T27" s="5">
        <v>35.405099999999997</v>
      </c>
      <c r="U27" s="5">
        <v>35.405099999999997</v>
      </c>
    </row>
    <row r="28" spans="1:21">
      <c r="A28" s="1">
        <v>27</v>
      </c>
      <c r="B28" s="5">
        <v>30.7179</v>
      </c>
      <c r="C28" s="5">
        <v>30.7179</v>
      </c>
      <c r="D28" s="5">
        <v>36.283949999999997</v>
      </c>
      <c r="E28" s="5">
        <v>36.283949999999997</v>
      </c>
      <c r="Q28" s="127">
        <v>27</v>
      </c>
      <c r="R28" s="5">
        <v>30.75975</v>
      </c>
      <c r="S28" s="5">
        <v>30.75975</v>
      </c>
      <c r="T28" s="5">
        <v>36.911700000000003</v>
      </c>
      <c r="U28" s="5">
        <v>36.911700000000003</v>
      </c>
    </row>
    <row r="29" spans="1:21">
      <c r="A29" s="1">
        <v>28</v>
      </c>
      <c r="B29" s="5">
        <v>32.057099999999998</v>
      </c>
      <c r="C29" s="5">
        <v>32.057099999999998</v>
      </c>
      <c r="D29" s="5">
        <v>37.790550000000003</v>
      </c>
      <c r="E29" s="5">
        <v>37.790550000000003</v>
      </c>
      <c r="Q29" s="127">
        <v>28</v>
      </c>
      <c r="R29" s="5">
        <v>32.015250000000002</v>
      </c>
      <c r="S29" s="5">
        <v>32.015250000000002</v>
      </c>
      <c r="T29" s="5">
        <v>38.418300000000002</v>
      </c>
      <c r="U29" s="5">
        <v>38.418300000000002</v>
      </c>
    </row>
    <row r="30" spans="1:21">
      <c r="A30" s="1">
        <v>29</v>
      </c>
      <c r="B30" s="5">
        <v>33.396299999999997</v>
      </c>
      <c r="C30" s="5">
        <v>33.396299999999997</v>
      </c>
      <c r="D30" s="5">
        <v>39.297150000000002</v>
      </c>
      <c r="E30" s="5">
        <v>39.297150000000002</v>
      </c>
      <c r="Q30" s="127">
        <v>29</v>
      </c>
      <c r="R30" s="5">
        <v>33.27075</v>
      </c>
      <c r="S30" s="5">
        <v>33.270750000000007</v>
      </c>
      <c r="T30" s="5">
        <v>39.924899999999994</v>
      </c>
      <c r="U30" s="5">
        <v>39.924899999999994</v>
      </c>
    </row>
    <row r="31" spans="1:21">
      <c r="A31" s="1">
        <v>30</v>
      </c>
      <c r="B31" s="5">
        <v>34.735500000000002</v>
      </c>
      <c r="C31" s="5">
        <v>34.735500000000002</v>
      </c>
      <c r="D31" s="5">
        <v>40.803750000000001</v>
      </c>
      <c r="E31" s="5">
        <v>40.803750000000001</v>
      </c>
      <c r="Q31" s="127">
        <v>30</v>
      </c>
      <c r="R31" s="5">
        <v>34.526249999999997</v>
      </c>
      <c r="S31" s="5">
        <v>34.526249999999997</v>
      </c>
      <c r="T31" s="5">
        <v>41.4315</v>
      </c>
      <c r="U31" s="5">
        <v>41.4315</v>
      </c>
    </row>
    <row r="32" spans="1:21">
      <c r="A32" s="1">
        <v>31</v>
      </c>
      <c r="B32" s="5">
        <v>35.739899999999999</v>
      </c>
      <c r="C32" s="5">
        <v>35.739899999999999</v>
      </c>
      <c r="D32" s="5">
        <v>42.31035</v>
      </c>
      <c r="E32" s="5">
        <v>42.31035</v>
      </c>
      <c r="Q32" s="127">
        <v>31</v>
      </c>
      <c r="R32" s="5">
        <v>35.572499999999998</v>
      </c>
      <c r="S32" s="5">
        <v>35.572500000000005</v>
      </c>
      <c r="T32" s="5">
        <v>42.687000000000005</v>
      </c>
      <c r="U32" s="5">
        <v>42.687000000000005</v>
      </c>
    </row>
    <row r="33" spans="1:21">
      <c r="A33" s="1">
        <v>32</v>
      </c>
      <c r="B33" s="5">
        <v>36.744300000000003</v>
      </c>
      <c r="C33" s="5">
        <v>36.744300000000003</v>
      </c>
      <c r="D33" s="5">
        <v>43.816949999999999</v>
      </c>
      <c r="E33" s="5">
        <v>43.816949999999999</v>
      </c>
      <c r="Q33" s="127">
        <v>32</v>
      </c>
      <c r="R33" s="5">
        <v>36.618749999999999</v>
      </c>
      <c r="S33" s="5">
        <v>36.618749999999999</v>
      </c>
      <c r="T33" s="5">
        <v>43.942500000000003</v>
      </c>
      <c r="U33" s="5">
        <v>43.942500000000003</v>
      </c>
    </row>
    <row r="34" spans="1:21">
      <c r="A34" s="1">
        <v>33</v>
      </c>
      <c r="B34" s="5">
        <v>37.748699999999999</v>
      </c>
      <c r="C34" s="5">
        <v>37.748699999999999</v>
      </c>
      <c r="D34" s="5">
        <v>45.323549999999997</v>
      </c>
      <c r="E34" s="5">
        <v>45.323549999999997</v>
      </c>
      <c r="Q34" s="127">
        <v>33</v>
      </c>
      <c r="R34" s="5">
        <v>37.664999999999999</v>
      </c>
      <c r="S34" s="5">
        <v>37.664999999999999</v>
      </c>
      <c r="T34" s="5">
        <v>45.197999999999993</v>
      </c>
      <c r="U34" s="5">
        <v>45.197999999999993</v>
      </c>
    </row>
    <row r="35" spans="1:21">
      <c r="A35" s="1">
        <v>34</v>
      </c>
      <c r="B35" s="5">
        <v>38.753100000000003</v>
      </c>
      <c r="C35" s="5">
        <v>38.753100000000003</v>
      </c>
      <c r="D35" s="5">
        <v>46.830150000000003</v>
      </c>
      <c r="E35" s="5">
        <v>46.830150000000003</v>
      </c>
      <c r="Q35" s="127">
        <v>34</v>
      </c>
      <c r="R35" s="5">
        <v>38.71125</v>
      </c>
      <c r="S35" s="5">
        <v>38.71125</v>
      </c>
      <c r="T35" s="5">
        <v>46.453499999999998</v>
      </c>
      <c r="U35" s="5">
        <v>46.453499999999998</v>
      </c>
    </row>
    <row r="36" spans="1:21">
      <c r="A36" s="1">
        <v>35</v>
      </c>
      <c r="B36" s="5">
        <v>39.7575</v>
      </c>
      <c r="C36" s="5">
        <v>39.7575</v>
      </c>
      <c r="D36" s="5">
        <v>47.709000000000003</v>
      </c>
      <c r="E36" s="5">
        <v>47.709000000000003</v>
      </c>
      <c r="Q36" s="127">
        <v>35</v>
      </c>
      <c r="R36" s="5">
        <v>39.7575</v>
      </c>
      <c r="S36" s="5">
        <v>39.7575</v>
      </c>
      <c r="T36" s="5">
        <v>47.708999999999996</v>
      </c>
      <c r="U36" s="5">
        <v>47.708999999999996</v>
      </c>
    </row>
    <row r="37" spans="1:21">
      <c r="A37" s="1">
        <v>36</v>
      </c>
      <c r="B37" s="5">
        <v>40.761899999999997</v>
      </c>
      <c r="C37" s="5">
        <v>40.761899999999997</v>
      </c>
      <c r="D37" s="5">
        <v>47.709000000000003</v>
      </c>
      <c r="E37" s="5">
        <v>47.709000000000003</v>
      </c>
      <c r="Q37" s="127">
        <v>36</v>
      </c>
      <c r="R37" s="5">
        <v>40.803750000000001</v>
      </c>
      <c r="S37" s="5">
        <v>39.7575</v>
      </c>
      <c r="T37" s="5">
        <v>47.708999999999996</v>
      </c>
      <c r="U37" s="5">
        <v>47.708999999999996</v>
      </c>
    </row>
    <row r="38" spans="1:21">
      <c r="A38" s="1">
        <v>37</v>
      </c>
      <c r="B38" s="5">
        <v>41.766300000000001</v>
      </c>
      <c r="C38" s="5">
        <v>41.766300000000001</v>
      </c>
      <c r="D38" s="5">
        <v>47.709000000000003</v>
      </c>
      <c r="E38" s="5">
        <v>47.709000000000003</v>
      </c>
      <c r="Q38" s="127">
        <v>37</v>
      </c>
      <c r="R38" s="5">
        <v>41.85</v>
      </c>
      <c r="S38" s="5">
        <v>41.85</v>
      </c>
      <c r="T38" s="5">
        <v>47.708999999999996</v>
      </c>
      <c r="U38" s="5">
        <v>47.708999999999996</v>
      </c>
    </row>
    <row r="39" spans="1:21">
      <c r="A39" s="1">
        <v>38</v>
      </c>
      <c r="B39" s="5">
        <v>42.770699999999998</v>
      </c>
      <c r="C39" s="5">
        <v>42.770699999999998</v>
      </c>
      <c r="D39" s="5">
        <v>47.709000000000003</v>
      </c>
      <c r="E39" s="5">
        <v>47.709000000000003</v>
      </c>
      <c r="Q39" s="127">
        <v>38</v>
      </c>
      <c r="R39" s="5">
        <v>42.896250000000002</v>
      </c>
      <c r="S39" s="5">
        <v>42.896250000000002</v>
      </c>
      <c r="T39" s="5">
        <v>47.708999999999996</v>
      </c>
      <c r="U39" s="5">
        <v>47.708999999999996</v>
      </c>
    </row>
    <row r="40" spans="1:21">
      <c r="A40" s="1">
        <v>39</v>
      </c>
      <c r="B40" s="5">
        <v>43.775100000000002</v>
      </c>
      <c r="C40" s="5">
        <v>43.775100000000002</v>
      </c>
      <c r="D40" s="5">
        <v>47.709000000000003</v>
      </c>
      <c r="E40" s="5">
        <v>47.709000000000003</v>
      </c>
      <c r="Q40" s="127">
        <v>39</v>
      </c>
      <c r="R40" s="5">
        <v>43.942500000000003</v>
      </c>
      <c r="S40" s="5">
        <v>43.942500000000003</v>
      </c>
      <c r="T40" s="5">
        <v>47.708999999999996</v>
      </c>
      <c r="U40" s="5">
        <v>47.708999999999996</v>
      </c>
    </row>
    <row r="41" spans="1:21">
      <c r="A41" s="1">
        <v>40</v>
      </c>
      <c r="B41" s="5">
        <v>44.779499999999999</v>
      </c>
      <c r="C41" s="5">
        <v>44.779499999999999</v>
      </c>
      <c r="D41" s="5">
        <v>47.709000000000003</v>
      </c>
      <c r="E41" s="5">
        <v>47.709000000000003</v>
      </c>
      <c r="Q41" s="127">
        <v>40</v>
      </c>
      <c r="R41" s="5">
        <v>44.988750000000003</v>
      </c>
      <c r="S41" s="5">
        <v>44.988750000000003</v>
      </c>
      <c r="T41" s="5">
        <v>47.708999999999996</v>
      </c>
      <c r="U41" s="5">
        <v>47.708999999999996</v>
      </c>
    </row>
    <row r="42" spans="1:21">
      <c r="U42">
        <v>47.708999999999996</v>
      </c>
    </row>
    <row r="43" spans="1:21">
      <c r="U43">
        <v>47.708999999999996</v>
      </c>
    </row>
    <row r="44" spans="1:21">
      <c r="U44">
        <v>47.708999999999996</v>
      </c>
    </row>
    <row r="45" spans="1:21">
      <c r="U45">
        <v>47.708999999999996</v>
      </c>
    </row>
    <row r="46" spans="1:21">
      <c r="U46">
        <v>47.708999999999996</v>
      </c>
    </row>
  </sheetData>
  <sheetProtection algorithmName="SHA-512" hashValue="OQXHvsCxvgyC3Um4qjvabcjCBRUCd/aHfcrI+6hAcY0ZlI2DF7q3pvuCkLrvQ35dUK7dhnInb025DvQ4Z0IMMA==" saltValue="1oxue+izlFzwbgKrc8nrUw==" spinCount="100000" sheet="1" objects="1" scenarios="1" selectLockedCells="1" selectUnlockedCells="1"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174F-4E92-4142-BAC3-42898721EDC6}">
  <dimension ref="A1:D539"/>
  <sheetViews>
    <sheetView workbookViewId="0">
      <selection activeCell="D7" sqref="D7"/>
    </sheetView>
  </sheetViews>
  <sheetFormatPr defaultColWidth="8.75" defaultRowHeight="12.75"/>
  <cols>
    <col min="1" max="1" width="33.25" style="23" customWidth="1"/>
    <col min="2" max="2" width="8.75" style="21" customWidth="1"/>
    <col min="3" max="16384" width="8.75" style="20"/>
  </cols>
  <sheetData>
    <row r="1" spans="1:4">
      <c r="A1" s="24" t="s">
        <v>38</v>
      </c>
      <c r="B1" s="9"/>
      <c r="D1" s="20" t="s">
        <v>1120</v>
      </c>
    </row>
    <row r="2" spans="1:4">
      <c r="A2" s="24" t="s">
        <v>39</v>
      </c>
      <c r="B2" s="9"/>
      <c r="D2" s="20" t="s">
        <v>1121</v>
      </c>
    </row>
    <row r="3" spans="1:4">
      <c r="A3" s="24" t="s">
        <v>40</v>
      </c>
      <c r="B3" s="9"/>
      <c r="D3" s="20" t="s">
        <v>1122</v>
      </c>
    </row>
    <row r="4" spans="1:4">
      <c r="A4" s="24" t="s">
        <v>41</v>
      </c>
      <c r="B4" s="9"/>
      <c r="D4" s="20" t="s">
        <v>1123</v>
      </c>
    </row>
    <row r="5" spans="1:4">
      <c r="A5" s="24" t="s">
        <v>42</v>
      </c>
      <c r="B5" s="9"/>
      <c r="D5" s="20" t="s">
        <v>1124</v>
      </c>
    </row>
    <row r="6" spans="1:4">
      <c r="A6" s="24" t="s">
        <v>43</v>
      </c>
      <c r="B6" s="9"/>
      <c r="D6" s="20" t="s">
        <v>1125</v>
      </c>
    </row>
    <row r="7" spans="1:4">
      <c r="A7" s="24" t="s">
        <v>44</v>
      </c>
      <c r="B7" s="9"/>
      <c r="D7" s="20" t="s">
        <v>1126</v>
      </c>
    </row>
    <row r="8" spans="1:4">
      <c r="A8" s="24" t="s">
        <v>45</v>
      </c>
      <c r="B8" s="9"/>
    </row>
    <row r="9" spans="1:4">
      <c r="A9" s="24" t="s">
        <v>46</v>
      </c>
      <c r="B9" s="9"/>
    </row>
    <row r="10" spans="1:4">
      <c r="A10" s="23" t="s">
        <v>47</v>
      </c>
      <c r="B10" s="9"/>
    </row>
    <row r="11" spans="1:4">
      <c r="A11" s="23" t="s">
        <v>48</v>
      </c>
      <c r="B11" s="9"/>
    </row>
    <row r="12" spans="1:4">
      <c r="A12" s="23" t="s">
        <v>49</v>
      </c>
      <c r="B12" s="10"/>
    </row>
    <row r="13" spans="1:4">
      <c r="A13" s="23" t="s">
        <v>50</v>
      </c>
      <c r="B13" s="10"/>
    </row>
    <row r="14" spans="1:4">
      <c r="A14" s="23" t="s">
        <v>51</v>
      </c>
      <c r="B14" s="10"/>
    </row>
    <row r="15" spans="1:4">
      <c r="A15" s="23" t="s">
        <v>52</v>
      </c>
      <c r="B15" s="10"/>
    </row>
    <row r="16" spans="1:4">
      <c r="A16" s="23" t="s">
        <v>53</v>
      </c>
      <c r="B16" s="10"/>
    </row>
    <row r="17" spans="1:2">
      <c r="A17" s="24" t="s">
        <v>54</v>
      </c>
      <c r="B17" s="9"/>
    </row>
    <row r="18" spans="1:2">
      <c r="A18" s="24" t="s">
        <v>55</v>
      </c>
      <c r="B18" s="9"/>
    </row>
    <row r="19" spans="1:2">
      <c r="A19" s="24" t="s">
        <v>56</v>
      </c>
      <c r="B19" s="9"/>
    </row>
    <row r="20" spans="1:2">
      <c r="A20" s="24" t="s">
        <v>57</v>
      </c>
      <c r="B20" s="9"/>
    </row>
    <row r="21" spans="1:2">
      <c r="A21" s="24" t="s">
        <v>58</v>
      </c>
      <c r="B21" s="9"/>
    </row>
    <row r="22" spans="1:2">
      <c r="A22" s="24" t="s">
        <v>59</v>
      </c>
      <c r="B22" s="9"/>
    </row>
    <row r="23" spans="1:2">
      <c r="A23" s="24" t="s">
        <v>60</v>
      </c>
      <c r="B23" s="9"/>
    </row>
    <row r="24" spans="1:2">
      <c r="A24" s="24" t="s">
        <v>61</v>
      </c>
      <c r="B24" s="9"/>
    </row>
    <row r="25" spans="1:2">
      <c r="A25" s="25" t="s">
        <v>62</v>
      </c>
      <c r="B25" s="10"/>
    </row>
    <row r="26" spans="1:2">
      <c r="A26" s="25" t="s">
        <v>63</v>
      </c>
      <c r="B26" s="10"/>
    </row>
    <row r="27" spans="1:2">
      <c r="A27" s="24" t="s">
        <v>64</v>
      </c>
      <c r="B27" s="9"/>
    </row>
    <row r="28" spans="1:2">
      <c r="A28" s="24" t="s">
        <v>65</v>
      </c>
      <c r="B28" s="9"/>
    </row>
    <row r="29" spans="1:2">
      <c r="A29" s="24" t="s">
        <v>66</v>
      </c>
      <c r="B29" s="9"/>
    </row>
    <row r="30" spans="1:2">
      <c r="A30" s="24" t="s">
        <v>67</v>
      </c>
      <c r="B30" s="9"/>
    </row>
    <row r="31" spans="1:2">
      <c r="A31" s="25" t="s">
        <v>68</v>
      </c>
      <c r="B31" s="10"/>
    </row>
    <row r="32" spans="1:2">
      <c r="A32" s="26" t="s">
        <v>69</v>
      </c>
      <c r="B32" s="11"/>
    </row>
    <row r="33" spans="1:2">
      <c r="A33" s="25" t="s">
        <v>70</v>
      </c>
      <c r="B33" s="10"/>
    </row>
    <row r="34" spans="1:2">
      <c r="A34" s="24" t="s">
        <v>71</v>
      </c>
      <c r="B34" s="9"/>
    </row>
    <row r="35" spans="1:2">
      <c r="A35" s="24" t="s">
        <v>72</v>
      </c>
      <c r="B35" s="9"/>
    </row>
    <row r="36" spans="1:2">
      <c r="A36" s="24" t="s">
        <v>73</v>
      </c>
      <c r="B36" s="9"/>
    </row>
    <row r="37" spans="1:2">
      <c r="A37" s="24" t="s">
        <v>74</v>
      </c>
      <c r="B37" s="9"/>
    </row>
    <row r="38" spans="1:2">
      <c r="A38" s="24" t="s">
        <v>75</v>
      </c>
      <c r="B38" s="9"/>
    </row>
    <row r="39" spans="1:2">
      <c r="A39" s="24" t="s">
        <v>76</v>
      </c>
      <c r="B39" s="9"/>
    </row>
    <row r="40" spans="1:2">
      <c r="A40" s="25" t="s">
        <v>77</v>
      </c>
      <c r="B40" s="10"/>
    </row>
    <row r="41" spans="1:2">
      <c r="A41" s="25" t="s">
        <v>78</v>
      </c>
      <c r="B41" s="10"/>
    </row>
    <row r="42" spans="1:2">
      <c r="A42" s="24" t="s">
        <v>79</v>
      </c>
      <c r="B42" s="12"/>
    </row>
    <row r="43" spans="1:2">
      <c r="A43" s="24" t="s">
        <v>80</v>
      </c>
      <c r="B43" s="12"/>
    </row>
    <row r="44" spans="1:2">
      <c r="A44" s="24" t="s">
        <v>81</v>
      </c>
      <c r="B44" s="12"/>
    </row>
    <row r="45" spans="1:2">
      <c r="A45" s="24" t="s">
        <v>82</v>
      </c>
      <c r="B45" s="12"/>
    </row>
    <row r="46" spans="1:2">
      <c r="A46" s="24" t="s">
        <v>83</v>
      </c>
      <c r="B46" s="12"/>
    </row>
    <row r="47" spans="1:2">
      <c r="A47" s="24" t="s">
        <v>84</v>
      </c>
      <c r="B47" s="12"/>
    </row>
    <row r="48" spans="1:2">
      <c r="A48" s="24" t="s">
        <v>85</v>
      </c>
      <c r="B48" s="12"/>
    </row>
    <row r="49" spans="1:2">
      <c r="A49" s="24" t="s">
        <v>86</v>
      </c>
      <c r="B49" s="12"/>
    </row>
    <row r="50" spans="1:2">
      <c r="A50" s="25" t="s">
        <v>87</v>
      </c>
      <c r="B50" s="13"/>
    </row>
    <row r="51" spans="1:2">
      <c r="A51" s="25" t="s">
        <v>88</v>
      </c>
      <c r="B51" s="13"/>
    </row>
    <row r="52" spans="1:2">
      <c r="A52" s="24" t="s">
        <v>89</v>
      </c>
      <c r="B52" s="12"/>
    </row>
    <row r="53" spans="1:2">
      <c r="A53" s="24" t="s">
        <v>90</v>
      </c>
      <c r="B53" s="12"/>
    </row>
    <row r="54" spans="1:2">
      <c r="A54" s="24" t="s">
        <v>91</v>
      </c>
      <c r="B54" s="12"/>
    </row>
    <row r="55" spans="1:2">
      <c r="A55" s="24" t="s">
        <v>92</v>
      </c>
      <c r="B55" s="12"/>
    </row>
    <row r="56" spans="1:2">
      <c r="A56" s="25" t="s">
        <v>93</v>
      </c>
      <c r="B56" s="13"/>
    </row>
    <row r="57" spans="1:2">
      <c r="A57" s="24" t="s">
        <v>94</v>
      </c>
      <c r="B57" s="12"/>
    </row>
    <row r="58" spans="1:2">
      <c r="A58" s="24" t="s">
        <v>95</v>
      </c>
      <c r="B58" s="12"/>
    </row>
    <row r="59" spans="1:2">
      <c r="A59" s="24" t="s">
        <v>96</v>
      </c>
      <c r="B59" s="12"/>
    </row>
    <row r="60" spans="1:2">
      <c r="A60" s="24" t="s">
        <v>97</v>
      </c>
      <c r="B60" s="12"/>
    </row>
    <row r="61" spans="1:2">
      <c r="A61" s="25" t="s">
        <v>99</v>
      </c>
      <c r="B61" s="13"/>
    </row>
    <row r="62" spans="1:2">
      <c r="A62" s="25" t="s">
        <v>98</v>
      </c>
      <c r="B62" s="13"/>
    </row>
    <row r="63" spans="1:2">
      <c r="A63" s="24" t="s">
        <v>100</v>
      </c>
      <c r="B63" s="12"/>
    </row>
    <row r="64" spans="1:2">
      <c r="A64" s="24" t="s">
        <v>101</v>
      </c>
      <c r="B64" s="12"/>
    </row>
    <row r="65" spans="1:2">
      <c r="A65" s="24" t="s">
        <v>102</v>
      </c>
      <c r="B65" s="12"/>
    </row>
    <row r="66" spans="1:2">
      <c r="A66" s="24" t="s">
        <v>103</v>
      </c>
      <c r="B66" s="12"/>
    </row>
    <row r="67" spans="1:2">
      <c r="A67" s="25" t="s">
        <v>104</v>
      </c>
      <c r="B67" s="13"/>
    </row>
    <row r="68" spans="1:2">
      <c r="A68" s="24" t="s">
        <v>105</v>
      </c>
      <c r="B68" s="12"/>
    </row>
    <row r="69" spans="1:2">
      <c r="A69" s="24" t="s">
        <v>106</v>
      </c>
      <c r="B69" s="12"/>
    </row>
    <row r="70" spans="1:2">
      <c r="A70" s="24" t="s">
        <v>107</v>
      </c>
      <c r="B70" s="12"/>
    </row>
    <row r="71" spans="1:2">
      <c r="A71" s="24" t="s">
        <v>108</v>
      </c>
      <c r="B71" s="12"/>
    </row>
    <row r="72" spans="1:2">
      <c r="A72" s="24" t="s">
        <v>109</v>
      </c>
      <c r="B72" s="12"/>
    </row>
    <row r="73" spans="1:2">
      <c r="A73" s="25" t="s">
        <v>110</v>
      </c>
      <c r="B73" s="13"/>
    </row>
    <row r="74" spans="1:2">
      <c r="A74" s="24" t="s">
        <v>111</v>
      </c>
      <c r="B74" s="12"/>
    </row>
    <row r="75" spans="1:2">
      <c r="A75" s="24" t="s">
        <v>112</v>
      </c>
      <c r="B75" s="12"/>
    </row>
    <row r="76" spans="1:2">
      <c r="A76" s="24" t="s">
        <v>113</v>
      </c>
      <c r="B76" s="12"/>
    </row>
    <row r="77" spans="1:2">
      <c r="A77" s="24" t="s">
        <v>114</v>
      </c>
      <c r="B77" s="12"/>
    </row>
    <row r="78" spans="1:2">
      <c r="A78" s="24" t="s">
        <v>115</v>
      </c>
      <c r="B78" s="12"/>
    </row>
    <row r="79" spans="1:2">
      <c r="A79" s="24" t="s">
        <v>116</v>
      </c>
      <c r="B79" s="12"/>
    </row>
    <row r="80" spans="1:2">
      <c r="A80" s="25" t="s">
        <v>117</v>
      </c>
      <c r="B80" s="13"/>
    </row>
    <row r="81" spans="1:2">
      <c r="A81" s="24" t="s">
        <v>118</v>
      </c>
      <c r="B81" s="12"/>
    </row>
    <row r="82" spans="1:2">
      <c r="A82" s="25" t="s">
        <v>119</v>
      </c>
      <c r="B82" s="13"/>
    </row>
    <row r="83" spans="1:2">
      <c r="A83" s="24" t="s">
        <v>120</v>
      </c>
      <c r="B83" s="12"/>
    </row>
    <row r="84" spans="1:2">
      <c r="A84" s="27" t="s">
        <v>121</v>
      </c>
      <c r="B84" s="14"/>
    </row>
    <row r="85" spans="1:2">
      <c r="A85" s="27" t="s">
        <v>122</v>
      </c>
      <c r="B85" s="14"/>
    </row>
    <row r="86" spans="1:2">
      <c r="A86" s="27" t="s">
        <v>123</v>
      </c>
      <c r="B86" s="14"/>
    </row>
    <row r="87" spans="1:2">
      <c r="A87" s="27" t="s">
        <v>124</v>
      </c>
      <c r="B87" s="14"/>
    </row>
    <row r="88" spans="1:2">
      <c r="A88" s="27" t="s">
        <v>125</v>
      </c>
      <c r="B88" s="14"/>
    </row>
    <row r="89" spans="1:2">
      <c r="A89" s="27" t="s">
        <v>126</v>
      </c>
      <c r="B89" s="14"/>
    </row>
    <row r="90" spans="1:2">
      <c r="A90" s="27" t="s">
        <v>127</v>
      </c>
      <c r="B90" s="14"/>
    </row>
    <row r="91" spans="1:2">
      <c r="A91" s="27" t="s">
        <v>128</v>
      </c>
      <c r="B91" s="14"/>
    </row>
    <row r="92" spans="1:2">
      <c r="A92" s="27" t="s">
        <v>129</v>
      </c>
      <c r="B92" s="14"/>
    </row>
    <row r="93" spans="1:2">
      <c r="A93" s="27" t="s">
        <v>130</v>
      </c>
      <c r="B93" s="14"/>
    </row>
    <row r="94" spans="1:2">
      <c r="A94" s="27" t="s">
        <v>131</v>
      </c>
      <c r="B94" s="14"/>
    </row>
    <row r="95" spans="1:2">
      <c r="A95" s="27" t="s">
        <v>132</v>
      </c>
      <c r="B95" s="14"/>
    </row>
    <row r="96" spans="1:2">
      <c r="A96" s="27" t="s">
        <v>133</v>
      </c>
      <c r="B96" s="14"/>
    </row>
    <row r="97" spans="1:2">
      <c r="A97" s="27" t="s">
        <v>134</v>
      </c>
      <c r="B97" s="14"/>
    </row>
    <row r="98" spans="1:2">
      <c r="A98" s="27" t="s">
        <v>135</v>
      </c>
      <c r="B98" s="14"/>
    </row>
    <row r="99" spans="1:2">
      <c r="A99" s="27" t="s">
        <v>136</v>
      </c>
      <c r="B99" s="14"/>
    </row>
    <row r="100" spans="1:2">
      <c r="A100" s="27" t="s">
        <v>137</v>
      </c>
      <c r="B100" s="14"/>
    </row>
    <row r="101" spans="1:2">
      <c r="A101" s="27" t="s">
        <v>138</v>
      </c>
      <c r="B101" s="14"/>
    </row>
    <row r="102" spans="1:2">
      <c r="A102" s="27" t="s">
        <v>139</v>
      </c>
      <c r="B102" s="14"/>
    </row>
    <row r="103" spans="1:2">
      <c r="A103" s="27" t="s">
        <v>140</v>
      </c>
      <c r="B103" s="14"/>
    </row>
    <row r="104" spans="1:2">
      <c r="A104" s="27" t="s">
        <v>141</v>
      </c>
      <c r="B104" s="14"/>
    </row>
    <row r="105" spans="1:2">
      <c r="A105" s="27" t="s">
        <v>142</v>
      </c>
      <c r="B105" s="14"/>
    </row>
    <row r="106" spans="1:2">
      <c r="A106" s="27" t="s">
        <v>143</v>
      </c>
      <c r="B106" s="14"/>
    </row>
    <row r="107" spans="1:2">
      <c r="A107" s="27" t="s">
        <v>144</v>
      </c>
      <c r="B107" s="14"/>
    </row>
    <row r="108" spans="1:2">
      <c r="A108" s="27" t="s">
        <v>145</v>
      </c>
      <c r="B108" s="14"/>
    </row>
    <row r="109" spans="1:2">
      <c r="A109" s="27" t="s">
        <v>146</v>
      </c>
      <c r="B109" s="14"/>
    </row>
    <row r="110" spans="1:2">
      <c r="A110" s="27" t="s">
        <v>147</v>
      </c>
      <c r="B110" s="14"/>
    </row>
    <row r="111" spans="1:2">
      <c r="A111" s="27" t="s">
        <v>148</v>
      </c>
      <c r="B111" s="14"/>
    </row>
    <row r="112" spans="1:2">
      <c r="A112" s="27" t="s">
        <v>149</v>
      </c>
      <c r="B112" s="14"/>
    </row>
    <row r="113" spans="1:2">
      <c r="A113" s="27" t="s">
        <v>150</v>
      </c>
      <c r="B113" s="15"/>
    </row>
    <row r="114" spans="1:2">
      <c r="A114" s="27" t="s">
        <v>151</v>
      </c>
      <c r="B114" s="14"/>
    </row>
    <row r="115" spans="1:2">
      <c r="A115" s="27" t="s">
        <v>152</v>
      </c>
      <c r="B115" s="14"/>
    </row>
    <row r="116" spans="1:2">
      <c r="A116" s="27" t="s">
        <v>153</v>
      </c>
      <c r="B116" s="14"/>
    </row>
    <row r="117" spans="1:2">
      <c r="A117" s="27" t="s">
        <v>154</v>
      </c>
      <c r="B117" s="14"/>
    </row>
    <row r="118" spans="1:2">
      <c r="A118" s="27" t="s">
        <v>155</v>
      </c>
      <c r="B118" s="14"/>
    </row>
    <row r="119" spans="1:2">
      <c r="A119" s="28" t="s">
        <v>156</v>
      </c>
      <c r="B119" s="15"/>
    </row>
    <row r="120" spans="1:2">
      <c r="A120" s="27" t="s">
        <v>167</v>
      </c>
      <c r="B120" s="15"/>
    </row>
    <row r="121" spans="1:2">
      <c r="A121" s="27" t="s">
        <v>168</v>
      </c>
      <c r="B121" s="14"/>
    </row>
    <row r="122" spans="1:2">
      <c r="A122" s="27" t="s">
        <v>169</v>
      </c>
      <c r="B122" s="14"/>
    </row>
    <row r="123" spans="1:2">
      <c r="A123" s="27" t="s">
        <v>170</v>
      </c>
      <c r="B123" s="14"/>
    </row>
    <row r="124" spans="1:2">
      <c r="A124" s="27" t="s">
        <v>171</v>
      </c>
      <c r="B124" s="14"/>
    </row>
    <row r="125" spans="1:2">
      <c r="A125" s="27" t="s">
        <v>172</v>
      </c>
      <c r="B125" s="14"/>
    </row>
    <row r="126" spans="1:2">
      <c r="A126" s="27" t="s">
        <v>173</v>
      </c>
      <c r="B126" s="14"/>
    </row>
    <row r="127" spans="1:2">
      <c r="A127" s="27" t="s">
        <v>174</v>
      </c>
      <c r="B127" s="14"/>
    </row>
    <row r="128" spans="1:2">
      <c r="A128" s="27" t="s">
        <v>175</v>
      </c>
      <c r="B128" s="14"/>
    </row>
    <row r="129" spans="1:2">
      <c r="A129" s="27" t="s">
        <v>176</v>
      </c>
      <c r="B129" s="14"/>
    </row>
    <row r="130" spans="1:2">
      <c r="A130" s="27" t="s">
        <v>177</v>
      </c>
      <c r="B130" s="14"/>
    </row>
    <row r="131" spans="1:2">
      <c r="A131" s="27" t="s">
        <v>178</v>
      </c>
      <c r="B131" s="14"/>
    </row>
    <row r="132" spans="1:2">
      <c r="A132" s="27" t="s">
        <v>179</v>
      </c>
      <c r="B132" s="14"/>
    </row>
    <row r="133" spans="1:2">
      <c r="A133" s="27" t="s">
        <v>180</v>
      </c>
      <c r="B133" s="14"/>
    </row>
    <row r="134" spans="1:2">
      <c r="A134" s="27" t="s">
        <v>181</v>
      </c>
      <c r="B134" s="14"/>
    </row>
    <row r="135" spans="1:2">
      <c r="A135" s="27" t="s">
        <v>186</v>
      </c>
      <c r="B135" s="14"/>
    </row>
    <row r="136" spans="1:2">
      <c r="A136" s="27" t="s">
        <v>194</v>
      </c>
      <c r="B136" s="14"/>
    </row>
    <row r="137" spans="1:2">
      <c r="A137" s="27" t="s">
        <v>195</v>
      </c>
      <c r="B137" s="14"/>
    </row>
    <row r="138" spans="1:2">
      <c r="A138" s="27" t="s">
        <v>206</v>
      </c>
      <c r="B138" s="14"/>
    </row>
    <row r="139" spans="1:2">
      <c r="A139" s="27" t="s">
        <v>196</v>
      </c>
      <c r="B139" s="14"/>
    </row>
    <row r="140" spans="1:2">
      <c r="A140" s="28" t="s">
        <v>197</v>
      </c>
      <c r="B140" s="14"/>
    </row>
    <row r="141" spans="1:2">
      <c r="A141" s="27" t="s">
        <v>207</v>
      </c>
      <c r="B141" s="14"/>
    </row>
    <row r="142" spans="1:2">
      <c r="A142" s="27" t="s">
        <v>208</v>
      </c>
      <c r="B142" s="14"/>
    </row>
    <row r="143" spans="1:2">
      <c r="A143" s="28" t="s">
        <v>157</v>
      </c>
      <c r="B143" s="14"/>
    </row>
    <row r="144" spans="1:2">
      <c r="A144" s="27" t="s">
        <v>158</v>
      </c>
      <c r="B144" s="14"/>
    </row>
    <row r="145" spans="1:2">
      <c r="A145" s="27" t="s">
        <v>159</v>
      </c>
      <c r="B145" s="14"/>
    </row>
    <row r="146" spans="1:2">
      <c r="A146" s="27" t="s">
        <v>160</v>
      </c>
      <c r="B146" s="14"/>
    </row>
    <row r="147" spans="1:2">
      <c r="A147" s="27" t="s">
        <v>182</v>
      </c>
      <c r="B147" s="14"/>
    </row>
    <row r="148" spans="1:2">
      <c r="A148" s="27" t="s">
        <v>161</v>
      </c>
      <c r="B148" s="14"/>
    </row>
    <row r="149" spans="1:2">
      <c r="A149" s="27" t="s">
        <v>162</v>
      </c>
      <c r="B149" s="14"/>
    </row>
    <row r="150" spans="1:2">
      <c r="A150" s="27" t="s">
        <v>163</v>
      </c>
    </row>
    <row r="151" spans="1:2">
      <c r="A151" s="27" t="s">
        <v>183</v>
      </c>
      <c r="B151" s="14"/>
    </row>
    <row r="152" spans="1:2">
      <c r="A152" s="27" t="s">
        <v>164</v>
      </c>
      <c r="B152" s="14"/>
    </row>
    <row r="153" spans="1:2">
      <c r="A153" s="27" t="s">
        <v>184</v>
      </c>
      <c r="B153" s="14"/>
    </row>
    <row r="154" spans="1:2">
      <c r="A154" s="27" t="s">
        <v>165</v>
      </c>
      <c r="B154" s="14"/>
    </row>
    <row r="155" spans="1:2">
      <c r="A155" s="27" t="s">
        <v>166</v>
      </c>
      <c r="B155" s="14"/>
    </row>
    <row r="156" spans="1:2">
      <c r="A156" s="27" t="s">
        <v>185</v>
      </c>
      <c r="B156" s="14"/>
    </row>
    <row r="157" spans="1:2">
      <c r="A157" s="27" t="s">
        <v>187</v>
      </c>
      <c r="B157" s="14"/>
    </row>
    <row r="158" spans="1:2">
      <c r="A158" s="29" t="s">
        <v>259</v>
      </c>
      <c r="B158" s="14"/>
    </row>
    <row r="159" spans="1:2">
      <c r="A159" s="29" t="s">
        <v>260</v>
      </c>
      <c r="B159" s="14"/>
    </row>
    <row r="160" spans="1:2">
      <c r="A160" s="29" t="s">
        <v>261</v>
      </c>
      <c r="B160" s="15"/>
    </row>
    <row r="161" spans="1:2">
      <c r="A161" s="29" t="s">
        <v>262</v>
      </c>
      <c r="B161" s="14"/>
    </row>
    <row r="162" spans="1:2">
      <c r="A162" s="29" t="s">
        <v>263</v>
      </c>
      <c r="B162" s="14"/>
    </row>
    <row r="163" spans="1:2">
      <c r="A163" s="29" t="s">
        <v>264</v>
      </c>
      <c r="B163" s="14"/>
    </row>
    <row r="164" spans="1:2">
      <c r="A164" s="29" t="s">
        <v>265</v>
      </c>
      <c r="B164" s="14"/>
    </row>
    <row r="165" spans="1:2">
      <c r="A165" s="29" t="s">
        <v>266</v>
      </c>
      <c r="B165" s="14"/>
    </row>
    <row r="166" spans="1:2">
      <c r="A166" s="29" t="s">
        <v>267</v>
      </c>
      <c r="B166" s="14"/>
    </row>
    <row r="167" spans="1:2">
      <c r="A167" s="29" t="s">
        <v>268</v>
      </c>
      <c r="B167" s="14"/>
    </row>
    <row r="168" spans="1:2">
      <c r="A168" s="29" t="s">
        <v>269</v>
      </c>
      <c r="B168" s="14"/>
    </row>
    <row r="169" spans="1:2">
      <c r="A169" s="29" t="s">
        <v>270</v>
      </c>
      <c r="B169" s="14"/>
    </row>
    <row r="170" spans="1:2">
      <c r="A170" s="29" t="s">
        <v>271</v>
      </c>
      <c r="B170" s="14"/>
    </row>
    <row r="171" spans="1:2">
      <c r="A171" s="29" t="s">
        <v>272</v>
      </c>
      <c r="B171" s="14"/>
    </row>
    <row r="172" spans="1:2">
      <c r="A172" s="29" t="s">
        <v>273</v>
      </c>
      <c r="B172" s="14"/>
    </row>
    <row r="173" spans="1:2">
      <c r="A173" s="29" t="s">
        <v>274</v>
      </c>
      <c r="B173" s="14"/>
    </row>
    <row r="174" spans="1:2">
      <c r="A174" s="29" t="s">
        <v>275</v>
      </c>
      <c r="B174" s="14"/>
    </row>
    <row r="175" spans="1:2">
      <c r="A175" s="29" t="s">
        <v>276</v>
      </c>
      <c r="B175" s="14"/>
    </row>
    <row r="176" spans="1:2">
      <c r="A176" s="29" t="s">
        <v>277</v>
      </c>
      <c r="B176" s="14"/>
    </row>
    <row r="177" spans="1:2">
      <c r="A177" s="29" t="s">
        <v>278</v>
      </c>
      <c r="B177" s="14"/>
    </row>
    <row r="178" spans="1:2">
      <c r="A178" s="29" t="s">
        <v>279</v>
      </c>
      <c r="B178" s="14"/>
    </row>
    <row r="179" spans="1:2">
      <c r="A179" s="29" t="s">
        <v>280</v>
      </c>
      <c r="B179" s="14"/>
    </row>
    <row r="180" spans="1:2">
      <c r="A180" s="29" t="s">
        <v>281</v>
      </c>
      <c r="B180" s="14"/>
    </row>
    <row r="181" spans="1:2">
      <c r="A181" s="29" t="s">
        <v>282</v>
      </c>
      <c r="B181" s="14"/>
    </row>
    <row r="182" spans="1:2">
      <c r="A182" s="29" t="s">
        <v>283</v>
      </c>
      <c r="B182" s="14"/>
    </row>
    <row r="183" spans="1:2">
      <c r="A183" s="29" t="s">
        <v>284</v>
      </c>
      <c r="B183" s="14"/>
    </row>
    <row r="184" spans="1:2">
      <c r="A184" s="29" t="s">
        <v>285</v>
      </c>
      <c r="B184" s="14"/>
    </row>
    <row r="185" spans="1:2">
      <c r="A185" s="29" t="s">
        <v>286</v>
      </c>
      <c r="B185" s="14"/>
    </row>
    <row r="186" spans="1:2">
      <c r="A186" s="29" t="s">
        <v>287</v>
      </c>
      <c r="B186" s="14"/>
    </row>
    <row r="187" spans="1:2">
      <c r="A187" s="29" t="s">
        <v>288</v>
      </c>
      <c r="B187" s="14"/>
    </row>
    <row r="188" spans="1:2">
      <c r="A188" s="29" t="s">
        <v>289</v>
      </c>
      <c r="B188" s="14"/>
    </row>
    <row r="189" spans="1:2">
      <c r="A189" s="29" t="s">
        <v>290</v>
      </c>
      <c r="B189" s="14"/>
    </row>
    <row r="190" spans="1:2">
      <c r="A190" s="29" t="s">
        <v>317</v>
      </c>
      <c r="B190" s="14"/>
    </row>
    <row r="191" spans="1:2">
      <c r="A191" s="29" t="s">
        <v>318</v>
      </c>
      <c r="B191" s="14"/>
    </row>
    <row r="192" spans="1:2">
      <c r="A192" s="29" t="s">
        <v>319</v>
      </c>
      <c r="B192" s="14"/>
    </row>
    <row r="193" spans="1:2">
      <c r="A193" s="29" t="s">
        <v>320</v>
      </c>
      <c r="B193" s="14"/>
    </row>
    <row r="194" spans="1:2">
      <c r="A194" s="29" t="s">
        <v>321</v>
      </c>
      <c r="B194" s="14"/>
    </row>
    <row r="195" spans="1:2">
      <c r="A195" s="29" t="s">
        <v>322</v>
      </c>
      <c r="B195" s="14"/>
    </row>
    <row r="196" spans="1:2">
      <c r="A196" s="29" t="s">
        <v>323</v>
      </c>
      <c r="B196" s="14"/>
    </row>
    <row r="197" spans="1:2">
      <c r="A197" s="29" t="s">
        <v>324</v>
      </c>
      <c r="B197" s="14"/>
    </row>
    <row r="198" spans="1:2">
      <c r="A198" s="29" t="s">
        <v>325</v>
      </c>
      <c r="B198" s="14"/>
    </row>
    <row r="199" spans="1:2">
      <c r="A199" s="29" t="s">
        <v>326</v>
      </c>
      <c r="B199" s="14"/>
    </row>
    <row r="200" spans="1:2">
      <c r="A200" s="29" t="s">
        <v>327</v>
      </c>
      <c r="B200" s="14"/>
    </row>
    <row r="201" spans="1:2">
      <c r="A201" s="29" t="s">
        <v>328</v>
      </c>
      <c r="B201" s="14"/>
    </row>
    <row r="202" spans="1:2">
      <c r="A202" s="29" t="s">
        <v>329</v>
      </c>
      <c r="B202" s="14"/>
    </row>
    <row r="203" spans="1:2">
      <c r="A203" s="29" t="s">
        <v>330</v>
      </c>
      <c r="B203" s="14"/>
    </row>
    <row r="204" spans="1:2">
      <c r="A204" s="29" t="s">
        <v>331</v>
      </c>
      <c r="B204" s="14"/>
    </row>
    <row r="205" spans="1:2">
      <c r="A205" s="29" t="s">
        <v>332</v>
      </c>
      <c r="B205" s="14"/>
    </row>
    <row r="206" spans="1:2">
      <c r="A206" s="29" t="s">
        <v>343</v>
      </c>
      <c r="B206" s="14"/>
    </row>
    <row r="207" spans="1:2">
      <c r="A207" s="29" t="s">
        <v>344</v>
      </c>
      <c r="B207" s="14"/>
    </row>
    <row r="208" spans="1:2">
      <c r="A208" s="29" t="s">
        <v>345</v>
      </c>
      <c r="B208" s="14"/>
    </row>
    <row r="209" spans="1:2">
      <c r="A209" s="29" t="s">
        <v>346</v>
      </c>
      <c r="B209" s="14"/>
    </row>
    <row r="210" spans="1:2">
      <c r="A210" s="29" t="s">
        <v>347</v>
      </c>
      <c r="B210" s="14"/>
    </row>
    <row r="211" spans="1:2">
      <c r="A211" s="29" t="s">
        <v>348</v>
      </c>
      <c r="B211" s="14"/>
    </row>
    <row r="212" spans="1:2">
      <c r="A212" s="29" t="s">
        <v>349</v>
      </c>
      <c r="B212" s="14"/>
    </row>
    <row r="213" spans="1:2">
      <c r="A213" s="29" t="s">
        <v>353</v>
      </c>
      <c r="B213" s="14"/>
    </row>
    <row r="214" spans="1:2">
      <c r="A214" s="29" t="s">
        <v>354</v>
      </c>
      <c r="B214" s="14"/>
    </row>
    <row r="215" spans="1:2">
      <c r="A215" s="29" t="s">
        <v>303</v>
      </c>
      <c r="B215" s="14"/>
    </row>
    <row r="216" spans="1:2">
      <c r="A216" s="29" t="s">
        <v>304</v>
      </c>
      <c r="B216" s="14"/>
    </row>
    <row r="217" spans="1:2">
      <c r="A217" s="29" t="s">
        <v>305</v>
      </c>
      <c r="B217" s="14"/>
    </row>
    <row r="218" spans="1:2">
      <c r="A218" s="29" t="s">
        <v>306</v>
      </c>
      <c r="B218" s="14"/>
    </row>
    <row r="219" spans="1:2">
      <c r="A219" s="29" t="s">
        <v>307</v>
      </c>
      <c r="B219" s="14"/>
    </row>
    <row r="220" spans="1:2">
      <c r="A220" s="29" t="s">
        <v>308</v>
      </c>
      <c r="B220" s="14"/>
    </row>
    <row r="221" spans="1:2">
      <c r="A221" s="29" t="s">
        <v>309</v>
      </c>
      <c r="B221" s="14"/>
    </row>
    <row r="222" spans="1:2">
      <c r="A222" s="29" t="s">
        <v>333</v>
      </c>
      <c r="B222" s="16"/>
    </row>
    <row r="223" spans="1:2">
      <c r="A223" s="29" t="s">
        <v>291</v>
      </c>
      <c r="B223" s="16"/>
    </row>
    <row r="224" spans="1:2">
      <c r="A224" s="29" t="s">
        <v>334</v>
      </c>
      <c r="B224" s="16"/>
    </row>
    <row r="225" spans="1:2">
      <c r="A225" s="29" t="s">
        <v>292</v>
      </c>
      <c r="B225" s="16"/>
    </row>
    <row r="226" spans="1:2">
      <c r="A226" s="29" t="s">
        <v>293</v>
      </c>
      <c r="B226" s="16"/>
    </row>
    <row r="227" spans="1:2">
      <c r="A227" s="29" t="s">
        <v>294</v>
      </c>
      <c r="B227" s="16"/>
    </row>
    <row r="228" spans="1:2">
      <c r="A228" s="29" t="s">
        <v>335</v>
      </c>
      <c r="B228" s="16"/>
    </row>
    <row r="229" spans="1:2">
      <c r="A229" s="29" t="s">
        <v>295</v>
      </c>
      <c r="B229" s="16"/>
    </row>
    <row r="230" spans="1:2">
      <c r="A230" s="29" t="s">
        <v>296</v>
      </c>
      <c r="B230" s="16"/>
    </row>
    <row r="231" spans="1:2">
      <c r="A231" s="29" t="s">
        <v>297</v>
      </c>
      <c r="B231" s="16"/>
    </row>
    <row r="232" spans="1:2">
      <c r="A232" s="29" t="s">
        <v>298</v>
      </c>
      <c r="B232" s="16"/>
    </row>
    <row r="233" spans="1:2">
      <c r="A233" s="29" t="s">
        <v>299</v>
      </c>
      <c r="B233" s="16"/>
    </row>
    <row r="234" spans="1:2">
      <c r="A234" s="29" t="s">
        <v>300</v>
      </c>
      <c r="B234" s="16"/>
    </row>
    <row r="235" spans="1:2">
      <c r="A235" s="29" t="s">
        <v>336</v>
      </c>
      <c r="B235" s="16"/>
    </row>
    <row r="236" spans="1:2">
      <c r="A236" s="29" t="s">
        <v>337</v>
      </c>
      <c r="B236" s="16"/>
    </row>
    <row r="237" spans="1:2">
      <c r="A237" s="29" t="s">
        <v>350</v>
      </c>
      <c r="B237" s="16"/>
    </row>
    <row r="238" spans="1:2">
      <c r="A238" s="29" t="s">
        <v>351</v>
      </c>
      <c r="B238" s="16"/>
    </row>
    <row r="239" spans="1:2">
      <c r="A239" s="29" t="s">
        <v>352</v>
      </c>
      <c r="B239" s="16"/>
    </row>
    <row r="240" spans="1:2">
      <c r="A240" s="29" t="s">
        <v>355</v>
      </c>
      <c r="B240" s="16"/>
    </row>
    <row r="241" spans="1:2">
      <c r="A241" s="29" t="s">
        <v>356</v>
      </c>
      <c r="B241" s="16"/>
    </row>
    <row r="242" spans="1:2">
      <c r="A242" s="29" t="s">
        <v>342</v>
      </c>
      <c r="B242" s="16"/>
    </row>
    <row r="243" spans="1:2">
      <c r="A243" s="27" t="s">
        <v>188</v>
      </c>
      <c r="B243" s="16"/>
    </row>
    <row r="244" spans="1:2">
      <c r="A244" s="27" t="s">
        <v>189</v>
      </c>
      <c r="B244" s="16"/>
    </row>
    <row r="245" spans="1:2">
      <c r="A245" s="27" t="s">
        <v>190</v>
      </c>
      <c r="B245" s="16"/>
    </row>
    <row r="246" spans="1:2">
      <c r="A246" s="27" t="s">
        <v>191</v>
      </c>
      <c r="B246" s="16"/>
    </row>
    <row r="247" spans="1:2">
      <c r="A247" s="27" t="s">
        <v>192</v>
      </c>
      <c r="B247" s="16"/>
    </row>
    <row r="248" spans="1:2">
      <c r="A248" s="27" t="s">
        <v>193</v>
      </c>
      <c r="B248" s="16"/>
    </row>
    <row r="249" spans="1:2">
      <c r="A249" s="27" t="s">
        <v>202</v>
      </c>
      <c r="B249" s="16"/>
    </row>
    <row r="250" spans="1:2">
      <c r="A250" s="27" t="s">
        <v>203</v>
      </c>
      <c r="B250" s="16"/>
    </row>
    <row r="251" spans="1:2">
      <c r="A251" s="27" t="s">
        <v>204</v>
      </c>
      <c r="B251" s="16"/>
    </row>
    <row r="252" spans="1:2">
      <c r="A252" s="27" t="s">
        <v>205</v>
      </c>
      <c r="B252" s="16"/>
    </row>
    <row r="253" spans="1:2">
      <c r="A253" s="27" t="s">
        <v>198</v>
      </c>
      <c r="B253" s="16"/>
    </row>
    <row r="254" spans="1:2">
      <c r="A254" s="27" t="s">
        <v>199</v>
      </c>
      <c r="B254" s="16"/>
    </row>
    <row r="255" spans="1:2">
      <c r="A255" s="27" t="s">
        <v>209</v>
      </c>
      <c r="B255" s="16"/>
    </row>
    <row r="256" spans="1:2">
      <c r="A256" s="27" t="s">
        <v>200</v>
      </c>
      <c r="B256" s="16"/>
    </row>
    <row r="257" spans="1:2">
      <c r="A257" s="27" t="s">
        <v>201</v>
      </c>
      <c r="B257" s="16"/>
    </row>
    <row r="258" spans="1:2">
      <c r="A258" s="27" t="s">
        <v>210</v>
      </c>
      <c r="B258" s="16"/>
    </row>
    <row r="259" spans="1:2">
      <c r="A259" s="27" t="s">
        <v>246</v>
      </c>
      <c r="B259" s="16"/>
    </row>
    <row r="260" spans="1:2">
      <c r="A260" s="27" t="s">
        <v>247</v>
      </c>
      <c r="B260" s="16"/>
    </row>
    <row r="261" spans="1:2">
      <c r="A261" s="27" t="s">
        <v>248</v>
      </c>
      <c r="B261" s="16"/>
    </row>
    <row r="262" spans="1:2">
      <c r="A262" s="27" t="s">
        <v>249</v>
      </c>
      <c r="B262" s="16"/>
    </row>
    <row r="263" spans="1:2">
      <c r="A263" s="27" t="s">
        <v>250</v>
      </c>
      <c r="B263" s="16"/>
    </row>
    <row r="264" spans="1:2">
      <c r="A264" s="27" t="s">
        <v>251</v>
      </c>
      <c r="B264" s="16"/>
    </row>
    <row r="265" spans="1:2">
      <c r="A265" s="29" t="s">
        <v>357</v>
      </c>
      <c r="B265" s="16"/>
    </row>
    <row r="266" spans="1:2">
      <c r="A266" s="29" t="s">
        <v>358</v>
      </c>
      <c r="B266" s="16"/>
    </row>
    <row r="267" spans="1:2">
      <c r="A267" s="29" t="s">
        <v>359</v>
      </c>
      <c r="B267" s="16"/>
    </row>
    <row r="268" spans="1:2">
      <c r="A268" s="29" t="s">
        <v>360</v>
      </c>
      <c r="B268" s="16"/>
    </row>
    <row r="269" spans="1:2">
      <c r="A269" s="29" t="s">
        <v>361</v>
      </c>
      <c r="B269" s="16"/>
    </row>
    <row r="270" spans="1:2">
      <c r="A270" s="29" t="s">
        <v>362</v>
      </c>
      <c r="B270" s="16"/>
    </row>
    <row r="271" spans="1:2">
      <c r="A271" s="29" t="s">
        <v>363</v>
      </c>
      <c r="B271" s="16"/>
    </row>
    <row r="272" spans="1:2">
      <c r="A272" s="29" t="s">
        <v>364</v>
      </c>
      <c r="B272" s="16"/>
    </row>
    <row r="273" spans="1:2">
      <c r="A273" s="29" t="s">
        <v>365</v>
      </c>
      <c r="B273" s="16"/>
    </row>
    <row r="274" spans="1:2">
      <c r="A274" s="29" t="s">
        <v>368</v>
      </c>
      <c r="B274" s="16"/>
    </row>
    <row r="275" spans="1:2">
      <c r="A275" s="29" t="s">
        <v>369</v>
      </c>
      <c r="B275" s="16"/>
    </row>
    <row r="276" spans="1:2">
      <c r="A276" s="29" t="s">
        <v>370</v>
      </c>
      <c r="B276" s="16"/>
    </row>
    <row r="277" spans="1:2">
      <c r="A277" s="29" t="s">
        <v>371</v>
      </c>
      <c r="B277" s="16"/>
    </row>
    <row r="278" spans="1:2">
      <c r="A278" s="29" t="s">
        <v>301</v>
      </c>
      <c r="B278" s="16"/>
    </row>
    <row r="279" spans="1:2">
      <c r="A279" s="29" t="s">
        <v>302</v>
      </c>
      <c r="B279" s="16"/>
    </row>
    <row r="280" spans="1:2">
      <c r="A280" s="30" t="s">
        <v>338</v>
      </c>
      <c r="B280" s="16"/>
    </row>
    <row r="281" spans="1:2">
      <c r="A281" s="29" t="s">
        <v>366</v>
      </c>
      <c r="B281" s="16"/>
    </row>
    <row r="282" spans="1:2">
      <c r="A282" s="29" t="s">
        <v>367</v>
      </c>
      <c r="B282" s="16"/>
    </row>
    <row r="283" spans="1:2">
      <c r="A283" s="29" t="s">
        <v>372</v>
      </c>
      <c r="B283" s="16"/>
    </row>
    <row r="284" spans="1:2">
      <c r="A284" s="29" t="s">
        <v>310</v>
      </c>
      <c r="B284" s="16"/>
    </row>
    <row r="285" spans="1:2">
      <c r="A285" s="29" t="s">
        <v>311</v>
      </c>
      <c r="B285" s="16"/>
    </row>
    <row r="286" spans="1:2">
      <c r="A286" s="29" t="s">
        <v>312</v>
      </c>
      <c r="B286" s="16"/>
    </row>
    <row r="287" spans="1:2">
      <c r="A287" s="29" t="s">
        <v>313</v>
      </c>
      <c r="B287" s="16"/>
    </row>
    <row r="288" spans="1:2">
      <c r="A288" s="29" t="s">
        <v>314</v>
      </c>
      <c r="B288" s="16"/>
    </row>
    <row r="289" spans="1:2">
      <c r="A289" s="29" t="s">
        <v>315</v>
      </c>
      <c r="B289" s="16"/>
    </row>
    <row r="290" spans="1:2">
      <c r="A290" s="29" t="s">
        <v>316</v>
      </c>
      <c r="B290" s="16"/>
    </row>
    <row r="291" spans="1:2">
      <c r="A291" s="29" t="s">
        <v>339</v>
      </c>
      <c r="B291" s="16"/>
    </row>
    <row r="292" spans="1:2">
      <c r="A292" s="29" t="s">
        <v>340</v>
      </c>
      <c r="B292" s="16"/>
    </row>
    <row r="293" spans="1:2">
      <c r="A293" s="29" t="s">
        <v>341</v>
      </c>
      <c r="B293" s="16"/>
    </row>
    <row r="294" spans="1:2">
      <c r="A294" s="29" t="s">
        <v>390</v>
      </c>
      <c r="B294" s="16"/>
    </row>
    <row r="295" spans="1:2">
      <c r="A295" s="29" t="s">
        <v>391</v>
      </c>
      <c r="B295" s="16"/>
    </row>
    <row r="296" spans="1:2">
      <c r="A296" s="29" t="s">
        <v>392</v>
      </c>
      <c r="B296" s="16"/>
    </row>
    <row r="297" spans="1:2">
      <c r="A297" s="29" t="s">
        <v>393</v>
      </c>
      <c r="B297" s="16"/>
    </row>
    <row r="298" spans="1:2">
      <c r="A298" s="29" t="s">
        <v>373</v>
      </c>
      <c r="B298" s="16"/>
    </row>
    <row r="299" spans="1:2">
      <c r="A299" s="29" t="s">
        <v>374</v>
      </c>
      <c r="B299" s="16"/>
    </row>
    <row r="300" spans="1:2">
      <c r="A300" s="29" t="s">
        <v>375</v>
      </c>
      <c r="B300" s="16"/>
    </row>
    <row r="301" spans="1:2">
      <c r="A301" s="29" t="s">
        <v>376</v>
      </c>
      <c r="B301" s="16"/>
    </row>
    <row r="302" spans="1:2">
      <c r="A302" s="29" t="s">
        <v>377</v>
      </c>
      <c r="B302" s="16"/>
    </row>
    <row r="303" spans="1:2">
      <c r="A303" s="29" t="s">
        <v>378</v>
      </c>
      <c r="B303" s="16"/>
    </row>
    <row r="304" spans="1:2">
      <c r="A304" s="29" t="s">
        <v>379</v>
      </c>
      <c r="B304" s="16"/>
    </row>
    <row r="305" spans="1:2">
      <c r="A305" s="29" t="s">
        <v>380</v>
      </c>
      <c r="B305" s="16"/>
    </row>
    <row r="306" spans="1:2">
      <c r="A306" s="29" t="s">
        <v>381</v>
      </c>
      <c r="B306" s="16"/>
    </row>
    <row r="307" spans="1:2">
      <c r="A307" s="29" t="s">
        <v>384</v>
      </c>
      <c r="B307" s="16"/>
    </row>
    <row r="308" spans="1:2">
      <c r="A308" s="29" t="s">
        <v>385</v>
      </c>
      <c r="B308" s="16"/>
    </row>
    <row r="309" spans="1:2">
      <c r="A309" s="29" t="s">
        <v>386</v>
      </c>
      <c r="B309" s="16"/>
    </row>
    <row r="310" spans="1:2">
      <c r="A310" s="29" t="s">
        <v>387</v>
      </c>
      <c r="B310" s="16"/>
    </row>
    <row r="311" spans="1:2">
      <c r="A311" s="29" t="s">
        <v>388</v>
      </c>
      <c r="B311" s="16"/>
    </row>
    <row r="312" spans="1:2">
      <c r="A312" s="29" t="s">
        <v>382</v>
      </c>
      <c r="B312" s="16"/>
    </row>
    <row r="313" spans="1:2">
      <c r="A313" s="29" t="s">
        <v>383</v>
      </c>
      <c r="B313" s="16"/>
    </row>
    <row r="314" spans="1:2">
      <c r="A314" s="29" t="s">
        <v>389</v>
      </c>
      <c r="B314" s="16"/>
    </row>
    <row r="315" spans="1:2">
      <c r="A315" s="29" t="s">
        <v>394</v>
      </c>
      <c r="B315" s="16"/>
    </row>
    <row r="316" spans="1:2">
      <c r="A316" s="29" t="s">
        <v>395</v>
      </c>
      <c r="B316" s="16"/>
    </row>
    <row r="317" spans="1:2">
      <c r="A317" s="26" t="s">
        <v>396</v>
      </c>
      <c r="B317" s="16"/>
    </row>
    <row r="318" spans="1:2">
      <c r="A318" s="26" t="s">
        <v>397</v>
      </c>
      <c r="B318" s="16"/>
    </row>
    <row r="319" spans="1:2">
      <c r="A319" s="29" t="s">
        <v>398</v>
      </c>
      <c r="B319" s="16"/>
    </row>
    <row r="320" spans="1:2">
      <c r="A320" s="29" t="s">
        <v>399</v>
      </c>
      <c r="B320" s="16"/>
    </row>
    <row r="321" spans="1:2">
      <c r="A321" s="29" t="s">
        <v>400</v>
      </c>
      <c r="B321" s="16"/>
    </row>
    <row r="322" spans="1:2">
      <c r="A322" s="26" t="s">
        <v>401</v>
      </c>
      <c r="B322" s="16"/>
    </row>
    <row r="323" spans="1:2">
      <c r="A323" s="29" t="s">
        <v>402</v>
      </c>
      <c r="B323" s="16"/>
    </row>
    <row r="324" spans="1:2">
      <c r="A324" s="29" t="s">
        <v>404</v>
      </c>
      <c r="B324" s="16"/>
    </row>
    <row r="325" spans="1:2">
      <c r="A325" s="29" t="s">
        <v>406</v>
      </c>
      <c r="B325" s="16"/>
    </row>
    <row r="326" spans="1:2">
      <c r="A326" s="29" t="s">
        <v>407</v>
      </c>
      <c r="B326" s="16"/>
    </row>
    <row r="327" spans="1:2">
      <c r="A327" s="29" t="s">
        <v>408</v>
      </c>
      <c r="B327" s="16"/>
    </row>
    <row r="328" spans="1:2">
      <c r="A328" s="29" t="s">
        <v>409</v>
      </c>
      <c r="B328" s="16"/>
    </row>
    <row r="329" spans="1:2">
      <c r="A329" s="29" t="s">
        <v>410</v>
      </c>
      <c r="B329" s="16"/>
    </row>
    <row r="330" spans="1:2">
      <c r="A330" s="29" t="s">
        <v>411</v>
      </c>
      <c r="B330" s="16"/>
    </row>
    <row r="331" spans="1:2">
      <c r="A331" s="29" t="s">
        <v>412</v>
      </c>
      <c r="B331" s="16"/>
    </row>
    <row r="332" spans="1:2">
      <c r="A332" s="29" t="s">
        <v>413</v>
      </c>
      <c r="B332" s="16"/>
    </row>
    <row r="333" spans="1:2">
      <c r="A333" s="29" t="s">
        <v>414</v>
      </c>
      <c r="B333" s="16"/>
    </row>
    <row r="334" spans="1:2">
      <c r="A334" s="29" t="s">
        <v>415</v>
      </c>
      <c r="B334" s="16"/>
    </row>
    <row r="335" spans="1:2">
      <c r="A335" s="29" t="s">
        <v>416</v>
      </c>
      <c r="B335" s="16"/>
    </row>
    <row r="336" spans="1:2">
      <c r="A336" s="26" t="s">
        <v>417</v>
      </c>
      <c r="B336" s="16"/>
    </row>
    <row r="337" spans="1:2">
      <c r="A337" s="29" t="s">
        <v>418</v>
      </c>
      <c r="B337" s="16"/>
    </row>
    <row r="338" spans="1:2">
      <c r="A338" s="29" t="s">
        <v>419</v>
      </c>
      <c r="B338" s="16"/>
    </row>
    <row r="339" spans="1:2">
      <c r="A339" s="29" t="s">
        <v>420</v>
      </c>
      <c r="B339" s="16"/>
    </row>
    <row r="340" spans="1:2">
      <c r="A340" s="29" t="s">
        <v>421</v>
      </c>
      <c r="B340" s="16"/>
    </row>
    <row r="341" spans="1:2">
      <c r="A341" s="29" t="s">
        <v>403</v>
      </c>
      <c r="B341" s="16"/>
    </row>
    <row r="342" spans="1:2">
      <c r="A342" s="29" t="s">
        <v>405</v>
      </c>
      <c r="B342" s="16"/>
    </row>
    <row r="343" spans="1:2">
      <c r="A343" s="29" t="s">
        <v>422</v>
      </c>
      <c r="B343" s="16"/>
    </row>
    <row r="344" spans="1:2">
      <c r="A344" s="29" t="s">
        <v>423</v>
      </c>
      <c r="B344" s="16"/>
    </row>
    <row r="345" spans="1:2">
      <c r="A345" s="29" t="s">
        <v>424</v>
      </c>
      <c r="B345" s="16"/>
    </row>
    <row r="346" spans="1:2">
      <c r="A346" s="29" t="s">
        <v>425</v>
      </c>
      <c r="B346" s="16"/>
    </row>
    <row r="347" spans="1:2">
      <c r="A347" s="29" t="s">
        <v>426</v>
      </c>
      <c r="B347" s="16"/>
    </row>
    <row r="348" spans="1:2">
      <c r="A348" s="29" t="s">
        <v>427</v>
      </c>
      <c r="B348" s="16"/>
    </row>
    <row r="349" spans="1:2">
      <c r="A349" s="29" t="s">
        <v>428</v>
      </c>
      <c r="B349" s="16"/>
    </row>
    <row r="350" spans="1:2">
      <c r="A350" s="29" t="s">
        <v>429</v>
      </c>
      <c r="B350" s="16"/>
    </row>
    <row r="351" spans="1:2">
      <c r="A351" s="29" t="s">
        <v>430</v>
      </c>
      <c r="B351" s="16"/>
    </row>
    <row r="352" spans="1:2">
      <c r="A352" s="29" t="s">
        <v>431</v>
      </c>
      <c r="B352" s="16"/>
    </row>
    <row r="353" spans="1:2">
      <c r="A353" s="29" t="s">
        <v>435</v>
      </c>
      <c r="B353" s="16"/>
    </row>
    <row r="354" spans="1:2">
      <c r="A354" s="29" t="s">
        <v>436</v>
      </c>
      <c r="B354" s="16"/>
    </row>
    <row r="355" spans="1:2">
      <c r="A355" s="29" t="s">
        <v>437</v>
      </c>
      <c r="B355" s="16"/>
    </row>
    <row r="356" spans="1:2">
      <c r="A356" s="29" t="s">
        <v>438</v>
      </c>
      <c r="B356" s="16"/>
    </row>
    <row r="357" spans="1:2">
      <c r="A357" s="29" t="s">
        <v>439</v>
      </c>
      <c r="B357" s="16"/>
    </row>
    <row r="358" spans="1:2">
      <c r="A358" s="29" t="s">
        <v>440</v>
      </c>
      <c r="B358" s="16"/>
    </row>
    <row r="359" spans="1:2">
      <c r="A359" s="29" t="s">
        <v>432</v>
      </c>
      <c r="B359" s="17"/>
    </row>
    <row r="360" spans="1:2">
      <c r="A360" s="29" t="s">
        <v>441</v>
      </c>
      <c r="B360" s="17"/>
    </row>
    <row r="361" spans="1:2">
      <c r="A361" s="26" t="s">
        <v>433</v>
      </c>
      <c r="B361" s="16"/>
    </row>
    <row r="362" spans="1:2">
      <c r="A362" s="29" t="s">
        <v>434</v>
      </c>
      <c r="B362" s="16"/>
    </row>
    <row r="363" spans="1:2">
      <c r="A363" s="29" t="s">
        <v>442</v>
      </c>
      <c r="B363" s="16"/>
    </row>
    <row r="364" spans="1:2">
      <c r="A364" s="29" t="s">
        <v>443</v>
      </c>
      <c r="B364" s="17"/>
    </row>
    <row r="365" spans="1:2">
      <c r="A365" s="29" t="s">
        <v>444</v>
      </c>
      <c r="B365" s="16"/>
    </row>
    <row r="366" spans="1:2">
      <c r="A366" s="29" t="s">
        <v>445</v>
      </c>
      <c r="B366" s="16"/>
    </row>
    <row r="367" spans="1:2">
      <c r="A367" s="29" t="s">
        <v>446</v>
      </c>
      <c r="B367" s="16"/>
    </row>
    <row r="368" spans="1:2">
      <c r="A368" s="29" t="s">
        <v>447</v>
      </c>
      <c r="B368" s="16"/>
    </row>
    <row r="369" spans="1:2">
      <c r="A369" s="29" t="s">
        <v>448</v>
      </c>
      <c r="B369" s="16"/>
    </row>
    <row r="370" spans="1:2">
      <c r="A370" s="29" t="s">
        <v>449</v>
      </c>
      <c r="B370" s="16"/>
    </row>
    <row r="371" spans="1:2">
      <c r="A371" s="29" t="s">
        <v>450</v>
      </c>
      <c r="B371" s="16"/>
    </row>
    <row r="372" spans="1:2">
      <c r="A372" s="29" t="s">
        <v>454</v>
      </c>
      <c r="B372" s="16"/>
    </row>
    <row r="373" spans="1:2">
      <c r="A373" s="29" t="s">
        <v>451</v>
      </c>
      <c r="B373" s="16"/>
    </row>
    <row r="374" spans="1:2">
      <c r="A374" s="29" t="s">
        <v>452</v>
      </c>
      <c r="B374" s="18"/>
    </row>
    <row r="375" spans="1:2">
      <c r="A375" s="29" t="s">
        <v>453</v>
      </c>
      <c r="B375" s="16"/>
    </row>
    <row r="376" spans="1:2">
      <c r="A376" s="29" t="s">
        <v>455</v>
      </c>
      <c r="B376" s="16"/>
    </row>
    <row r="377" spans="1:2">
      <c r="A377" s="29" t="s">
        <v>456</v>
      </c>
      <c r="B377" s="16"/>
    </row>
    <row r="378" spans="1:2">
      <c r="A378" s="29" t="s">
        <v>457</v>
      </c>
      <c r="B378" s="16"/>
    </row>
    <row r="379" spans="1:2">
      <c r="A379" s="29" t="s">
        <v>458</v>
      </c>
      <c r="B379" s="16"/>
    </row>
    <row r="380" spans="1:2">
      <c r="A380" s="27" t="s">
        <v>211</v>
      </c>
      <c r="B380" s="17"/>
    </row>
    <row r="381" spans="1:2">
      <c r="A381" s="27" t="s">
        <v>212</v>
      </c>
      <c r="B381" s="18"/>
    </row>
    <row r="382" spans="1:2">
      <c r="A382" s="27" t="s">
        <v>213</v>
      </c>
      <c r="B382" s="16"/>
    </row>
    <row r="383" spans="1:2">
      <c r="A383" s="27" t="s">
        <v>214</v>
      </c>
      <c r="B383" s="16"/>
    </row>
    <row r="384" spans="1:2">
      <c r="A384" s="27" t="s">
        <v>215</v>
      </c>
      <c r="B384" s="16"/>
    </row>
    <row r="385" spans="1:2">
      <c r="A385" s="27" t="s">
        <v>216</v>
      </c>
      <c r="B385" s="16"/>
    </row>
    <row r="386" spans="1:2">
      <c r="A386" s="27" t="s">
        <v>217</v>
      </c>
      <c r="B386" s="16"/>
    </row>
    <row r="387" spans="1:2">
      <c r="A387" s="27" t="s">
        <v>218</v>
      </c>
      <c r="B387" s="16"/>
    </row>
    <row r="388" spans="1:2">
      <c r="A388" s="27" t="s">
        <v>219</v>
      </c>
      <c r="B388" s="16"/>
    </row>
    <row r="389" spans="1:2">
      <c r="A389" s="27" t="s">
        <v>220</v>
      </c>
      <c r="B389" s="16"/>
    </row>
    <row r="390" spans="1:2">
      <c r="A390" s="27" t="s">
        <v>221</v>
      </c>
      <c r="B390" s="16"/>
    </row>
    <row r="391" spans="1:2">
      <c r="A391" s="27" t="s">
        <v>222</v>
      </c>
      <c r="B391" s="16"/>
    </row>
    <row r="392" spans="1:2">
      <c r="A392" s="27" t="s">
        <v>223</v>
      </c>
      <c r="B392" s="16"/>
    </row>
    <row r="393" spans="1:2">
      <c r="A393" s="27" t="s">
        <v>234</v>
      </c>
      <c r="B393" s="16"/>
    </row>
    <row r="394" spans="1:2">
      <c r="A394" s="27" t="s">
        <v>235</v>
      </c>
      <c r="B394" s="16"/>
    </row>
    <row r="395" spans="1:2">
      <c r="A395" s="27" t="s">
        <v>236</v>
      </c>
      <c r="B395" s="16"/>
    </row>
    <row r="396" spans="1:2">
      <c r="A396" s="27" t="s">
        <v>237</v>
      </c>
      <c r="B396" s="17"/>
    </row>
    <row r="397" spans="1:2">
      <c r="A397" s="27" t="s">
        <v>238</v>
      </c>
      <c r="B397" s="16"/>
    </row>
    <row r="398" spans="1:2">
      <c r="A398" s="27" t="s">
        <v>239</v>
      </c>
      <c r="B398" s="16"/>
    </row>
    <row r="399" spans="1:2">
      <c r="A399" s="27" t="s">
        <v>245</v>
      </c>
      <c r="B399" s="16"/>
    </row>
    <row r="400" spans="1:2">
      <c r="A400" s="27" t="s">
        <v>224</v>
      </c>
      <c r="B400" s="16"/>
    </row>
    <row r="401" spans="1:2">
      <c r="A401" s="27" t="s">
        <v>225</v>
      </c>
      <c r="B401" s="16"/>
    </row>
    <row r="402" spans="1:2">
      <c r="A402" s="27" t="s">
        <v>226</v>
      </c>
      <c r="B402" s="16"/>
    </row>
    <row r="403" spans="1:2">
      <c r="A403" s="27" t="s">
        <v>240</v>
      </c>
      <c r="B403" s="16"/>
    </row>
    <row r="404" spans="1:2">
      <c r="A404" s="27" t="s">
        <v>227</v>
      </c>
      <c r="B404" s="16"/>
    </row>
    <row r="405" spans="1:2">
      <c r="A405" s="27" t="s">
        <v>228</v>
      </c>
      <c r="B405" s="16"/>
    </row>
    <row r="406" spans="1:2">
      <c r="A406" s="27" t="s">
        <v>229</v>
      </c>
      <c r="B406" s="16"/>
    </row>
    <row r="407" spans="1:2">
      <c r="A407" s="27" t="s">
        <v>241</v>
      </c>
      <c r="B407" s="16"/>
    </row>
    <row r="408" spans="1:2">
      <c r="A408" s="27" t="s">
        <v>230</v>
      </c>
      <c r="B408" s="16"/>
    </row>
    <row r="409" spans="1:2">
      <c r="A409" s="27" t="s">
        <v>231</v>
      </c>
      <c r="B409" s="16"/>
    </row>
    <row r="410" spans="1:2">
      <c r="A410" s="27" t="s">
        <v>232</v>
      </c>
      <c r="B410" s="16"/>
    </row>
    <row r="411" spans="1:2">
      <c r="A411" s="27" t="s">
        <v>233</v>
      </c>
      <c r="B411" s="16"/>
    </row>
    <row r="412" spans="1:2">
      <c r="A412" s="27" t="s">
        <v>242</v>
      </c>
      <c r="B412" s="16"/>
    </row>
    <row r="413" spans="1:2">
      <c r="A413" s="27" t="s">
        <v>243</v>
      </c>
      <c r="B413" s="16"/>
    </row>
    <row r="414" spans="1:2">
      <c r="A414" s="27" t="s">
        <v>244</v>
      </c>
      <c r="B414" s="16"/>
    </row>
    <row r="415" spans="1:2">
      <c r="A415" s="27" t="s">
        <v>252</v>
      </c>
      <c r="B415" s="16"/>
    </row>
    <row r="416" spans="1:2">
      <c r="A416" s="27" t="s">
        <v>253</v>
      </c>
      <c r="B416" s="16"/>
    </row>
    <row r="417" spans="1:2">
      <c r="A417" s="27" t="s">
        <v>254</v>
      </c>
      <c r="B417" s="16"/>
    </row>
    <row r="418" spans="1:2">
      <c r="A418" s="27" t="s">
        <v>255</v>
      </c>
      <c r="B418" s="16"/>
    </row>
    <row r="419" spans="1:2">
      <c r="A419" s="27" t="s">
        <v>256</v>
      </c>
      <c r="B419" s="16"/>
    </row>
    <row r="420" spans="1:2">
      <c r="A420" s="23" t="s">
        <v>257</v>
      </c>
      <c r="B420" s="16"/>
    </row>
    <row r="421" spans="1:2">
      <c r="A421" s="23" t="s">
        <v>258</v>
      </c>
      <c r="B421" s="16"/>
    </row>
    <row r="422" spans="1:2">
      <c r="A422" s="29" t="s">
        <v>459</v>
      </c>
      <c r="B422" s="16"/>
    </row>
    <row r="423" spans="1:2">
      <c r="A423" s="29" t="s">
        <v>460</v>
      </c>
      <c r="B423" s="16"/>
    </row>
    <row r="424" spans="1:2">
      <c r="A424" s="29" t="s">
        <v>461</v>
      </c>
      <c r="B424" s="16"/>
    </row>
    <row r="425" spans="1:2">
      <c r="A425" s="29" t="s">
        <v>462</v>
      </c>
      <c r="B425" s="16"/>
    </row>
    <row r="426" spans="1:2">
      <c r="A426" s="29" t="s">
        <v>463</v>
      </c>
      <c r="B426" s="16"/>
    </row>
    <row r="427" spans="1:2">
      <c r="A427" s="29" t="s">
        <v>464</v>
      </c>
      <c r="B427" s="16"/>
    </row>
    <row r="428" spans="1:2">
      <c r="A428" s="29" t="s">
        <v>465</v>
      </c>
      <c r="B428" s="16"/>
    </row>
    <row r="429" spans="1:2">
      <c r="A429" s="29" t="s">
        <v>466</v>
      </c>
      <c r="B429" s="16"/>
    </row>
    <row r="430" spans="1:2">
      <c r="A430" s="29" t="s">
        <v>467</v>
      </c>
      <c r="B430" s="16"/>
    </row>
    <row r="431" spans="1:2">
      <c r="A431" s="29" t="s">
        <v>468</v>
      </c>
      <c r="B431" s="16"/>
    </row>
    <row r="432" spans="1:2">
      <c r="A432" s="29" t="s">
        <v>469</v>
      </c>
      <c r="B432" s="16"/>
    </row>
    <row r="433" spans="1:2">
      <c r="A433" s="29" t="s">
        <v>470</v>
      </c>
      <c r="B433" s="16"/>
    </row>
    <row r="434" spans="1:2">
      <c r="A434" s="29" t="s">
        <v>471</v>
      </c>
      <c r="B434" s="16"/>
    </row>
    <row r="435" spans="1:2">
      <c r="A435" s="29" t="s">
        <v>475</v>
      </c>
      <c r="B435" s="16"/>
    </row>
    <row r="436" spans="1:2">
      <c r="A436" s="29" t="s">
        <v>476</v>
      </c>
      <c r="B436" s="16"/>
    </row>
    <row r="437" spans="1:2">
      <c r="A437" s="29" t="s">
        <v>477</v>
      </c>
      <c r="B437" s="16"/>
    </row>
    <row r="438" spans="1:2">
      <c r="A438" s="29" t="s">
        <v>478</v>
      </c>
      <c r="B438" s="16"/>
    </row>
    <row r="439" spans="1:2">
      <c r="A439" s="29" t="s">
        <v>479</v>
      </c>
      <c r="B439" s="16"/>
    </row>
    <row r="440" spans="1:2">
      <c r="A440" s="29" t="s">
        <v>480</v>
      </c>
      <c r="B440" s="16"/>
    </row>
    <row r="441" spans="1:2">
      <c r="A441" s="29" t="s">
        <v>481</v>
      </c>
      <c r="B441" s="16"/>
    </row>
    <row r="442" spans="1:2">
      <c r="A442" s="29" t="s">
        <v>482</v>
      </c>
      <c r="B442" s="16"/>
    </row>
    <row r="443" spans="1:2">
      <c r="A443" s="29" t="s">
        <v>486</v>
      </c>
      <c r="B443" s="16"/>
    </row>
    <row r="444" spans="1:2">
      <c r="A444" s="29" t="s">
        <v>487</v>
      </c>
      <c r="B444" s="16"/>
    </row>
    <row r="445" spans="1:2">
      <c r="A445" s="29" t="s">
        <v>488</v>
      </c>
      <c r="B445" s="16"/>
    </row>
    <row r="446" spans="1:2">
      <c r="A446" s="29" t="s">
        <v>489</v>
      </c>
      <c r="B446" s="16"/>
    </row>
    <row r="447" spans="1:2">
      <c r="A447" s="29" t="s">
        <v>490</v>
      </c>
      <c r="B447" s="16"/>
    </row>
    <row r="448" spans="1:2">
      <c r="A448" s="29" t="s">
        <v>491</v>
      </c>
      <c r="B448" s="16"/>
    </row>
    <row r="449" spans="1:2">
      <c r="A449" s="29" t="s">
        <v>492</v>
      </c>
      <c r="B449" s="16"/>
    </row>
    <row r="450" spans="1:2">
      <c r="A450" s="29" t="s">
        <v>493</v>
      </c>
      <c r="B450" s="16"/>
    </row>
    <row r="451" spans="1:2">
      <c r="A451" s="29" t="s">
        <v>494</v>
      </c>
      <c r="B451" s="16"/>
    </row>
    <row r="452" spans="1:2">
      <c r="A452" s="29" t="s">
        <v>495</v>
      </c>
      <c r="B452" s="16"/>
    </row>
    <row r="453" spans="1:2">
      <c r="A453" s="29" t="s">
        <v>496</v>
      </c>
      <c r="B453" s="16"/>
    </row>
    <row r="454" spans="1:2">
      <c r="A454" s="29" t="s">
        <v>497</v>
      </c>
      <c r="B454" s="16"/>
    </row>
    <row r="455" spans="1:2">
      <c r="A455" s="29" t="s">
        <v>498</v>
      </c>
      <c r="B455" s="16"/>
    </row>
    <row r="456" spans="1:2">
      <c r="A456" s="29" t="s">
        <v>499</v>
      </c>
      <c r="B456" s="16"/>
    </row>
    <row r="457" spans="1:2">
      <c r="A457" s="29" t="s">
        <v>500</v>
      </c>
      <c r="B457" s="16"/>
    </row>
    <row r="458" spans="1:2">
      <c r="A458" s="29" t="s">
        <v>501</v>
      </c>
      <c r="B458" s="16"/>
    </row>
    <row r="459" spans="1:2">
      <c r="A459" s="29" t="s">
        <v>502</v>
      </c>
      <c r="B459" s="16"/>
    </row>
    <row r="460" spans="1:2">
      <c r="A460" s="29" t="s">
        <v>510</v>
      </c>
      <c r="B460" s="16"/>
    </row>
    <row r="461" spans="1:2">
      <c r="A461" s="29" t="s">
        <v>511</v>
      </c>
      <c r="B461" s="16"/>
    </row>
    <row r="462" spans="1:2">
      <c r="A462" s="29" t="s">
        <v>512</v>
      </c>
      <c r="B462" s="16"/>
    </row>
    <row r="463" spans="1:2">
      <c r="A463" s="29" t="s">
        <v>513</v>
      </c>
      <c r="B463" s="16"/>
    </row>
    <row r="464" spans="1:2">
      <c r="A464" s="29" t="s">
        <v>514</v>
      </c>
      <c r="B464" s="16"/>
    </row>
    <row r="465" spans="1:2">
      <c r="A465" s="29" t="s">
        <v>515</v>
      </c>
      <c r="B465" s="16"/>
    </row>
    <row r="466" spans="1:2">
      <c r="A466" s="29" t="s">
        <v>516</v>
      </c>
      <c r="B466" s="16"/>
    </row>
    <row r="467" spans="1:2">
      <c r="A467" s="29" t="s">
        <v>517</v>
      </c>
      <c r="B467" s="16"/>
    </row>
    <row r="468" spans="1:2">
      <c r="A468" s="29" t="s">
        <v>518</v>
      </c>
      <c r="B468" s="16"/>
    </row>
    <row r="469" spans="1:2">
      <c r="A469" s="29" t="s">
        <v>519</v>
      </c>
      <c r="B469" s="16"/>
    </row>
    <row r="470" spans="1:2">
      <c r="A470" s="26" t="s">
        <v>520</v>
      </c>
      <c r="B470" s="16"/>
    </row>
    <row r="471" spans="1:2">
      <c r="A471" s="29" t="s">
        <v>521</v>
      </c>
      <c r="B471" s="16"/>
    </row>
    <row r="472" spans="1:2">
      <c r="A472" s="29" t="s">
        <v>472</v>
      </c>
      <c r="B472" s="16"/>
    </row>
    <row r="473" spans="1:2">
      <c r="A473" s="29" t="s">
        <v>473</v>
      </c>
      <c r="B473" s="16"/>
    </row>
    <row r="474" spans="1:2">
      <c r="A474" s="29" t="s">
        <v>474</v>
      </c>
      <c r="B474" s="16"/>
    </row>
    <row r="475" spans="1:2">
      <c r="A475" s="29" t="s">
        <v>483</v>
      </c>
      <c r="B475" s="16"/>
    </row>
    <row r="476" spans="1:2">
      <c r="A476" s="29" t="s">
        <v>484</v>
      </c>
      <c r="B476" s="16"/>
    </row>
    <row r="477" spans="1:2">
      <c r="A477" s="29" t="s">
        <v>538</v>
      </c>
      <c r="B477" s="16"/>
    </row>
    <row r="478" spans="1:2">
      <c r="A478" s="29" t="s">
        <v>485</v>
      </c>
      <c r="B478" s="16"/>
    </row>
    <row r="479" spans="1:2">
      <c r="A479" s="29" t="s">
        <v>503</v>
      </c>
      <c r="B479" s="16"/>
    </row>
    <row r="480" spans="1:2">
      <c r="A480" s="29" t="s">
        <v>504</v>
      </c>
      <c r="B480" s="16"/>
    </row>
    <row r="481" spans="1:2">
      <c r="A481" s="29" t="s">
        <v>522</v>
      </c>
      <c r="B481" s="16"/>
    </row>
    <row r="482" spans="1:2">
      <c r="A482" s="29" t="s">
        <v>505</v>
      </c>
      <c r="B482" s="16"/>
    </row>
    <row r="483" spans="1:2">
      <c r="A483" s="29" t="s">
        <v>506</v>
      </c>
      <c r="B483" s="17"/>
    </row>
    <row r="484" spans="1:2">
      <c r="A484" s="29" t="s">
        <v>507</v>
      </c>
      <c r="B484" s="16"/>
    </row>
    <row r="485" spans="1:2">
      <c r="A485" s="29" t="s">
        <v>523</v>
      </c>
      <c r="B485" s="16"/>
    </row>
    <row r="486" spans="1:2">
      <c r="A486" s="29" t="s">
        <v>524</v>
      </c>
      <c r="B486" s="16"/>
    </row>
    <row r="487" spans="1:2">
      <c r="A487" s="29" t="s">
        <v>525</v>
      </c>
      <c r="B487" s="16"/>
    </row>
    <row r="488" spans="1:2">
      <c r="A488" s="29" t="s">
        <v>508</v>
      </c>
      <c r="B488" s="16"/>
    </row>
    <row r="489" spans="1:2">
      <c r="A489" s="29" t="s">
        <v>509</v>
      </c>
      <c r="B489" s="16"/>
    </row>
    <row r="490" spans="1:2">
      <c r="A490" s="29" t="s">
        <v>526</v>
      </c>
      <c r="B490" s="16"/>
    </row>
    <row r="491" spans="1:2">
      <c r="A491" s="29" t="s">
        <v>527</v>
      </c>
      <c r="B491" s="16"/>
    </row>
    <row r="492" spans="1:2">
      <c r="A492" s="29" t="s">
        <v>528</v>
      </c>
      <c r="B492" s="16"/>
    </row>
    <row r="493" spans="1:2">
      <c r="A493" s="29" t="s">
        <v>529</v>
      </c>
      <c r="B493" s="16"/>
    </row>
    <row r="494" spans="1:2">
      <c r="A494" s="29" t="s">
        <v>530</v>
      </c>
      <c r="B494" s="16"/>
    </row>
    <row r="495" spans="1:2">
      <c r="A495" s="29" t="s">
        <v>534</v>
      </c>
      <c r="B495" s="16"/>
    </row>
    <row r="496" spans="1:2">
      <c r="A496" s="29" t="s">
        <v>535</v>
      </c>
      <c r="B496" s="16"/>
    </row>
    <row r="497" spans="1:2">
      <c r="A497" s="29" t="s">
        <v>531</v>
      </c>
      <c r="B497" s="16"/>
    </row>
    <row r="498" spans="1:2">
      <c r="A498" s="29" t="s">
        <v>532</v>
      </c>
      <c r="B498" s="16"/>
    </row>
    <row r="499" spans="1:2">
      <c r="A499" s="29" t="s">
        <v>533</v>
      </c>
      <c r="B499" s="16"/>
    </row>
    <row r="500" spans="1:2">
      <c r="A500" s="29" t="s">
        <v>536</v>
      </c>
      <c r="B500" s="16"/>
    </row>
    <row r="501" spans="1:2">
      <c r="A501" s="29" t="s">
        <v>537</v>
      </c>
      <c r="B501" s="19"/>
    </row>
    <row r="502" spans="1:2">
      <c r="A502" s="29" t="s">
        <v>539</v>
      </c>
      <c r="B502" s="16"/>
    </row>
    <row r="503" spans="1:2">
      <c r="A503" s="29" t="s">
        <v>540</v>
      </c>
      <c r="B503" s="16"/>
    </row>
    <row r="504" spans="1:2">
      <c r="A504" s="29" t="s">
        <v>541</v>
      </c>
      <c r="B504" s="16"/>
    </row>
    <row r="505" spans="1:2">
      <c r="A505" s="29" t="s">
        <v>542</v>
      </c>
      <c r="B505" s="16"/>
    </row>
    <row r="506" spans="1:2">
      <c r="A506" s="29" t="s">
        <v>543</v>
      </c>
      <c r="B506" s="16"/>
    </row>
    <row r="507" spans="1:2">
      <c r="A507" s="29" t="s">
        <v>544</v>
      </c>
      <c r="B507" s="16"/>
    </row>
    <row r="508" spans="1:2">
      <c r="A508" s="29" t="s">
        <v>545</v>
      </c>
      <c r="B508" s="16"/>
    </row>
    <row r="509" spans="1:2">
      <c r="A509" s="29" t="s">
        <v>546</v>
      </c>
      <c r="B509" s="16"/>
    </row>
    <row r="510" spans="1:2">
      <c r="A510" s="29" t="s">
        <v>547</v>
      </c>
      <c r="B510" s="16"/>
    </row>
    <row r="511" spans="1:2">
      <c r="A511" s="29" t="s">
        <v>548</v>
      </c>
      <c r="B511" s="16"/>
    </row>
    <row r="512" spans="1:2">
      <c r="A512" s="29" t="s">
        <v>549</v>
      </c>
      <c r="B512" s="16"/>
    </row>
    <row r="513" spans="1:2">
      <c r="A513" s="29" t="s">
        <v>550</v>
      </c>
      <c r="B513" s="16"/>
    </row>
    <row r="514" spans="1:2">
      <c r="A514" s="29" t="s">
        <v>551</v>
      </c>
      <c r="B514" s="16"/>
    </row>
    <row r="515" spans="1:2">
      <c r="A515" s="29" t="s">
        <v>552</v>
      </c>
      <c r="B515" s="16"/>
    </row>
    <row r="516" spans="1:2">
      <c r="A516" s="29" t="s">
        <v>553</v>
      </c>
      <c r="B516" s="16"/>
    </row>
    <row r="517" spans="1:2">
      <c r="A517" s="29" t="s">
        <v>554</v>
      </c>
      <c r="B517" s="16"/>
    </row>
    <row r="518" spans="1:2">
      <c r="A518" s="29" t="s">
        <v>555</v>
      </c>
      <c r="B518" s="16"/>
    </row>
    <row r="519" spans="1:2">
      <c r="A519" s="29" t="s">
        <v>556</v>
      </c>
      <c r="B519" s="16"/>
    </row>
    <row r="520" spans="1:2">
      <c r="A520" s="29" t="s">
        <v>557</v>
      </c>
      <c r="B520" s="16"/>
    </row>
    <row r="521" spans="1:2">
      <c r="A521" s="29" t="s">
        <v>558</v>
      </c>
      <c r="B521" s="16"/>
    </row>
    <row r="522" spans="1:2">
      <c r="A522" s="29" t="s">
        <v>559</v>
      </c>
      <c r="B522" s="16"/>
    </row>
    <row r="523" spans="1:2">
      <c r="A523" s="29" t="s">
        <v>560</v>
      </c>
      <c r="B523" s="16"/>
    </row>
    <row r="524" spans="1:2">
      <c r="A524" s="29" t="s">
        <v>561</v>
      </c>
      <c r="B524" s="16"/>
    </row>
    <row r="525" spans="1:2">
      <c r="A525" s="29" t="s">
        <v>562</v>
      </c>
      <c r="B525" s="16"/>
    </row>
    <row r="526" spans="1:2">
      <c r="A526" s="29" t="s">
        <v>563</v>
      </c>
      <c r="B526" s="16"/>
    </row>
    <row r="527" spans="1:2">
      <c r="A527" s="29" t="s">
        <v>564</v>
      </c>
      <c r="B527" s="16"/>
    </row>
    <row r="528" spans="1:2">
      <c r="A528" s="29" t="s">
        <v>565</v>
      </c>
      <c r="B528" s="16"/>
    </row>
    <row r="529" spans="1:2">
      <c r="A529" s="29" t="s">
        <v>566</v>
      </c>
      <c r="B529" s="16"/>
    </row>
    <row r="530" spans="1:2">
      <c r="A530" s="29" t="s">
        <v>567</v>
      </c>
      <c r="B530" s="16"/>
    </row>
    <row r="531" spans="1:2">
      <c r="A531" s="29" t="s">
        <v>568</v>
      </c>
      <c r="B531" s="16"/>
    </row>
    <row r="532" spans="1:2">
      <c r="A532" s="29" t="s">
        <v>569</v>
      </c>
      <c r="B532" s="16"/>
    </row>
    <row r="533" spans="1:2">
      <c r="A533" s="29" t="s">
        <v>570</v>
      </c>
      <c r="B533" s="16"/>
    </row>
    <row r="534" spans="1:2">
      <c r="A534" s="29" t="s">
        <v>571</v>
      </c>
      <c r="B534" s="16"/>
    </row>
    <row r="535" spans="1:2">
      <c r="A535" s="29" t="s">
        <v>572</v>
      </c>
      <c r="B535" s="16"/>
    </row>
    <row r="536" spans="1:2">
      <c r="A536" s="29" t="s">
        <v>573</v>
      </c>
      <c r="B536" s="16"/>
    </row>
    <row r="537" spans="1:2">
      <c r="A537" s="29" t="s">
        <v>574</v>
      </c>
      <c r="B537" s="16"/>
    </row>
    <row r="538" spans="1:2">
      <c r="A538" s="29" t="s">
        <v>575</v>
      </c>
      <c r="B538" s="16"/>
    </row>
    <row r="539" spans="1:2">
      <c r="A539" s="29" t="s">
        <v>576</v>
      </c>
      <c r="B539" s="16"/>
    </row>
  </sheetData>
  <sheetProtection algorithmName="SHA-512" hashValue="FNl0Z4EkVWLPvVVCGHvLpifsETkt90lUk9l2hON3KwqmZCqaEMdiJgMd5D7MASkKPzog5Zes0Ziy67//LnVPMw==" saltValue="mXrHnlf8yqtHZPhio6rXGA==" spinCount="100000" sheet="1" objects="1" scenarios="1"/>
  <phoneticPr fontId="5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9385-A549-41A5-A3CE-1FD353C8CB81}">
  <dimension ref="A1:F404"/>
  <sheetViews>
    <sheetView workbookViewId="0">
      <selection activeCell="F5" sqref="F5"/>
    </sheetView>
  </sheetViews>
  <sheetFormatPr defaultRowHeight="18.75"/>
  <cols>
    <col min="2" max="2" width="13.125" style="84" customWidth="1"/>
    <col min="3" max="3" width="14.375" style="84" bestFit="1" customWidth="1"/>
    <col min="4" max="4" width="8.75" style="84"/>
  </cols>
  <sheetData>
    <row r="1" spans="1:6">
      <c r="A1" s="2"/>
      <c r="B1" s="82" t="s">
        <v>591</v>
      </c>
      <c r="C1" s="83" t="s">
        <v>592</v>
      </c>
      <c r="D1" s="83" t="s">
        <v>639</v>
      </c>
      <c r="E1" s="2" t="s">
        <v>593</v>
      </c>
      <c r="F1" s="2" t="s">
        <v>594</v>
      </c>
    </row>
    <row r="2" spans="1:6">
      <c r="A2" s="81" t="s">
        <v>640</v>
      </c>
      <c r="B2" s="84">
        <v>152880</v>
      </c>
      <c r="C2" s="84">
        <v>152880</v>
      </c>
      <c r="D2" s="84">
        <v>138600</v>
      </c>
      <c r="E2">
        <v>134000</v>
      </c>
      <c r="F2">
        <v>134000</v>
      </c>
    </row>
    <row r="3" spans="1:6">
      <c r="A3" s="81" t="s">
        <v>641</v>
      </c>
      <c r="B3" s="84">
        <v>159224</v>
      </c>
      <c r="C3" s="84">
        <v>159224</v>
      </c>
      <c r="D3" s="84">
        <v>144000</v>
      </c>
      <c r="E3">
        <v>138400</v>
      </c>
      <c r="F3">
        <v>138400</v>
      </c>
    </row>
    <row r="4" spans="1:6">
      <c r="A4" s="81" t="s">
        <v>642</v>
      </c>
      <c r="B4" s="84">
        <v>166712</v>
      </c>
      <c r="C4" s="84">
        <v>166712</v>
      </c>
      <c r="D4" s="84">
        <v>150800</v>
      </c>
      <c r="E4">
        <v>142800</v>
      </c>
      <c r="F4">
        <v>142800</v>
      </c>
    </row>
    <row r="5" spans="1:6">
      <c r="A5" s="81" t="s">
        <v>643</v>
      </c>
      <c r="B5" s="84">
        <v>174928</v>
      </c>
      <c r="C5" s="84">
        <v>174928</v>
      </c>
      <c r="D5" s="84">
        <v>157400</v>
      </c>
      <c r="E5">
        <v>148000</v>
      </c>
      <c r="F5">
        <v>148000</v>
      </c>
    </row>
    <row r="6" spans="1:6">
      <c r="A6" s="81" t="s">
        <v>644</v>
      </c>
      <c r="B6" s="84">
        <v>184184</v>
      </c>
      <c r="C6" s="84">
        <v>184184</v>
      </c>
      <c r="D6" s="84">
        <v>165000</v>
      </c>
      <c r="E6">
        <v>153800</v>
      </c>
      <c r="F6">
        <v>153800</v>
      </c>
    </row>
    <row r="7" spans="1:6">
      <c r="A7" s="81" t="s">
        <v>645</v>
      </c>
      <c r="B7" s="84">
        <v>194584</v>
      </c>
      <c r="C7" s="84">
        <v>194584</v>
      </c>
      <c r="D7" s="84">
        <v>172600</v>
      </c>
      <c r="E7">
        <v>159700</v>
      </c>
      <c r="F7">
        <v>159700</v>
      </c>
    </row>
    <row r="8" spans="1:6">
      <c r="A8" s="81" t="s">
        <v>646</v>
      </c>
      <c r="B8" s="84">
        <v>201448</v>
      </c>
      <c r="C8" s="84">
        <v>201448</v>
      </c>
      <c r="D8" s="84">
        <v>178700</v>
      </c>
      <c r="E8">
        <v>166000</v>
      </c>
      <c r="F8">
        <v>166000</v>
      </c>
    </row>
    <row r="9" spans="1:6">
      <c r="A9" s="81" t="s">
        <v>647</v>
      </c>
      <c r="B9" s="84">
        <v>208312</v>
      </c>
      <c r="C9" s="84">
        <v>208208</v>
      </c>
      <c r="D9" s="84">
        <v>184800</v>
      </c>
      <c r="E9">
        <v>170600</v>
      </c>
      <c r="F9">
        <v>170600</v>
      </c>
    </row>
    <row r="10" spans="1:6">
      <c r="A10" s="81" t="s">
        <v>648</v>
      </c>
      <c r="B10" s="84">
        <v>215280</v>
      </c>
      <c r="C10" s="84">
        <v>215072</v>
      </c>
      <c r="D10" s="84">
        <v>190100</v>
      </c>
      <c r="E10">
        <v>174000</v>
      </c>
      <c r="F10">
        <v>174000</v>
      </c>
    </row>
    <row r="11" spans="1:6">
      <c r="A11" s="81" t="s">
        <v>649</v>
      </c>
      <c r="B11" s="84">
        <v>222664</v>
      </c>
      <c r="C11" s="84">
        <v>222040</v>
      </c>
      <c r="D11" s="84">
        <v>195500</v>
      </c>
      <c r="E11">
        <v>177000</v>
      </c>
      <c r="F11">
        <v>177000</v>
      </c>
    </row>
    <row r="12" spans="1:6">
      <c r="A12" s="81" t="s">
        <v>650</v>
      </c>
      <c r="B12" s="84">
        <v>230256</v>
      </c>
      <c r="C12" s="84">
        <v>229216</v>
      </c>
      <c r="D12" s="84">
        <v>200600</v>
      </c>
      <c r="E12">
        <v>179700</v>
      </c>
      <c r="F12">
        <v>179700</v>
      </c>
    </row>
    <row r="13" spans="1:6">
      <c r="A13" s="81" t="s">
        <v>651</v>
      </c>
      <c r="B13" s="84">
        <v>238784</v>
      </c>
      <c r="C13" s="84">
        <v>236808</v>
      </c>
      <c r="D13" s="84">
        <v>205500</v>
      </c>
      <c r="E13">
        <v>182200</v>
      </c>
      <c r="F13">
        <v>182200</v>
      </c>
    </row>
    <row r="14" spans="1:6">
      <c r="A14" s="81" t="s">
        <v>652</v>
      </c>
      <c r="B14" s="84">
        <v>246792</v>
      </c>
      <c r="C14" s="84">
        <v>244296</v>
      </c>
      <c r="D14" s="84">
        <v>210300</v>
      </c>
      <c r="E14">
        <v>184200</v>
      </c>
      <c r="F14">
        <v>184200</v>
      </c>
    </row>
    <row r="15" spans="1:6">
      <c r="A15" s="81" t="s">
        <v>653</v>
      </c>
      <c r="B15" s="84">
        <v>255008</v>
      </c>
      <c r="C15" s="84">
        <v>251576</v>
      </c>
      <c r="D15" s="84">
        <v>214700</v>
      </c>
      <c r="E15">
        <v>186200</v>
      </c>
      <c r="F15">
        <v>186200</v>
      </c>
    </row>
    <row r="16" spans="1:6">
      <c r="A16" s="81" t="s">
        <v>654</v>
      </c>
      <c r="B16" s="84">
        <v>263224</v>
      </c>
      <c r="C16" s="84">
        <v>258960</v>
      </c>
      <c r="D16" s="84">
        <v>219100</v>
      </c>
      <c r="E16">
        <v>187800</v>
      </c>
      <c r="F16">
        <v>187800</v>
      </c>
    </row>
    <row r="17" spans="1:4">
      <c r="A17" s="81" t="s">
        <v>655</v>
      </c>
      <c r="B17" s="84">
        <v>271232</v>
      </c>
      <c r="C17" s="84">
        <v>265720</v>
      </c>
      <c r="D17" s="84">
        <v>223200</v>
      </c>
    </row>
    <row r="18" spans="1:4">
      <c r="A18" s="81" t="s">
        <v>656</v>
      </c>
      <c r="B18" s="84">
        <v>279240</v>
      </c>
      <c r="C18" s="84">
        <v>272272</v>
      </c>
      <c r="D18" s="84">
        <v>227400</v>
      </c>
    </row>
    <row r="19" spans="1:4">
      <c r="A19" s="81" t="s">
        <v>657</v>
      </c>
      <c r="B19" s="84">
        <v>287144</v>
      </c>
      <c r="C19" s="84">
        <v>279032</v>
      </c>
      <c r="D19" s="84">
        <v>230800</v>
      </c>
    </row>
    <row r="20" spans="1:4">
      <c r="A20" s="81" t="s">
        <v>658</v>
      </c>
      <c r="B20" s="84">
        <v>294216</v>
      </c>
      <c r="C20" s="84">
        <v>285064</v>
      </c>
      <c r="D20" s="84">
        <v>233700</v>
      </c>
    </row>
    <row r="21" spans="1:4">
      <c r="A21" s="81" t="s">
        <v>659</v>
      </c>
      <c r="B21" s="84">
        <v>301080</v>
      </c>
      <c r="C21" s="84">
        <v>290576</v>
      </c>
      <c r="D21" s="84">
        <v>236700</v>
      </c>
    </row>
    <row r="22" spans="1:4">
      <c r="A22" s="81" t="s">
        <v>660</v>
      </c>
      <c r="B22" s="84">
        <v>307320</v>
      </c>
      <c r="C22" s="84">
        <v>295672</v>
      </c>
      <c r="D22" s="84">
        <v>239000</v>
      </c>
    </row>
    <row r="23" spans="1:4">
      <c r="A23" s="81" t="s">
        <v>661</v>
      </c>
      <c r="B23" s="84">
        <v>313560</v>
      </c>
      <c r="C23" s="84">
        <v>300560</v>
      </c>
      <c r="D23" s="84">
        <v>240700</v>
      </c>
    </row>
    <row r="24" spans="1:4">
      <c r="A24" s="81" t="s">
        <v>662</v>
      </c>
      <c r="B24" s="84">
        <v>319696</v>
      </c>
      <c r="C24" s="84">
        <v>304824</v>
      </c>
    </row>
    <row r="25" spans="1:4">
      <c r="A25" s="81" t="s">
        <v>663</v>
      </c>
      <c r="B25" s="84">
        <v>325624</v>
      </c>
      <c r="C25" s="84">
        <v>308360</v>
      </c>
    </row>
    <row r="26" spans="1:4">
      <c r="A26" s="81" t="s">
        <v>664</v>
      </c>
      <c r="B26" s="84">
        <v>331656</v>
      </c>
      <c r="C26" s="84">
        <v>311792</v>
      </c>
    </row>
    <row r="27" spans="1:4">
      <c r="A27" s="81" t="s">
        <v>665</v>
      </c>
      <c r="B27" s="84">
        <v>337272</v>
      </c>
      <c r="C27" s="84">
        <v>315224</v>
      </c>
    </row>
    <row r="28" spans="1:4">
      <c r="A28" s="81" t="s">
        <v>666</v>
      </c>
      <c r="B28" s="84">
        <v>342888</v>
      </c>
      <c r="C28" s="84">
        <v>317720</v>
      </c>
    </row>
    <row r="29" spans="1:4">
      <c r="A29" s="81" t="s">
        <v>667</v>
      </c>
      <c r="B29" s="84">
        <v>348088</v>
      </c>
      <c r="C29" s="84">
        <v>319488</v>
      </c>
    </row>
    <row r="30" spans="1:4">
      <c r="A30" s="81" t="s">
        <v>668</v>
      </c>
      <c r="B30" s="84">
        <v>351936</v>
      </c>
      <c r="C30" s="84">
        <v>321360</v>
      </c>
    </row>
    <row r="31" spans="1:4">
      <c r="A31" s="81" t="s">
        <v>669</v>
      </c>
      <c r="B31" s="84">
        <v>354952</v>
      </c>
      <c r="C31" s="84">
        <v>323128</v>
      </c>
    </row>
    <row r="32" spans="1:4">
      <c r="A32" s="81" t="s">
        <v>670</v>
      </c>
      <c r="B32" s="84">
        <v>357864</v>
      </c>
      <c r="C32" s="84">
        <v>324896</v>
      </c>
    </row>
    <row r="33" spans="1:5">
      <c r="A33" s="81" t="s">
        <v>671</v>
      </c>
      <c r="B33" s="84">
        <v>360776</v>
      </c>
      <c r="C33" s="84">
        <v>326664</v>
      </c>
    </row>
    <row r="34" spans="1:5">
      <c r="A34" s="81" t="s">
        <v>672</v>
      </c>
      <c r="B34" s="84">
        <v>362856</v>
      </c>
    </row>
    <row r="35" spans="1:5">
      <c r="A35" s="81" t="s">
        <v>673</v>
      </c>
      <c r="B35" s="84">
        <v>364936</v>
      </c>
    </row>
    <row r="36" spans="1:5">
      <c r="A36" s="81" t="s">
        <v>674</v>
      </c>
      <c r="B36" s="84">
        <v>366808</v>
      </c>
    </row>
    <row r="37" spans="1:5">
      <c r="A37" s="81" t="s">
        <v>675</v>
      </c>
      <c r="B37" s="84">
        <v>368576</v>
      </c>
    </row>
    <row r="38" spans="1:5">
      <c r="A38" s="81" t="s">
        <v>676</v>
      </c>
      <c r="B38" s="84">
        <v>370344</v>
      </c>
    </row>
    <row r="39" spans="1:5">
      <c r="A39" s="81" t="s">
        <v>677</v>
      </c>
      <c r="B39" s="84">
        <v>372632</v>
      </c>
    </row>
    <row r="40" spans="1:5">
      <c r="A40" s="81" t="s">
        <v>678</v>
      </c>
      <c r="B40" s="84">
        <v>374712</v>
      </c>
    </row>
    <row r="41" spans="1:5">
      <c r="A41" s="34" t="s">
        <v>679</v>
      </c>
      <c r="B41" s="84">
        <v>376792</v>
      </c>
      <c r="C41" s="84">
        <v>328432</v>
      </c>
      <c r="D41" s="84">
        <v>242400</v>
      </c>
      <c r="E41">
        <v>189400</v>
      </c>
    </row>
    <row r="42" spans="1:5">
      <c r="A42" s="34" t="s">
        <v>680</v>
      </c>
      <c r="B42" s="84">
        <v>378872</v>
      </c>
      <c r="C42" s="84">
        <v>330200</v>
      </c>
      <c r="D42" s="84">
        <v>244100</v>
      </c>
      <c r="E42">
        <v>191000</v>
      </c>
    </row>
    <row r="43" spans="1:5">
      <c r="A43" s="34" t="s">
        <v>681</v>
      </c>
      <c r="B43" s="84">
        <v>380952</v>
      </c>
      <c r="C43" s="84">
        <v>331968</v>
      </c>
      <c r="D43" s="84">
        <v>245800</v>
      </c>
      <c r="E43">
        <v>192600</v>
      </c>
    </row>
    <row r="44" spans="1:5">
      <c r="A44" s="34" t="s">
        <v>682</v>
      </c>
      <c r="B44" s="84">
        <v>383032</v>
      </c>
      <c r="C44" s="84">
        <v>333736</v>
      </c>
      <c r="D44" s="84">
        <v>247500</v>
      </c>
      <c r="E44">
        <v>194200</v>
      </c>
    </row>
    <row r="45" spans="1:5">
      <c r="A45" s="34" t="s">
        <v>683</v>
      </c>
      <c r="B45" s="84">
        <v>385112</v>
      </c>
      <c r="C45" s="84">
        <v>335504</v>
      </c>
      <c r="D45" s="84">
        <v>249200</v>
      </c>
      <c r="E45">
        <v>195800</v>
      </c>
    </row>
    <row r="46" spans="1:5">
      <c r="A46" s="34" t="s">
        <v>684</v>
      </c>
      <c r="B46" s="84">
        <v>387192</v>
      </c>
      <c r="C46" s="84">
        <v>337272</v>
      </c>
      <c r="D46" s="84">
        <v>250900</v>
      </c>
      <c r="E46">
        <v>197400</v>
      </c>
    </row>
    <row r="47" spans="1:5">
      <c r="A47" s="34" t="s">
        <v>685</v>
      </c>
      <c r="B47" s="84">
        <v>389272</v>
      </c>
      <c r="C47" s="84">
        <v>339040</v>
      </c>
      <c r="D47" s="84">
        <v>252600</v>
      </c>
      <c r="E47">
        <v>199000</v>
      </c>
    </row>
    <row r="48" spans="1:5">
      <c r="A48" s="34" t="s">
        <v>686</v>
      </c>
      <c r="B48" s="84">
        <v>391352</v>
      </c>
      <c r="C48" s="84">
        <v>340808</v>
      </c>
      <c r="D48" s="84">
        <v>254300</v>
      </c>
      <c r="E48">
        <v>200600</v>
      </c>
    </row>
    <row r="49" spans="1:5">
      <c r="A49" s="34" t="s">
        <v>687</v>
      </c>
      <c r="B49" s="84">
        <v>393432</v>
      </c>
      <c r="C49" s="84">
        <v>342576</v>
      </c>
      <c r="D49" s="84">
        <v>256000</v>
      </c>
      <c r="E49">
        <v>202200</v>
      </c>
    </row>
    <row r="50" spans="1:5">
      <c r="A50" s="34" t="s">
        <v>688</v>
      </c>
      <c r="B50" s="84">
        <v>395512</v>
      </c>
      <c r="C50" s="84">
        <v>344344</v>
      </c>
      <c r="D50" s="84">
        <v>257700</v>
      </c>
      <c r="E50">
        <v>203800</v>
      </c>
    </row>
    <row r="51" spans="1:5">
      <c r="A51" s="34" t="s">
        <v>689</v>
      </c>
      <c r="B51" s="84">
        <v>397592</v>
      </c>
      <c r="C51" s="84">
        <v>346112</v>
      </c>
      <c r="D51" s="84">
        <v>259400</v>
      </c>
    </row>
    <row r="52" spans="1:5">
      <c r="A52" s="34" t="s">
        <v>690</v>
      </c>
      <c r="B52" s="84">
        <v>399672</v>
      </c>
      <c r="C52" s="84">
        <v>347880</v>
      </c>
      <c r="D52" s="84">
        <v>261100</v>
      </c>
    </row>
    <row r="53" spans="1:5">
      <c r="A53" s="34" t="s">
        <v>691</v>
      </c>
      <c r="B53" s="84">
        <v>401752</v>
      </c>
      <c r="C53" s="84">
        <v>349648</v>
      </c>
    </row>
    <row r="54" spans="1:5">
      <c r="A54" s="34" t="s">
        <v>692</v>
      </c>
      <c r="B54" s="84">
        <v>403832</v>
      </c>
      <c r="C54" s="84">
        <v>351416</v>
      </c>
    </row>
    <row r="55" spans="1:5">
      <c r="A55" s="34" t="s">
        <v>693</v>
      </c>
      <c r="B55" s="84">
        <v>405912</v>
      </c>
      <c r="C55" s="84">
        <v>353184</v>
      </c>
    </row>
    <row r="56" spans="1:5">
      <c r="A56" s="34" t="s">
        <v>694</v>
      </c>
      <c r="B56" s="84">
        <v>375128</v>
      </c>
    </row>
    <row r="57" spans="1:5">
      <c r="A57" s="34" t="s">
        <v>695</v>
      </c>
      <c r="B57" s="84">
        <v>384904</v>
      </c>
    </row>
    <row r="58" spans="1:5">
      <c r="A58" s="34" t="s">
        <v>696</v>
      </c>
      <c r="B58" s="84">
        <v>394576</v>
      </c>
    </row>
    <row r="59" spans="1:5">
      <c r="A59" s="34" t="s">
        <v>697</v>
      </c>
      <c r="B59" s="84">
        <v>403728</v>
      </c>
    </row>
    <row r="60" spans="1:5">
      <c r="A60" s="34" t="s">
        <v>698</v>
      </c>
      <c r="B60" s="84">
        <v>411944</v>
      </c>
    </row>
    <row r="61" spans="1:5">
      <c r="A61" s="34" t="s">
        <v>699</v>
      </c>
      <c r="B61" s="84">
        <v>419224</v>
      </c>
    </row>
    <row r="62" spans="1:5">
      <c r="A62" s="34" t="s">
        <v>700</v>
      </c>
      <c r="B62" s="84">
        <v>426712</v>
      </c>
    </row>
    <row r="63" spans="1:5">
      <c r="A63" s="34" t="s">
        <v>701</v>
      </c>
      <c r="B63" s="84">
        <v>433680</v>
      </c>
    </row>
    <row r="64" spans="1:5">
      <c r="A64" s="34" t="s">
        <v>702</v>
      </c>
      <c r="B64" s="84">
        <v>440232</v>
      </c>
    </row>
    <row r="65" spans="1:6">
      <c r="A65" s="34" t="s">
        <v>703</v>
      </c>
      <c r="B65" s="84">
        <v>445848</v>
      </c>
    </row>
    <row r="66" spans="1:6">
      <c r="A66" s="34" t="s">
        <v>704</v>
      </c>
      <c r="B66" s="84">
        <v>451256</v>
      </c>
    </row>
    <row r="67" spans="1:6">
      <c r="A67" s="34" t="s">
        <v>705</v>
      </c>
      <c r="B67" s="84">
        <v>456248</v>
      </c>
    </row>
    <row r="68" spans="1:6">
      <c r="A68" s="34" t="s">
        <v>706</v>
      </c>
      <c r="B68" s="84">
        <v>460616</v>
      </c>
    </row>
    <row r="69" spans="1:6">
      <c r="A69" s="34" t="s">
        <v>707</v>
      </c>
      <c r="B69" s="84">
        <v>465088</v>
      </c>
    </row>
    <row r="70" spans="1:6">
      <c r="A70" s="34" t="s">
        <v>708</v>
      </c>
      <c r="B70" s="84">
        <v>469456</v>
      </c>
    </row>
    <row r="71" spans="1:6">
      <c r="A71" s="81" t="s">
        <v>709</v>
      </c>
      <c r="B71" s="84">
        <v>198120</v>
      </c>
      <c r="C71" s="84">
        <v>168896</v>
      </c>
      <c r="D71" s="84">
        <v>176100</v>
      </c>
      <c r="E71">
        <v>170200</v>
      </c>
      <c r="F71">
        <v>170200</v>
      </c>
    </row>
    <row r="72" spans="1:6">
      <c r="A72" s="81" t="s">
        <v>710</v>
      </c>
      <c r="B72" s="84">
        <v>205296</v>
      </c>
      <c r="C72" s="84">
        <v>177528</v>
      </c>
      <c r="D72" s="84">
        <v>182400</v>
      </c>
      <c r="E72">
        <v>176800</v>
      </c>
      <c r="F72">
        <v>176800</v>
      </c>
    </row>
    <row r="73" spans="1:6">
      <c r="A73" s="81" t="s">
        <v>711</v>
      </c>
      <c r="B73" s="84">
        <v>212472</v>
      </c>
      <c r="C73" s="84">
        <v>186784</v>
      </c>
      <c r="D73" s="84">
        <v>188800</v>
      </c>
      <c r="E73">
        <v>183800</v>
      </c>
      <c r="F73">
        <v>183800</v>
      </c>
    </row>
    <row r="74" spans="1:6">
      <c r="A74" s="81" t="s">
        <v>712</v>
      </c>
      <c r="B74" s="84">
        <v>220168</v>
      </c>
      <c r="C74" s="84">
        <v>198120</v>
      </c>
      <c r="D74" s="84">
        <v>195500</v>
      </c>
      <c r="E74">
        <v>189600</v>
      </c>
      <c r="F74">
        <v>189600</v>
      </c>
    </row>
    <row r="75" spans="1:6">
      <c r="A75" s="81" t="s">
        <v>713</v>
      </c>
      <c r="B75" s="84">
        <v>228384</v>
      </c>
      <c r="C75" s="84">
        <v>205296</v>
      </c>
      <c r="D75" s="84">
        <v>201900</v>
      </c>
      <c r="E75">
        <v>194900</v>
      </c>
      <c r="F75">
        <v>194900</v>
      </c>
    </row>
    <row r="76" spans="1:6">
      <c r="A76" s="81" t="s">
        <v>714</v>
      </c>
      <c r="B76" s="84">
        <v>239720</v>
      </c>
      <c r="C76" s="84">
        <v>212472</v>
      </c>
      <c r="D76" s="84">
        <v>208500</v>
      </c>
      <c r="E76">
        <v>200000</v>
      </c>
      <c r="F76">
        <v>200000</v>
      </c>
    </row>
    <row r="77" spans="1:6">
      <c r="A77" s="81" t="s">
        <v>715</v>
      </c>
      <c r="B77" s="84">
        <v>251680</v>
      </c>
      <c r="C77" s="84">
        <v>220168</v>
      </c>
      <c r="D77" s="84">
        <v>214900</v>
      </c>
      <c r="E77">
        <v>205100</v>
      </c>
      <c r="F77">
        <v>205100</v>
      </c>
    </row>
    <row r="78" spans="1:6">
      <c r="A78" s="81" t="s">
        <v>716</v>
      </c>
      <c r="B78" s="84">
        <v>263744</v>
      </c>
      <c r="C78" s="84">
        <v>228384</v>
      </c>
      <c r="D78" s="84">
        <v>221700</v>
      </c>
      <c r="E78">
        <v>210000</v>
      </c>
      <c r="F78">
        <v>210000</v>
      </c>
    </row>
    <row r="79" spans="1:6">
      <c r="A79" s="81" t="s">
        <v>717</v>
      </c>
      <c r="B79" s="84">
        <v>276536</v>
      </c>
      <c r="C79" s="84">
        <v>239720</v>
      </c>
      <c r="D79" s="84">
        <v>229000</v>
      </c>
      <c r="E79">
        <v>214400</v>
      </c>
      <c r="F79">
        <v>214400</v>
      </c>
    </row>
    <row r="80" spans="1:6">
      <c r="A80" s="81" t="s">
        <v>718</v>
      </c>
      <c r="B80" s="84">
        <v>289640</v>
      </c>
      <c r="C80" s="84">
        <v>251680</v>
      </c>
      <c r="D80" s="84">
        <v>235900</v>
      </c>
      <c r="E80">
        <v>218800</v>
      </c>
      <c r="F80">
        <v>218800</v>
      </c>
    </row>
    <row r="81" spans="1:6">
      <c r="A81" s="81" t="s">
        <v>719</v>
      </c>
      <c r="B81" s="84">
        <v>303160</v>
      </c>
      <c r="C81" s="84">
        <v>263744</v>
      </c>
      <c r="D81" s="84">
        <v>242600</v>
      </c>
      <c r="E81">
        <v>223000</v>
      </c>
      <c r="F81">
        <v>223000</v>
      </c>
    </row>
    <row r="82" spans="1:6">
      <c r="A82" s="81" t="s">
        <v>720</v>
      </c>
      <c r="B82" s="84">
        <v>317304</v>
      </c>
      <c r="C82" s="84">
        <v>276536</v>
      </c>
      <c r="D82" s="84">
        <v>249000</v>
      </c>
      <c r="E82">
        <v>227300</v>
      </c>
      <c r="F82">
        <v>227300</v>
      </c>
    </row>
    <row r="83" spans="1:6">
      <c r="A83" s="81" t="s">
        <v>721</v>
      </c>
      <c r="B83" s="84">
        <v>331136</v>
      </c>
      <c r="C83" s="84">
        <v>289640</v>
      </c>
      <c r="D83" s="84">
        <v>255400</v>
      </c>
      <c r="E83">
        <v>230500</v>
      </c>
      <c r="F83">
        <v>230500</v>
      </c>
    </row>
    <row r="84" spans="1:6">
      <c r="A84" s="81" t="s">
        <v>722</v>
      </c>
      <c r="B84" s="84">
        <v>344240</v>
      </c>
      <c r="C84" s="84">
        <v>303160</v>
      </c>
      <c r="D84" s="84">
        <v>260900</v>
      </c>
      <c r="E84">
        <v>233400</v>
      </c>
      <c r="F84">
        <v>233400</v>
      </c>
    </row>
    <row r="85" spans="1:6">
      <c r="A85" s="81" t="s">
        <v>723</v>
      </c>
      <c r="B85" s="84">
        <v>354536</v>
      </c>
      <c r="C85" s="84">
        <v>317304</v>
      </c>
      <c r="D85" s="84">
        <v>266300</v>
      </c>
      <c r="E85">
        <v>236500</v>
      </c>
      <c r="F85">
        <v>236500</v>
      </c>
    </row>
    <row r="86" spans="1:6">
      <c r="A86" s="81" t="s">
        <v>724</v>
      </c>
      <c r="B86" s="84">
        <v>364728</v>
      </c>
      <c r="C86" s="84">
        <v>331136</v>
      </c>
      <c r="D86" s="84">
        <v>271300</v>
      </c>
      <c r="E86">
        <v>239400</v>
      </c>
      <c r="F86">
        <v>239400</v>
      </c>
    </row>
    <row r="87" spans="1:6">
      <c r="A87" s="81" t="s">
        <v>725</v>
      </c>
      <c r="B87" s="84">
        <v>375128</v>
      </c>
      <c r="C87" s="84">
        <v>344240</v>
      </c>
      <c r="D87" s="84">
        <v>276400</v>
      </c>
      <c r="E87">
        <v>242300</v>
      </c>
      <c r="F87">
        <v>242300</v>
      </c>
    </row>
    <row r="88" spans="1:6">
      <c r="A88" s="81" t="s">
        <v>726</v>
      </c>
      <c r="B88" s="84">
        <v>384904</v>
      </c>
      <c r="C88" s="84">
        <v>354536</v>
      </c>
      <c r="D88" s="84">
        <v>280800</v>
      </c>
      <c r="E88">
        <v>244100</v>
      </c>
      <c r="F88">
        <v>244100</v>
      </c>
    </row>
    <row r="89" spans="1:6">
      <c r="A89" s="81" t="s">
        <v>727</v>
      </c>
      <c r="B89" s="84">
        <v>394576</v>
      </c>
      <c r="C89" s="84">
        <v>364728</v>
      </c>
      <c r="D89" s="84">
        <v>285200</v>
      </c>
    </row>
    <row r="90" spans="1:6">
      <c r="A90" s="81" t="s">
        <v>728</v>
      </c>
      <c r="B90" s="84">
        <v>403728</v>
      </c>
      <c r="C90" s="84">
        <v>374920</v>
      </c>
      <c r="D90" s="84">
        <v>288400</v>
      </c>
    </row>
    <row r="91" spans="1:6">
      <c r="A91" s="81" t="s">
        <v>729</v>
      </c>
      <c r="B91" s="84">
        <v>411944</v>
      </c>
      <c r="C91" s="84">
        <v>383552</v>
      </c>
      <c r="D91" s="84">
        <v>290900</v>
      </c>
    </row>
    <row r="92" spans="1:6">
      <c r="A92" s="81" t="s">
        <v>730</v>
      </c>
      <c r="B92" s="84">
        <v>419224</v>
      </c>
      <c r="C92" s="84">
        <v>391976</v>
      </c>
      <c r="D92" s="84">
        <v>293200</v>
      </c>
    </row>
    <row r="93" spans="1:6">
      <c r="A93" s="81" t="s">
        <v>731</v>
      </c>
      <c r="B93" s="84">
        <v>426712</v>
      </c>
      <c r="C93" s="84">
        <v>399880</v>
      </c>
      <c r="D93" s="84">
        <v>294800</v>
      </c>
    </row>
    <row r="94" spans="1:6">
      <c r="A94" s="81" t="s">
        <v>732</v>
      </c>
      <c r="B94" s="84">
        <v>433680</v>
      </c>
      <c r="C94" s="84">
        <v>406952</v>
      </c>
      <c r="D94" s="84">
        <v>296600</v>
      </c>
    </row>
    <row r="95" spans="1:6">
      <c r="A95" s="81" t="s">
        <v>733</v>
      </c>
      <c r="B95" s="84">
        <v>440232</v>
      </c>
      <c r="C95" s="84">
        <v>413504</v>
      </c>
      <c r="D95" s="84">
        <v>298300</v>
      </c>
    </row>
    <row r="96" spans="1:6">
      <c r="A96" s="81" t="s">
        <v>734</v>
      </c>
      <c r="B96" s="84">
        <v>445848</v>
      </c>
      <c r="C96" s="84">
        <v>419432</v>
      </c>
      <c r="D96" s="84">
        <v>300200</v>
      </c>
    </row>
    <row r="97" spans="1:5">
      <c r="A97" s="81" t="s">
        <v>735</v>
      </c>
      <c r="B97" s="84">
        <v>451256</v>
      </c>
      <c r="C97" s="84">
        <v>424840</v>
      </c>
      <c r="D97" s="84">
        <v>301900</v>
      </c>
    </row>
    <row r="98" spans="1:5">
      <c r="A98" s="81" t="s">
        <v>736</v>
      </c>
      <c r="B98" s="84">
        <v>456248</v>
      </c>
      <c r="C98" s="84">
        <v>429832</v>
      </c>
    </row>
    <row r="99" spans="1:5">
      <c r="A99" s="81" t="s">
        <v>737</v>
      </c>
      <c r="B99" s="84">
        <v>460616</v>
      </c>
      <c r="C99" s="84">
        <v>434824</v>
      </c>
    </row>
    <row r="100" spans="1:5">
      <c r="A100" s="81" t="s">
        <v>738</v>
      </c>
      <c r="B100" s="84">
        <v>465088</v>
      </c>
      <c r="C100" s="84">
        <v>439608</v>
      </c>
    </row>
    <row r="101" spans="1:5">
      <c r="A101" s="81" t="s">
        <v>739</v>
      </c>
      <c r="B101" s="84">
        <v>469456</v>
      </c>
      <c r="C101" s="84">
        <v>443768</v>
      </c>
    </row>
    <row r="102" spans="1:5">
      <c r="A102" s="81" t="s">
        <v>740</v>
      </c>
      <c r="B102" s="84">
        <v>472368</v>
      </c>
      <c r="C102" s="84">
        <v>448136</v>
      </c>
    </row>
    <row r="103" spans="1:5">
      <c r="A103" s="81" t="s">
        <v>741</v>
      </c>
      <c r="B103" s="84">
        <v>0</v>
      </c>
      <c r="C103" s="84">
        <v>452192</v>
      </c>
    </row>
    <row r="104" spans="1:5">
      <c r="A104" s="81" t="s">
        <v>742</v>
      </c>
      <c r="B104" s="84">
        <v>0</v>
      </c>
      <c r="C104" s="84">
        <v>455936</v>
      </c>
    </row>
    <row r="105" spans="1:5">
      <c r="A105" s="81" t="s">
        <v>743</v>
      </c>
      <c r="B105" s="84">
        <v>0</v>
      </c>
      <c r="C105" s="84">
        <v>458432</v>
      </c>
    </row>
    <row r="106" spans="1:5">
      <c r="A106" s="81" t="s">
        <v>744</v>
      </c>
      <c r="B106" s="84">
        <v>475280</v>
      </c>
      <c r="C106" s="84">
        <v>460928</v>
      </c>
      <c r="D106" s="84">
        <v>303600</v>
      </c>
      <c r="E106">
        <v>245900</v>
      </c>
    </row>
    <row r="107" spans="1:5">
      <c r="A107" s="81" t="s">
        <v>745</v>
      </c>
      <c r="B107" s="84">
        <v>478192</v>
      </c>
      <c r="C107" s="84">
        <v>463424</v>
      </c>
      <c r="D107" s="84">
        <v>305300</v>
      </c>
      <c r="E107">
        <v>247700</v>
      </c>
    </row>
    <row r="108" spans="1:5">
      <c r="A108" s="81" t="s">
        <v>746</v>
      </c>
      <c r="B108" s="84">
        <v>481104</v>
      </c>
      <c r="C108" s="84">
        <v>465920</v>
      </c>
      <c r="D108" s="84">
        <v>307000</v>
      </c>
      <c r="E108">
        <v>249500</v>
      </c>
    </row>
    <row r="109" spans="1:5">
      <c r="A109" s="81" t="s">
        <v>747</v>
      </c>
      <c r="B109" s="84">
        <v>484016</v>
      </c>
      <c r="C109" s="84">
        <v>468416</v>
      </c>
      <c r="D109" s="84">
        <v>308700</v>
      </c>
      <c r="E109">
        <v>251300</v>
      </c>
    </row>
    <row r="110" spans="1:5">
      <c r="A110" s="81" t="s">
        <v>748</v>
      </c>
      <c r="B110" s="84">
        <v>486928</v>
      </c>
      <c r="C110" s="84">
        <v>470912</v>
      </c>
      <c r="D110" s="84">
        <v>310400</v>
      </c>
      <c r="E110">
        <v>253100</v>
      </c>
    </row>
    <row r="111" spans="1:5">
      <c r="A111" s="81" t="s">
        <v>749</v>
      </c>
      <c r="B111" s="84">
        <v>489840</v>
      </c>
      <c r="C111" s="84">
        <v>473408</v>
      </c>
      <c r="D111" s="84">
        <v>312100</v>
      </c>
      <c r="E111">
        <v>254900</v>
      </c>
    </row>
    <row r="112" spans="1:5">
      <c r="A112" s="81" t="s">
        <v>750</v>
      </c>
      <c r="B112" s="84">
        <v>492752</v>
      </c>
      <c r="C112" s="84">
        <v>475904</v>
      </c>
      <c r="D112" s="84">
        <v>313800</v>
      </c>
      <c r="E112">
        <v>256700</v>
      </c>
    </row>
    <row r="113" spans="1:6">
      <c r="A113" s="81" t="s">
        <v>751</v>
      </c>
      <c r="B113" s="84">
        <v>495664</v>
      </c>
      <c r="C113" s="84">
        <v>478400</v>
      </c>
      <c r="D113" s="84">
        <v>315500</v>
      </c>
      <c r="E113">
        <v>258500</v>
      </c>
    </row>
    <row r="114" spans="1:6">
      <c r="A114" s="81" t="s">
        <v>752</v>
      </c>
      <c r="B114" s="84">
        <v>498576</v>
      </c>
      <c r="C114" s="84">
        <v>480896</v>
      </c>
      <c r="D114" s="84">
        <v>317200</v>
      </c>
      <c r="E114">
        <v>260300</v>
      </c>
    </row>
    <row r="115" spans="1:6">
      <c r="A115" s="81" t="s">
        <v>753</v>
      </c>
      <c r="B115" s="84">
        <v>501488</v>
      </c>
      <c r="C115" s="84">
        <v>483392</v>
      </c>
      <c r="D115" s="84">
        <v>318900</v>
      </c>
      <c r="E115">
        <v>262100</v>
      </c>
    </row>
    <row r="116" spans="1:6">
      <c r="A116" s="81" t="s">
        <v>754</v>
      </c>
      <c r="B116" s="84">
        <v>504400</v>
      </c>
      <c r="C116" s="84">
        <v>485888</v>
      </c>
      <c r="D116" s="84">
        <v>320600</v>
      </c>
    </row>
    <row r="117" spans="1:6">
      <c r="A117" s="81" t="s">
        <v>755</v>
      </c>
      <c r="B117" s="84">
        <v>507312</v>
      </c>
      <c r="C117" s="84">
        <v>488384</v>
      </c>
      <c r="D117" s="84">
        <v>322300</v>
      </c>
    </row>
    <row r="118" spans="1:6">
      <c r="A118" s="81" t="s">
        <v>756</v>
      </c>
      <c r="B118" s="84">
        <v>510224</v>
      </c>
      <c r="C118" s="84">
        <v>490880</v>
      </c>
    </row>
    <row r="119" spans="1:6">
      <c r="A119" s="81" t="s">
        <v>757</v>
      </c>
      <c r="B119" s="84">
        <v>513136</v>
      </c>
      <c r="C119" s="84">
        <v>493376</v>
      </c>
    </row>
    <row r="120" spans="1:6">
      <c r="A120" s="81" t="s">
        <v>758</v>
      </c>
      <c r="B120" s="84">
        <v>516048</v>
      </c>
      <c r="C120" s="84">
        <v>495872</v>
      </c>
    </row>
    <row r="121" spans="1:6">
      <c r="A121" s="81" t="s">
        <v>759</v>
      </c>
      <c r="B121" s="84">
        <v>318300</v>
      </c>
      <c r="C121" s="84">
        <v>277200</v>
      </c>
      <c r="D121" s="84">
        <v>204700</v>
      </c>
      <c r="E121">
        <v>183800</v>
      </c>
      <c r="F121">
        <v>183800</v>
      </c>
    </row>
    <row r="122" spans="1:6">
      <c r="A122" s="81" t="s">
        <v>760</v>
      </c>
      <c r="B122" s="84">
        <v>331700</v>
      </c>
      <c r="C122" s="84">
        <v>290700</v>
      </c>
      <c r="D122" s="84">
        <v>211800</v>
      </c>
      <c r="E122">
        <v>190800</v>
      </c>
      <c r="F122">
        <v>190800</v>
      </c>
    </row>
    <row r="123" spans="1:6">
      <c r="A123" s="81" t="s">
        <v>761</v>
      </c>
      <c r="B123" s="84">
        <v>344900</v>
      </c>
      <c r="C123" s="84">
        <v>304400</v>
      </c>
      <c r="D123" s="84">
        <v>219000</v>
      </c>
      <c r="E123">
        <v>198000</v>
      </c>
      <c r="F123">
        <v>198000</v>
      </c>
    </row>
    <row r="124" spans="1:6">
      <c r="A124" s="81" t="s">
        <v>762</v>
      </c>
      <c r="B124" s="84">
        <v>354900</v>
      </c>
      <c r="C124" s="84">
        <v>318100</v>
      </c>
      <c r="D124" s="84">
        <v>226700</v>
      </c>
      <c r="E124">
        <v>205000</v>
      </c>
      <c r="F124">
        <v>205000</v>
      </c>
    </row>
    <row r="125" spans="1:6">
      <c r="A125" s="81" t="s">
        <v>763</v>
      </c>
      <c r="B125" s="84">
        <v>365000</v>
      </c>
      <c r="C125" s="84">
        <v>331500</v>
      </c>
      <c r="D125" s="84">
        <v>234800</v>
      </c>
      <c r="E125">
        <v>212600</v>
      </c>
      <c r="F125">
        <v>212600</v>
      </c>
    </row>
    <row r="126" spans="1:6">
      <c r="A126" s="81" t="s">
        <v>764</v>
      </c>
      <c r="B126" s="84">
        <v>375300</v>
      </c>
      <c r="C126" s="84">
        <v>344700</v>
      </c>
      <c r="D126" s="84">
        <v>243000</v>
      </c>
      <c r="E126">
        <v>220400</v>
      </c>
      <c r="F126">
        <v>220400</v>
      </c>
    </row>
    <row r="127" spans="1:6">
      <c r="A127" s="81" t="s">
        <v>765</v>
      </c>
      <c r="B127" s="84">
        <v>385100</v>
      </c>
      <c r="C127" s="84">
        <v>354700</v>
      </c>
      <c r="D127" s="84">
        <v>251300</v>
      </c>
      <c r="E127">
        <v>228300</v>
      </c>
      <c r="F127">
        <v>228300</v>
      </c>
    </row>
    <row r="128" spans="1:6">
      <c r="A128" s="81" t="s">
        <v>766</v>
      </c>
      <c r="B128" s="84">
        <v>394600</v>
      </c>
      <c r="C128" s="84">
        <v>364800</v>
      </c>
      <c r="D128" s="84">
        <v>259600</v>
      </c>
      <c r="E128">
        <v>235700</v>
      </c>
      <c r="F128">
        <v>235700</v>
      </c>
    </row>
    <row r="129" spans="1:6">
      <c r="A129" s="81" t="s">
        <v>767</v>
      </c>
      <c r="B129" s="84">
        <v>404100</v>
      </c>
      <c r="C129" s="84">
        <v>375100</v>
      </c>
      <c r="D129" s="84">
        <v>267900</v>
      </c>
      <c r="E129">
        <v>242100</v>
      </c>
      <c r="F129">
        <v>242100</v>
      </c>
    </row>
    <row r="130" spans="1:6">
      <c r="A130" s="81" t="s">
        <v>768</v>
      </c>
      <c r="B130" s="84">
        <v>412900</v>
      </c>
      <c r="C130" s="84">
        <v>383700</v>
      </c>
      <c r="D130" s="84">
        <v>276200</v>
      </c>
      <c r="E130">
        <v>248400</v>
      </c>
      <c r="F130">
        <v>248400</v>
      </c>
    </row>
    <row r="131" spans="1:6">
      <c r="A131" s="81" t="s">
        <v>769</v>
      </c>
      <c r="B131" s="84">
        <v>421700</v>
      </c>
      <c r="C131" s="84">
        <v>392100</v>
      </c>
      <c r="D131" s="84">
        <v>284400</v>
      </c>
      <c r="E131">
        <v>254600</v>
      </c>
      <c r="F131">
        <v>254600</v>
      </c>
    </row>
    <row r="132" spans="1:6">
      <c r="A132" s="81" t="s">
        <v>770</v>
      </c>
      <c r="B132" s="84">
        <v>430300</v>
      </c>
      <c r="C132" s="84">
        <v>400100</v>
      </c>
      <c r="D132" s="84">
        <v>292300</v>
      </c>
      <c r="E132">
        <v>260100</v>
      </c>
      <c r="F132">
        <v>260100</v>
      </c>
    </row>
    <row r="133" spans="1:6">
      <c r="A133" s="81" t="s">
        <v>771</v>
      </c>
      <c r="B133" s="84">
        <v>438400</v>
      </c>
      <c r="C133" s="84">
        <v>407800</v>
      </c>
      <c r="D133" s="84">
        <v>300200</v>
      </c>
      <c r="E133">
        <v>265600</v>
      </c>
      <c r="F133">
        <v>265600</v>
      </c>
    </row>
    <row r="134" spans="1:6">
      <c r="A134" s="81" t="s">
        <v>772</v>
      </c>
      <c r="B134" s="84">
        <v>446100</v>
      </c>
      <c r="C134" s="84">
        <v>415300</v>
      </c>
      <c r="D134" s="84">
        <v>307900</v>
      </c>
      <c r="E134">
        <v>270600</v>
      </c>
      <c r="F134">
        <v>270600</v>
      </c>
    </row>
    <row r="135" spans="1:6">
      <c r="A135" s="81" t="s">
        <v>773</v>
      </c>
      <c r="B135" s="84">
        <v>453500</v>
      </c>
      <c r="C135" s="84">
        <v>422700</v>
      </c>
      <c r="D135" s="84">
        <v>315100</v>
      </c>
      <c r="E135">
        <v>275700</v>
      </c>
      <c r="F135">
        <v>275700</v>
      </c>
    </row>
    <row r="136" spans="1:6">
      <c r="A136" s="81" t="s">
        <v>774</v>
      </c>
      <c r="B136" s="84">
        <v>460900</v>
      </c>
      <c r="C136" s="84">
        <v>429900</v>
      </c>
      <c r="D136" s="84">
        <v>322100</v>
      </c>
      <c r="E136">
        <v>280200</v>
      </c>
      <c r="F136">
        <v>280200</v>
      </c>
    </row>
    <row r="137" spans="1:6">
      <c r="A137" s="81" t="s">
        <v>775</v>
      </c>
      <c r="B137" s="84">
        <v>468800</v>
      </c>
      <c r="C137" s="84">
        <v>436600</v>
      </c>
      <c r="D137" s="84">
        <v>328500</v>
      </c>
      <c r="E137">
        <v>284200</v>
      </c>
      <c r="F137">
        <v>284200</v>
      </c>
    </row>
    <row r="138" spans="1:6">
      <c r="A138" s="81" t="s">
        <v>776</v>
      </c>
      <c r="B138" s="84">
        <v>476800</v>
      </c>
      <c r="C138" s="84">
        <v>443200</v>
      </c>
      <c r="D138" s="84">
        <v>334500</v>
      </c>
      <c r="E138">
        <v>287900</v>
      </c>
      <c r="F138">
        <v>287900</v>
      </c>
    </row>
    <row r="139" spans="1:6">
      <c r="A139" s="81" t="s">
        <v>777</v>
      </c>
      <c r="B139" s="84">
        <v>484700</v>
      </c>
      <c r="C139" s="84">
        <v>449700</v>
      </c>
      <c r="D139" s="84">
        <v>338400</v>
      </c>
      <c r="E139">
        <v>291100</v>
      </c>
      <c r="F139">
        <v>291100</v>
      </c>
    </row>
    <row r="140" spans="1:6">
      <c r="A140" s="81" t="s">
        <v>778</v>
      </c>
      <c r="B140" s="84">
        <v>492500</v>
      </c>
      <c r="C140" s="84">
        <v>455400</v>
      </c>
      <c r="D140" s="84">
        <v>342400</v>
      </c>
      <c r="E140">
        <v>293400</v>
      </c>
      <c r="F140">
        <v>293400</v>
      </c>
    </row>
    <row r="141" spans="1:6">
      <c r="A141" s="81" t="s">
        <v>779</v>
      </c>
      <c r="B141" s="84">
        <v>500300</v>
      </c>
      <c r="C141" s="84">
        <v>460800</v>
      </c>
      <c r="D141" s="84">
        <v>345700</v>
      </c>
      <c r="E141">
        <v>295200</v>
      </c>
      <c r="F141">
        <v>295200</v>
      </c>
    </row>
    <row r="142" spans="1:6">
      <c r="A142" s="81" t="s">
        <v>780</v>
      </c>
      <c r="B142" s="84">
        <v>507100</v>
      </c>
      <c r="C142" s="84">
        <v>465300</v>
      </c>
      <c r="D142" s="84">
        <v>348400</v>
      </c>
      <c r="E142">
        <v>297200</v>
      </c>
      <c r="F142">
        <v>297200</v>
      </c>
    </row>
    <row r="143" spans="1:6">
      <c r="A143" s="81" t="s">
        <v>781</v>
      </c>
      <c r="B143" s="84">
        <v>511100</v>
      </c>
      <c r="C143" s="84">
        <v>469500</v>
      </c>
      <c r="D143" s="84">
        <v>351000</v>
      </c>
      <c r="E143">
        <v>299100</v>
      </c>
      <c r="F143">
        <v>299100</v>
      </c>
    </row>
    <row r="144" spans="1:6">
      <c r="A144" s="81" t="s">
        <v>782</v>
      </c>
      <c r="C144" s="84">
        <v>473200</v>
      </c>
      <c r="D144" s="84">
        <v>353300</v>
      </c>
      <c r="E144">
        <v>301100</v>
      </c>
      <c r="F144">
        <v>301100</v>
      </c>
    </row>
    <row r="145" spans="1:6">
      <c r="A145" s="81" t="s">
        <v>783</v>
      </c>
      <c r="C145" s="84">
        <v>476300</v>
      </c>
      <c r="D145" s="84">
        <v>355600</v>
      </c>
      <c r="E145">
        <v>303000</v>
      </c>
      <c r="F145">
        <v>303000</v>
      </c>
    </row>
    <row r="146" spans="1:6">
      <c r="A146" s="81" t="s">
        <v>784</v>
      </c>
      <c r="C146" s="84">
        <v>479100</v>
      </c>
      <c r="D146" s="84">
        <v>357600</v>
      </c>
      <c r="E146">
        <v>304800</v>
      </c>
      <c r="F146">
        <v>304800</v>
      </c>
    </row>
    <row r="147" spans="1:6">
      <c r="A147" s="81" t="s">
        <v>785</v>
      </c>
      <c r="D147" s="84">
        <v>359700</v>
      </c>
      <c r="E147">
        <v>306700</v>
      </c>
      <c r="F147">
        <v>306700</v>
      </c>
    </row>
    <row r="148" spans="1:6">
      <c r="A148" s="81" t="s">
        <v>786</v>
      </c>
      <c r="D148" s="84">
        <v>361800</v>
      </c>
      <c r="E148">
        <v>308700</v>
      </c>
      <c r="F148">
        <v>308700</v>
      </c>
    </row>
    <row r="149" spans="1:6">
      <c r="A149" s="81" t="s">
        <v>787</v>
      </c>
      <c r="D149" s="84">
        <v>364000</v>
      </c>
      <c r="E149">
        <v>310600</v>
      </c>
      <c r="F149">
        <v>310600</v>
      </c>
    </row>
    <row r="150" spans="1:6">
      <c r="A150" s="81" t="s">
        <v>788</v>
      </c>
      <c r="D150" s="84">
        <v>366200</v>
      </c>
      <c r="E150">
        <v>312500</v>
      </c>
      <c r="F150">
        <v>312500</v>
      </c>
    </row>
    <row r="151" spans="1:6">
      <c r="A151" s="81" t="s">
        <v>789</v>
      </c>
      <c r="E151">
        <v>314400</v>
      </c>
      <c r="F151">
        <v>314400</v>
      </c>
    </row>
    <row r="152" spans="1:6">
      <c r="A152" s="81" t="s">
        <v>790</v>
      </c>
      <c r="E152">
        <v>316200</v>
      </c>
      <c r="F152">
        <v>316200</v>
      </c>
    </row>
    <row r="153" spans="1:6">
      <c r="A153" s="81" t="s">
        <v>791</v>
      </c>
      <c r="B153" s="84">
        <v>515100</v>
      </c>
      <c r="C153" s="84">
        <v>481900</v>
      </c>
      <c r="D153" s="84">
        <v>368400</v>
      </c>
      <c r="E153">
        <v>318000</v>
      </c>
    </row>
    <row r="154" spans="1:6">
      <c r="A154" s="81" t="s">
        <v>792</v>
      </c>
      <c r="B154" s="84">
        <v>519100</v>
      </c>
      <c r="C154" s="84">
        <v>484700</v>
      </c>
      <c r="D154" s="84">
        <v>370600</v>
      </c>
      <c r="E154">
        <v>319800</v>
      </c>
    </row>
    <row r="155" spans="1:6">
      <c r="A155" s="81" t="s">
        <v>793</v>
      </c>
      <c r="B155" s="84">
        <v>523100</v>
      </c>
      <c r="C155" s="84">
        <v>487500</v>
      </c>
      <c r="D155" s="84">
        <v>372800</v>
      </c>
      <c r="E155">
        <v>321600</v>
      </c>
    </row>
    <row r="156" spans="1:6">
      <c r="A156" s="81" t="s">
        <v>794</v>
      </c>
      <c r="B156" s="84">
        <v>527100</v>
      </c>
      <c r="C156" s="84">
        <v>490300</v>
      </c>
      <c r="D156" s="84">
        <v>375000</v>
      </c>
      <c r="E156">
        <v>323400</v>
      </c>
    </row>
    <row r="157" spans="1:6">
      <c r="A157" s="81" t="s">
        <v>795</v>
      </c>
      <c r="B157" s="84">
        <v>531100</v>
      </c>
      <c r="C157" s="84">
        <v>493100</v>
      </c>
      <c r="D157" s="84">
        <v>377200</v>
      </c>
      <c r="E157">
        <v>325200</v>
      </c>
    </row>
    <row r="158" spans="1:6">
      <c r="A158" s="81" t="s">
        <v>796</v>
      </c>
      <c r="B158" s="84">
        <v>535100</v>
      </c>
      <c r="C158" s="84">
        <v>495900</v>
      </c>
      <c r="D158" s="84">
        <v>379400</v>
      </c>
      <c r="E158">
        <v>327000</v>
      </c>
    </row>
    <row r="159" spans="1:6">
      <c r="A159" s="81" t="s">
        <v>797</v>
      </c>
      <c r="B159" s="84">
        <v>539100</v>
      </c>
      <c r="C159" s="84">
        <v>498700</v>
      </c>
      <c r="D159" s="84">
        <v>381600</v>
      </c>
      <c r="E159">
        <v>328800</v>
      </c>
    </row>
    <row r="160" spans="1:6">
      <c r="A160" s="81" t="s">
        <v>798</v>
      </c>
      <c r="B160" s="84">
        <v>543100</v>
      </c>
      <c r="C160" s="84">
        <v>501500</v>
      </c>
      <c r="D160" s="84">
        <v>383800</v>
      </c>
      <c r="E160">
        <v>330600</v>
      </c>
    </row>
    <row r="161" spans="1:6">
      <c r="A161" s="81" t="s">
        <v>799</v>
      </c>
      <c r="B161" s="84">
        <v>547100</v>
      </c>
      <c r="C161" s="84">
        <v>504300</v>
      </c>
      <c r="D161" s="84">
        <v>386000</v>
      </c>
      <c r="E161">
        <v>332400</v>
      </c>
    </row>
    <row r="162" spans="1:6">
      <c r="A162" s="81" t="s">
        <v>800</v>
      </c>
      <c r="B162" s="84">
        <v>551100</v>
      </c>
      <c r="C162" s="84">
        <v>507100</v>
      </c>
      <c r="D162" s="84">
        <v>388200</v>
      </c>
      <c r="E162">
        <v>334200</v>
      </c>
    </row>
    <row r="163" spans="1:6">
      <c r="A163" s="81" t="s">
        <v>801</v>
      </c>
      <c r="B163" s="84">
        <v>555100</v>
      </c>
      <c r="C163" s="84">
        <v>509900</v>
      </c>
      <c r="D163" s="84">
        <v>390400</v>
      </c>
    </row>
    <row r="164" spans="1:6">
      <c r="A164" s="81" t="s">
        <v>802</v>
      </c>
      <c r="B164" s="84">
        <v>559100</v>
      </c>
      <c r="C164" s="84">
        <v>512700</v>
      </c>
      <c r="D164" s="84">
        <v>392600</v>
      </c>
    </row>
    <row r="165" spans="1:6">
      <c r="A165" s="81" t="s">
        <v>803</v>
      </c>
      <c r="B165" s="84">
        <v>563100</v>
      </c>
      <c r="C165" s="84">
        <v>515500</v>
      </c>
    </row>
    <row r="166" spans="1:6">
      <c r="A166" s="81" t="s">
        <v>804</v>
      </c>
      <c r="B166" s="84">
        <v>567100</v>
      </c>
      <c r="C166" s="84">
        <v>518300</v>
      </c>
    </row>
    <row r="167" spans="1:6">
      <c r="A167" s="81" t="s">
        <v>805</v>
      </c>
      <c r="B167" s="84">
        <v>571100</v>
      </c>
      <c r="C167" s="84">
        <v>521100</v>
      </c>
    </row>
    <row r="168" spans="1:6">
      <c r="A168" s="81" t="s">
        <v>807</v>
      </c>
      <c r="B168" s="84">
        <v>403500</v>
      </c>
      <c r="C168" s="84">
        <v>398800</v>
      </c>
      <c r="D168" s="84">
        <v>227900</v>
      </c>
      <c r="E168">
        <v>217500</v>
      </c>
      <c r="F168">
        <v>217500</v>
      </c>
    </row>
    <row r="169" spans="1:6">
      <c r="A169" s="81" t="s">
        <v>808</v>
      </c>
      <c r="B169" s="84">
        <v>413500</v>
      </c>
      <c r="C169" s="84">
        <v>407400</v>
      </c>
      <c r="D169" s="84">
        <v>236100</v>
      </c>
      <c r="E169">
        <v>225500</v>
      </c>
      <c r="F169">
        <v>225500</v>
      </c>
    </row>
    <row r="170" spans="1:6">
      <c r="A170" s="81" t="s">
        <v>809</v>
      </c>
      <c r="B170" s="84">
        <v>422900</v>
      </c>
      <c r="C170" s="84">
        <v>415800</v>
      </c>
      <c r="D170" s="84">
        <v>244500</v>
      </c>
      <c r="E170">
        <v>233900</v>
      </c>
      <c r="F170">
        <v>233900</v>
      </c>
    </row>
    <row r="171" spans="1:6">
      <c r="A171" s="81" t="s">
        <v>810</v>
      </c>
      <c r="B171" s="84">
        <v>432200</v>
      </c>
      <c r="C171" s="84">
        <v>424200</v>
      </c>
      <c r="D171" s="84">
        <v>252900</v>
      </c>
      <c r="E171">
        <v>242800</v>
      </c>
      <c r="F171">
        <v>242800</v>
      </c>
    </row>
    <row r="172" spans="1:6">
      <c r="A172" s="81" t="s">
        <v>811</v>
      </c>
      <c r="B172" s="84">
        <v>441600</v>
      </c>
      <c r="C172" s="84">
        <v>432400</v>
      </c>
      <c r="D172" s="84">
        <v>261400</v>
      </c>
      <c r="E172">
        <v>251700</v>
      </c>
      <c r="F172">
        <v>251700</v>
      </c>
    </row>
    <row r="173" spans="1:6">
      <c r="A173" s="81" t="s">
        <v>812</v>
      </c>
      <c r="B173" s="84">
        <v>450500</v>
      </c>
      <c r="C173" s="84">
        <v>440100</v>
      </c>
      <c r="D173" s="84">
        <v>269800</v>
      </c>
      <c r="E173">
        <v>260100</v>
      </c>
      <c r="F173">
        <v>260100</v>
      </c>
    </row>
    <row r="174" spans="1:6">
      <c r="A174" s="81" t="s">
        <v>813</v>
      </c>
      <c r="B174" s="84">
        <v>459200</v>
      </c>
      <c r="C174" s="84">
        <v>447700</v>
      </c>
      <c r="D174" s="84">
        <v>278400</v>
      </c>
      <c r="E174">
        <v>268500</v>
      </c>
      <c r="F174">
        <v>268500</v>
      </c>
    </row>
    <row r="175" spans="1:6">
      <c r="A175" s="81" t="s">
        <v>814</v>
      </c>
      <c r="B175" s="84">
        <v>467600</v>
      </c>
      <c r="C175" s="84">
        <v>454900</v>
      </c>
      <c r="D175" s="84">
        <v>287000</v>
      </c>
      <c r="E175">
        <v>276800</v>
      </c>
      <c r="F175">
        <v>276800</v>
      </c>
    </row>
    <row r="176" spans="1:6">
      <c r="A176" s="81" t="s">
        <v>815</v>
      </c>
      <c r="B176" s="84">
        <v>476600</v>
      </c>
      <c r="C176" s="84">
        <v>461700</v>
      </c>
      <c r="D176" s="84">
        <v>295700</v>
      </c>
      <c r="E176">
        <v>284900</v>
      </c>
      <c r="F176">
        <v>284900</v>
      </c>
    </row>
    <row r="177" spans="1:6">
      <c r="A177" s="81" t="s">
        <v>816</v>
      </c>
      <c r="B177" s="84">
        <v>485500</v>
      </c>
      <c r="C177" s="84">
        <v>468400</v>
      </c>
      <c r="D177" s="84">
        <v>304400</v>
      </c>
      <c r="E177">
        <v>292700</v>
      </c>
      <c r="F177">
        <v>292700</v>
      </c>
    </row>
    <row r="178" spans="1:6">
      <c r="A178" s="81" t="s">
        <v>817</v>
      </c>
      <c r="B178" s="84">
        <v>495400</v>
      </c>
      <c r="C178" s="84">
        <v>475300</v>
      </c>
      <c r="D178" s="84">
        <v>312900</v>
      </c>
      <c r="E178">
        <v>300400</v>
      </c>
      <c r="F178">
        <v>300400</v>
      </c>
    </row>
    <row r="179" spans="1:6">
      <c r="A179" s="81" t="s">
        <v>818</v>
      </c>
      <c r="B179" s="84">
        <v>504400</v>
      </c>
      <c r="C179" s="84">
        <v>482400</v>
      </c>
      <c r="D179" s="84">
        <v>321100</v>
      </c>
      <c r="E179">
        <v>307700</v>
      </c>
      <c r="F179">
        <v>307700</v>
      </c>
    </row>
    <row r="180" spans="1:6">
      <c r="A180" s="81" t="s">
        <v>819</v>
      </c>
      <c r="B180" s="84">
        <v>512800</v>
      </c>
      <c r="C180" s="84">
        <v>488800</v>
      </c>
      <c r="D180" s="84">
        <v>328800</v>
      </c>
      <c r="E180">
        <v>314600</v>
      </c>
      <c r="F180">
        <v>314600</v>
      </c>
    </row>
    <row r="181" spans="1:6">
      <c r="A181" s="81" t="s">
        <v>820</v>
      </c>
      <c r="B181" s="84">
        <v>520100</v>
      </c>
      <c r="C181" s="84">
        <v>494000</v>
      </c>
      <c r="D181" s="84">
        <v>336400</v>
      </c>
      <c r="E181">
        <v>321400</v>
      </c>
      <c r="F181">
        <v>321400</v>
      </c>
    </row>
    <row r="182" spans="1:6">
      <c r="A182" s="81" t="s">
        <v>821</v>
      </c>
      <c r="B182" s="84">
        <v>524500</v>
      </c>
      <c r="C182" s="84">
        <v>497900</v>
      </c>
      <c r="D182" s="84">
        <v>343500</v>
      </c>
      <c r="E182">
        <v>327400</v>
      </c>
      <c r="F182">
        <v>327400</v>
      </c>
    </row>
    <row r="183" spans="1:6">
      <c r="A183" s="81" t="s">
        <v>822</v>
      </c>
      <c r="D183" s="84">
        <v>349300</v>
      </c>
      <c r="E183">
        <v>333000</v>
      </c>
      <c r="F183">
        <v>333000</v>
      </c>
    </row>
    <row r="184" spans="1:6">
      <c r="A184" s="81" t="s">
        <v>823</v>
      </c>
      <c r="D184" s="84">
        <v>354300</v>
      </c>
      <c r="E184">
        <v>336600</v>
      </c>
      <c r="F184">
        <v>336600</v>
      </c>
    </row>
    <row r="185" spans="1:6">
      <c r="A185" s="81" t="s">
        <v>824</v>
      </c>
      <c r="D185" s="84">
        <v>358900</v>
      </c>
      <c r="E185">
        <v>339900</v>
      </c>
      <c r="F185">
        <v>339900</v>
      </c>
    </row>
    <row r="186" spans="1:6">
      <c r="A186" s="81" t="s">
        <v>825</v>
      </c>
      <c r="D186" s="84">
        <v>362300</v>
      </c>
      <c r="E186">
        <v>342900</v>
      </c>
      <c r="F186">
        <v>342900</v>
      </c>
    </row>
    <row r="187" spans="1:6">
      <c r="A187" s="81" t="s">
        <v>826</v>
      </c>
      <c r="D187" s="84">
        <v>365800</v>
      </c>
      <c r="E187">
        <v>345200</v>
      </c>
      <c r="F187">
        <v>345200</v>
      </c>
    </row>
    <row r="188" spans="1:6">
      <c r="A188" s="81" t="s">
        <v>827</v>
      </c>
      <c r="D188" s="84">
        <v>369000</v>
      </c>
      <c r="E188">
        <v>347400</v>
      </c>
      <c r="F188">
        <v>347400</v>
      </c>
    </row>
    <row r="189" spans="1:6">
      <c r="A189" s="81" t="s">
        <v>828</v>
      </c>
      <c r="D189" s="84">
        <v>371800</v>
      </c>
      <c r="E189">
        <v>349700</v>
      </c>
      <c r="F189">
        <v>349700</v>
      </c>
    </row>
    <row r="190" spans="1:6">
      <c r="A190" s="81" t="s">
        <v>829</v>
      </c>
      <c r="D190" s="84">
        <v>374600</v>
      </c>
      <c r="E190">
        <v>351900</v>
      </c>
      <c r="F190">
        <v>351900</v>
      </c>
    </row>
    <row r="191" spans="1:6">
      <c r="A191" s="81" t="s">
        <v>830</v>
      </c>
      <c r="D191" s="84">
        <v>376900</v>
      </c>
      <c r="E191">
        <v>354100</v>
      </c>
      <c r="F191">
        <v>354100</v>
      </c>
    </row>
    <row r="192" spans="1:6">
      <c r="A192" s="81" t="s">
        <v>831</v>
      </c>
      <c r="D192" s="84">
        <v>379200</v>
      </c>
      <c r="E192">
        <v>356500</v>
      </c>
      <c r="F192">
        <v>356500</v>
      </c>
    </row>
    <row r="193" spans="1:6">
      <c r="A193" s="81" t="s">
        <v>832</v>
      </c>
      <c r="D193" s="84">
        <v>381700</v>
      </c>
      <c r="E193">
        <v>358700</v>
      </c>
      <c r="F193">
        <v>358700</v>
      </c>
    </row>
    <row r="194" spans="1:6">
      <c r="A194" s="81" t="s">
        <v>833</v>
      </c>
      <c r="D194" s="84">
        <v>384300</v>
      </c>
      <c r="E194">
        <v>361000</v>
      </c>
      <c r="F194">
        <v>361000</v>
      </c>
    </row>
    <row r="195" spans="1:6">
      <c r="A195" s="81" t="s">
        <v>834</v>
      </c>
      <c r="E195">
        <v>363200</v>
      </c>
      <c r="F195">
        <v>363200</v>
      </c>
    </row>
    <row r="196" spans="1:6">
      <c r="A196" s="81" t="s">
        <v>806</v>
      </c>
      <c r="B196" s="84">
        <v>528900</v>
      </c>
      <c r="C196" s="84">
        <v>501800</v>
      </c>
      <c r="D196" s="84">
        <v>386900</v>
      </c>
      <c r="E196">
        <v>365400</v>
      </c>
    </row>
    <row r="197" spans="1:6">
      <c r="A197" s="81" t="s">
        <v>835</v>
      </c>
      <c r="B197" s="84">
        <v>533300</v>
      </c>
      <c r="C197" s="84">
        <v>505700</v>
      </c>
      <c r="D197" s="84">
        <v>389500</v>
      </c>
      <c r="E197">
        <v>367600</v>
      </c>
    </row>
    <row r="198" spans="1:6">
      <c r="A198" s="81" t="s">
        <v>836</v>
      </c>
      <c r="B198" s="84">
        <v>537700</v>
      </c>
      <c r="C198" s="84">
        <v>509600</v>
      </c>
      <c r="D198" s="84">
        <v>392100</v>
      </c>
      <c r="E198">
        <v>369800</v>
      </c>
    </row>
    <row r="199" spans="1:6">
      <c r="A199" s="81" t="s">
        <v>837</v>
      </c>
      <c r="B199" s="84">
        <v>542100</v>
      </c>
      <c r="C199" s="84">
        <v>513500</v>
      </c>
      <c r="D199" s="84">
        <v>394700</v>
      </c>
      <c r="E199">
        <v>372000</v>
      </c>
    </row>
    <row r="200" spans="1:6">
      <c r="A200" s="81" t="s">
        <v>838</v>
      </c>
      <c r="B200" s="84">
        <v>546500</v>
      </c>
      <c r="C200" s="84">
        <v>517400</v>
      </c>
      <c r="D200" s="84">
        <v>397300</v>
      </c>
      <c r="E200">
        <v>374200</v>
      </c>
    </row>
    <row r="201" spans="1:6">
      <c r="A201" s="81" t="s">
        <v>839</v>
      </c>
      <c r="B201" s="84">
        <v>550900</v>
      </c>
      <c r="C201" s="84">
        <v>521300</v>
      </c>
      <c r="D201" s="84">
        <v>399900</v>
      </c>
      <c r="E201">
        <v>376400</v>
      </c>
    </row>
    <row r="202" spans="1:6">
      <c r="A202" s="81" t="s">
        <v>840</v>
      </c>
      <c r="B202" s="84">
        <v>555300</v>
      </c>
      <c r="C202" s="84">
        <v>525200</v>
      </c>
      <c r="D202" s="84">
        <v>402500</v>
      </c>
      <c r="E202">
        <v>378600</v>
      </c>
    </row>
    <row r="203" spans="1:6">
      <c r="A203" s="81" t="s">
        <v>841</v>
      </c>
      <c r="B203" s="84">
        <v>559700</v>
      </c>
      <c r="C203" s="84">
        <v>529100</v>
      </c>
      <c r="D203" s="84">
        <v>405100</v>
      </c>
      <c r="E203">
        <v>380800</v>
      </c>
    </row>
    <row r="204" spans="1:6">
      <c r="A204" s="81" t="s">
        <v>842</v>
      </c>
      <c r="B204" s="84">
        <v>564100</v>
      </c>
      <c r="C204" s="84">
        <v>533000</v>
      </c>
      <c r="D204" s="84">
        <v>407700</v>
      </c>
      <c r="E204">
        <v>383000</v>
      </c>
    </row>
    <row r="205" spans="1:6">
      <c r="A205" s="81" t="s">
        <v>843</v>
      </c>
      <c r="B205" s="84">
        <v>568500</v>
      </c>
      <c r="C205" s="84">
        <v>536900</v>
      </c>
      <c r="D205" s="84">
        <v>410300</v>
      </c>
      <c r="E205">
        <v>385200</v>
      </c>
    </row>
    <row r="206" spans="1:6">
      <c r="A206" s="81" t="s">
        <v>844</v>
      </c>
      <c r="C206" s="84">
        <v>540800</v>
      </c>
      <c r="D206" s="84">
        <v>412900</v>
      </c>
    </row>
    <row r="207" spans="1:6">
      <c r="A207" s="81" t="s">
        <v>845</v>
      </c>
      <c r="C207" s="84">
        <v>544700</v>
      </c>
      <c r="D207" s="84">
        <v>415500</v>
      </c>
    </row>
    <row r="208" spans="1:6">
      <c r="A208" s="81" t="s">
        <v>846</v>
      </c>
      <c r="C208" s="84">
        <v>548600</v>
      </c>
      <c r="D208" s="84">
        <v>264300</v>
      </c>
      <c r="E208">
        <v>235000</v>
      </c>
      <c r="F208">
        <v>235000</v>
      </c>
    </row>
    <row r="209" spans="1:6">
      <c r="A209" s="81" t="s">
        <v>847</v>
      </c>
      <c r="C209" s="84">
        <v>552500</v>
      </c>
      <c r="D209" s="84">
        <v>273700</v>
      </c>
      <c r="E209">
        <v>243900</v>
      </c>
      <c r="F209">
        <v>243900</v>
      </c>
    </row>
    <row r="210" spans="1:6">
      <c r="A210" s="81" t="s">
        <v>848</v>
      </c>
      <c r="C210" s="84">
        <v>556400</v>
      </c>
      <c r="D210" s="84">
        <v>283100</v>
      </c>
      <c r="E210">
        <v>252900</v>
      </c>
      <c r="F210">
        <v>252900</v>
      </c>
    </row>
    <row r="211" spans="1:6">
      <c r="A211" s="81" t="s">
        <v>849</v>
      </c>
      <c r="D211" s="84">
        <v>292500</v>
      </c>
      <c r="E211">
        <v>261500</v>
      </c>
      <c r="F211">
        <v>261500</v>
      </c>
    </row>
    <row r="212" spans="1:6">
      <c r="A212" s="81" t="s">
        <v>850</v>
      </c>
      <c r="D212" s="84">
        <v>302200</v>
      </c>
      <c r="E212">
        <v>270000</v>
      </c>
      <c r="F212">
        <v>270000</v>
      </c>
    </row>
    <row r="213" spans="1:6">
      <c r="A213" s="81" t="s">
        <v>851</v>
      </c>
      <c r="D213" s="84">
        <v>311800</v>
      </c>
      <c r="E213">
        <v>278600</v>
      </c>
      <c r="F213">
        <v>278600</v>
      </c>
    </row>
    <row r="214" spans="1:6">
      <c r="A214" s="81" t="s">
        <v>852</v>
      </c>
      <c r="D214" s="84">
        <v>321500</v>
      </c>
      <c r="E214">
        <v>287100</v>
      </c>
      <c r="F214">
        <v>287100</v>
      </c>
    </row>
    <row r="215" spans="1:6">
      <c r="A215" s="81" t="s">
        <v>853</v>
      </c>
      <c r="D215" s="84">
        <v>331000</v>
      </c>
      <c r="E215">
        <v>295500</v>
      </c>
      <c r="F215">
        <v>295500</v>
      </c>
    </row>
    <row r="216" spans="1:6">
      <c r="A216" s="81" t="s">
        <v>854</v>
      </c>
      <c r="D216" s="84">
        <v>340400</v>
      </c>
      <c r="E216">
        <v>303900</v>
      </c>
      <c r="F216">
        <v>303900</v>
      </c>
    </row>
    <row r="217" spans="1:6">
      <c r="A217" s="81" t="s">
        <v>855</v>
      </c>
      <c r="D217" s="84">
        <v>349500</v>
      </c>
      <c r="E217">
        <v>312200</v>
      </c>
      <c r="F217">
        <v>312200</v>
      </c>
    </row>
    <row r="218" spans="1:6">
      <c r="A218" s="81" t="s">
        <v>856</v>
      </c>
      <c r="D218" s="84">
        <v>358600</v>
      </c>
      <c r="E218">
        <v>320100</v>
      </c>
      <c r="F218">
        <v>320100</v>
      </c>
    </row>
    <row r="219" spans="1:6">
      <c r="A219" s="81" t="s">
        <v>857</v>
      </c>
      <c r="D219" s="84">
        <v>367000</v>
      </c>
      <c r="E219">
        <v>327500</v>
      </c>
      <c r="F219">
        <v>327500</v>
      </c>
    </row>
    <row r="220" spans="1:6">
      <c r="A220" s="81" t="s">
        <v>858</v>
      </c>
      <c r="D220" s="84">
        <v>375500</v>
      </c>
      <c r="E220">
        <v>334900</v>
      </c>
      <c r="F220">
        <v>334900</v>
      </c>
    </row>
    <row r="221" spans="1:6">
      <c r="A221" s="81" t="s">
        <v>859</v>
      </c>
      <c r="D221" s="84">
        <v>383200</v>
      </c>
      <c r="E221">
        <v>342000</v>
      </c>
      <c r="F221">
        <v>342000</v>
      </c>
    </row>
    <row r="222" spans="1:6">
      <c r="A222" s="81" t="s">
        <v>860</v>
      </c>
      <c r="D222" s="84">
        <v>389300</v>
      </c>
      <c r="E222">
        <v>347500</v>
      </c>
      <c r="F222">
        <v>347500</v>
      </c>
    </row>
    <row r="223" spans="1:6">
      <c r="A223" s="81" t="s">
        <v>861</v>
      </c>
      <c r="D223" s="84">
        <v>395000</v>
      </c>
      <c r="E223">
        <v>352200</v>
      </c>
      <c r="F223">
        <v>352200</v>
      </c>
    </row>
    <row r="224" spans="1:6">
      <c r="A224" s="81" t="s">
        <v>862</v>
      </c>
      <c r="D224" s="84">
        <v>399600</v>
      </c>
      <c r="E224">
        <v>356200</v>
      </c>
      <c r="F224">
        <v>356200</v>
      </c>
    </row>
    <row r="225" spans="1:6">
      <c r="A225" s="81" t="s">
        <v>863</v>
      </c>
      <c r="D225" s="84">
        <v>404100</v>
      </c>
      <c r="E225">
        <v>359500</v>
      </c>
      <c r="F225">
        <v>359500</v>
      </c>
    </row>
    <row r="226" spans="1:6">
      <c r="A226" s="81" t="s">
        <v>864</v>
      </c>
      <c r="D226" s="84">
        <v>407900</v>
      </c>
      <c r="E226">
        <v>362300</v>
      </c>
      <c r="F226">
        <v>362300</v>
      </c>
    </row>
    <row r="227" spans="1:6">
      <c r="A227" s="81" t="s">
        <v>865</v>
      </c>
      <c r="D227" s="84">
        <v>411200</v>
      </c>
      <c r="E227">
        <v>365200</v>
      </c>
      <c r="F227">
        <v>365200</v>
      </c>
    </row>
    <row r="228" spans="1:6">
      <c r="A228" s="81" t="s">
        <v>866</v>
      </c>
      <c r="D228" s="84">
        <v>414700</v>
      </c>
      <c r="E228">
        <v>367700</v>
      </c>
      <c r="F228">
        <v>367700</v>
      </c>
    </row>
    <row r="229" spans="1:6">
      <c r="A229" s="81" t="s">
        <v>867</v>
      </c>
      <c r="D229" s="84">
        <v>418100</v>
      </c>
      <c r="E229">
        <v>370200</v>
      </c>
      <c r="F229">
        <v>370200</v>
      </c>
    </row>
    <row r="230" spans="1:6">
      <c r="A230" s="81" t="s">
        <v>868</v>
      </c>
      <c r="D230" s="84">
        <v>421500</v>
      </c>
      <c r="E230">
        <v>372700</v>
      </c>
      <c r="F230">
        <v>372700</v>
      </c>
    </row>
    <row r="231" spans="1:6">
      <c r="A231" s="81" t="s">
        <v>869</v>
      </c>
      <c r="E231">
        <v>375300</v>
      </c>
      <c r="F231">
        <v>375300</v>
      </c>
    </row>
    <row r="232" spans="1:6">
      <c r="A232" s="81" t="s">
        <v>870</v>
      </c>
      <c r="E232">
        <v>377800</v>
      </c>
      <c r="F232">
        <v>377800</v>
      </c>
    </row>
    <row r="233" spans="1:6">
      <c r="A233" s="81" t="s">
        <v>871</v>
      </c>
      <c r="E233">
        <v>380400</v>
      </c>
      <c r="F233">
        <v>380400</v>
      </c>
    </row>
    <row r="234" spans="1:6">
      <c r="A234" s="81" t="s">
        <v>872</v>
      </c>
      <c r="D234" s="84">
        <v>424900</v>
      </c>
      <c r="E234">
        <v>383000</v>
      </c>
    </row>
    <row r="235" spans="1:6">
      <c r="A235" s="81" t="s">
        <v>873</v>
      </c>
      <c r="D235" s="84">
        <v>428300</v>
      </c>
      <c r="E235">
        <v>385600</v>
      </c>
    </row>
    <row r="236" spans="1:6">
      <c r="A236" s="81" t="s">
        <v>874</v>
      </c>
      <c r="D236" s="84">
        <v>431700</v>
      </c>
      <c r="E236">
        <v>388200</v>
      </c>
    </row>
    <row r="237" spans="1:6">
      <c r="A237" s="81" t="s">
        <v>875</v>
      </c>
      <c r="D237" s="84">
        <v>435100</v>
      </c>
      <c r="E237">
        <v>390800</v>
      </c>
    </row>
    <row r="238" spans="1:6">
      <c r="A238" s="81" t="s">
        <v>876</v>
      </c>
      <c r="D238" s="84">
        <v>438500</v>
      </c>
      <c r="E238">
        <v>393400</v>
      </c>
    </row>
    <row r="239" spans="1:6">
      <c r="A239" s="81" t="s">
        <v>877</v>
      </c>
      <c r="D239" s="84">
        <v>441900</v>
      </c>
      <c r="E239">
        <v>396000</v>
      </c>
    </row>
    <row r="240" spans="1:6">
      <c r="A240" s="81" t="s">
        <v>878</v>
      </c>
      <c r="D240" s="84">
        <v>445300</v>
      </c>
      <c r="E240">
        <v>398600</v>
      </c>
    </row>
    <row r="241" spans="1:5">
      <c r="A241" s="81" t="s">
        <v>879</v>
      </c>
      <c r="D241" s="84">
        <v>448700</v>
      </c>
      <c r="E241">
        <v>401200</v>
      </c>
    </row>
    <row r="242" spans="1:5">
      <c r="A242" s="81" t="s">
        <v>880</v>
      </c>
      <c r="D242" s="84">
        <v>452100</v>
      </c>
      <c r="E242">
        <v>403800</v>
      </c>
    </row>
    <row r="243" spans="1:5">
      <c r="A243" s="81" t="s">
        <v>881</v>
      </c>
      <c r="D243" s="84">
        <v>455500</v>
      </c>
      <c r="E243">
        <v>406400</v>
      </c>
    </row>
    <row r="244" spans="1:5">
      <c r="A244" s="81" t="s">
        <v>882</v>
      </c>
      <c r="D244" s="84">
        <v>458900</v>
      </c>
    </row>
    <row r="245" spans="1:5">
      <c r="A245" s="81" t="s">
        <v>883</v>
      </c>
      <c r="D245" s="84">
        <v>462300</v>
      </c>
    </row>
    <row r="246" spans="1:5">
      <c r="A246" s="34" t="s">
        <v>884</v>
      </c>
      <c r="D246" s="84">
        <v>273700</v>
      </c>
    </row>
    <row r="247" spans="1:5">
      <c r="A247" s="34" t="s">
        <v>885</v>
      </c>
      <c r="D247" s="84">
        <v>283100</v>
      </c>
    </row>
    <row r="248" spans="1:5">
      <c r="A248" s="34" t="s">
        <v>886</v>
      </c>
      <c r="D248" s="84">
        <v>292500</v>
      </c>
    </row>
    <row r="249" spans="1:5">
      <c r="A249" s="34" t="s">
        <v>887</v>
      </c>
      <c r="D249" s="84">
        <v>302200</v>
      </c>
    </row>
    <row r="250" spans="1:5">
      <c r="A250" s="34" t="s">
        <v>888</v>
      </c>
      <c r="D250" s="84">
        <v>311800</v>
      </c>
    </row>
    <row r="251" spans="1:5">
      <c r="A251" s="34" t="s">
        <v>889</v>
      </c>
      <c r="D251" s="84">
        <v>321500</v>
      </c>
    </row>
    <row r="252" spans="1:5">
      <c r="A252" s="34" t="s">
        <v>890</v>
      </c>
      <c r="D252" s="84">
        <v>331000</v>
      </c>
    </row>
    <row r="253" spans="1:5">
      <c r="A253" s="34" t="s">
        <v>891</v>
      </c>
      <c r="D253" s="84">
        <v>342100</v>
      </c>
    </row>
    <row r="254" spans="1:5">
      <c r="A254" s="34" t="s">
        <v>892</v>
      </c>
      <c r="D254" s="84">
        <v>351500</v>
      </c>
    </row>
    <row r="255" spans="1:5">
      <c r="A255" s="34" t="s">
        <v>893</v>
      </c>
      <c r="D255" s="84">
        <v>360700</v>
      </c>
    </row>
    <row r="256" spans="1:5">
      <c r="A256" s="34" t="s">
        <v>894</v>
      </c>
      <c r="D256" s="84">
        <v>369700</v>
      </c>
    </row>
    <row r="257" spans="1:4">
      <c r="A257" s="34" t="s">
        <v>895</v>
      </c>
      <c r="D257" s="84">
        <v>378300</v>
      </c>
    </row>
    <row r="258" spans="1:4">
      <c r="A258" s="34" t="s">
        <v>896</v>
      </c>
      <c r="D258" s="84">
        <v>386700</v>
      </c>
    </row>
    <row r="259" spans="1:4">
      <c r="A259" s="34" t="s">
        <v>897</v>
      </c>
      <c r="D259" s="84">
        <v>393700</v>
      </c>
    </row>
    <row r="260" spans="1:4">
      <c r="A260" s="34" t="s">
        <v>898</v>
      </c>
      <c r="D260" s="84">
        <v>399200</v>
      </c>
    </row>
    <row r="261" spans="1:4">
      <c r="A261" s="34" t="s">
        <v>899</v>
      </c>
      <c r="D261" s="84">
        <v>403900</v>
      </c>
    </row>
    <row r="262" spans="1:4">
      <c r="A262" s="34" t="s">
        <v>900</v>
      </c>
      <c r="D262" s="84">
        <v>408100</v>
      </c>
    </row>
    <row r="263" spans="1:4">
      <c r="A263" s="34" t="s">
        <v>901</v>
      </c>
      <c r="D263" s="84">
        <v>411500</v>
      </c>
    </row>
    <row r="264" spans="1:4">
      <c r="A264" s="34" t="s">
        <v>902</v>
      </c>
      <c r="D264" s="84">
        <v>415200</v>
      </c>
    </row>
    <row r="265" spans="1:4">
      <c r="A265" s="34" t="s">
        <v>903</v>
      </c>
      <c r="D265" s="84">
        <v>418700</v>
      </c>
    </row>
    <row r="266" spans="1:4">
      <c r="A266" s="34" t="s">
        <v>904</v>
      </c>
      <c r="D266" s="84">
        <v>422200</v>
      </c>
    </row>
    <row r="267" spans="1:4">
      <c r="A267" s="34" t="s">
        <v>905</v>
      </c>
      <c r="D267" s="84">
        <v>425700</v>
      </c>
    </row>
    <row r="268" spans="1:4">
      <c r="A268" s="34" t="s">
        <v>906</v>
      </c>
      <c r="D268" s="84">
        <v>429200</v>
      </c>
    </row>
    <row r="269" spans="1:4">
      <c r="A269" s="34" t="s">
        <v>907</v>
      </c>
      <c r="D269" s="84">
        <v>432700</v>
      </c>
    </row>
    <row r="270" spans="1:4">
      <c r="A270" s="34" t="s">
        <v>908</v>
      </c>
      <c r="D270" s="84">
        <v>436200</v>
      </c>
    </row>
    <row r="271" spans="1:4">
      <c r="A271" s="34" t="s">
        <v>909</v>
      </c>
      <c r="D271" s="84">
        <v>439700</v>
      </c>
    </row>
    <row r="272" spans="1:4">
      <c r="A272" s="34" t="s">
        <v>910</v>
      </c>
      <c r="D272" s="84">
        <v>443200</v>
      </c>
    </row>
    <row r="273" spans="1:6">
      <c r="A273" s="34" t="s">
        <v>911</v>
      </c>
      <c r="D273" s="84">
        <v>446700</v>
      </c>
    </row>
    <row r="274" spans="1:6">
      <c r="A274" s="34" t="s">
        <v>912</v>
      </c>
      <c r="D274" s="84">
        <v>450200</v>
      </c>
    </row>
    <row r="275" spans="1:6">
      <c r="A275" s="34" t="s">
        <v>913</v>
      </c>
      <c r="D275" s="84">
        <v>453700</v>
      </c>
    </row>
    <row r="276" spans="1:6">
      <c r="A276" s="34" t="s">
        <v>914</v>
      </c>
      <c r="D276" s="84">
        <v>457200</v>
      </c>
    </row>
    <row r="277" spans="1:6">
      <c r="A277" s="34" t="s">
        <v>915</v>
      </c>
      <c r="D277" s="84">
        <v>460700</v>
      </c>
    </row>
    <row r="278" spans="1:6">
      <c r="A278" s="34" t="s">
        <v>916</v>
      </c>
      <c r="D278" s="84">
        <v>464200</v>
      </c>
    </row>
    <row r="279" spans="1:6">
      <c r="A279" s="34" t="s">
        <v>917</v>
      </c>
      <c r="D279" s="84">
        <v>467700</v>
      </c>
    </row>
    <row r="280" spans="1:6">
      <c r="A280" s="81" t="s">
        <v>918</v>
      </c>
      <c r="E280">
        <v>255500</v>
      </c>
      <c r="F280">
        <v>253800</v>
      </c>
    </row>
    <row r="281" spans="1:6">
      <c r="A281" s="81" t="s">
        <v>919</v>
      </c>
      <c r="E281">
        <v>264300</v>
      </c>
      <c r="F281">
        <v>261000</v>
      </c>
    </row>
    <row r="282" spans="1:6">
      <c r="A282" s="81" t="s">
        <v>920</v>
      </c>
      <c r="E282">
        <v>273300</v>
      </c>
      <c r="F282">
        <v>268300</v>
      </c>
    </row>
    <row r="283" spans="1:6">
      <c r="A283" s="81" t="s">
        <v>921</v>
      </c>
      <c r="E283">
        <v>282400</v>
      </c>
      <c r="F283">
        <v>276300</v>
      </c>
    </row>
    <row r="284" spans="1:6">
      <c r="A284" s="81" t="s">
        <v>922</v>
      </c>
      <c r="E284">
        <v>291400</v>
      </c>
      <c r="F284">
        <v>284300</v>
      </c>
    </row>
    <row r="285" spans="1:6">
      <c r="A285" s="81" t="s">
        <v>923</v>
      </c>
      <c r="E285">
        <v>300600</v>
      </c>
      <c r="F285">
        <v>292500</v>
      </c>
    </row>
    <row r="286" spans="1:6">
      <c r="A286" s="81" t="s">
        <v>924</v>
      </c>
      <c r="E286">
        <v>309900</v>
      </c>
      <c r="F286">
        <v>300900</v>
      </c>
    </row>
    <row r="287" spans="1:6">
      <c r="A287" s="81" t="s">
        <v>925</v>
      </c>
      <c r="E287">
        <v>319100</v>
      </c>
      <c r="F287">
        <v>309000</v>
      </c>
    </row>
    <row r="288" spans="1:6">
      <c r="A288" s="81" t="s">
        <v>926</v>
      </c>
      <c r="E288">
        <v>328400</v>
      </c>
      <c r="F288">
        <v>316900</v>
      </c>
    </row>
    <row r="289" spans="1:6">
      <c r="A289" s="81" t="s">
        <v>927</v>
      </c>
      <c r="E289">
        <v>337600</v>
      </c>
      <c r="F289">
        <v>324400</v>
      </c>
    </row>
    <row r="290" spans="1:6">
      <c r="A290" s="81" t="s">
        <v>928</v>
      </c>
      <c r="E290">
        <v>346800</v>
      </c>
      <c r="F290">
        <v>331900</v>
      </c>
    </row>
    <row r="291" spans="1:6">
      <c r="A291" s="81" t="s">
        <v>929</v>
      </c>
      <c r="E291">
        <v>356000</v>
      </c>
      <c r="F291">
        <v>338900</v>
      </c>
    </row>
    <row r="292" spans="1:6">
      <c r="A292" s="81" t="s">
        <v>930</v>
      </c>
      <c r="E292">
        <v>364900</v>
      </c>
      <c r="F292">
        <v>345900</v>
      </c>
    </row>
    <row r="293" spans="1:6">
      <c r="A293" s="81" t="s">
        <v>931</v>
      </c>
      <c r="E293">
        <v>373500</v>
      </c>
      <c r="F293">
        <v>351900</v>
      </c>
    </row>
    <row r="294" spans="1:6">
      <c r="A294" s="81" t="s">
        <v>932</v>
      </c>
      <c r="E294">
        <v>381000</v>
      </c>
      <c r="F294">
        <v>358000</v>
      </c>
    </row>
    <row r="295" spans="1:6">
      <c r="A295" s="81" t="s">
        <v>933</v>
      </c>
      <c r="E295">
        <v>386500</v>
      </c>
      <c r="F295">
        <v>363900</v>
      </c>
    </row>
    <row r="296" spans="1:6">
      <c r="A296" s="81" t="s">
        <v>934</v>
      </c>
      <c r="E296">
        <v>391500</v>
      </c>
      <c r="F296">
        <v>369500</v>
      </c>
    </row>
    <row r="297" spans="1:6">
      <c r="A297" s="81" t="s">
        <v>935</v>
      </c>
      <c r="E297">
        <v>394900</v>
      </c>
      <c r="F297">
        <v>374800</v>
      </c>
    </row>
    <row r="298" spans="1:6">
      <c r="A298" s="81" t="s">
        <v>936</v>
      </c>
      <c r="E298">
        <v>398400</v>
      </c>
      <c r="F298">
        <v>379700</v>
      </c>
    </row>
    <row r="299" spans="1:6">
      <c r="A299" s="81" t="s">
        <v>937</v>
      </c>
      <c r="E299">
        <v>401800</v>
      </c>
      <c r="F299">
        <v>384200</v>
      </c>
    </row>
    <row r="300" spans="1:6">
      <c r="A300" s="81" t="s">
        <v>938</v>
      </c>
      <c r="E300">
        <v>405200</v>
      </c>
      <c r="F300">
        <v>388600</v>
      </c>
    </row>
    <row r="301" spans="1:6">
      <c r="A301" s="81" t="s">
        <v>939</v>
      </c>
      <c r="E301">
        <v>408500</v>
      </c>
      <c r="F301">
        <v>392700</v>
      </c>
    </row>
    <row r="302" spans="1:6">
      <c r="A302" s="81" t="s">
        <v>940</v>
      </c>
      <c r="E302">
        <v>411900</v>
      </c>
      <c r="F302">
        <v>395900</v>
      </c>
    </row>
    <row r="303" spans="1:6">
      <c r="A303" s="81" t="s">
        <v>941</v>
      </c>
      <c r="E303">
        <v>415300</v>
      </c>
    </row>
    <row r="304" spans="1:6">
      <c r="A304" s="81" t="s">
        <v>942</v>
      </c>
      <c r="E304">
        <v>418700</v>
      </c>
      <c r="F304">
        <v>399100</v>
      </c>
    </row>
    <row r="305" spans="1:6">
      <c r="A305" s="81" t="s">
        <v>943</v>
      </c>
      <c r="E305">
        <v>422100</v>
      </c>
      <c r="F305">
        <v>402300</v>
      </c>
    </row>
    <row r="306" spans="1:6">
      <c r="A306" s="81" t="s">
        <v>944</v>
      </c>
      <c r="E306">
        <v>425500</v>
      </c>
      <c r="F306">
        <v>405500</v>
      </c>
    </row>
    <row r="307" spans="1:6">
      <c r="A307" s="81" t="s">
        <v>945</v>
      </c>
      <c r="E307">
        <v>428900</v>
      </c>
      <c r="F307">
        <v>408700</v>
      </c>
    </row>
    <row r="308" spans="1:6">
      <c r="A308" s="81" t="s">
        <v>946</v>
      </c>
      <c r="E308">
        <v>432300</v>
      </c>
      <c r="F308">
        <v>411900</v>
      </c>
    </row>
    <row r="309" spans="1:6">
      <c r="A309" s="81" t="s">
        <v>947</v>
      </c>
      <c r="E309">
        <v>435700</v>
      </c>
    </row>
    <row r="310" spans="1:6">
      <c r="A310" s="81" t="s">
        <v>948</v>
      </c>
      <c r="E310">
        <v>439100</v>
      </c>
    </row>
    <row r="311" spans="1:6">
      <c r="A311" s="81" t="s">
        <v>949</v>
      </c>
      <c r="E311">
        <v>442500</v>
      </c>
    </row>
    <row r="312" spans="1:6">
      <c r="A312" s="81" t="s">
        <v>950</v>
      </c>
      <c r="E312">
        <v>445900</v>
      </c>
    </row>
    <row r="313" spans="1:6">
      <c r="A313" s="81" t="s">
        <v>951</v>
      </c>
      <c r="E313">
        <v>449300</v>
      </c>
    </row>
    <row r="314" spans="1:6">
      <c r="A314" s="81" t="s">
        <v>952</v>
      </c>
      <c r="E314">
        <v>274700</v>
      </c>
    </row>
    <row r="315" spans="1:6">
      <c r="A315" s="81" t="s">
        <v>953</v>
      </c>
      <c r="E315">
        <v>283900</v>
      </c>
    </row>
    <row r="316" spans="1:6">
      <c r="A316" s="81" t="s">
        <v>954</v>
      </c>
      <c r="E316">
        <v>293300</v>
      </c>
    </row>
    <row r="317" spans="1:6">
      <c r="A317" s="81" t="s">
        <v>955</v>
      </c>
      <c r="E317">
        <v>303100</v>
      </c>
    </row>
    <row r="318" spans="1:6">
      <c r="A318" s="81" t="s">
        <v>956</v>
      </c>
      <c r="E318">
        <v>312800</v>
      </c>
    </row>
    <row r="319" spans="1:6">
      <c r="A319" s="81" t="s">
        <v>957</v>
      </c>
      <c r="E319">
        <v>322600</v>
      </c>
    </row>
    <row r="320" spans="1:6">
      <c r="A320" s="81" t="s">
        <v>958</v>
      </c>
      <c r="E320">
        <v>332500</v>
      </c>
    </row>
    <row r="321" spans="1:5">
      <c r="A321" s="81" t="s">
        <v>959</v>
      </c>
      <c r="E321">
        <v>342100</v>
      </c>
    </row>
    <row r="322" spans="1:5">
      <c r="A322" s="81" t="s">
        <v>960</v>
      </c>
      <c r="E322">
        <v>351500</v>
      </c>
    </row>
    <row r="323" spans="1:5">
      <c r="A323" s="81" t="s">
        <v>961</v>
      </c>
      <c r="E323">
        <v>360700</v>
      </c>
    </row>
    <row r="324" spans="1:5">
      <c r="A324" s="81" t="s">
        <v>962</v>
      </c>
      <c r="E324">
        <v>369700</v>
      </c>
    </row>
    <row r="325" spans="1:5">
      <c r="A325" s="81" t="s">
        <v>963</v>
      </c>
      <c r="E325">
        <v>378300</v>
      </c>
    </row>
    <row r="326" spans="1:5">
      <c r="A326" s="81" t="s">
        <v>964</v>
      </c>
      <c r="E326">
        <v>386700</v>
      </c>
    </row>
    <row r="327" spans="1:5">
      <c r="A327" s="81" t="s">
        <v>965</v>
      </c>
      <c r="E327">
        <v>393700</v>
      </c>
    </row>
    <row r="328" spans="1:5">
      <c r="A328" s="81" t="s">
        <v>966</v>
      </c>
      <c r="E328">
        <v>399200</v>
      </c>
    </row>
    <row r="329" spans="1:5">
      <c r="A329" s="81" t="s">
        <v>967</v>
      </c>
      <c r="E329">
        <v>403900</v>
      </c>
    </row>
    <row r="330" spans="1:5">
      <c r="A330" s="81" t="s">
        <v>968</v>
      </c>
      <c r="E330">
        <v>408100</v>
      </c>
    </row>
    <row r="331" spans="1:5">
      <c r="A331" s="81" t="s">
        <v>969</v>
      </c>
      <c r="E331">
        <v>411500</v>
      </c>
    </row>
    <row r="332" spans="1:5">
      <c r="A332" s="81" t="s">
        <v>970</v>
      </c>
      <c r="E332">
        <v>415200</v>
      </c>
    </row>
    <row r="333" spans="1:5">
      <c r="A333" s="81" t="s">
        <v>971</v>
      </c>
      <c r="E333">
        <v>418700</v>
      </c>
    </row>
    <row r="334" spans="1:5">
      <c r="A334" s="81" t="s">
        <v>972</v>
      </c>
      <c r="E334">
        <v>422200</v>
      </c>
    </row>
    <row r="335" spans="1:5">
      <c r="A335" s="81" t="s">
        <v>973</v>
      </c>
      <c r="E335">
        <v>425700</v>
      </c>
    </row>
    <row r="336" spans="1:5">
      <c r="A336" s="81" t="s">
        <v>974</v>
      </c>
      <c r="E336">
        <v>429200</v>
      </c>
    </row>
    <row r="337" spans="1:5">
      <c r="A337" s="81" t="s">
        <v>975</v>
      </c>
      <c r="E337">
        <v>432700</v>
      </c>
    </row>
    <row r="338" spans="1:5">
      <c r="A338" s="81" t="s">
        <v>976</v>
      </c>
      <c r="E338">
        <v>436200</v>
      </c>
    </row>
    <row r="339" spans="1:5">
      <c r="A339" s="81" t="s">
        <v>977</v>
      </c>
      <c r="E339">
        <v>439700</v>
      </c>
    </row>
    <row r="340" spans="1:5">
      <c r="A340" s="81" t="s">
        <v>978</v>
      </c>
      <c r="E340">
        <v>443200</v>
      </c>
    </row>
    <row r="341" spans="1:5">
      <c r="A341" s="81" t="s">
        <v>979</v>
      </c>
      <c r="E341">
        <v>446700</v>
      </c>
    </row>
    <row r="342" spans="1:5">
      <c r="A342" s="81" t="s">
        <v>980</v>
      </c>
      <c r="E342">
        <v>450200</v>
      </c>
    </row>
    <row r="343" spans="1:5">
      <c r="A343" s="81" t="s">
        <v>981</v>
      </c>
      <c r="E343">
        <v>453700</v>
      </c>
    </row>
    <row r="344" spans="1:5">
      <c r="A344" s="81" t="s">
        <v>982</v>
      </c>
      <c r="E344">
        <v>457200</v>
      </c>
    </row>
    <row r="345" spans="1:5">
      <c r="A345" s="81" t="s">
        <v>983</v>
      </c>
      <c r="E345">
        <v>460700</v>
      </c>
    </row>
    <row r="346" spans="1:5">
      <c r="A346" s="81" t="s">
        <v>984</v>
      </c>
      <c r="E346">
        <v>295800</v>
      </c>
    </row>
    <row r="347" spans="1:5">
      <c r="A347" s="81" t="s">
        <v>985</v>
      </c>
      <c r="E347">
        <v>305800</v>
      </c>
    </row>
    <row r="348" spans="1:5">
      <c r="A348" s="81" t="s">
        <v>986</v>
      </c>
      <c r="E348">
        <v>315800</v>
      </c>
    </row>
    <row r="349" spans="1:5">
      <c r="A349" s="81" t="s">
        <v>987</v>
      </c>
      <c r="E349">
        <v>326100</v>
      </c>
    </row>
    <row r="350" spans="1:5">
      <c r="A350" s="81" t="s">
        <v>988</v>
      </c>
      <c r="E350">
        <v>336500</v>
      </c>
    </row>
    <row r="351" spans="1:5">
      <c r="A351" s="81" t="s">
        <v>989</v>
      </c>
      <c r="E351">
        <v>346800</v>
      </c>
    </row>
    <row r="352" spans="1:5">
      <c r="A352" s="81" t="s">
        <v>990</v>
      </c>
      <c r="E352">
        <v>356600</v>
      </c>
    </row>
    <row r="353" spans="1:5">
      <c r="A353" s="81" t="s">
        <v>991</v>
      </c>
      <c r="E353">
        <v>366100</v>
      </c>
    </row>
    <row r="354" spans="1:5">
      <c r="A354" s="81" t="s">
        <v>992</v>
      </c>
      <c r="E354">
        <v>375400</v>
      </c>
    </row>
    <row r="355" spans="1:5">
      <c r="A355" s="81" t="s">
        <v>993</v>
      </c>
      <c r="E355">
        <v>384700</v>
      </c>
    </row>
    <row r="356" spans="1:5">
      <c r="A356" s="81" t="s">
        <v>994</v>
      </c>
      <c r="E356">
        <v>394000</v>
      </c>
    </row>
    <row r="357" spans="1:5">
      <c r="A357" s="81" t="s">
        <v>995</v>
      </c>
      <c r="E357">
        <v>403200</v>
      </c>
    </row>
    <row r="358" spans="1:5">
      <c r="A358" s="81" t="s">
        <v>996</v>
      </c>
      <c r="E358">
        <v>411800</v>
      </c>
    </row>
    <row r="359" spans="1:5">
      <c r="A359" s="81" t="s">
        <v>997</v>
      </c>
      <c r="E359">
        <v>419700</v>
      </c>
    </row>
    <row r="360" spans="1:5">
      <c r="A360" s="81" t="s">
        <v>998</v>
      </c>
      <c r="E360">
        <v>425500</v>
      </c>
    </row>
    <row r="361" spans="1:5">
      <c r="A361" s="81" t="s">
        <v>999</v>
      </c>
      <c r="E361">
        <v>431100</v>
      </c>
    </row>
    <row r="362" spans="1:5">
      <c r="A362" s="81" t="s">
        <v>1000</v>
      </c>
      <c r="E362">
        <v>434900</v>
      </c>
    </row>
    <row r="363" spans="1:5">
      <c r="A363" s="81" t="s">
        <v>1001</v>
      </c>
      <c r="E363">
        <v>438500</v>
      </c>
    </row>
    <row r="364" spans="1:5">
      <c r="A364" s="81" t="s">
        <v>1002</v>
      </c>
      <c r="E364">
        <v>442400</v>
      </c>
    </row>
    <row r="365" spans="1:5">
      <c r="A365" s="81" t="s">
        <v>1003</v>
      </c>
      <c r="E365">
        <v>446000</v>
      </c>
    </row>
    <row r="366" spans="1:5">
      <c r="A366" s="81" t="s">
        <v>1004</v>
      </c>
      <c r="E366">
        <v>449600</v>
      </c>
    </row>
    <row r="367" spans="1:5">
      <c r="A367" s="81" t="s">
        <v>1005</v>
      </c>
      <c r="E367">
        <v>453200</v>
      </c>
    </row>
    <row r="368" spans="1:5">
      <c r="A368" s="81" t="s">
        <v>1006</v>
      </c>
      <c r="E368">
        <v>456800</v>
      </c>
    </row>
    <row r="369" spans="1:5">
      <c r="A369" s="81" t="s">
        <v>1007</v>
      </c>
      <c r="E369">
        <v>460400</v>
      </c>
    </row>
    <row r="370" spans="1:5">
      <c r="A370" s="81" t="s">
        <v>1008</v>
      </c>
      <c r="E370">
        <v>464000</v>
      </c>
    </row>
    <row r="371" spans="1:5">
      <c r="A371" s="81" t="s">
        <v>1009</v>
      </c>
      <c r="E371">
        <v>467600</v>
      </c>
    </row>
    <row r="372" spans="1:5">
      <c r="A372" s="81" t="s">
        <v>1010</v>
      </c>
      <c r="E372">
        <v>471200</v>
      </c>
    </row>
    <row r="373" spans="1:5">
      <c r="A373" s="81" t="s">
        <v>1011</v>
      </c>
      <c r="E373">
        <v>474800</v>
      </c>
    </row>
    <row r="374" spans="1:5">
      <c r="A374" s="81" t="s">
        <v>1012</v>
      </c>
      <c r="E374">
        <v>478400</v>
      </c>
    </row>
    <row r="375" spans="1:5">
      <c r="A375" s="81" t="s">
        <v>1013</v>
      </c>
      <c r="E375">
        <v>482000</v>
      </c>
    </row>
    <row r="376" spans="1:5">
      <c r="A376" s="81" t="s">
        <v>1014</v>
      </c>
      <c r="E376">
        <v>485600</v>
      </c>
    </row>
    <row r="377" spans="1:5">
      <c r="A377" s="81" t="s">
        <v>1015</v>
      </c>
      <c r="E377">
        <v>329200</v>
      </c>
    </row>
    <row r="378" spans="1:5">
      <c r="A378" s="81" t="s">
        <v>1016</v>
      </c>
      <c r="E378">
        <v>341200</v>
      </c>
    </row>
    <row r="379" spans="1:5">
      <c r="A379" s="81" t="s">
        <v>1017</v>
      </c>
      <c r="E379">
        <v>353000</v>
      </c>
    </row>
    <row r="380" spans="1:5">
      <c r="A380" s="81" t="s">
        <v>1018</v>
      </c>
      <c r="E380">
        <v>364800</v>
      </c>
    </row>
    <row r="381" spans="1:5">
      <c r="A381" s="81" t="s">
        <v>1019</v>
      </c>
      <c r="E381">
        <v>376300</v>
      </c>
    </row>
    <row r="382" spans="1:5">
      <c r="A382" s="81" t="s">
        <v>1020</v>
      </c>
      <c r="E382">
        <v>387700</v>
      </c>
    </row>
    <row r="383" spans="1:5">
      <c r="A383" s="81" t="s">
        <v>1021</v>
      </c>
      <c r="E383">
        <v>399100</v>
      </c>
    </row>
    <row r="384" spans="1:5">
      <c r="A384" s="81" t="s">
        <v>1022</v>
      </c>
      <c r="E384">
        <v>410700</v>
      </c>
    </row>
    <row r="385" spans="1:5">
      <c r="A385" s="81" t="s">
        <v>1023</v>
      </c>
      <c r="E385">
        <v>422100</v>
      </c>
    </row>
    <row r="386" spans="1:5">
      <c r="A386" s="81" t="s">
        <v>1024</v>
      </c>
      <c r="E386">
        <v>432800</v>
      </c>
    </row>
    <row r="387" spans="1:5">
      <c r="A387" s="81" t="s">
        <v>1025</v>
      </c>
      <c r="E387">
        <v>442500</v>
      </c>
    </row>
    <row r="388" spans="1:5">
      <c r="A388" s="81" t="s">
        <v>1026</v>
      </c>
      <c r="E388">
        <v>451900</v>
      </c>
    </row>
    <row r="389" spans="1:5">
      <c r="A389" s="81" t="s">
        <v>1027</v>
      </c>
      <c r="E389">
        <v>459600</v>
      </c>
    </row>
    <row r="390" spans="1:5">
      <c r="A390" s="81" t="s">
        <v>1028</v>
      </c>
      <c r="E390">
        <v>466000</v>
      </c>
    </row>
    <row r="391" spans="1:5">
      <c r="A391" s="81" t="s">
        <v>1029</v>
      </c>
      <c r="E391">
        <v>472400</v>
      </c>
    </row>
    <row r="392" spans="1:5">
      <c r="A392" s="81" t="s">
        <v>1030</v>
      </c>
      <c r="E392">
        <v>476900</v>
      </c>
    </row>
    <row r="393" spans="1:5">
      <c r="A393" s="81" t="s">
        <v>1031</v>
      </c>
      <c r="E393">
        <v>481200</v>
      </c>
    </row>
    <row r="394" spans="1:5">
      <c r="A394" s="81" t="s">
        <v>1032</v>
      </c>
      <c r="E394">
        <v>485300</v>
      </c>
    </row>
    <row r="395" spans="1:5">
      <c r="A395" s="81" t="s">
        <v>1033</v>
      </c>
      <c r="E395">
        <v>489400</v>
      </c>
    </row>
    <row r="396" spans="1:5">
      <c r="A396" s="81" t="s">
        <v>1034</v>
      </c>
      <c r="E396">
        <v>493500</v>
      </c>
    </row>
    <row r="397" spans="1:5">
      <c r="A397" s="81" t="s">
        <v>1035</v>
      </c>
      <c r="E397">
        <v>497600</v>
      </c>
    </row>
    <row r="398" spans="1:5">
      <c r="A398" s="81" t="s">
        <v>1036</v>
      </c>
      <c r="E398">
        <v>501700</v>
      </c>
    </row>
    <row r="399" spans="1:5">
      <c r="A399" s="81" t="s">
        <v>1037</v>
      </c>
      <c r="E399">
        <v>505800</v>
      </c>
    </row>
    <row r="400" spans="1:5">
      <c r="A400" s="81" t="s">
        <v>1038</v>
      </c>
      <c r="E400">
        <v>509900</v>
      </c>
    </row>
    <row r="401" spans="1:5">
      <c r="A401" s="81" t="s">
        <v>1039</v>
      </c>
      <c r="E401">
        <v>514000</v>
      </c>
    </row>
    <row r="402" spans="1:5">
      <c r="A402" s="81" t="s">
        <v>1040</v>
      </c>
      <c r="E402">
        <v>518100</v>
      </c>
    </row>
    <row r="403" spans="1:5">
      <c r="A403" s="81" t="s">
        <v>1041</v>
      </c>
      <c r="E403">
        <v>522200</v>
      </c>
    </row>
    <row r="404" spans="1:5">
      <c r="A404" s="81" t="s">
        <v>1042</v>
      </c>
      <c r="E404">
        <v>526300</v>
      </c>
    </row>
  </sheetData>
  <sheetProtection algorithmName="SHA-512" hashValue="C/hMNrnjpkIf223BUOs9FwR9P3kp8uW+iCDaZUqYsM3HY9GOJs9hi+vJLI9T7f3ieJ8xff9MmjhZK5735PawZg==" saltValue="p6PEi32drvIzFZ11VeLA/A==" spinCount="100000" sheet="1" objects="1" scenarios="1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+ F U t V Q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P h V L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V S 1 V K I p H u A 4 A A A A R A A A A E w A c A E Z v c m 1 1 b G F z L 1 N l Y 3 R p b 2 4 x L m 0 g o h g A K K A U A A A A A A A A A A A A A A A A A A A A A A A A A A A A K 0 5 N L s n M z 1 M I h t C G 1 g B Q S w E C L Q A U A A I A C A D 4 V S 1 V B u E H 1 a g A A A D 5 A A A A E g A A A A A A A A A A A A A A A A A A A A A A Q 2 9 u Z m l n L 1 B h Y 2 t h Z 2 U u e G 1 s U E s B A i 0 A F A A C A A g A + F U t V Q / K 6 a u k A A A A 6 Q A A A B M A A A A A A A A A A A A A A A A A 9 A A A A F t D b 2 5 0 Z W 5 0 X 1 R 5 c G V z X S 5 4 b W x Q S w E C L Q A U A A I A C A D 4 V S 1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V y Y E L X p U a A O W k x / H G Q A w A A A A A C A A A A A A A D Z g A A w A A A A B A A A A D x / Z r P t T p w f 9 B l s / 8 h k G 2 5 A A A A A A S A A A C g A A A A E A A A A D m + h 0 K P 7 8 L 0 g Y 1 F i h 2 o v P 1 Q A A A A w v 1 / H S 7 q H v K u M 4 J T V w E L M S A M x K s W Q A L q w j 8 H e S n F 9 n 0 s u O g X y 9 y R d t T l 0 G l 0 U / K o b a g v T y b u M E a D z q Y S E 1 D F t N a 9 I O X y T W E D 2 3 X J Y F Q + Y w M U A A A A / 3 A 8 z d q F 6 V L g 2 L / 6 E G v P j 1 + i K r M = < / D a t a M a s h u p > 
</file>

<file path=customXml/itemProps1.xml><?xml version="1.0" encoding="utf-8"?>
<ds:datastoreItem xmlns:ds="http://schemas.openxmlformats.org/officeDocument/2006/customXml" ds:itemID="{1F2F7A3D-D5F9-45D1-9F8B-F68DFF6ED8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使用上の注意</vt:lpstr>
      <vt:lpstr>入力例</vt:lpstr>
      <vt:lpstr>入力シート</vt:lpstr>
      <vt:lpstr>印刷シート</vt:lpstr>
      <vt:lpstr>支給率</vt:lpstr>
      <vt:lpstr>所属</vt:lpstr>
      <vt:lpstr>給料表</vt:lpstr>
      <vt:lpstr>入力シート!Criteria</vt:lpstr>
      <vt:lpstr>入力例!Criteria</vt:lpstr>
      <vt:lpstr>印刷シート!Print_Area</vt:lpstr>
      <vt:lpstr>使用上の注意!Print_Area</vt:lpstr>
      <vt:lpstr>入力シート!Print_Area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（福）井田 智夫</dc:creator>
  <cp:lastModifiedBy>（福）岡部 孝弘</cp:lastModifiedBy>
  <cp:lastPrinted>2022-12-08T00:52:12Z</cp:lastPrinted>
  <dcterms:created xsi:type="dcterms:W3CDTF">2022-07-28T06:20:45Z</dcterms:created>
  <dcterms:modified xsi:type="dcterms:W3CDTF">2023-06-28T05:35:34Z</dcterms:modified>
</cp:coreProperties>
</file>