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codeName="ThisWorkbook" defaultThemeVersion="124226"/>
  <xr:revisionPtr revIDLastSave="0" documentId="13_ncr:1_{BD27C4EC-C527-4143-B9F7-D63F8FB21239}" xr6:coauthVersionLast="36" xr6:coauthVersionMax="36" xr10:uidLastSave="{00000000-0000-0000-0000-000000000000}"/>
  <bookViews>
    <workbookView xWindow="240" yWindow="260" windowWidth="14810" windowHeight="7860" firstSheet="1" activeTab="1" xr2:uid="{00000000-000D-0000-FFFF-FFFF00000000}"/>
  </bookViews>
  <sheets>
    <sheet name="入力例（見本)" sheetId="18" r:id="rId1"/>
    <sheet name="入力シート" sheetId="15" r:id="rId2"/>
    <sheet name="（鑑）体力優良証交付申請報告書" sheetId="6" r:id="rId3"/>
    <sheet name="体力優良証交付申請" sheetId="7" r:id="rId4"/>
    <sheet name="記録平均" sheetId="14" r:id="rId5"/>
    <sheet name="判定集計表" sheetId="10" r:id="rId6"/>
    <sheet name="記録表" sheetId="3" r:id="rId7"/>
  </sheets>
  <definedNames>
    <definedName name="_xlnm._FilterDatabase" localSheetId="1" hidden="1">入力シート!$A$1:$AA$4</definedName>
    <definedName name="_xlnm._FilterDatabase" localSheetId="0" hidden="1">'入力例（見本)'!$A$1:$AA$4</definedName>
    <definedName name="_xlnm.Print_Area" localSheetId="2">'（鑑）体力優良証交付申請報告書'!$A$1:$T$40</definedName>
    <definedName name="_xlnm.Print_Area" localSheetId="4">記録平均!$A$2:$M$11</definedName>
    <definedName name="_xlnm.Print_Area" localSheetId="3">体力優良証交付申請!$A$1:$M$314</definedName>
    <definedName name="_xlnm.Print_Area" localSheetId="1">入力シート!$A$1:$Y$55</definedName>
    <definedName name="_xlnm.Print_Area" localSheetId="0">'入力例（見本)'!$A$1:$Y$55</definedName>
    <definedName name="_xlnm.Print_Area" localSheetId="5">判定集計表!$A$1:$U$32</definedName>
    <definedName name="判定12歳" localSheetId="1">入力シート!$AB$6:$AB$10</definedName>
    <definedName name="判定12歳" localSheetId="0">'入力例（見本)'!$AB$6:$AB$10</definedName>
    <definedName name="判定12歳">#REF!</definedName>
    <definedName name="判定13歳" localSheetId="1">入力シート!$AD$6:$AG$10</definedName>
    <definedName name="判定13歳" localSheetId="0">'入力例（見本)'!$AD$6:$AE$10</definedName>
    <definedName name="判定13歳">#REF!</definedName>
    <definedName name="判定14歳" localSheetId="1">入力シート!$AH$6:$AI$10</definedName>
    <definedName name="判定14歳" localSheetId="0">'入力例（見本)'!$AF$6:$AG$10</definedName>
    <definedName name="判定14歳">#REF!</definedName>
    <definedName name="判定15歳" localSheetId="1">入力シート!$AJ$6:$AK$10</definedName>
    <definedName name="判定15歳" localSheetId="0">'入力例（見本)'!$AH$6:$AI$10</definedName>
    <definedName name="判定15歳">#REF!</definedName>
    <definedName name="判定16歳" localSheetId="1">入力シート!$AL$6:$AM$10</definedName>
    <definedName name="判定16歳" localSheetId="0">'入力例（見本)'!$AJ$6:$AK$10</definedName>
    <definedName name="判定16歳">#REF!</definedName>
    <definedName name="判定17歳" localSheetId="1">入力シート!$AN$6:$AO$10</definedName>
    <definedName name="判定17歳" localSheetId="0">'入力例（見本)'!$AL$6:$AM$10</definedName>
    <definedName name="判定17歳">#REF!</definedName>
    <definedName name="判定18歳" localSheetId="1">入力シート!$AR$6:$AS$10</definedName>
    <definedName name="判定18歳" localSheetId="0">'入力例（見本)'!$AP$6:$AQ$10</definedName>
    <definedName name="判定18歳">#REF!</definedName>
    <definedName name="判定19歳" localSheetId="1">入力シート!$AT$6:$AU$10</definedName>
    <definedName name="判定19歳" localSheetId="0">'入力例（見本)'!$AR$6:$AS$10</definedName>
    <definedName name="判定19歳">#REF!</definedName>
  </definedNames>
  <calcPr calcId="191029"/>
</workbook>
</file>

<file path=xl/calcChain.xml><?xml version="1.0" encoding="utf-8"?>
<calcChain xmlns="http://schemas.openxmlformats.org/spreadsheetml/2006/main">
  <c r="D32" i="10" l="1"/>
  <c r="D30" i="10"/>
  <c r="F6" i="10"/>
  <c r="E6" i="10"/>
  <c r="D6" i="10"/>
  <c r="Z102" i="15" l="1"/>
  <c r="AB102" i="15" s="1"/>
  <c r="AC102" i="15" s="1"/>
  <c r="AA102" i="15" s="1"/>
  <c r="Z103" i="15"/>
  <c r="AB103" i="15" s="1"/>
  <c r="AC103" i="15" s="1"/>
  <c r="AA103" i="15" s="1"/>
  <c r="Z104" i="15"/>
  <c r="AB104" i="15" s="1"/>
  <c r="AC104" i="15" s="1"/>
  <c r="AA104" i="15" s="1"/>
  <c r="Z105" i="15"/>
  <c r="AB105" i="15" s="1"/>
  <c r="AC105" i="15" s="1"/>
  <c r="AA105" i="15" s="1"/>
  <c r="Z106" i="15"/>
  <c r="AB106" i="15" s="1"/>
  <c r="AC106" i="15" s="1"/>
  <c r="AA106" i="15" s="1"/>
  <c r="Z107" i="15"/>
  <c r="AB107" i="15" s="1"/>
  <c r="AC107" i="15" s="1"/>
  <c r="AA107" i="15" s="1"/>
  <c r="Z108" i="15"/>
  <c r="AB108" i="15" s="1"/>
  <c r="AC108" i="15" s="1"/>
  <c r="AA108" i="15" s="1"/>
  <c r="Z109" i="15"/>
  <c r="AB109" i="15" s="1"/>
  <c r="AC109" i="15" s="1"/>
  <c r="AA109" i="15" s="1"/>
  <c r="Z110" i="15"/>
  <c r="AB110" i="15" s="1"/>
  <c r="AC110" i="15" s="1"/>
  <c r="AA110" i="15" s="1"/>
  <c r="Z111" i="15"/>
  <c r="AB111" i="15" s="1"/>
  <c r="AC111" i="15" s="1"/>
  <c r="AA111" i="15" s="1"/>
  <c r="Z112" i="15"/>
  <c r="AB112" i="15"/>
  <c r="AC112" i="15" s="1"/>
  <c r="AA112" i="15" s="1"/>
  <c r="Z113" i="15"/>
  <c r="AB113" i="15" s="1"/>
  <c r="AC113" i="15" s="1"/>
  <c r="AA113" i="15" s="1"/>
  <c r="Z114" i="15"/>
  <c r="AB114" i="15" s="1"/>
  <c r="AC114" i="15" s="1"/>
  <c r="AA114" i="15" s="1"/>
  <c r="Z115" i="15"/>
  <c r="AB115" i="15" s="1"/>
  <c r="AC115" i="15" s="1"/>
  <c r="AA115" i="15" s="1"/>
  <c r="Z116" i="15"/>
  <c r="AB116" i="15" s="1"/>
  <c r="AC116" i="15" s="1"/>
  <c r="AA116" i="15" s="1"/>
  <c r="Z117" i="15"/>
  <c r="AB117" i="15" s="1"/>
  <c r="AC117" i="15" s="1"/>
  <c r="AA117" i="15" s="1"/>
  <c r="Z118" i="15"/>
  <c r="AB118" i="15" s="1"/>
  <c r="AC118" i="15" s="1"/>
  <c r="AA118" i="15" s="1"/>
  <c r="Z119" i="15"/>
  <c r="AB119" i="15" s="1"/>
  <c r="AC119" i="15" s="1"/>
  <c r="AA119" i="15" s="1"/>
  <c r="Z120" i="15"/>
  <c r="AB120" i="15"/>
  <c r="AC120" i="15" s="1"/>
  <c r="AA120" i="15" s="1"/>
  <c r="Z121" i="15"/>
  <c r="AB121" i="15" s="1"/>
  <c r="AC121" i="15" s="1"/>
  <c r="AA121" i="15" s="1"/>
  <c r="Z122" i="15"/>
  <c r="AB122" i="15" s="1"/>
  <c r="AC122" i="15" s="1"/>
  <c r="AA122" i="15" s="1"/>
  <c r="Z123" i="15"/>
  <c r="AB123" i="15" s="1"/>
  <c r="AC123" i="15" s="1"/>
  <c r="AA123" i="15" s="1"/>
  <c r="Z124" i="15"/>
  <c r="AB124" i="15" s="1"/>
  <c r="AC124" i="15" s="1"/>
  <c r="AA124" i="15" s="1"/>
  <c r="Z125" i="15"/>
  <c r="AB125" i="15" s="1"/>
  <c r="AC125" i="15" s="1"/>
  <c r="AA125" i="15" s="1"/>
  <c r="Z126" i="15"/>
  <c r="AB126" i="15" s="1"/>
  <c r="AC126" i="15" s="1"/>
  <c r="AA126" i="15" s="1"/>
  <c r="Z127" i="15"/>
  <c r="AB127" i="15"/>
  <c r="AC127" i="15" s="1"/>
  <c r="AA127" i="15" s="1"/>
  <c r="Z128" i="15"/>
  <c r="AB128" i="15"/>
  <c r="AC128" i="15" s="1"/>
  <c r="AA128" i="15" s="1"/>
  <c r="Z129" i="15"/>
  <c r="AB129" i="15" s="1"/>
  <c r="AC129" i="15" s="1"/>
  <c r="AA129" i="15" s="1"/>
  <c r="Z130" i="15"/>
  <c r="AB130" i="15" s="1"/>
  <c r="AC130" i="15" s="1"/>
  <c r="AA130" i="15" s="1"/>
  <c r="Z131" i="15"/>
  <c r="AB131" i="15" s="1"/>
  <c r="AC131" i="15" s="1"/>
  <c r="AA131" i="15" s="1"/>
  <c r="Z132" i="15"/>
  <c r="AB132" i="15" s="1"/>
  <c r="AC132" i="15" s="1"/>
  <c r="AA132" i="15" s="1"/>
  <c r="Z133" i="15"/>
  <c r="AB133" i="15"/>
  <c r="AC133" i="15" s="1"/>
  <c r="AA133" i="15" s="1"/>
  <c r="Z134" i="15"/>
  <c r="AB134" i="15" s="1"/>
  <c r="AC134" i="15" s="1"/>
  <c r="AA134" i="15" s="1"/>
  <c r="Z135" i="15"/>
  <c r="AB135" i="15"/>
  <c r="AC135" i="15" s="1"/>
  <c r="AA135" i="15" s="1"/>
  <c r="Z136" i="15"/>
  <c r="AB136" i="15" s="1"/>
  <c r="AC136" i="15" s="1"/>
  <c r="AA136" i="15" s="1"/>
  <c r="Z137" i="15"/>
  <c r="AB137" i="15" s="1"/>
  <c r="AC137" i="15" s="1"/>
  <c r="AA137" i="15" s="1"/>
  <c r="Z138" i="15"/>
  <c r="AB138" i="15" s="1"/>
  <c r="AC138" i="15" s="1"/>
  <c r="AA138" i="15" s="1"/>
  <c r="Z139" i="15"/>
  <c r="AB139" i="15" s="1"/>
  <c r="AC139" i="15" s="1"/>
  <c r="AA139" i="15" s="1"/>
  <c r="Z140" i="15"/>
  <c r="AB140" i="15" s="1"/>
  <c r="AC140" i="15" s="1"/>
  <c r="AA140" i="15" s="1"/>
  <c r="Z141" i="15"/>
  <c r="AB141" i="15"/>
  <c r="AC141" i="15"/>
  <c r="AA141" i="15" s="1"/>
  <c r="Z142" i="15"/>
  <c r="AB142" i="15" s="1"/>
  <c r="AC142" i="15" s="1"/>
  <c r="AA142" i="15" s="1"/>
  <c r="Z143" i="15"/>
  <c r="AB143" i="15" s="1"/>
  <c r="AC143" i="15" s="1"/>
  <c r="AA143" i="15" s="1"/>
  <c r="Z144" i="15"/>
  <c r="AB144" i="15" s="1"/>
  <c r="AC144" i="15" s="1"/>
  <c r="AA144" i="15" s="1"/>
  <c r="Z145" i="15"/>
  <c r="AB145" i="15" s="1"/>
  <c r="AC145" i="15" s="1"/>
  <c r="AA145" i="15" s="1"/>
  <c r="Z146" i="15"/>
  <c r="AB146" i="15" s="1"/>
  <c r="AC146" i="15" s="1"/>
  <c r="AA146" i="15" s="1"/>
  <c r="Z147" i="15"/>
  <c r="AB147" i="15" s="1"/>
  <c r="AC147" i="15" s="1"/>
  <c r="AA147" i="15" s="1"/>
  <c r="Z148" i="15"/>
  <c r="AB148" i="15" s="1"/>
  <c r="AC148" i="15" s="1"/>
  <c r="AA148" i="15" s="1"/>
  <c r="Z149" i="15"/>
  <c r="AB149" i="15"/>
  <c r="AC149" i="15" s="1"/>
  <c r="AA149" i="15" s="1"/>
  <c r="Z150" i="15"/>
  <c r="AB150" i="15"/>
  <c r="AC150" i="15" s="1"/>
  <c r="AA150" i="15" s="1"/>
  <c r="Z151" i="15"/>
  <c r="AB151" i="15" s="1"/>
  <c r="AC151" i="15" s="1"/>
  <c r="AA151" i="15" s="1"/>
  <c r="Z152" i="15"/>
  <c r="AB152" i="15" s="1"/>
  <c r="AC152" i="15" s="1"/>
  <c r="AA152" i="15" s="1"/>
  <c r="Z153" i="15"/>
  <c r="AB153" i="15" s="1"/>
  <c r="AC153" i="15" s="1"/>
  <c r="AA153" i="15" s="1"/>
  <c r="Z154" i="15"/>
  <c r="AB154" i="15" s="1"/>
  <c r="AC154" i="15" s="1"/>
  <c r="AA154" i="15" s="1"/>
  <c r="Z155" i="15"/>
  <c r="AB155" i="15" s="1"/>
  <c r="AC155" i="15" s="1"/>
  <c r="AA155" i="15" s="1"/>
  <c r="Z156" i="15"/>
  <c r="AB156" i="15" s="1"/>
  <c r="AC156" i="15" s="1"/>
  <c r="AA156" i="15" s="1"/>
  <c r="Z157" i="15"/>
  <c r="AB157" i="15" s="1"/>
  <c r="AC157" i="15" s="1"/>
  <c r="AA157" i="15" s="1"/>
  <c r="Z158" i="15"/>
  <c r="AB158" i="15" s="1"/>
  <c r="AC158" i="15" s="1"/>
  <c r="AA158" i="15" s="1"/>
  <c r="Z159" i="15"/>
  <c r="AB159" i="15" s="1"/>
  <c r="AC159" i="15" s="1"/>
  <c r="AA159" i="15" s="1"/>
  <c r="Z160" i="15"/>
  <c r="AB160" i="15" s="1"/>
  <c r="AC160" i="15" s="1"/>
  <c r="AA160" i="15" s="1"/>
  <c r="Z161" i="15"/>
  <c r="AB161" i="15" s="1"/>
  <c r="AC161" i="15" s="1"/>
  <c r="AA161" i="15" s="1"/>
  <c r="Z162" i="15"/>
  <c r="AB162" i="15" s="1"/>
  <c r="AC162" i="15" s="1"/>
  <c r="AA162" i="15" s="1"/>
  <c r="Z163" i="15"/>
  <c r="AB163" i="15" s="1"/>
  <c r="AC163" i="15" s="1"/>
  <c r="AA163" i="15" s="1"/>
  <c r="Z164" i="15"/>
  <c r="AB164" i="15" s="1"/>
  <c r="AC164" i="15" s="1"/>
  <c r="AA164" i="15" s="1"/>
  <c r="Z165" i="15"/>
  <c r="AB165" i="15" s="1"/>
  <c r="AC165" i="15" s="1"/>
  <c r="AA165" i="15" s="1"/>
  <c r="Z166" i="15"/>
  <c r="AB166" i="15" s="1"/>
  <c r="AC166" i="15" s="1"/>
  <c r="AA166" i="15" s="1"/>
  <c r="Z167" i="15"/>
  <c r="AB167" i="15" s="1"/>
  <c r="AC167" i="15" s="1"/>
  <c r="AA167" i="15" s="1"/>
  <c r="Z168" i="15"/>
  <c r="AB168" i="15" s="1"/>
  <c r="AC168" i="15" s="1"/>
  <c r="AA168" i="15" s="1"/>
  <c r="Z169" i="15"/>
  <c r="AB169" i="15" s="1"/>
  <c r="AC169" i="15" s="1"/>
  <c r="AA169" i="15" s="1"/>
  <c r="Z170" i="15"/>
  <c r="AB170" i="15" s="1"/>
  <c r="AC170" i="15" s="1"/>
  <c r="AA170" i="15" s="1"/>
  <c r="Z171" i="15"/>
  <c r="AB171" i="15" s="1"/>
  <c r="AC171" i="15" s="1"/>
  <c r="AA171" i="15" s="1"/>
  <c r="Z172" i="15"/>
  <c r="AB172" i="15" s="1"/>
  <c r="AC172" i="15" s="1"/>
  <c r="AA172" i="15" s="1"/>
  <c r="Z173" i="15"/>
  <c r="AB173" i="15" s="1"/>
  <c r="AC173" i="15" s="1"/>
  <c r="AA173" i="15" s="1"/>
  <c r="Z174" i="15"/>
  <c r="AB174" i="15"/>
  <c r="AC174" i="15" s="1"/>
  <c r="AA174" i="15" s="1"/>
  <c r="Z175" i="15"/>
  <c r="AB175" i="15" s="1"/>
  <c r="AC175" i="15" s="1"/>
  <c r="AA175" i="15" s="1"/>
  <c r="Z176" i="15"/>
  <c r="AB176" i="15" s="1"/>
  <c r="AC176" i="15" s="1"/>
  <c r="AA176" i="15" s="1"/>
  <c r="Z177" i="15"/>
  <c r="AB177" i="15" s="1"/>
  <c r="AC177" i="15" s="1"/>
  <c r="AA177" i="15" s="1"/>
  <c r="Z178" i="15"/>
  <c r="AB178" i="15" s="1"/>
  <c r="AC178" i="15" s="1"/>
  <c r="AA178" i="15" s="1"/>
  <c r="Z179" i="15"/>
  <c r="AB179" i="15" s="1"/>
  <c r="AC179" i="15" s="1"/>
  <c r="AA179" i="15" s="1"/>
  <c r="Z180" i="15"/>
  <c r="AB180" i="15" s="1"/>
  <c r="AC180" i="15" s="1"/>
  <c r="AA180" i="15" s="1"/>
  <c r="Z181" i="15"/>
  <c r="AB181" i="15" s="1"/>
  <c r="AC181" i="15" s="1"/>
  <c r="AA181" i="15" s="1"/>
  <c r="Z182" i="15"/>
  <c r="AB182" i="15" s="1"/>
  <c r="AC182" i="15" s="1"/>
  <c r="AA182" i="15" s="1"/>
  <c r="Z183" i="15"/>
  <c r="AB183" i="15" s="1"/>
  <c r="AC183" i="15" s="1"/>
  <c r="AA183" i="15" s="1"/>
  <c r="Z184" i="15"/>
  <c r="AB184" i="15"/>
  <c r="AC184" i="15" s="1"/>
  <c r="AA184" i="15" s="1"/>
  <c r="Z185" i="15"/>
  <c r="AB185" i="15" s="1"/>
  <c r="AC185" i="15" s="1"/>
  <c r="AA185" i="15" s="1"/>
  <c r="Z186" i="15"/>
  <c r="AB186" i="15" s="1"/>
  <c r="AC186" i="15" s="1"/>
  <c r="AA186" i="15" s="1"/>
  <c r="Z187" i="15"/>
  <c r="AB187" i="15" s="1"/>
  <c r="AC187" i="15" s="1"/>
  <c r="AA187" i="15" s="1"/>
  <c r="Z188" i="15"/>
  <c r="AB188" i="15" s="1"/>
  <c r="AC188" i="15" s="1"/>
  <c r="AA188" i="15" s="1"/>
  <c r="Z189" i="15"/>
  <c r="AB189" i="15" s="1"/>
  <c r="AC189" i="15" s="1"/>
  <c r="AA189" i="15" s="1"/>
  <c r="Z190" i="15"/>
  <c r="AB190" i="15" s="1"/>
  <c r="AC190" i="15" s="1"/>
  <c r="AA190" i="15" s="1"/>
  <c r="Z191" i="15"/>
  <c r="AB191" i="15"/>
  <c r="AC191" i="15" s="1"/>
  <c r="AA191" i="15" s="1"/>
  <c r="Z192" i="15"/>
  <c r="AB192" i="15"/>
  <c r="AC192" i="15" s="1"/>
  <c r="AA192" i="15" s="1"/>
  <c r="Z193" i="15"/>
  <c r="AB193" i="15" s="1"/>
  <c r="AC193" i="15" s="1"/>
  <c r="AA193" i="15" s="1"/>
  <c r="Z194" i="15"/>
  <c r="AB194" i="15" s="1"/>
  <c r="AC194" i="15" s="1"/>
  <c r="AA194" i="15" s="1"/>
  <c r="Z195" i="15"/>
  <c r="AB195" i="15" s="1"/>
  <c r="AC195" i="15" s="1"/>
  <c r="AA195" i="15" s="1"/>
  <c r="Z196" i="15"/>
  <c r="AB196" i="15" s="1"/>
  <c r="AC196" i="15" s="1"/>
  <c r="AA196" i="15" s="1"/>
  <c r="Z197" i="15"/>
  <c r="AB197" i="15"/>
  <c r="AC197" i="15" s="1"/>
  <c r="AA197" i="15" s="1"/>
  <c r="Z198" i="15"/>
  <c r="AB198" i="15" s="1"/>
  <c r="AC198" i="15" s="1"/>
  <c r="AA198" i="15" s="1"/>
  <c r="Z199" i="15"/>
  <c r="AB199" i="15" s="1"/>
  <c r="AC199" i="15" s="1"/>
  <c r="AA199" i="15" s="1"/>
  <c r="Z200" i="15"/>
  <c r="AB200" i="15" s="1"/>
  <c r="AC200" i="15" s="1"/>
  <c r="AA200" i="15" s="1"/>
  <c r="Z201" i="15"/>
  <c r="AB201" i="15" s="1"/>
  <c r="AC201" i="15" s="1"/>
  <c r="AA201" i="15" s="1"/>
  <c r="Z202" i="15"/>
  <c r="AB202" i="15" s="1"/>
  <c r="AC202" i="15" s="1"/>
  <c r="AA202" i="15" s="1"/>
  <c r="Z203" i="15"/>
  <c r="AB203" i="15" s="1"/>
  <c r="AC203" i="15" s="1"/>
  <c r="AA203" i="15" s="1"/>
  <c r="Z204" i="15"/>
  <c r="AB204" i="15" s="1"/>
  <c r="AC204" i="15" s="1"/>
  <c r="AA204" i="15" s="1"/>
  <c r="Z205" i="15"/>
  <c r="AB205" i="15" s="1"/>
  <c r="AC205" i="15" s="1"/>
  <c r="AA205" i="15" s="1"/>
  <c r="Z206" i="15"/>
  <c r="AB206" i="15"/>
  <c r="AC206" i="15" s="1"/>
  <c r="AA206" i="15" s="1"/>
  <c r="Z207" i="15"/>
  <c r="AB207" i="15" s="1"/>
  <c r="AC207" i="15" s="1"/>
  <c r="AA207" i="15" s="1"/>
  <c r="Z208" i="15"/>
  <c r="AB208" i="15" s="1"/>
  <c r="AC208" i="15" s="1"/>
  <c r="AA208" i="15" s="1"/>
  <c r="Z209" i="15"/>
  <c r="AB209" i="15" s="1"/>
  <c r="AC209" i="15" s="1"/>
  <c r="AA209" i="15" s="1"/>
  <c r="Z210" i="15"/>
  <c r="AB210" i="15" s="1"/>
  <c r="AC210" i="15" s="1"/>
  <c r="AA210" i="15" s="1"/>
  <c r="Z211" i="15"/>
  <c r="AB211" i="15" s="1"/>
  <c r="AC211" i="15" s="1"/>
  <c r="AA211" i="15" s="1"/>
  <c r="Z212" i="15"/>
  <c r="AB212" i="15" s="1"/>
  <c r="AC212" i="15" s="1"/>
  <c r="AA212" i="15" s="1"/>
  <c r="Z213" i="15"/>
  <c r="AB213" i="15" s="1"/>
  <c r="AC213" i="15" s="1"/>
  <c r="AA213" i="15" s="1"/>
  <c r="Z214" i="15"/>
  <c r="AB214" i="15"/>
  <c r="AC214" i="15" s="1"/>
  <c r="AA214" i="15" s="1"/>
  <c r="Z215" i="15"/>
  <c r="AB215" i="15" s="1"/>
  <c r="AC215" i="15" s="1"/>
  <c r="AA215" i="15" s="1"/>
  <c r="Z216" i="15"/>
  <c r="AB216" i="15" s="1"/>
  <c r="AC216" i="15" s="1"/>
  <c r="AA216" i="15" s="1"/>
  <c r="Z217" i="15"/>
  <c r="AB217" i="15" s="1"/>
  <c r="AC217" i="15" s="1"/>
  <c r="AA217" i="15" s="1"/>
  <c r="Z218" i="15"/>
  <c r="AB218" i="15" s="1"/>
  <c r="AC218" i="15" s="1"/>
  <c r="AA218" i="15" s="1"/>
  <c r="Z219" i="15"/>
  <c r="AB219" i="15" s="1"/>
  <c r="AC219" i="15" s="1"/>
  <c r="AA219" i="15" s="1"/>
  <c r="Z220" i="15"/>
  <c r="AB220" i="15" s="1"/>
  <c r="AC220" i="15" s="1"/>
  <c r="AA220" i="15" s="1"/>
  <c r="Z221" i="15"/>
  <c r="AB221" i="15" s="1"/>
  <c r="AC221" i="15" s="1"/>
  <c r="AA221" i="15" s="1"/>
  <c r="Z222" i="15"/>
  <c r="AB222" i="15" s="1"/>
  <c r="AC222" i="15" s="1"/>
  <c r="AA222" i="15" s="1"/>
  <c r="Z223" i="15"/>
  <c r="AB223" i="15" s="1"/>
  <c r="AC223" i="15" s="1"/>
  <c r="AA223" i="15" s="1"/>
  <c r="Z224" i="15"/>
  <c r="AB224" i="15" s="1"/>
  <c r="AC224" i="15" s="1"/>
  <c r="AA224" i="15" s="1"/>
  <c r="Z225" i="15"/>
  <c r="AB225" i="15" s="1"/>
  <c r="AC225" i="15" s="1"/>
  <c r="AA225" i="15" s="1"/>
  <c r="Z226" i="15"/>
  <c r="AB226" i="15" s="1"/>
  <c r="AC226" i="15" s="1"/>
  <c r="AA226" i="15" s="1"/>
  <c r="Z227" i="15"/>
  <c r="AB227" i="15" s="1"/>
  <c r="AC227" i="15" s="1"/>
  <c r="AA227" i="15" s="1"/>
  <c r="Z228" i="15"/>
  <c r="AB228" i="15" s="1"/>
  <c r="AC228" i="15" s="1"/>
  <c r="AA228" i="15" s="1"/>
  <c r="Z229" i="15"/>
  <c r="AB229" i="15" s="1"/>
  <c r="AC229" i="15" s="1"/>
  <c r="AA229" i="15" s="1"/>
  <c r="Z230" i="15"/>
  <c r="AB230" i="15" s="1"/>
  <c r="AC230" i="15" s="1"/>
  <c r="AA230" i="15" s="1"/>
  <c r="Z231" i="15"/>
  <c r="AB231" i="15" s="1"/>
  <c r="AC231" i="15" s="1"/>
  <c r="AA231" i="15" s="1"/>
  <c r="Z232" i="15"/>
  <c r="AB232" i="15" s="1"/>
  <c r="AC232" i="15" s="1"/>
  <c r="AA232" i="15" s="1"/>
  <c r="Z233" i="15"/>
  <c r="AB233" i="15" s="1"/>
  <c r="AC233" i="15" s="1"/>
  <c r="AA233" i="15" s="1"/>
  <c r="Z234" i="15"/>
  <c r="AB234" i="15" s="1"/>
  <c r="AC234" i="15" s="1"/>
  <c r="AA234" i="15" s="1"/>
  <c r="Z235" i="15"/>
  <c r="AB235" i="15" s="1"/>
  <c r="AC235" i="15" s="1"/>
  <c r="AA235" i="15" s="1"/>
  <c r="Z236" i="15"/>
  <c r="AB236" i="15" s="1"/>
  <c r="AC236" i="15" s="1"/>
  <c r="AA236" i="15" s="1"/>
  <c r="Z237" i="15"/>
  <c r="AB237" i="15" s="1"/>
  <c r="AC237" i="15" s="1"/>
  <c r="AA237" i="15" s="1"/>
  <c r="Z238" i="15"/>
  <c r="AB238" i="15"/>
  <c r="AC238" i="15" s="1"/>
  <c r="AA238" i="15" s="1"/>
  <c r="Z239" i="15"/>
  <c r="AB239" i="15" s="1"/>
  <c r="AC239" i="15" s="1"/>
  <c r="AA239" i="15" s="1"/>
  <c r="Z240" i="15"/>
  <c r="AB240" i="15" s="1"/>
  <c r="AC240" i="15" s="1"/>
  <c r="AA240" i="15" s="1"/>
  <c r="Z241" i="15"/>
  <c r="AB241" i="15" s="1"/>
  <c r="AC241" i="15" s="1"/>
  <c r="AA241" i="15" s="1"/>
  <c r="Z242" i="15"/>
  <c r="AB242" i="15" s="1"/>
  <c r="AC242" i="15" s="1"/>
  <c r="AA242" i="15" s="1"/>
  <c r="Z243" i="15"/>
  <c r="AB243" i="15" s="1"/>
  <c r="AC243" i="15" s="1"/>
  <c r="AA243" i="15" s="1"/>
  <c r="Z244" i="15"/>
  <c r="AB244" i="15"/>
  <c r="AC244" i="15" s="1"/>
  <c r="AA244" i="15" s="1"/>
  <c r="Z245" i="15"/>
  <c r="AB245" i="15" s="1"/>
  <c r="AC245" i="15" s="1"/>
  <c r="AA245" i="15" s="1"/>
  <c r="Z246" i="15"/>
  <c r="AB246" i="15" s="1"/>
  <c r="AC246" i="15" s="1"/>
  <c r="AA246" i="15" s="1"/>
  <c r="Z247" i="15"/>
  <c r="AB247" i="15" s="1"/>
  <c r="AC247" i="15" s="1"/>
  <c r="AA247" i="15" s="1"/>
  <c r="Z248" i="15"/>
  <c r="AB248" i="15" s="1"/>
  <c r="AC248" i="15" s="1"/>
  <c r="AA248" i="15" s="1"/>
  <c r="Z249" i="15"/>
  <c r="AB249" i="15" s="1"/>
  <c r="AC249" i="15" s="1"/>
  <c r="AA249" i="15" s="1"/>
  <c r="Z250" i="15"/>
  <c r="AB250" i="15" s="1"/>
  <c r="AC250" i="15" s="1"/>
  <c r="AA250" i="15" s="1"/>
  <c r="Z251" i="15"/>
  <c r="AB251" i="15" s="1"/>
  <c r="AC251" i="15" s="1"/>
  <c r="AA251" i="15" s="1"/>
  <c r="Z252" i="15"/>
  <c r="AB252" i="15" s="1"/>
  <c r="AC252" i="15" s="1"/>
  <c r="AA252" i="15" s="1"/>
  <c r="Z253" i="15"/>
  <c r="AB253" i="15"/>
  <c r="AC253" i="15" s="1"/>
  <c r="AA253" i="15" s="1"/>
  <c r="Z254" i="15"/>
  <c r="AB254" i="15"/>
  <c r="AC254" i="15" s="1"/>
  <c r="AA254" i="15" s="1"/>
  <c r="Z255" i="15"/>
  <c r="AB255" i="15"/>
  <c r="AC255" i="15" s="1"/>
  <c r="AA255" i="15" s="1"/>
  <c r="Z256" i="15"/>
  <c r="AB256" i="15" s="1"/>
  <c r="AC256" i="15" s="1"/>
  <c r="AA256" i="15" s="1"/>
  <c r="Z257" i="15"/>
  <c r="AB257" i="15" s="1"/>
  <c r="AC257" i="15" s="1"/>
  <c r="AA257" i="15" s="1"/>
  <c r="Z258" i="15"/>
  <c r="AB258" i="15" s="1"/>
  <c r="AC258" i="15" s="1"/>
  <c r="AA258" i="15" s="1"/>
  <c r="Z259" i="15"/>
  <c r="AB259" i="15" s="1"/>
  <c r="AC259" i="15" s="1"/>
  <c r="AA259" i="15" s="1"/>
  <c r="Z260" i="15"/>
  <c r="AB260" i="15" s="1"/>
  <c r="AC260" i="15" s="1"/>
  <c r="AA260" i="15" s="1"/>
  <c r="Z261" i="15"/>
  <c r="AB261" i="15" s="1"/>
  <c r="AC261" i="15" s="1"/>
  <c r="AA261" i="15" s="1"/>
  <c r="Z262" i="15"/>
  <c r="AB262" i="15" s="1"/>
  <c r="AC262" i="15" s="1"/>
  <c r="AA262" i="15" s="1"/>
  <c r="Z263" i="15"/>
  <c r="AB263" i="15" s="1"/>
  <c r="AC263" i="15" s="1"/>
  <c r="AA263" i="15" s="1"/>
  <c r="Z264" i="15"/>
  <c r="AB264" i="15" s="1"/>
  <c r="AC264" i="15" s="1"/>
  <c r="AA264" i="15" s="1"/>
  <c r="Z265" i="15"/>
  <c r="AB265" i="15"/>
  <c r="AC265" i="15" s="1"/>
  <c r="AA265" i="15" s="1"/>
  <c r="Z266" i="15"/>
  <c r="AB266" i="15"/>
  <c r="AC266" i="15" s="1"/>
  <c r="AA266" i="15" s="1"/>
  <c r="Z267" i="15"/>
  <c r="AB267" i="15"/>
  <c r="AC267" i="15" s="1"/>
  <c r="AA267" i="15" s="1"/>
  <c r="Z268" i="15"/>
  <c r="AB268" i="15" s="1"/>
  <c r="AC268" i="15" s="1"/>
  <c r="AA268" i="15" s="1"/>
  <c r="Z269" i="15"/>
  <c r="AB269" i="15"/>
  <c r="AC269" i="15" s="1"/>
  <c r="AA269" i="15" s="1"/>
  <c r="Z270" i="15"/>
  <c r="AB270" i="15"/>
  <c r="AC270" i="15" s="1"/>
  <c r="AA270" i="15" s="1"/>
  <c r="Z271" i="15"/>
  <c r="AB271" i="15" s="1"/>
  <c r="AC271" i="15" s="1"/>
  <c r="AA271" i="15" s="1"/>
  <c r="Z272" i="15"/>
  <c r="AB272" i="15" s="1"/>
  <c r="AC272" i="15" s="1"/>
  <c r="AA272" i="15" s="1"/>
  <c r="Z273" i="15"/>
  <c r="AB273" i="15" s="1"/>
  <c r="AC273" i="15" s="1"/>
  <c r="AA273" i="15" s="1"/>
  <c r="Z274" i="15"/>
  <c r="AB274" i="15" s="1"/>
  <c r="AC274" i="15" s="1"/>
  <c r="AA274" i="15" s="1"/>
  <c r="Z275" i="15"/>
  <c r="AB275" i="15" s="1"/>
  <c r="AC275" i="15" s="1"/>
  <c r="AA275" i="15" s="1"/>
  <c r="Z276" i="15"/>
  <c r="AB276" i="15" s="1"/>
  <c r="AC276" i="15" s="1"/>
  <c r="AA276" i="15" s="1"/>
  <c r="Z277" i="15"/>
  <c r="AB277" i="15" s="1"/>
  <c r="AC277" i="15" s="1"/>
  <c r="AA277" i="15" s="1"/>
  <c r="Z278" i="15"/>
  <c r="AB278" i="15" s="1"/>
  <c r="AC278" i="15" s="1"/>
  <c r="AA278" i="15" s="1"/>
  <c r="Z279" i="15"/>
  <c r="AB279" i="15"/>
  <c r="AC279" i="15" s="1"/>
  <c r="AA279" i="15" s="1"/>
  <c r="Z280" i="15"/>
  <c r="AB280" i="15" s="1"/>
  <c r="AC280" i="15" s="1"/>
  <c r="AA280" i="15" s="1"/>
  <c r="Z281" i="15"/>
  <c r="AB281" i="15" s="1"/>
  <c r="AC281" i="15" s="1"/>
  <c r="AA281" i="15" s="1"/>
  <c r="Z282" i="15"/>
  <c r="AB282" i="15" s="1"/>
  <c r="AC282" i="15" s="1"/>
  <c r="AA282" i="15" s="1"/>
  <c r="Z283" i="15"/>
  <c r="AB283" i="15" s="1"/>
  <c r="AC283" i="15" s="1"/>
  <c r="AA283" i="15" s="1"/>
  <c r="Z284" i="15"/>
  <c r="AB284" i="15" s="1"/>
  <c r="AC284" i="15" s="1"/>
  <c r="AA284" i="15" s="1"/>
  <c r="Z285" i="15"/>
  <c r="AB285" i="15" s="1"/>
  <c r="AC285" i="15" s="1"/>
  <c r="AA285" i="15" s="1"/>
  <c r="Z286" i="15"/>
  <c r="AB286" i="15" s="1"/>
  <c r="AC286" i="15" s="1"/>
  <c r="AA286" i="15" s="1"/>
  <c r="Z287" i="15"/>
  <c r="AB287" i="15" s="1"/>
  <c r="AC287" i="15" s="1"/>
  <c r="AA287" i="15" s="1"/>
  <c r="Z288" i="15"/>
  <c r="AB288" i="15" s="1"/>
  <c r="AC288" i="15" s="1"/>
  <c r="AA288" i="15" s="1"/>
  <c r="Z289" i="15"/>
  <c r="AB289" i="15" s="1"/>
  <c r="AC289" i="15" s="1"/>
  <c r="AA289" i="15" s="1"/>
  <c r="Z290" i="15"/>
  <c r="AB290" i="15" s="1"/>
  <c r="AC290" i="15" s="1"/>
  <c r="AA290" i="15" s="1"/>
  <c r="Z291" i="15"/>
  <c r="AB291" i="15" s="1"/>
  <c r="AC291" i="15" s="1"/>
  <c r="AA291" i="15" s="1"/>
  <c r="Z292" i="15"/>
  <c r="AB292" i="15" s="1"/>
  <c r="AC292" i="15" s="1"/>
  <c r="AA292" i="15" s="1"/>
  <c r="Z293" i="15"/>
  <c r="AB293" i="15" s="1"/>
  <c r="AC293" i="15" s="1"/>
  <c r="AA293" i="15" s="1"/>
  <c r="Z294" i="15"/>
  <c r="AB294" i="15" s="1"/>
  <c r="AC294" i="15" s="1"/>
  <c r="AA294" i="15" s="1"/>
  <c r="Z295" i="15"/>
  <c r="AB295" i="15"/>
  <c r="AC295" i="15" s="1"/>
  <c r="AA295" i="15" s="1"/>
  <c r="Z296" i="15"/>
  <c r="AB296" i="15" s="1"/>
  <c r="AC296" i="15" s="1"/>
  <c r="AA296" i="15" s="1"/>
  <c r="Z297" i="15"/>
  <c r="AB297" i="15"/>
  <c r="AC297" i="15" s="1"/>
  <c r="AA297" i="15" s="1"/>
  <c r="Z298" i="15"/>
  <c r="AB298" i="15"/>
  <c r="AC298" i="15" s="1"/>
  <c r="AA298" i="15" s="1"/>
  <c r="Z299" i="15"/>
  <c r="AB299" i="15"/>
  <c r="AC299" i="15" s="1"/>
  <c r="AA299" i="15" s="1"/>
  <c r="Z300" i="15"/>
  <c r="AB300" i="15" s="1"/>
  <c r="AC300" i="15" s="1"/>
  <c r="AA300" i="15" s="1"/>
  <c r="Z301" i="15"/>
  <c r="AB301" i="15" s="1"/>
  <c r="AC301" i="15" s="1"/>
  <c r="AA301" i="15" s="1"/>
  <c r="Z302" i="15"/>
  <c r="AB302" i="15" s="1"/>
  <c r="AC302" i="15" s="1"/>
  <c r="AA302" i="15" s="1"/>
  <c r="Z303" i="15"/>
  <c r="AB303" i="15" s="1"/>
  <c r="AC303" i="15" s="1"/>
  <c r="AA303" i="15" s="1"/>
  <c r="Z304" i="15"/>
  <c r="AB304" i="15" s="1"/>
  <c r="AC304" i="15" s="1"/>
  <c r="AA304" i="15" s="1"/>
  <c r="Z305" i="15"/>
  <c r="AB305" i="15" s="1"/>
  <c r="AC305" i="15" s="1"/>
  <c r="AA305" i="15" s="1"/>
  <c r="Z306" i="15"/>
  <c r="AB306" i="15" s="1"/>
  <c r="AC306" i="15" s="1"/>
  <c r="AA306" i="15" s="1"/>
  <c r="Z307" i="15"/>
  <c r="AB307" i="15" s="1"/>
  <c r="AC307" i="15" s="1"/>
  <c r="AA307" i="15" s="1"/>
  <c r="Z308" i="15"/>
  <c r="AB308" i="15" s="1"/>
  <c r="AC308" i="15" s="1"/>
  <c r="AA308" i="15" s="1"/>
  <c r="Z309" i="15"/>
  <c r="AB309" i="15" s="1"/>
  <c r="AC309" i="15" s="1"/>
  <c r="AA309" i="15" s="1"/>
  <c r="Z310" i="15"/>
  <c r="AB310" i="15" s="1"/>
  <c r="AC310" i="15" s="1"/>
  <c r="AA310" i="15" s="1"/>
  <c r="Z311" i="15"/>
  <c r="AB311" i="15" s="1"/>
  <c r="AC311" i="15" s="1"/>
  <c r="AA311" i="15" s="1"/>
  <c r="Z312" i="15"/>
  <c r="AB312" i="15" s="1"/>
  <c r="AC312" i="15" s="1"/>
  <c r="AA312" i="15" s="1"/>
  <c r="Z313" i="15"/>
  <c r="AB313" i="15"/>
  <c r="AC313" i="15" s="1"/>
  <c r="AA313" i="15" s="1"/>
  <c r="Z314" i="15"/>
  <c r="AB314" i="15"/>
  <c r="AC314" i="15" s="1"/>
  <c r="AA314" i="15" s="1"/>
  <c r="Z315" i="15"/>
  <c r="AB315" i="15" s="1"/>
  <c r="AC315" i="15" s="1"/>
  <c r="AA315" i="15" s="1"/>
  <c r="Z316" i="15"/>
  <c r="AB316" i="15" s="1"/>
  <c r="AC316" i="15" s="1"/>
  <c r="AA316" i="15" s="1"/>
  <c r="Z317" i="15"/>
  <c r="AB317" i="15" s="1"/>
  <c r="AC317" i="15" s="1"/>
  <c r="AA317" i="15" s="1"/>
  <c r="Z318" i="15"/>
  <c r="AB318" i="15" s="1"/>
  <c r="AC318" i="15" s="1"/>
  <c r="AA318" i="15" s="1"/>
  <c r="Z319" i="15"/>
  <c r="AB319" i="15" s="1"/>
  <c r="AC319" i="15" s="1"/>
  <c r="AA319" i="15" s="1"/>
  <c r="Z320" i="15"/>
  <c r="AB320" i="15" s="1"/>
  <c r="AC320" i="15" s="1"/>
  <c r="AA320" i="15" s="1"/>
  <c r="Z321" i="15"/>
  <c r="AB321" i="15" s="1"/>
  <c r="AC321" i="15" s="1"/>
  <c r="AA321" i="15" s="1"/>
  <c r="Z322" i="15"/>
  <c r="AB322" i="15" s="1"/>
  <c r="AC322" i="15" s="1"/>
  <c r="AA322" i="15" s="1"/>
  <c r="Z323" i="15"/>
  <c r="AB323" i="15" s="1"/>
  <c r="AC323" i="15" s="1"/>
  <c r="AA323" i="15" s="1"/>
  <c r="Z324" i="15"/>
  <c r="AB324" i="15" s="1"/>
  <c r="AC324" i="15" s="1"/>
  <c r="AA324" i="15" s="1"/>
  <c r="Z325" i="15"/>
  <c r="AB325" i="15" s="1"/>
  <c r="AC325" i="15" s="1"/>
  <c r="AA325" i="15" s="1"/>
  <c r="Z326" i="15"/>
  <c r="AB326" i="15" s="1"/>
  <c r="AC326" i="15" s="1"/>
  <c r="AA326" i="15" s="1"/>
  <c r="Z327" i="15"/>
  <c r="AB327" i="15"/>
  <c r="AC327" i="15" s="1"/>
  <c r="AA327" i="15" s="1"/>
  <c r="Z328" i="15"/>
  <c r="AB328" i="15" s="1"/>
  <c r="AC328" i="15" s="1"/>
  <c r="AA328" i="15" s="1"/>
  <c r="Z329" i="15"/>
  <c r="AB329" i="15"/>
  <c r="AC329" i="15" s="1"/>
  <c r="AA329" i="15" s="1"/>
  <c r="Z330" i="15"/>
  <c r="AB330" i="15" s="1"/>
  <c r="AC330" i="15" s="1"/>
  <c r="AA330" i="15" s="1"/>
  <c r="Z331" i="15"/>
  <c r="AB331" i="15"/>
  <c r="AC331" i="15" s="1"/>
  <c r="AA331" i="15" s="1"/>
  <c r="Z332" i="15"/>
  <c r="AB332" i="15" s="1"/>
  <c r="AC332" i="15" s="1"/>
  <c r="AA332" i="15" s="1"/>
  <c r="Z333" i="15"/>
  <c r="AB333" i="15" s="1"/>
  <c r="AC333" i="15" s="1"/>
  <c r="AA333" i="15" s="1"/>
  <c r="Z334" i="15"/>
  <c r="AB334" i="15" s="1"/>
  <c r="AC334" i="15" s="1"/>
  <c r="AA334" i="15" s="1"/>
  <c r="Z335" i="15"/>
  <c r="AB335" i="15" s="1"/>
  <c r="AC335" i="15" s="1"/>
  <c r="AA335" i="15" s="1"/>
  <c r="Z336" i="15"/>
  <c r="AB336" i="15" s="1"/>
  <c r="AC336" i="15" s="1"/>
  <c r="AA336" i="15" s="1"/>
  <c r="Z337" i="15"/>
  <c r="AB337" i="15" s="1"/>
  <c r="AC337" i="15" s="1"/>
  <c r="AA337" i="15" s="1"/>
  <c r="Z338" i="15"/>
  <c r="AB338" i="15" s="1"/>
  <c r="AC338" i="15" s="1"/>
  <c r="AA338" i="15" s="1"/>
  <c r="Z339" i="15"/>
  <c r="AB339" i="15" s="1"/>
  <c r="AC339" i="15" s="1"/>
  <c r="AA339" i="15" s="1"/>
  <c r="Z340" i="15"/>
  <c r="AB340" i="15" s="1"/>
  <c r="AC340" i="15" s="1"/>
  <c r="AA340" i="15" s="1"/>
  <c r="Z341" i="15"/>
  <c r="AB341" i="15" s="1"/>
  <c r="AC341" i="15" s="1"/>
  <c r="AA341" i="15" s="1"/>
  <c r="Z342" i="15"/>
  <c r="AB342" i="15" s="1"/>
  <c r="AC342" i="15" s="1"/>
  <c r="AA342" i="15" s="1"/>
  <c r="Z343" i="15"/>
  <c r="AB343" i="15"/>
  <c r="AC343" i="15" s="1"/>
  <c r="AA343" i="15" s="1"/>
  <c r="Z344" i="15"/>
  <c r="AB344" i="15" s="1"/>
  <c r="AC344" i="15" s="1"/>
  <c r="AA344" i="15" s="1"/>
  <c r="Z345" i="15"/>
  <c r="AB345" i="15" s="1"/>
  <c r="AC345" i="15" s="1"/>
  <c r="AA345" i="15" s="1"/>
  <c r="Z346" i="15"/>
  <c r="AB346" i="15"/>
  <c r="AC346" i="15" s="1"/>
  <c r="AA346" i="15" s="1"/>
  <c r="Z347" i="15"/>
  <c r="AB347" i="15"/>
  <c r="AC347" i="15" s="1"/>
  <c r="AA347" i="15" s="1"/>
  <c r="Z348" i="15"/>
  <c r="AB348" i="15" s="1"/>
  <c r="AC348" i="15" s="1"/>
  <c r="AA348" i="15" s="1"/>
  <c r="Z349" i="15"/>
  <c r="AB349" i="15" s="1"/>
  <c r="AC349" i="15" s="1"/>
  <c r="AA349" i="15" s="1"/>
  <c r="Z350" i="15"/>
  <c r="AB350" i="15" s="1"/>
  <c r="AC350" i="15" s="1"/>
  <c r="AA350" i="15" s="1"/>
  <c r="Z351" i="15"/>
  <c r="AB351" i="15" s="1"/>
  <c r="AC351" i="15" s="1"/>
  <c r="AA351" i="15" s="1"/>
  <c r="Z352" i="15"/>
  <c r="AB352" i="15" s="1"/>
  <c r="AC352" i="15" s="1"/>
  <c r="AA352" i="15" s="1"/>
  <c r="Z353" i="15"/>
  <c r="AB353" i="15" s="1"/>
  <c r="AC353" i="15" s="1"/>
  <c r="AA353" i="15" s="1"/>
  <c r="Z354" i="15"/>
  <c r="AB354" i="15" s="1"/>
  <c r="AC354" i="15" s="1"/>
  <c r="AA354" i="15" s="1"/>
  <c r="Z355" i="15"/>
  <c r="AB355" i="15" s="1"/>
  <c r="AC355" i="15" s="1"/>
  <c r="AA355" i="15" s="1"/>
  <c r="Z356" i="15"/>
  <c r="AB356" i="15" s="1"/>
  <c r="AC356" i="15" s="1"/>
  <c r="AA356" i="15" s="1"/>
  <c r="Z357" i="15"/>
  <c r="AB357" i="15" s="1"/>
  <c r="AC357" i="15" s="1"/>
  <c r="AA357" i="15" s="1"/>
  <c r="Z358" i="15"/>
  <c r="AB358" i="15" s="1"/>
  <c r="AC358" i="15" s="1"/>
  <c r="AA358" i="15" s="1"/>
  <c r="Z359" i="15"/>
  <c r="AB359" i="15"/>
  <c r="AC359" i="15" s="1"/>
  <c r="AA359" i="15" s="1"/>
  <c r="Z360" i="15"/>
  <c r="AB360" i="15" s="1"/>
  <c r="AC360" i="15" s="1"/>
  <c r="AA360" i="15" s="1"/>
  <c r="Z361" i="15"/>
  <c r="AB361" i="15"/>
  <c r="AC361" i="15" s="1"/>
  <c r="AA361" i="15" s="1"/>
  <c r="Z362" i="15"/>
  <c r="AB362" i="15"/>
  <c r="AC362" i="15" s="1"/>
  <c r="AA362" i="15" s="1"/>
  <c r="Z363" i="15"/>
  <c r="AB363" i="15"/>
  <c r="AC363" i="15" s="1"/>
  <c r="AA363" i="15" s="1"/>
  <c r="Z364" i="15"/>
  <c r="AB364" i="15" s="1"/>
  <c r="AC364" i="15" s="1"/>
  <c r="AA364" i="15" s="1"/>
  <c r="Z365" i="15"/>
  <c r="AB365" i="15" s="1"/>
  <c r="AC365" i="15" s="1"/>
  <c r="AA365" i="15" s="1"/>
  <c r="Z366" i="15"/>
  <c r="AB366" i="15" s="1"/>
  <c r="AC366" i="15" s="1"/>
  <c r="AA366" i="15" s="1"/>
  <c r="Z367" i="15"/>
  <c r="AB367" i="15" s="1"/>
  <c r="AC367" i="15" s="1"/>
  <c r="AA367" i="15" s="1"/>
  <c r="Z368" i="15"/>
  <c r="AB368" i="15" s="1"/>
  <c r="AC368" i="15" s="1"/>
  <c r="AA368" i="15" s="1"/>
  <c r="Z369" i="15"/>
  <c r="AB369" i="15" s="1"/>
  <c r="AC369" i="15" s="1"/>
  <c r="AA369" i="15" s="1"/>
  <c r="Z370" i="15"/>
  <c r="AB370" i="15" s="1"/>
  <c r="AC370" i="15" s="1"/>
  <c r="AA370" i="15" s="1"/>
  <c r="Z371" i="15"/>
  <c r="AB371" i="15" s="1"/>
  <c r="AC371" i="15" s="1"/>
  <c r="AA371" i="15" s="1"/>
  <c r="Z372" i="15"/>
  <c r="AB372" i="15" s="1"/>
  <c r="AC372" i="15" s="1"/>
  <c r="AA372" i="15" s="1"/>
  <c r="Z373" i="15"/>
  <c r="AB373" i="15" s="1"/>
  <c r="AC373" i="15" s="1"/>
  <c r="AA373" i="15" s="1"/>
  <c r="Z374" i="15"/>
  <c r="AB374" i="15" s="1"/>
  <c r="AC374" i="15" s="1"/>
  <c r="AA374" i="15" s="1"/>
  <c r="Z375" i="15"/>
  <c r="AB375" i="15" s="1"/>
  <c r="AC375" i="15" s="1"/>
  <c r="AA375" i="15" s="1"/>
  <c r="Z376" i="15"/>
  <c r="AB376" i="15" s="1"/>
  <c r="AC376" i="15" s="1"/>
  <c r="AA376" i="15" s="1"/>
  <c r="Z377" i="15"/>
  <c r="AB377" i="15"/>
  <c r="AC377" i="15" s="1"/>
  <c r="AA377" i="15" s="1"/>
  <c r="Z378" i="15"/>
  <c r="AB378" i="15"/>
  <c r="AC378" i="15" s="1"/>
  <c r="AA378" i="15" s="1"/>
  <c r="Z379" i="15"/>
  <c r="AB379" i="15" s="1"/>
  <c r="AC379" i="15" s="1"/>
  <c r="AA379" i="15" s="1"/>
  <c r="Z380" i="15"/>
  <c r="AB380" i="15" s="1"/>
  <c r="AC380" i="15" s="1"/>
  <c r="AA380" i="15" s="1"/>
  <c r="Z381" i="15"/>
  <c r="AB381" i="15" s="1"/>
  <c r="AC381" i="15" s="1"/>
  <c r="AA381" i="15" s="1"/>
  <c r="Z382" i="15"/>
  <c r="AB382" i="15" s="1"/>
  <c r="AC382" i="15" s="1"/>
  <c r="AA382" i="15" s="1"/>
  <c r="Z383" i="15"/>
  <c r="AB383" i="15" s="1"/>
  <c r="AC383" i="15" s="1"/>
  <c r="AA383" i="15" s="1"/>
  <c r="Z384" i="15"/>
  <c r="AB384" i="15" s="1"/>
  <c r="AC384" i="15" s="1"/>
  <c r="AA384" i="15" s="1"/>
  <c r="Z385" i="15"/>
  <c r="AB385" i="15" s="1"/>
  <c r="AC385" i="15" s="1"/>
  <c r="AA385" i="15" s="1"/>
  <c r="Z386" i="15"/>
  <c r="AB386" i="15" s="1"/>
  <c r="AC386" i="15" s="1"/>
  <c r="AA386" i="15" s="1"/>
  <c r="Z387" i="15"/>
  <c r="AB387" i="15" s="1"/>
  <c r="AC387" i="15" s="1"/>
  <c r="AA387" i="15" s="1"/>
  <c r="Z388" i="15"/>
  <c r="AB388" i="15" s="1"/>
  <c r="AC388" i="15" s="1"/>
  <c r="AA388" i="15" s="1"/>
  <c r="Z389" i="15"/>
  <c r="AB389" i="15" s="1"/>
  <c r="AC389" i="15" s="1"/>
  <c r="AA389" i="15" s="1"/>
  <c r="Z390" i="15"/>
  <c r="AB390" i="15" s="1"/>
  <c r="AC390" i="15" s="1"/>
  <c r="AA390" i="15" s="1"/>
  <c r="Z391" i="15"/>
  <c r="AB391" i="15"/>
  <c r="AC391" i="15" s="1"/>
  <c r="AA391" i="15" s="1"/>
  <c r="Z392" i="15"/>
  <c r="AB392" i="15" s="1"/>
  <c r="AC392" i="15" s="1"/>
  <c r="AA392" i="15" s="1"/>
  <c r="Z393" i="15"/>
  <c r="AB393" i="15"/>
  <c r="AC393" i="15" s="1"/>
  <c r="AA393" i="15" s="1"/>
  <c r="Z394" i="15"/>
  <c r="AB394" i="15" s="1"/>
  <c r="AC394" i="15" s="1"/>
  <c r="AA394" i="15" s="1"/>
  <c r="Z395" i="15"/>
  <c r="AB395" i="15"/>
  <c r="AC395" i="15" s="1"/>
  <c r="AA395" i="15" s="1"/>
  <c r="Z396" i="15"/>
  <c r="AB396" i="15" s="1"/>
  <c r="AC396" i="15" s="1"/>
  <c r="AA396" i="15" s="1"/>
  <c r="Z397" i="15"/>
  <c r="AB397" i="15" s="1"/>
  <c r="AC397" i="15" s="1"/>
  <c r="AA397" i="15" s="1"/>
  <c r="Z398" i="15"/>
  <c r="AB398" i="15" s="1"/>
  <c r="AC398" i="15" s="1"/>
  <c r="AA398" i="15" s="1"/>
  <c r="Z399" i="15"/>
  <c r="AB399" i="15" s="1"/>
  <c r="AC399" i="15" s="1"/>
  <c r="AA399" i="15" s="1"/>
  <c r="Z400" i="15"/>
  <c r="AB400" i="15" s="1"/>
  <c r="AC400" i="15" s="1"/>
  <c r="AA400" i="15" s="1"/>
  <c r="Z401" i="15"/>
  <c r="AB401" i="15" s="1"/>
  <c r="AC401" i="15" s="1"/>
  <c r="AA401" i="15" s="1"/>
  <c r="Z402" i="15"/>
  <c r="AB402" i="15" s="1"/>
  <c r="AC402" i="15" s="1"/>
  <c r="AA402" i="15" s="1"/>
  <c r="Z403" i="15"/>
  <c r="AB403" i="15" s="1"/>
  <c r="AC403" i="15" s="1"/>
  <c r="AA403" i="15" s="1"/>
  <c r="Z404" i="15"/>
  <c r="AB404" i="15" s="1"/>
  <c r="AC404" i="15" s="1"/>
  <c r="AA404" i="15" s="1"/>
  <c r="Z405" i="15"/>
  <c r="AB405" i="15" s="1"/>
  <c r="AC405" i="15" s="1"/>
  <c r="AA405" i="15" s="1"/>
  <c r="Z406" i="15"/>
  <c r="AB406" i="15" s="1"/>
  <c r="AC406" i="15" s="1"/>
  <c r="AA406" i="15" s="1"/>
  <c r="Z407" i="15"/>
  <c r="AB407" i="15"/>
  <c r="AC407" i="15" s="1"/>
  <c r="AA407" i="15" s="1"/>
  <c r="Z408" i="15"/>
  <c r="AB408" i="15" s="1"/>
  <c r="AC408" i="15" s="1"/>
  <c r="AA408" i="15" s="1"/>
  <c r="Z409" i="15"/>
  <c r="AB409" i="15" s="1"/>
  <c r="AC409" i="15" s="1"/>
  <c r="AA409" i="15" s="1"/>
  <c r="Z410" i="15"/>
  <c r="AB410" i="15"/>
  <c r="AC410" i="15" s="1"/>
  <c r="AA410" i="15" s="1"/>
  <c r="Z411" i="15"/>
  <c r="AB411" i="15"/>
  <c r="AC411" i="15" s="1"/>
  <c r="AA411" i="15" s="1"/>
  <c r="Z412" i="15"/>
  <c r="AB412" i="15" s="1"/>
  <c r="AC412" i="15" s="1"/>
  <c r="AA412" i="15" s="1"/>
  <c r="Z413" i="15"/>
  <c r="AB413" i="15" s="1"/>
  <c r="AC413" i="15" s="1"/>
  <c r="AA413" i="15" s="1"/>
  <c r="Z414" i="15"/>
  <c r="AB414" i="15" s="1"/>
  <c r="AC414" i="15" s="1"/>
  <c r="AA414" i="15" s="1"/>
  <c r="Z415" i="15"/>
  <c r="AB415" i="15" s="1"/>
  <c r="AC415" i="15" s="1"/>
  <c r="AA415" i="15" s="1"/>
  <c r="Z416" i="15"/>
  <c r="AB416" i="15" s="1"/>
  <c r="AC416" i="15" s="1"/>
  <c r="AA416" i="15" s="1"/>
  <c r="Z417" i="15"/>
  <c r="AB417" i="15" s="1"/>
  <c r="AC417" i="15" s="1"/>
  <c r="AA417" i="15" s="1"/>
  <c r="Z418" i="15"/>
  <c r="AB418" i="15" s="1"/>
  <c r="AC418" i="15" s="1"/>
  <c r="AA418" i="15" s="1"/>
  <c r="Z419" i="15"/>
  <c r="AB419" i="15" s="1"/>
  <c r="AC419" i="15" s="1"/>
  <c r="AA419" i="15" s="1"/>
  <c r="Z420" i="15"/>
  <c r="AB420" i="15" s="1"/>
  <c r="AC420" i="15" s="1"/>
  <c r="AA420" i="15" s="1"/>
  <c r="Z421" i="15"/>
  <c r="AB421" i="15" s="1"/>
  <c r="AC421" i="15" s="1"/>
  <c r="AA421" i="15" s="1"/>
  <c r="Z422" i="15"/>
  <c r="AB422" i="15" s="1"/>
  <c r="AC422" i="15" s="1"/>
  <c r="AA422" i="15" s="1"/>
  <c r="Z423" i="15"/>
  <c r="AB423" i="15"/>
  <c r="AC423" i="15" s="1"/>
  <c r="AA423" i="15" s="1"/>
  <c r="Z424" i="15"/>
  <c r="AB424" i="15" s="1"/>
  <c r="AC424" i="15" s="1"/>
  <c r="AA424" i="15" s="1"/>
  <c r="Z425" i="15"/>
  <c r="AB425" i="15"/>
  <c r="AC425" i="15" s="1"/>
  <c r="AA425" i="15" s="1"/>
  <c r="Z426" i="15"/>
  <c r="AB426" i="15"/>
  <c r="AC426" i="15" s="1"/>
  <c r="AA426" i="15" s="1"/>
  <c r="Z427" i="15"/>
  <c r="AB427" i="15"/>
  <c r="AC427" i="15" s="1"/>
  <c r="AA427" i="15" s="1"/>
  <c r="Z428" i="15"/>
  <c r="AB428" i="15" s="1"/>
  <c r="AC428" i="15" s="1"/>
  <c r="AA428" i="15" s="1"/>
  <c r="Z429" i="15"/>
  <c r="AB429" i="15" s="1"/>
  <c r="AC429" i="15" s="1"/>
  <c r="AA429" i="15" s="1"/>
  <c r="Z430" i="15"/>
  <c r="AB430" i="15" s="1"/>
  <c r="AC430" i="15" s="1"/>
  <c r="AA430" i="15" s="1"/>
  <c r="Z431" i="15"/>
  <c r="AB431" i="15" s="1"/>
  <c r="AC431" i="15" s="1"/>
  <c r="AA431" i="15" s="1"/>
  <c r="Z432" i="15"/>
  <c r="AB432" i="15" s="1"/>
  <c r="AC432" i="15" s="1"/>
  <c r="AA432" i="15" s="1"/>
  <c r="Z433" i="15"/>
  <c r="AB433" i="15" s="1"/>
  <c r="AC433" i="15" s="1"/>
  <c r="AA433" i="15" s="1"/>
  <c r="Z434" i="15"/>
  <c r="AB434" i="15" s="1"/>
  <c r="AC434" i="15" s="1"/>
  <c r="AA434" i="15" s="1"/>
  <c r="Z435" i="15"/>
  <c r="AB435" i="15" s="1"/>
  <c r="AC435" i="15" s="1"/>
  <c r="AA435" i="15" s="1"/>
  <c r="Z436" i="15"/>
  <c r="AB436" i="15" s="1"/>
  <c r="AC436" i="15" s="1"/>
  <c r="AA436" i="15" s="1"/>
  <c r="Z437" i="15"/>
  <c r="AB437" i="15" s="1"/>
  <c r="AC437" i="15" s="1"/>
  <c r="AA437" i="15" s="1"/>
  <c r="Z438" i="15"/>
  <c r="AB438" i="15" s="1"/>
  <c r="AC438" i="15" s="1"/>
  <c r="AA438" i="15" s="1"/>
  <c r="Z439" i="15"/>
  <c r="AB439" i="15" s="1"/>
  <c r="AC439" i="15" s="1"/>
  <c r="AA439" i="15" s="1"/>
  <c r="Z440" i="15"/>
  <c r="AB440" i="15" s="1"/>
  <c r="AC440" i="15" s="1"/>
  <c r="AA440" i="15" s="1"/>
  <c r="Z441" i="15"/>
  <c r="AB441" i="15"/>
  <c r="AC441" i="15" s="1"/>
  <c r="AA441" i="15" s="1"/>
  <c r="Z442" i="15"/>
  <c r="AB442" i="15"/>
  <c r="AC442" i="15" s="1"/>
  <c r="AA442" i="15" s="1"/>
  <c r="Z443" i="15"/>
  <c r="AB443" i="15" s="1"/>
  <c r="AC443" i="15" s="1"/>
  <c r="AA443" i="15" s="1"/>
  <c r="Z444" i="15"/>
  <c r="AB444" i="15" s="1"/>
  <c r="AC444" i="15" s="1"/>
  <c r="AA444" i="15" s="1"/>
  <c r="Z445" i="15"/>
  <c r="AB445" i="15" s="1"/>
  <c r="AC445" i="15" s="1"/>
  <c r="AA445" i="15" s="1"/>
  <c r="Z446" i="15"/>
  <c r="AB446" i="15" s="1"/>
  <c r="AC446" i="15" s="1"/>
  <c r="AA446" i="15" s="1"/>
  <c r="Z447" i="15"/>
  <c r="AB447" i="15" s="1"/>
  <c r="AC447" i="15" s="1"/>
  <c r="AA447" i="15" s="1"/>
  <c r="Z448" i="15"/>
  <c r="AB448" i="15" s="1"/>
  <c r="AC448" i="15" s="1"/>
  <c r="AA448" i="15" s="1"/>
  <c r="Z449" i="15"/>
  <c r="AB449" i="15"/>
  <c r="AC449" i="15"/>
  <c r="AA449" i="15" s="1"/>
  <c r="Z450" i="15"/>
  <c r="AB450" i="15"/>
  <c r="AC450" i="15" s="1"/>
  <c r="AA450" i="15" s="1"/>
  <c r="Z451" i="15"/>
  <c r="AB451" i="15" s="1"/>
  <c r="AC451" i="15" s="1"/>
  <c r="AA451" i="15" s="1"/>
  <c r="Z452" i="15"/>
  <c r="AB452" i="15" s="1"/>
  <c r="AC452" i="15" s="1"/>
  <c r="AA452" i="15" s="1"/>
  <c r="Z453" i="15"/>
  <c r="AB453" i="15"/>
  <c r="AC453" i="15" s="1"/>
  <c r="AA453" i="15" s="1"/>
  <c r="Z454" i="15"/>
  <c r="AB454" i="15"/>
  <c r="AC454" i="15" s="1"/>
  <c r="AA454" i="15" s="1"/>
  <c r="Z455" i="15"/>
  <c r="AB455" i="15"/>
  <c r="AC455" i="15" s="1"/>
  <c r="AA455" i="15" s="1"/>
  <c r="Z456" i="15"/>
  <c r="AB456" i="15" s="1"/>
  <c r="AC456" i="15" s="1"/>
  <c r="AA456" i="15" s="1"/>
  <c r="Z457" i="15"/>
  <c r="AB457" i="15" s="1"/>
  <c r="AC457" i="15" s="1"/>
  <c r="AA457" i="15" s="1"/>
  <c r="Z458" i="15"/>
  <c r="AB458" i="15" s="1"/>
  <c r="AC458" i="15" s="1"/>
  <c r="AA458" i="15" s="1"/>
  <c r="Z459" i="15"/>
  <c r="AB459" i="15"/>
  <c r="AC459" i="15"/>
  <c r="AA459" i="15" s="1"/>
  <c r="Z460" i="15"/>
  <c r="AB460" i="15"/>
  <c r="AC460" i="15" s="1"/>
  <c r="AA460" i="15" s="1"/>
  <c r="Z461" i="15"/>
  <c r="AB461" i="15" s="1"/>
  <c r="AC461" i="15" s="1"/>
  <c r="AA461" i="15" s="1"/>
  <c r="Z462" i="15"/>
  <c r="AB462" i="15" s="1"/>
  <c r="AC462" i="15" s="1"/>
  <c r="AA462" i="15" s="1"/>
  <c r="Z463" i="15"/>
  <c r="AB463" i="15"/>
  <c r="AC463" i="15" s="1"/>
  <c r="AA463" i="15" s="1"/>
  <c r="Z464" i="15"/>
  <c r="AB464" i="15" s="1"/>
  <c r="AC464" i="15" s="1"/>
  <c r="AA464" i="15" s="1"/>
  <c r="Z465" i="15"/>
  <c r="AB465" i="15" s="1"/>
  <c r="AC465" i="15" s="1"/>
  <c r="AA465" i="15" s="1"/>
  <c r="Z466" i="15"/>
  <c r="AB466" i="15"/>
  <c r="AC466" i="15" s="1"/>
  <c r="AA466" i="15" s="1"/>
  <c r="Z467" i="15"/>
  <c r="AB467" i="15"/>
  <c r="AC467" i="15" s="1"/>
  <c r="AA467" i="15" s="1"/>
  <c r="Z468" i="15"/>
  <c r="AB468" i="15" s="1"/>
  <c r="AC468" i="15" s="1"/>
  <c r="AA468" i="15" s="1"/>
  <c r="Z469" i="15"/>
  <c r="AB469" i="15" s="1"/>
  <c r="AC469" i="15" s="1"/>
  <c r="AA469" i="15" s="1"/>
  <c r="Z470" i="15"/>
  <c r="AB470" i="15" s="1"/>
  <c r="AC470" i="15" s="1"/>
  <c r="AA470" i="15" s="1"/>
  <c r="Z471" i="15"/>
  <c r="AB471" i="15" s="1"/>
  <c r="AC471" i="15" s="1"/>
  <c r="AA471" i="15" s="1"/>
  <c r="Z472" i="15"/>
  <c r="AB472" i="15" s="1"/>
  <c r="AC472" i="15" s="1"/>
  <c r="AA472" i="15" s="1"/>
  <c r="Z473" i="15"/>
  <c r="AB473" i="15"/>
  <c r="AC473" i="15" s="1"/>
  <c r="AA473" i="15" s="1"/>
  <c r="Z474" i="15"/>
  <c r="AB474" i="15" s="1"/>
  <c r="AC474" i="15" s="1"/>
  <c r="AA474" i="15" s="1"/>
  <c r="Z475" i="15"/>
  <c r="AB475" i="15"/>
  <c r="AC475" i="15"/>
  <c r="AA475" i="15" s="1"/>
  <c r="Z476" i="15"/>
  <c r="AB476" i="15"/>
  <c r="AC476" i="15" s="1"/>
  <c r="AA476" i="15" s="1"/>
  <c r="Z477" i="15"/>
  <c r="AB477" i="15" s="1"/>
  <c r="AC477" i="15" s="1"/>
  <c r="AA477" i="15" s="1"/>
  <c r="Z478" i="15"/>
  <c r="AB478" i="15" s="1"/>
  <c r="AC478" i="15" s="1"/>
  <c r="AA478" i="15" s="1"/>
  <c r="Z479" i="15"/>
  <c r="AB479" i="15"/>
  <c r="AC479" i="15" s="1"/>
  <c r="AA479" i="15" s="1"/>
  <c r="Z480" i="15"/>
  <c r="AB480" i="15" s="1"/>
  <c r="AC480" i="15" s="1"/>
  <c r="AA480" i="15" s="1"/>
  <c r="Z481" i="15"/>
  <c r="AB481" i="15" s="1"/>
  <c r="AC481" i="15" s="1"/>
  <c r="AA481" i="15" s="1"/>
  <c r="Z482" i="15"/>
  <c r="AB482" i="15"/>
  <c r="AC482" i="15" s="1"/>
  <c r="AA482" i="15" s="1"/>
  <c r="Z483" i="15"/>
  <c r="AB483" i="15"/>
  <c r="AC483" i="15" s="1"/>
  <c r="AA483" i="15" s="1"/>
  <c r="Z484" i="15"/>
  <c r="AB484" i="15" s="1"/>
  <c r="AC484" i="15" s="1"/>
  <c r="AA484" i="15" s="1"/>
  <c r="Z485" i="15"/>
  <c r="AB485" i="15" s="1"/>
  <c r="AC485" i="15" s="1"/>
  <c r="AA485" i="15" s="1"/>
  <c r="Z486" i="15"/>
  <c r="AB486" i="15" s="1"/>
  <c r="AC486" i="15" s="1"/>
  <c r="AA486" i="15" s="1"/>
  <c r="Z487" i="15"/>
  <c r="AB487" i="15" s="1"/>
  <c r="AC487" i="15" s="1"/>
  <c r="AA487" i="15" s="1"/>
  <c r="Z488" i="15"/>
  <c r="AB488" i="15" s="1"/>
  <c r="AC488" i="15" s="1"/>
  <c r="AA488" i="15" s="1"/>
  <c r="Z489" i="15"/>
  <c r="AB489" i="15"/>
  <c r="AC489" i="15" s="1"/>
  <c r="AA489" i="15" s="1"/>
  <c r="Z490" i="15"/>
  <c r="AB490" i="15" s="1"/>
  <c r="AC490" i="15" s="1"/>
  <c r="AA490" i="15" s="1"/>
  <c r="Z491" i="15"/>
  <c r="AB491" i="15"/>
  <c r="AC491" i="15"/>
  <c r="AA491" i="15" s="1"/>
  <c r="Z492" i="15"/>
  <c r="AB492" i="15"/>
  <c r="AC492" i="15" s="1"/>
  <c r="AA492" i="15" s="1"/>
  <c r="Z493" i="15"/>
  <c r="AB493" i="15" s="1"/>
  <c r="AC493" i="15" s="1"/>
  <c r="AA493" i="15" s="1"/>
  <c r="Z494" i="15"/>
  <c r="AB494" i="15" s="1"/>
  <c r="AC494" i="15" s="1"/>
  <c r="AA494" i="15" s="1"/>
  <c r="Z495" i="15"/>
  <c r="AB495" i="15"/>
  <c r="AC495" i="15" s="1"/>
  <c r="AA495" i="15" s="1"/>
  <c r="Z496" i="15"/>
  <c r="AB496" i="15" s="1"/>
  <c r="AC496" i="15" s="1"/>
  <c r="AA496" i="15" s="1"/>
  <c r="Z497" i="15"/>
  <c r="AB497" i="15" s="1"/>
  <c r="AC497" i="15" s="1"/>
  <c r="AA497" i="15" s="1"/>
  <c r="Z498" i="15"/>
  <c r="AB498" i="15"/>
  <c r="AC498" i="15" s="1"/>
  <c r="AA498" i="15" s="1"/>
  <c r="Z499" i="15"/>
  <c r="AB499" i="15"/>
  <c r="AC499" i="15" s="1"/>
  <c r="AA499" i="15" s="1"/>
  <c r="Z500" i="15"/>
  <c r="AB500" i="15" s="1"/>
  <c r="AC500" i="15" s="1"/>
  <c r="AA500" i="15" s="1"/>
  <c r="Z501" i="15"/>
  <c r="AB501" i="15" s="1"/>
  <c r="AC501" i="15" s="1"/>
  <c r="AA501" i="15" s="1"/>
  <c r="Z502" i="15"/>
  <c r="AB502" i="15" s="1"/>
  <c r="AC502" i="15" s="1"/>
  <c r="AA502" i="15" s="1"/>
  <c r="Z503" i="15"/>
  <c r="AB503" i="15" s="1"/>
  <c r="AC503" i="15" s="1"/>
  <c r="AA503" i="15" s="1"/>
  <c r="Z504" i="15"/>
  <c r="AB504" i="15" s="1"/>
  <c r="AC504" i="15" s="1"/>
  <c r="AA504" i="15" s="1"/>
  <c r="Z505" i="15"/>
  <c r="AB505" i="15"/>
  <c r="AC505" i="15" s="1"/>
  <c r="AA505" i="15" s="1"/>
  <c r="AD56" i="15"/>
  <c r="AD57" i="15"/>
  <c r="AD58" i="15"/>
  <c r="AD59" i="15"/>
  <c r="AD60" i="15"/>
  <c r="AD61" i="15"/>
  <c r="AD62" i="15"/>
  <c r="AD63" i="15"/>
  <c r="AD64" i="15"/>
  <c r="AD65" i="15"/>
  <c r="AD66" i="15"/>
  <c r="AD67" i="15"/>
  <c r="AD68" i="15"/>
  <c r="AD69" i="15"/>
  <c r="AD70" i="15"/>
  <c r="AD71" i="15"/>
  <c r="AD72" i="15"/>
  <c r="AD73" i="15"/>
  <c r="AD74" i="15"/>
  <c r="AD75" i="15"/>
  <c r="AD76" i="15"/>
  <c r="AD77" i="15"/>
  <c r="AD78" i="15"/>
  <c r="AD79" i="15"/>
  <c r="AD80" i="15"/>
  <c r="AD81" i="15"/>
  <c r="AD82" i="15"/>
  <c r="AD83" i="15"/>
  <c r="AD84" i="15"/>
  <c r="AD85" i="15"/>
  <c r="AD86" i="15"/>
  <c r="AD87" i="15"/>
  <c r="AD88" i="15"/>
  <c r="AD89" i="15"/>
  <c r="AD90" i="15"/>
  <c r="AD91" i="15"/>
  <c r="AD92" i="15"/>
  <c r="AD93" i="15"/>
  <c r="AD94" i="15"/>
  <c r="AD95" i="15"/>
  <c r="AD96" i="15"/>
  <c r="AD97" i="15"/>
  <c r="AD98" i="15"/>
  <c r="AD99" i="15"/>
  <c r="AD100" i="15"/>
  <c r="AD101" i="15"/>
  <c r="AD102" i="15"/>
  <c r="AD103" i="15"/>
  <c r="AD104" i="15"/>
  <c r="AD105" i="15"/>
  <c r="AD106" i="15"/>
  <c r="AD107" i="15"/>
  <c r="AD108" i="15"/>
  <c r="AD109" i="15"/>
  <c r="AD110" i="15"/>
  <c r="AD111" i="15"/>
  <c r="AD112" i="15"/>
  <c r="AD113" i="15"/>
  <c r="AD114" i="15"/>
  <c r="AD115" i="15"/>
  <c r="AD116" i="15"/>
  <c r="AD117" i="15"/>
  <c r="AD118" i="15"/>
  <c r="AD119" i="15"/>
  <c r="AD120" i="15"/>
  <c r="AD121" i="15"/>
  <c r="AD122" i="15"/>
  <c r="AD123" i="15"/>
  <c r="AD124" i="15"/>
  <c r="AD125" i="15"/>
  <c r="AD126" i="15"/>
  <c r="AD127" i="15"/>
  <c r="AD128" i="15"/>
  <c r="AD129" i="15"/>
  <c r="AD130" i="15"/>
  <c r="AD131" i="15"/>
  <c r="AD132" i="15"/>
  <c r="AD133" i="15"/>
  <c r="AD134" i="15"/>
  <c r="AD135" i="15"/>
  <c r="AD136" i="15"/>
  <c r="AD137" i="15"/>
  <c r="AD138" i="15"/>
  <c r="AD139" i="15"/>
  <c r="AD140" i="15"/>
  <c r="AD141" i="15"/>
  <c r="AD142" i="15"/>
  <c r="AD143" i="15"/>
  <c r="AD144" i="15"/>
  <c r="AD145" i="15"/>
  <c r="AD146" i="15"/>
  <c r="AD147" i="15"/>
  <c r="AD148" i="15"/>
  <c r="AD149" i="15"/>
  <c r="AD150" i="15"/>
  <c r="AD151" i="15"/>
  <c r="AD152" i="15"/>
  <c r="AD153" i="15"/>
  <c r="AD154" i="15"/>
  <c r="AD155" i="15"/>
  <c r="AD156" i="15"/>
  <c r="AD157" i="15"/>
  <c r="AD158" i="15"/>
  <c r="AD159" i="15"/>
  <c r="AD160" i="15"/>
  <c r="AD161" i="15"/>
  <c r="AD162" i="15"/>
  <c r="AD163" i="15"/>
  <c r="AD164" i="15"/>
  <c r="AD165" i="15"/>
  <c r="AD166" i="15"/>
  <c r="AD167" i="15"/>
  <c r="AD168" i="15"/>
  <c r="AD169" i="15"/>
  <c r="AD170" i="15"/>
  <c r="AD171" i="15"/>
  <c r="AD172" i="15"/>
  <c r="AD173" i="15"/>
  <c r="AD174" i="15"/>
  <c r="AD175" i="15"/>
  <c r="AD176" i="15"/>
  <c r="AD177" i="15"/>
  <c r="AD178" i="15"/>
  <c r="AD179" i="15"/>
  <c r="AD180" i="15"/>
  <c r="AD181" i="15"/>
  <c r="AD182" i="15"/>
  <c r="AD183" i="15"/>
  <c r="AD184" i="15"/>
  <c r="AD185" i="15"/>
  <c r="AD186" i="15"/>
  <c r="AD187" i="15"/>
  <c r="AD188" i="15"/>
  <c r="AD189" i="15"/>
  <c r="AD190" i="15"/>
  <c r="AD191" i="15"/>
  <c r="AD192" i="15"/>
  <c r="AD193" i="15"/>
  <c r="AD194" i="15"/>
  <c r="AD195" i="15"/>
  <c r="AD196" i="15"/>
  <c r="AD197" i="15"/>
  <c r="AD198" i="15"/>
  <c r="AD199" i="15"/>
  <c r="AD200" i="15"/>
  <c r="AD201" i="15"/>
  <c r="AD202" i="15"/>
  <c r="AD203" i="15"/>
  <c r="AD204" i="15"/>
  <c r="AD205" i="15"/>
  <c r="AD206" i="15"/>
  <c r="AD207" i="15"/>
  <c r="AD208" i="15"/>
  <c r="AD209" i="15"/>
  <c r="AD210" i="15"/>
  <c r="AD211" i="15"/>
  <c r="AD212" i="15"/>
  <c r="AD213" i="15"/>
  <c r="AD214" i="15"/>
  <c r="AD215" i="15"/>
  <c r="AD216" i="15"/>
  <c r="AD217" i="15"/>
  <c r="AD218" i="15"/>
  <c r="AD219" i="15"/>
  <c r="AD220" i="15"/>
  <c r="AD221" i="15"/>
  <c r="AD222" i="15"/>
  <c r="AD223" i="15"/>
  <c r="AD224" i="15"/>
  <c r="AD225" i="15"/>
  <c r="AD226" i="15"/>
  <c r="AD227" i="15"/>
  <c r="AD228" i="15"/>
  <c r="AD229" i="15"/>
  <c r="AD230" i="15"/>
  <c r="AD231" i="15"/>
  <c r="AD232" i="15"/>
  <c r="AD233" i="15"/>
  <c r="AD234" i="15"/>
  <c r="AD235" i="15"/>
  <c r="AD236" i="15"/>
  <c r="AD237" i="15"/>
  <c r="AD238" i="15"/>
  <c r="AD239" i="15"/>
  <c r="AD240" i="15"/>
  <c r="AD241" i="15"/>
  <c r="AD242" i="15"/>
  <c r="AD243" i="15"/>
  <c r="AD244" i="15"/>
  <c r="AD245" i="15"/>
  <c r="AD246" i="15"/>
  <c r="AD247" i="15"/>
  <c r="AD248" i="15"/>
  <c r="AD249" i="15"/>
  <c r="AD250" i="15"/>
  <c r="AD251" i="15"/>
  <c r="AD252" i="15"/>
  <c r="AD253" i="15"/>
  <c r="AD254" i="15"/>
  <c r="AD255" i="15"/>
  <c r="AD256" i="15"/>
  <c r="AD257" i="15"/>
  <c r="AD258" i="15"/>
  <c r="AD259" i="15"/>
  <c r="AD260" i="15"/>
  <c r="AD261" i="15"/>
  <c r="AD262" i="15"/>
  <c r="AD263" i="15"/>
  <c r="AD264" i="15"/>
  <c r="AD265" i="15"/>
  <c r="AD266" i="15"/>
  <c r="AD267" i="15"/>
  <c r="AD268" i="15"/>
  <c r="AD269" i="15"/>
  <c r="AD270" i="15"/>
  <c r="AD271" i="15"/>
  <c r="AD272" i="15"/>
  <c r="AD273" i="15"/>
  <c r="AD274" i="15"/>
  <c r="AD275" i="15"/>
  <c r="AD276" i="15"/>
  <c r="AD277" i="15"/>
  <c r="AD278" i="15"/>
  <c r="AD279" i="15"/>
  <c r="AD280" i="15"/>
  <c r="AD281" i="15"/>
  <c r="AD282" i="15"/>
  <c r="AD283" i="15"/>
  <c r="AD284" i="15"/>
  <c r="AD285" i="15"/>
  <c r="AD286" i="15"/>
  <c r="AD287" i="15"/>
  <c r="AD288" i="15"/>
  <c r="AD289" i="15"/>
  <c r="AD290" i="15"/>
  <c r="AD291" i="15"/>
  <c r="AD292" i="15"/>
  <c r="AD293" i="15"/>
  <c r="AD294" i="15"/>
  <c r="AD295" i="15"/>
  <c r="AD296" i="15"/>
  <c r="AD297" i="15"/>
  <c r="AD298" i="15"/>
  <c r="AD299" i="15"/>
  <c r="AD300" i="15"/>
  <c r="AD301" i="15"/>
  <c r="AD302" i="15"/>
  <c r="AD303" i="15"/>
  <c r="AD304" i="15"/>
  <c r="AD305" i="15"/>
  <c r="AD306" i="15"/>
  <c r="AD307" i="15"/>
  <c r="AD308" i="15"/>
  <c r="AD309" i="15"/>
  <c r="AD310" i="15"/>
  <c r="AD311" i="15"/>
  <c r="AD312" i="15"/>
  <c r="AD313" i="15"/>
  <c r="AD314" i="15"/>
  <c r="AD315" i="15"/>
  <c r="AD316" i="15"/>
  <c r="AD317" i="15"/>
  <c r="AD318" i="15"/>
  <c r="AD319" i="15"/>
  <c r="AD320" i="15"/>
  <c r="AD321" i="15"/>
  <c r="AD322" i="15"/>
  <c r="AD323" i="15"/>
  <c r="AD324" i="15"/>
  <c r="AD325" i="15"/>
  <c r="AD326" i="15"/>
  <c r="AD327" i="15"/>
  <c r="AD328" i="15"/>
  <c r="AD329" i="15"/>
  <c r="AD330" i="15"/>
  <c r="AD331" i="15"/>
  <c r="AD332" i="15"/>
  <c r="AD333" i="15"/>
  <c r="AD334" i="15"/>
  <c r="AD335" i="15"/>
  <c r="AD336" i="15"/>
  <c r="AD337" i="15"/>
  <c r="AD338" i="15"/>
  <c r="AD339" i="15"/>
  <c r="AD340" i="15"/>
  <c r="AD341" i="15"/>
  <c r="AD342" i="15"/>
  <c r="AD343" i="15"/>
  <c r="AD344" i="15"/>
  <c r="AD345" i="15"/>
  <c r="AD346" i="15"/>
  <c r="AD347" i="15"/>
  <c r="AD348" i="15"/>
  <c r="AD349" i="15"/>
  <c r="AD350" i="15"/>
  <c r="AD351" i="15"/>
  <c r="AD352" i="15"/>
  <c r="AD353" i="15"/>
  <c r="AD354" i="15"/>
  <c r="AD355" i="15"/>
  <c r="AD356" i="15"/>
  <c r="AD357" i="15"/>
  <c r="AD358" i="15"/>
  <c r="AD359" i="15"/>
  <c r="AD360" i="15"/>
  <c r="AD361" i="15"/>
  <c r="AD362" i="15"/>
  <c r="AD363" i="15"/>
  <c r="AD364" i="15"/>
  <c r="AD365" i="15"/>
  <c r="AD366" i="15"/>
  <c r="AD367" i="15"/>
  <c r="AD368" i="15"/>
  <c r="AD369" i="15"/>
  <c r="AD370" i="15"/>
  <c r="AD371" i="15"/>
  <c r="AD372" i="15"/>
  <c r="AD373" i="15"/>
  <c r="AD374" i="15"/>
  <c r="AD375" i="15"/>
  <c r="AD376" i="15"/>
  <c r="AD377" i="15"/>
  <c r="AD378" i="15"/>
  <c r="AD379" i="15"/>
  <c r="AD380" i="15"/>
  <c r="AD381" i="15"/>
  <c r="AD382" i="15"/>
  <c r="AD383" i="15"/>
  <c r="AD384" i="15"/>
  <c r="AD385" i="15"/>
  <c r="AD386" i="15"/>
  <c r="AD387" i="15"/>
  <c r="AD388" i="15"/>
  <c r="AD389" i="15"/>
  <c r="AD390" i="15"/>
  <c r="AD391" i="15"/>
  <c r="AD392" i="15"/>
  <c r="AD393" i="15"/>
  <c r="AD394" i="15"/>
  <c r="AD395" i="15"/>
  <c r="AD396" i="15"/>
  <c r="AD397" i="15"/>
  <c r="AD398" i="15"/>
  <c r="AD399" i="15"/>
  <c r="AD400" i="15"/>
  <c r="AD401" i="15"/>
  <c r="AD402" i="15"/>
  <c r="AD403" i="15"/>
  <c r="AD404" i="15"/>
  <c r="AD405" i="15"/>
  <c r="AD406" i="15"/>
  <c r="AD407" i="15"/>
  <c r="AD408" i="15"/>
  <c r="AD409" i="15"/>
  <c r="AD410" i="15"/>
  <c r="AD411" i="15"/>
  <c r="AD412" i="15"/>
  <c r="AD413" i="15"/>
  <c r="AD414" i="15"/>
  <c r="AD415" i="15"/>
  <c r="AD416" i="15"/>
  <c r="AD417" i="15"/>
  <c r="AD418" i="15"/>
  <c r="AD419" i="15"/>
  <c r="AD420" i="15"/>
  <c r="AD421" i="15"/>
  <c r="AD422" i="15"/>
  <c r="AD423" i="15"/>
  <c r="AD424" i="15"/>
  <c r="AD425" i="15"/>
  <c r="AD426" i="15"/>
  <c r="AD427" i="15"/>
  <c r="AD428" i="15"/>
  <c r="AD429" i="15"/>
  <c r="AD430" i="15"/>
  <c r="AD431" i="15"/>
  <c r="AD432" i="15"/>
  <c r="AD433" i="15"/>
  <c r="AD434" i="15"/>
  <c r="AD435" i="15"/>
  <c r="AD436" i="15"/>
  <c r="AD437" i="15"/>
  <c r="AD438" i="15"/>
  <c r="AD439" i="15"/>
  <c r="AD440" i="15"/>
  <c r="AD441" i="15"/>
  <c r="AD442" i="15"/>
  <c r="AD443" i="15"/>
  <c r="AD444" i="15"/>
  <c r="AD445" i="15"/>
  <c r="AD446" i="15"/>
  <c r="AD447" i="15"/>
  <c r="AD448" i="15"/>
  <c r="AD449" i="15"/>
  <c r="AD450" i="15"/>
  <c r="AD451" i="15"/>
  <c r="AD452" i="15"/>
  <c r="AD453" i="15"/>
  <c r="AD454" i="15"/>
  <c r="AD455" i="15"/>
  <c r="AD456" i="15"/>
  <c r="AD457" i="15"/>
  <c r="AD458" i="15"/>
  <c r="AD459" i="15"/>
  <c r="AD460" i="15"/>
  <c r="AD461" i="15"/>
  <c r="AD462" i="15"/>
  <c r="AD463" i="15"/>
  <c r="AD464" i="15"/>
  <c r="AD465" i="15"/>
  <c r="AD466" i="15"/>
  <c r="AD467" i="15"/>
  <c r="AD468" i="15"/>
  <c r="AD469" i="15"/>
  <c r="AD470" i="15"/>
  <c r="AD471" i="15"/>
  <c r="AD472" i="15"/>
  <c r="AD473" i="15"/>
  <c r="AD474" i="15"/>
  <c r="AD475" i="15"/>
  <c r="AD476" i="15"/>
  <c r="AD477" i="15"/>
  <c r="AD478" i="15"/>
  <c r="AD479" i="15"/>
  <c r="AD480" i="15"/>
  <c r="AD481" i="15"/>
  <c r="AD482" i="15"/>
  <c r="AD483" i="15"/>
  <c r="AD484" i="15"/>
  <c r="AD485" i="15"/>
  <c r="AD486" i="15"/>
  <c r="AD487" i="15"/>
  <c r="AD488" i="15"/>
  <c r="AD489" i="15"/>
  <c r="AD490" i="15"/>
  <c r="AD491" i="15"/>
  <c r="AD492" i="15"/>
  <c r="AD493" i="15"/>
  <c r="AD494" i="15"/>
  <c r="AD495" i="15"/>
  <c r="AD496" i="15"/>
  <c r="AD497" i="15"/>
  <c r="AD498" i="15"/>
  <c r="AD499" i="15"/>
  <c r="AD500" i="15"/>
  <c r="AD501" i="15"/>
  <c r="AD502" i="15"/>
  <c r="AD503" i="15"/>
  <c r="AD504" i="15"/>
  <c r="AD505" i="15"/>
  <c r="R306" i="15" l="1"/>
  <c r="S306" i="15"/>
  <c r="T306" i="15"/>
  <c r="U306" i="15"/>
  <c r="V306" i="15"/>
  <c r="W306" i="15"/>
  <c r="X306" i="15"/>
  <c r="Y306" i="15"/>
  <c r="R307" i="15"/>
  <c r="S307" i="15"/>
  <c r="T307" i="15"/>
  <c r="U307" i="15"/>
  <c r="V307" i="15"/>
  <c r="W307" i="15"/>
  <c r="X307" i="15"/>
  <c r="Y307" i="15"/>
  <c r="R308" i="15"/>
  <c r="S308" i="15"/>
  <c r="T308" i="15"/>
  <c r="U308" i="15"/>
  <c r="V308" i="15"/>
  <c r="W308" i="15"/>
  <c r="X308" i="15"/>
  <c r="Y308" i="15"/>
  <c r="R309" i="15"/>
  <c r="S309" i="15"/>
  <c r="T309" i="15"/>
  <c r="U309" i="15"/>
  <c r="V309" i="15"/>
  <c r="W309" i="15"/>
  <c r="X309" i="15"/>
  <c r="Y309" i="15"/>
  <c r="R310" i="15"/>
  <c r="S310" i="15"/>
  <c r="T310" i="15"/>
  <c r="U310" i="15"/>
  <c r="V310" i="15"/>
  <c r="W310" i="15"/>
  <c r="X310" i="15"/>
  <c r="Y310" i="15"/>
  <c r="R311" i="15"/>
  <c r="S311" i="15"/>
  <c r="T311" i="15"/>
  <c r="U311" i="15"/>
  <c r="V311" i="15"/>
  <c r="W311" i="15"/>
  <c r="X311" i="15"/>
  <c r="Y311" i="15"/>
  <c r="R312" i="15"/>
  <c r="S312" i="15"/>
  <c r="T312" i="15"/>
  <c r="U312" i="15"/>
  <c r="V312" i="15"/>
  <c r="W312" i="15"/>
  <c r="X312" i="15"/>
  <c r="Y312" i="15"/>
  <c r="R313" i="15"/>
  <c r="S313" i="15"/>
  <c r="T313" i="15"/>
  <c r="U313" i="15"/>
  <c r="V313" i="15"/>
  <c r="W313" i="15"/>
  <c r="X313" i="15"/>
  <c r="Y313" i="15"/>
  <c r="R314" i="15"/>
  <c r="S314" i="15"/>
  <c r="T314" i="15"/>
  <c r="U314" i="15"/>
  <c r="V314" i="15"/>
  <c r="W314" i="15"/>
  <c r="X314" i="15"/>
  <c r="Y314" i="15"/>
  <c r="R315" i="15"/>
  <c r="S315" i="15"/>
  <c r="T315" i="15"/>
  <c r="U315" i="15"/>
  <c r="V315" i="15"/>
  <c r="W315" i="15"/>
  <c r="X315" i="15"/>
  <c r="Y315" i="15"/>
  <c r="R316" i="15"/>
  <c r="S316" i="15"/>
  <c r="T316" i="15"/>
  <c r="U316" i="15"/>
  <c r="V316" i="15"/>
  <c r="W316" i="15"/>
  <c r="X316" i="15"/>
  <c r="Y316" i="15"/>
  <c r="R317" i="15"/>
  <c r="S317" i="15"/>
  <c r="T317" i="15"/>
  <c r="U317" i="15"/>
  <c r="V317" i="15"/>
  <c r="W317" i="15"/>
  <c r="X317" i="15"/>
  <c r="Y317" i="15"/>
  <c r="R318" i="15"/>
  <c r="S318" i="15"/>
  <c r="T318" i="15"/>
  <c r="U318" i="15"/>
  <c r="V318" i="15"/>
  <c r="W318" i="15"/>
  <c r="X318" i="15"/>
  <c r="Y318" i="15"/>
  <c r="R319" i="15"/>
  <c r="S319" i="15"/>
  <c r="T319" i="15"/>
  <c r="U319" i="15"/>
  <c r="V319" i="15"/>
  <c r="W319" i="15"/>
  <c r="X319" i="15"/>
  <c r="Y319" i="15"/>
  <c r="R320" i="15"/>
  <c r="S320" i="15"/>
  <c r="T320" i="15"/>
  <c r="U320" i="15"/>
  <c r="V320" i="15"/>
  <c r="W320" i="15"/>
  <c r="X320" i="15"/>
  <c r="Y320" i="15"/>
  <c r="R321" i="15"/>
  <c r="S321" i="15"/>
  <c r="T321" i="15"/>
  <c r="U321" i="15"/>
  <c r="V321" i="15"/>
  <c r="W321" i="15"/>
  <c r="X321" i="15"/>
  <c r="Y321" i="15"/>
  <c r="R322" i="15"/>
  <c r="S322" i="15"/>
  <c r="T322" i="15"/>
  <c r="U322" i="15"/>
  <c r="V322" i="15"/>
  <c r="W322" i="15"/>
  <c r="X322" i="15"/>
  <c r="Y322" i="15"/>
  <c r="R323" i="15"/>
  <c r="S323" i="15"/>
  <c r="T323" i="15"/>
  <c r="U323" i="15"/>
  <c r="V323" i="15"/>
  <c r="W323" i="15"/>
  <c r="X323" i="15"/>
  <c r="Y323" i="15"/>
  <c r="R324" i="15"/>
  <c r="S324" i="15"/>
  <c r="T324" i="15"/>
  <c r="U324" i="15"/>
  <c r="V324" i="15"/>
  <c r="W324" i="15"/>
  <c r="X324" i="15"/>
  <c r="Y324" i="15"/>
  <c r="R325" i="15"/>
  <c r="S325" i="15"/>
  <c r="T325" i="15"/>
  <c r="U325" i="15"/>
  <c r="V325" i="15"/>
  <c r="W325" i="15"/>
  <c r="X325" i="15"/>
  <c r="Y325" i="15"/>
  <c r="R326" i="15"/>
  <c r="S326" i="15"/>
  <c r="T326" i="15"/>
  <c r="U326" i="15"/>
  <c r="V326" i="15"/>
  <c r="W326" i="15"/>
  <c r="X326" i="15"/>
  <c r="Y326" i="15"/>
  <c r="R327" i="15"/>
  <c r="S327" i="15"/>
  <c r="T327" i="15"/>
  <c r="U327" i="15"/>
  <c r="V327" i="15"/>
  <c r="W327" i="15"/>
  <c r="X327" i="15"/>
  <c r="Y327" i="15"/>
  <c r="R328" i="15"/>
  <c r="S328" i="15"/>
  <c r="T328" i="15"/>
  <c r="U328" i="15"/>
  <c r="V328" i="15"/>
  <c r="W328" i="15"/>
  <c r="X328" i="15"/>
  <c r="Y328" i="15"/>
  <c r="R329" i="15"/>
  <c r="S329" i="15"/>
  <c r="T329" i="15"/>
  <c r="U329" i="15"/>
  <c r="V329" i="15"/>
  <c r="W329" i="15"/>
  <c r="X329" i="15"/>
  <c r="Y329" i="15"/>
  <c r="R330" i="15"/>
  <c r="S330" i="15"/>
  <c r="T330" i="15"/>
  <c r="U330" i="15"/>
  <c r="V330" i="15"/>
  <c r="W330" i="15"/>
  <c r="X330" i="15"/>
  <c r="Y330" i="15"/>
  <c r="R331" i="15"/>
  <c r="S331" i="15"/>
  <c r="T331" i="15"/>
  <c r="U331" i="15"/>
  <c r="V331" i="15"/>
  <c r="W331" i="15"/>
  <c r="X331" i="15"/>
  <c r="Y331" i="15"/>
  <c r="R332" i="15"/>
  <c r="S332" i="15"/>
  <c r="T332" i="15"/>
  <c r="U332" i="15"/>
  <c r="V332" i="15"/>
  <c r="W332" i="15"/>
  <c r="X332" i="15"/>
  <c r="Y332" i="15"/>
  <c r="R333" i="15"/>
  <c r="S333" i="15"/>
  <c r="T333" i="15"/>
  <c r="U333" i="15"/>
  <c r="V333" i="15"/>
  <c r="W333" i="15"/>
  <c r="X333" i="15"/>
  <c r="Y333" i="15"/>
  <c r="R334" i="15"/>
  <c r="S334" i="15"/>
  <c r="T334" i="15"/>
  <c r="U334" i="15"/>
  <c r="V334" i="15"/>
  <c r="W334" i="15"/>
  <c r="X334" i="15"/>
  <c r="Y334" i="15"/>
  <c r="R335" i="15"/>
  <c r="S335" i="15"/>
  <c r="T335" i="15"/>
  <c r="U335" i="15"/>
  <c r="V335" i="15"/>
  <c r="W335" i="15"/>
  <c r="X335" i="15"/>
  <c r="Y335" i="15"/>
  <c r="R336" i="15"/>
  <c r="S336" i="15"/>
  <c r="T336" i="15"/>
  <c r="U336" i="15"/>
  <c r="V336" i="15"/>
  <c r="W336" i="15"/>
  <c r="X336" i="15"/>
  <c r="Y336" i="15"/>
  <c r="R337" i="15"/>
  <c r="S337" i="15"/>
  <c r="T337" i="15"/>
  <c r="U337" i="15"/>
  <c r="V337" i="15"/>
  <c r="W337" i="15"/>
  <c r="X337" i="15"/>
  <c r="Y337" i="15"/>
  <c r="R338" i="15"/>
  <c r="S338" i="15"/>
  <c r="T338" i="15"/>
  <c r="U338" i="15"/>
  <c r="V338" i="15"/>
  <c r="W338" i="15"/>
  <c r="X338" i="15"/>
  <c r="Y338" i="15"/>
  <c r="R339" i="15"/>
  <c r="S339" i="15"/>
  <c r="T339" i="15"/>
  <c r="U339" i="15"/>
  <c r="V339" i="15"/>
  <c r="W339" i="15"/>
  <c r="X339" i="15"/>
  <c r="Y339" i="15"/>
  <c r="R340" i="15"/>
  <c r="S340" i="15"/>
  <c r="T340" i="15"/>
  <c r="U340" i="15"/>
  <c r="V340" i="15"/>
  <c r="W340" i="15"/>
  <c r="X340" i="15"/>
  <c r="Y340" i="15"/>
  <c r="R341" i="15"/>
  <c r="S341" i="15"/>
  <c r="T341" i="15"/>
  <c r="U341" i="15"/>
  <c r="V341" i="15"/>
  <c r="W341" i="15"/>
  <c r="X341" i="15"/>
  <c r="Y341" i="15"/>
  <c r="R342" i="15"/>
  <c r="S342" i="15"/>
  <c r="T342" i="15"/>
  <c r="U342" i="15"/>
  <c r="V342" i="15"/>
  <c r="W342" i="15"/>
  <c r="X342" i="15"/>
  <c r="Y342" i="15"/>
  <c r="R343" i="15"/>
  <c r="S343" i="15"/>
  <c r="T343" i="15"/>
  <c r="U343" i="15"/>
  <c r="V343" i="15"/>
  <c r="W343" i="15"/>
  <c r="X343" i="15"/>
  <c r="Y343" i="15"/>
  <c r="R344" i="15"/>
  <c r="S344" i="15"/>
  <c r="T344" i="15"/>
  <c r="U344" i="15"/>
  <c r="V344" i="15"/>
  <c r="W344" i="15"/>
  <c r="X344" i="15"/>
  <c r="Y344" i="15"/>
  <c r="R345" i="15"/>
  <c r="S345" i="15"/>
  <c r="T345" i="15"/>
  <c r="U345" i="15"/>
  <c r="V345" i="15"/>
  <c r="W345" i="15"/>
  <c r="X345" i="15"/>
  <c r="Y345" i="15"/>
  <c r="R346" i="15"/>
  <c r="S346" i="15"/>
  <c r="T346" i="15"/>
  <c r="U346" i="15"/>
  <c r="V346" i="15"/>
  <c r="W346" i="15"/>
  <c r="X346" i="15"/>
  <c r="Y346" i="15"/>
  <c r="R347" i="15"/>
  <c r="S347" i="15"/>
  <c r="T347" i="15"/>
  <c r="U347" i="15"/>
  <c r="V347" i="15"/>
  <c r="W347" i="15"/>
  <c r="X347" i="15"/>
  <c r="Y347" i="15"/>
  <c r="R348" i="15"/>
  <c r="S348" i="15"/>
  <c r="T348" i="15"/>
  <c r="U348" i="15"/>
  <c r="V348" i="15"/>
  <c r="W348" i="15"/>
  <c r="X348" i="15"/>
  <c r="Y348" i="15"/>
  <c r="R349" i="15"/>
  <c r="S349" i="15"/>
  <c r="T349" i="15"/>
  <c r="U349" i="15"/>
  <c r="V349" i="15"/>
  <c r="W349" i="15"/>
  <c r="X349" i="15"/>
  <c r="Y349" i="15"/>
  <c r="R350" i="15"/>
  <c r="S350" i="15"/>
  <c r="T350" i="15"/>
  <c r="U350" i="15"/>
  <c r="V350" i="15"/>
  <c r="W350" i="15"/>
  <c r="X350" i="15"/>
  <c r="Y350" i="15"/>
  <c r="R351" i="15"/>
  <c r="S351" i="15"/>
  <c r="T351" i="15"/>
  <c r="U351" i="15"/>
  <c r="V351" i="15"/>
  <c r="W351" i="15"/>
  <c r="X351" i="15"/>
  <c r="Y351" i="15"/>
  <c r="R352" i="15"/>
  <c r="S352" i="15"/>
  <c r="T352" i="15"/>
  <c r="U352" i="15"/>
  <c r="V352" i="15"/>
  <c r="W352" i="15"/>
  <c r="X352" i="15"/>
  <c r="Y352" i="15"/>
  <c r="R353" i="15"/>
  <c r="S353" i="15"/>
  <c r="T353" i="15"/>
  <c r="U353" i="15"/>
  <c r="V353" i="15"/>
  <c r="W353" i="15"/>
  <c r="X353" i="15"/>
  <c r="Y353" i="15"/>
  <c r="R354" i="15"/>
  <c r="S354" i="15"/>
  <c r="T354" i="15"/>
  <c r="U354" i="15"/>
  <c r="V354" i="15"/>
  <c r="W354" i="15"/>
  <c r="X354" i="15"/>
  <c r="Y354" i="15"/>
  <c r="R355" i="15"/>
  <c r="S355" i="15"/>
  <c r="T355" i="15"/>
  <c r="U355" i="15"/>
  <c r="V355" i="15"/>
  <c r="W355" i="15"/>
  <c r="X355" i="15"/>
  <c r="Y355" i="15"/>
  <c r="R356" i="15"/>
  <c r="S356" i="15"/>
  <c r="T356" i="15"/>
  <c r="U356" i="15"/>
  <c r="V356" i="15"/>
  <c r="W356" i="15"/>
  <c r="X356" i="15"/>
  <c r="Y356" i="15"/>
  <c r="R357" i="15"/>
  <c r="S357" i="15"/>
  <c r="T357" i="15"/>
  <c r="U357" i="15"/>
  <c r="V357" i="15"/>
  <c r="W357" i="15"/>
  <c r="X357" i="15"/>
  <c r="Y357" i="15"/>
  <c r="R358" i="15"/>
  <c r="S358" i="15"/>
  <c r="T358" i="15"/>
  <c r="U358" i="15"/>
  <c r="V358" i="15"/>
  <c r="W358" i="15"/>
  <c r="X358" i="15"/>
  <c r="Y358" i="15"/>
  <c r="R359" i="15"/>
  <c r="S359" i="15"/>
  <c r="T359" i="15"/>
  <c r="U359" i="15"/>
  <c r="V359" i="15"/>
  <c r="W359" i="15"/>
  <c r="X359" i="15"/>
  <c r="Y359" i="15"/>
  <c r="R360" i="15"/>
  <c r="S360" i="15"/>
  <c r="T360" i="15"/>
  <c r="U360" i="15"/>
  <c r="V360" i="15"/>
  <c r="W360" i="15"/>
  <c r="X360" i="15"/>
  <c r="Y360" i="15"/>
  <c r="R361" i="15"/>
  <c r="S361" i="15"/>
  <c r="T361" i="15"/>
  <c r="U361" i="15"/>
  <c r="V361" i="15"/>
  <c r="W361" i="15"/>
  <c r="X361" i="15"/>
  <c r="Y361" i="15"/>
  <c r="R362" i="15"/>
  <c r="S362" i="15"/>
  <c r="T362" i="15"/>
  <c r="U362" i="15"/>
  <c r="V362" i="15"/>
  <c r="W362" i="15"/>
  <c r="X362" i="15"/>
  <c r="Y362" i="15"/>
  <c r="R363" i="15"/>
  <c r="S363" i="15"/>
  <c r="T363" i="15"/>
  <c r="U363" i="15"/>
  <c r="V363" i="15"/>
  <c r="W363" i="15"/>
  <c r="X363" i="15"/>
  <c r="Y363" i="15"/>
  <c r="R364" i="15"/>
  <c r="S364" i="15"/>
  <c r="T364" i="15"/>
  <c r="U364" i="15"/>
  <c r="V364" i="15"/>
  <c r="W364" i="15"/>
  <c r="X364" i="15"/>
  <c r="Y364" i="15"/>
  <c r="R365" i="15"/>
  <c r="S365" i="15"/>
  <c r="T365" i="15"/>
  <c r="U365" i="15"/>
  <c r="V365" i="15"/>
  <c r="W365" i="15"/>
  <c r="X365" i="15"/>
  <c r="Y365" i="15"/>
  <c r="R366" i="15"/>
  <c r="S366" i="15"/>
  <c r="T366" i="15"/>
  <c r="U366" i="15"/>
  <c r="V366" i="15"/>
  <c r="W366" i="15"/>
  <c r="X366" i="15"/>
  <c r="Y366" i="15"/>
  <c r="R367" i="15"/>
  <c r="S367" i="15"/>
  <c r="T367" i="15"/>
  <c r="U367" i="15"/>
  <c r="V367" i="15"/>
  <c r="W367" i="15"/>
  <c r="X367" i="15"/>
  <c r="Y367" i="15"/>
  <c r="R368" i="15"/>
  <c r="S368" i="15"/>
  <c r="T368" i="15"/>
  <c r="U368" i="15"/>
  <c r="V368" i="15"/>
  <c r="W368" i="15"/>
  <c r="X368" i="15"/>
  <c r="Y368" i="15"/>
  <c r="R369" i="15"/>
  <c r="S369" i="15"/>
  <c r="T369" i="15"/>
  <c r="U369" i="15"/>
  <c r="V369" i="15"/>
  <c r="W369" i="15"/>
  <c r="X369" i="15"/>
  <c r="Y369" i="15"/>
  <c r="R370" i="15"/>
  <c r="S370" i="15"/>
  <c r="T370" i="15"/>
  <c r="U370" i="15"/>
  <c r="V370" i="15"/>
  <c r="W370" i="15"/>
  <c r="X370" i="15"/>
  <c r="Y370" i="15"/>
  <c r="R371" i="15"/>
  <c r="S371" i="15"/>
  <c r="T371" i="15"/>
  <c r="U371" i="15"/>
  <c r="V371" i="15"/>
  <c r="W371" i="15"/>
  <c r="X371" i="15"/>
  <c r="Y371" i="15"/>
  <c r="R372" i="15"/>
  <c r="S372" i="15"/>
  <c r="T372" i="15"/>
  <c r="U372" i="15"/>
  <c r="V372" i="15"/>
  <c r="W372" i="15"/>
  <c r="X372" i="15"/>
  <c r="Y372" i="15"/>
  <c r="R373" i="15"/>
  <c r="S373" i="15"/>
  <c r="T373" i="15"/>
  <c r="U373" i="15"/>
  <c r="V373" i="15"/>
  <c r="W373" i="15"/>
  <c r="X373" i="15"/>
  <c r="Y373" i="15"/>
  <c r="R374" i="15"/>
  <c r="S374" i="15"/>
  <c r="T374" i="15"/>
  <c r="U374" i="15"/>
  <c r="V374" i="15"/>
  <c r="W374" i="15"/>
  <c r="X374" i="15"/>
  <c r="Y374" i="15"/>
  <c r="R375" i="15"/>
  <c r="S375" i="15"/>
  <c r="T375" i="15"/>
  <c r="U375" i="15"/>
  <c r="V375" i="15"/>
  <c r="W375" i="15"/>
  <c r="X375" i="15"/>
  <c r="Y375" i="15"/>
  <c r="R376" i="15"/>
  <c r="S376" i="15"/>
  <c r="T376" i="15"/>
  <c r="U376" i="15"/>
  <c r="V376" i="15"/>
  <c r="W376" i="15"/>
  <c r="X376" i="15"/>
  <c r="Y376" i="15"/>
  <c r="R377" i="15"/>
  <c r="S377" i="15"/>
  <c r="T377" i="15"/>
  <c r="U377" i="15"/>
  <c r="V377" i="15"/>
  <c r="W377" i="15"/>
  <c r="X377" i="15"/>
  <c r="Y377" i="15"/>
  <c r="R378" i="15"/>
  <c r="S378" i="15"/>
  <c r="T378" i="15"/>
  <c r="U378" i="15"/>
  <c r="V378" i="15"/>
  <c r="W378" i="15"/>
  <c r="X378" i="15"/>
  <c r="Y378" i="15"/>
  <c r="R379" i="15"/>
  <c r="S379" i="15"/>
  <c r="T379" i="15"/>
  <c r="U379" i="15"/>
  <c r="V379" i="15"/>
  <c r="W379" i="15"/>
  <c r="X379" i="15"/>
  <c r="Y379" i="15"/>
  <c r="R380" i="15"/>
  <c r="S380" i="15"/>
  <c r="T380" i="15"/>
  <c r="U380" i="15"/>
  <c r="V380" i="15"/>
  <c r="W380" i="15"/>
  <c r="X380" i="15"/>
  <c r="Y380" i="15"/>
  <c r="R381" i="15"/>
  <c r="S381" i="15"/>
  <c r="T381" i="15"/>
  <c r="U381" i="15"/>
  <c r="V381" i="15"/>
  <c r="W381" i="15"/>
  <c r="X381" i="15"/>
  <c r="Y381" i="15"/>
  <c r="R382" i="15"/>
  <c r="S382" i="15"/>
  <c r="T382" i="15"/>
  <c r="U382" i="15"/>
  <c r="V382" i="15"/>
  <c r="W382" i="15"/>
  <c r="X382" i="15"/>
  <c r="Y382" i="15"/>
  <c r="R383" i="15"/>
  <c r="S383" i="15"/>
  <c r="T383" i="15"/>
  <c r="U383" i="15"/>
  <c r="V383" i="15"/>
  <c r="W383" i="15"/>
  <c r="X383" i="15"/>
  <c r="Y383" i="15"/>
  <c r="R384" i="15"/>
  <c r="S384" i="15"/>
  <c r="T384" i="15"/>
  <c r="U384" i="15"/>
  <c r="V384" i="15"/>
  <c r="W384" i="15"/>
  <c r="X384" i="15"/>
  <c r="Y384" i="15"/>
  <c r="R385" i="15"/>
  <c r="S385" i="15"/>
  <c r="T385" i="15"/>
  <c r="U385" i="15"/>
  <c r="V385" i="15"/>
  <c r="W385" i="15"/>
  <c r="X385" i="15"/>
  <c r="Y385" i="15"/>
  <c r="R386" i="15"/>
  <c r="S386" i="15"/>
  <c r="T386" i="15"/>
  <c r="U386" i="15"/>
  <c r="V386" i="15"/>
  <c r="W386" i="15"/>
  <c r="X386" i="15"/>
  <c r="Y386" i="15"/>
  <c r="R387" i="15"/>
  <c r="S387" i="15"/>
  <c r="T387" i="15"/>
  <c r="U387" i="15"/>
  <c r="V387" i="15"/>
  <c r="W387" i="15"/>
  <c r="X387" i="15"/>
  <c r="Y387" i="15"/>
  <c r="R388" i="15"/>
  <c r="S388" i="15"/>
  <c r="T388" i="15"/>
  <c r="U388" i="15"/>
  <c r="V388" i="15"/>
  <c r="W388" i="15"/>
  <c r="X388" i="15"/>
  <c r="Y388" i="15"/>
  <c r="R389" i="15"/>
  <c r="S389" i="15"/>
  <c r="T389" i="15"/>
  <c r="U389" i="15"/>
  <c r="V389" i="15"/>
  <c r="W389" i="15"/>
  <c r="X389" i="15"/>
  <c r="Y389" i="15"/>
  <c r="R390" i="15"/>
  <c r="S390" i="15"/>
  <c r="T390" i="15"/>
  <c r="U390" i="15"/>
  <c r="V390" i="15"/>
  <c r="W390" i="15"/>
  <c r="X390" i="15"/>
  <c r="Y390" i="15"/>
  <c r="R391" i="15"/>
  <c r="S391" i="15"/>
  <c r="T391" i="15"/>
  <c r="U391" i="15"/>
  <c r="V391" i="15"/>
  <c r="W391" i="15"/>
  <c r="X391" i="15"/>
  <c r="Y391" i="15"/>
  <c r="R392" i="15"/>
  <c r="S392" i="15"/>
  <c r="T392" i="15"/>
  <c r="U392" i="15"/>
  <c r="V392" i="15"/>
  <c r="W392" i="15"/>
  <c r="X392" i="15"/>
  <c r="Y392" i="15"/>
  <c r="R393" i="15"/>
  <c r="S393" i="15"/>
  <c r="T393" i="15"/>
  <c r="U393" i="15"/>
  <c r="V393" i="15"/>
  <c r="W393" i="15"/>
  <c r="X393" i="15"/>
  <c r="Y393" i="15"/>
  <c r="R394" i="15"/>
  <c r="S394" i="15"/>
  <c r="T394" i="15"/>
  <c r="U394" i="15"/>
  <c r="V394" i="15"/>
  <c r="W394" i="15"/>
  <c r="X394" i="15"/>
  <c r="Y394" i="15"/>
  <c r="R395" i="15"/>
  <c r="S395" i="15"/>
  <c r="T395" i="15"/>
  <c r="U395" i="15"/>
  <c r="V395" i="15"/>
  <c r="W395" i="15"/>
  <c r="X395" i="15"/>
  <c r="Y395" i="15"/>
  <c r="R396" i="15"/>
  <c r="S396" i="15"/>
  <c r="T396" i="15"/>
  <c r="U396" i="15"/>
  <c r="V396" i="15"/>
  <c r="W396" i="15"/>
  <c r="X396" i="15"/>
  <c r="Y396" i="15"/>
  <c r="R397" i="15"/>
  <c r="S397" i="15"/>
  <c r="T397" i="15"/>
  <c r="U397" i="15"/>
  <c r="V397" i="15"/>
  <c r="W397" i="15"/>
  <c r="X397" i="15"/>
  <c r="Y397" i="15"/>
  <c r="R398" i="15"/>
  <c r="S398" i="15"/>
  <c r="T398" i="15"/>
  <c r="U398" i="15"/>
  <c r="V398" i="15"/>
  <c r="W398" i="15"/>
  <c r="X398" i="15"/>
  <c r="Y398" i="15"/>
  <c r="R399" i="15"/>
  <c r="S399" i="15"/>
  <c r="T399" i="15"/>
  <c r="U399" i="15"/>
  <c r="V399" i="15"/>
  <c r="W399" i="15"/>
  <c r="X399" i="15"/>
  <c r="Y399" i="15"/>
  <c r="R400" i="15"/>
  <c r="S400" i="15"/>
  <c r="T400" i="15"/>
  <c r="U400" i="15"/>
  <c r="V400" i="15"/>
  <c r="W400" i="15"/>
  <c r="X400" i="15"/>
  <c r="Y400" i="15"/>
  <c r="R401" i="15"/>
  <c r="S401" i="15"/>
  <c r="T401" i="15"/>
  <c r="U401" i="15"/>
  <c r="V401" i="15"/>
  <c r="W401" i="15"/>
  <c r="X401" i="15"/>
  <c r="Y401" i="15"/>
  <c r="R402" i="15"/>
  <c r="S402" i="15"/>
  <c r="T402" i="15"/>
  <c r="U402" i="15"/>
  <c r="V402" i="15"/>
  <c r="W402" i="15"/>
  <c r="X402" i="15"/>
  <c r="Y402" i="15"/>
  <c r="R403" i="15"/>
  <c r="S403" i="15"/>
  <c r="T403" i="15"/>
  <c r="U403" i="15"/>
  <c r="V403" i="15"/>
  <c r="W403" i="15"/>
  <c r="X403" i="15"/>
  <c r="Y403" i="15"/>
  <c r="R404" i="15"/>
  <c r="S404" i="15"/>
  <c r="T404" i="15"/>
  <c r="U404" i="15"/>
  <c r="V404" i="15"/>
  <c r="W404" i="15"/>
  <c r="X404" i="15"/>
  <c r="Y404" i="15"/>
  <c r="R405" i="15"/>
  <c r="S405" i="15"/>
  <c r="T405" i="15"/>
  <c r="U405" i="15"/>
  <c r="V405" i="15"/>
  <c r="W405" i="15"/>
  <c r="X405" i="15"/>
  <c r="Y405" i="15"/>
  <c r="R406" i="15"/>
  <c r="S406" i="15"/>
  <c r="T406" i="15"/>
  <c r="U406" i="15"/>
  <c r="V406" i="15"/>
  <c r="W406" i="15"/>
  <c r="X406" i="15"/>
  <c r="Y406" i="15"/>
  <c r="R407" i="15"/>
  <c r="S407" i="15"/>
  <c r="T407" i="15"/>
  <c r="U407" i="15"/>
  <c r="V407" i="15"/>
  <c r="W407" i="15"/>
  <c r="X407" i="15"/>
  <c r="Y407" i="15"/>
  <c r="R408" i="15"/>
  <c r="S408" i="15"/>
  <c r="T408" i="15"/>
  <c r="U408" i="15"/>
  <c r="V408" i="15"/>
  <c r="W408" i="15"/>
  <c r="X408" i="15"/>
  <c r="Y408" i="15"/>
  <c r="R409" i="15"/>
  <c r="S409" i="15"/>
  <c r="T409" i="15"/>
  <c r="U409" i="15"/>
  <c r="V409" i="15"/>
  <c r="W409" i="15"/>
  <c r="X409" i="15"/>
  <c r="Y409" i="15"/>
  <c r="R410" i="15"/>
  <c r="S410" i="15"/>
  <c r="T410" i="15"/>
  <c r="U410" i="15"/>
  <c r="V410" i="15"/>
  <c r="W410" i="15"/>
  <c r="X410" i="15"/>
  <c r="Y410" i="15"/>
  <c r="R411" i="15"/>
  <c r="S411" i="15"/>
  <c r="T411" i="15"/>
  <c r="U411" i="15"/>
  <c r="V411" i="15"/>
  <c r="W411" i="15"/>
  <c r="X411" i="15"/>
  <c r="Y411" i="15"/>
  <c r="R412" i="15"/>
  <c r="S412" i="15"/>
  <c r="T412" i="15"/>
  <c r="U412" i="15"/>
  <c r="V412" i="15"/>
  <c r="W412" i="15"/>
  <c r="X412" i="15"/>
  <c r="Y412" i="15"/>
  <c r="R413" i="15"/>
  <c r="S413" i="15"/>
  <c r="T413" i="15"/>
  <c r="U413" i="15"/>
  <c r="V413" i="15"/>
  <c r="W413" i="15"/>
  <c r="X413" i="15"/>
  <c r="Y413" i="15"/>
  <c r="R414" i="15"/>
  <c r="S414" i="15"/>
  <c r="T414" i="15"/>
  <c r="U414" i="15"/>
  <c r="V414" i="15"/>
  <c r="W414" i="15"/>
  <c r="X414" i="15"/>
  <c r="Y414" i="15"/>
  <c r="R415" i="15"/>
  <c r="S415" i="15"/>
  <c r="T415" i="15"/>
  <c r="U415" i="15"/>
  <c r="V415" i="15"/>
  <c r="W415" i="15"/>
  <c r="X415" i="15"/>
  <c r="Y415" i="15"/>
  <c r="R416" i="15"/>
  <c r="S416" i="15"/>
  <c r="T416" i="15"/>
  <c r="U416" i="15"/>
  <c r="V416" i="15"/>
  <c r="W416" i="15"/>
  <c r="X416" i="15"/>
  <c r="Y416" i="15"/>
  <c r="R417" i="15"/>
  <c r="S417" i="15"/>
  <c r="T417" i="15"/>
  <c r="U417" i="15"/>
  <c r="V417" i="15"/>
  <c r="W417" i="15"/>
  <c r="X417" i="15"/>
  <c r="Y417" i="15"/>
  <c r="R418" i="15"/>
  <c r="S418" i="15"/>
  <c r="T418" i="15"/>
  <c r="U418" i="15"/>
  <c r="V418" i="15"/>
  <c r="W418" i="15"/>
  <c r="X418" i="15"/>
  <c r="Y418" i="15"/>
  <c r="R419" i="15"/>
  <c r="S419" i="15"/>
  <c r="T419" i="15"/>
  <c r="U419" i="15"/>
  <c r="V419" i="15"/>
  <c r="W419" i="15"/>
  <c r="X419" i="15"/>
  <c r="Y419" i="15"/>
  <c r="R420" i="15"/>
  <c r="S420" i="15"/>
  <c r="T420" i="15"/>
  <c r="U420" i="15"/>
  <c r="V420" i="15"/>
  <c r="W420" i="15"/>
  <c r="X420" i="15"/>
  <c r="Y420" i="15"/>
  <c r="R421" i="15"/>
  <c r="S421" i="15"/>
  <c r="T421" i="15"/>
  <c r="U421" i="15"/>
  <c r="V421" i="15"/>
  <c r="W421" i="15"/>
  <c r="X421" i="15"/>
  <c r="Y421" i="15"/>
  <c r="R422" i="15"/>
  <c r="S422" i="15"/>
  <c r="T422" i="15"/>
  <c r="U422" i="15"/>
  <c r="V422" i="15"/>
  <c r="W422" i="15"/>
  <c r="X422" i="15"/>
  <c r="Y422" i="15"/>
  <c r="R423" i="15"/>
  <c r="S423" i="15"/>
  <c r="T423" i="15"/>
  <c r="U423" i="15"/>
  <c r="V423" i="15"/>
  <c r="W423" i="15"/>
  <c r="X423" i="15"/>
  <c r="Y423" i="15"/>
  <c r="R424" i="15"/>
  <c r="S424" i="15"/>
  <c r="T424" i="15"/>
  <c r="U424" i="15"/>
  <c r="V424" i="15"/>
  <c r="W424" i="15"/>
  <c r="X424" i="15"/>
  <c r="Y424" i="15"/>
  <c r="R425" i="15"/>
  <c r="S425" i="15"/>
  <c r="T425" i="15"/>
  <c r="U425" i="15"/>
  <c r="V425" i="15"/>
  <c r="W425" i="15"/>
  <c r="X425" i="15"/>
  <c r="Y425" i="15"/>
  <c r="R426" i="15"/>
  <c r="S426" i="15"/>
  <c r="T426" i="15"/>
  <c r="U426" i="15"/>
  <c r="V426" i="15"/>
  <c r="W426" i="15"/>
  <c r="X426" i="15"/>
  <c r="Y426" i="15"/>
  <c r="R427" i="15"/>
  <c r="S427" i="15"/>
  <c r="T427" i="15"/>
  <c r="U427" i="15"/>
  <c r="V427" i="15"/>
  <c r="W427" i="15"/>
  <c r="X427" i="15"/>
  <c r="Y427" i="15"/>
  <c r="R428" i="15"/>
  <c r="S428" i="15"/>
  <c r="T428" i="15"/>
  <c r="U428" i="15"/>
  <c r="V428" i="15"/>
  <c r="W428" i="15"/>
  <c r="X428" i="15"/>
  <c r="Y428" i="15"/>
  <c r="R429" i="15"/>
  <c r="S429" i="15"/>
  <c r="T429" i="15"/>
  <c r="U429" i="15"/>
  <c r="V429" i="15"/>
  <c r="W429" i="15"/>
  <c r="X429" i="15"/>
  <c r="Y429" i="15"/>
  <c r="R430" i="15"/>
  <c r="S430" i="15"/>
  <c r="T430" i="15"/>
  <c r="U430" i="15"/>
  <c r="V430" i="15"/>
  <c r="W430" i="15"/>
  <c r="X430" i="15"/>
  <c r="Y430" i="15"/>
  <c r="R431" i="15"/>
  <c r="S431" i="15"/>
  <c r="T431" i="15"/>
  <c r="U431" i="15"/>
  <c r="V431" i="15"/>
  <c r="W431" i="15"/>
  <c r="X431" i="15"/>
  <c r="Y431" i="15"/>
  <c r="R432" i="15"/>
  <c r="S432" i="15"/>
  <c r="T432" i="15"/>
  <c r="U432" i="15"/>
  <c r="V432" i="15"/>
  <c r="W432" i="15"/>
  <c r="X432" i="15"/>
  <c r="Y432" i="15"/>
  <c r="R433" i="15"/>
  <c r="S433" i="15"/>
  <c r="T433" i="15"/>
  <c r="U433" i="15"/>
  <c r="V433" i="15"/>
  <c r="W433" i="15"/>
  <c r="X433" i="15"/>
  <c r="Y433" i="15"/>
  <c r="R434" i="15"/>
  <c r="S434" i="15"/>
  <c r="T434" i="15"/>
  <c r="U434" i="15"/>
  <c r="V434" i="15"/>
  <c r="W434" i="15"/>
  <c r="X434" i="15"/>
  <c r="Y434" i="15"/>
  <c r="R435" i="15"/>
  <c r="S435" i="15"/>
  <c r="T435" i="15"/>
  <c r="U435" i="15"/>
  <c r="V435" i="15"/>
  <c r="W435" i="15"/>
  <c r="X435" i="15"/>
  <c r="Y435" i="15"/>
  <c r="R436" i="15"/>
  <c r="S436" i="15"/>
  <c r="T436" i="15"/>
  <c r="U436" i="15"/>
  <c r="V436" i="15"/>
  <c r="W436" i="15"/>
  <c r="X436" i="15"/>
  <c r="Y436" i="15"/>
  <c r="R437" i="15"/>
  <c r="S437" i="15"/>
  <c r="T437" i="15"/>
  <c r="U437" i="15"/>
  <c r="V437" i="15"/>
  <c r="W437" i="15"/>
  <c r="X437" i="15"/>
  <c r="Y437" i="15"/>
  <c r="R438" i="15"/>
  <c r="S438" i="15"/>
  <c r="T438" i="15"/>
  <c r="U438" i="15"/>
  <c r="V438" i="15"/>
  <c r="W438" i="15"/>
  <c r="X438" i="15"/>
  <c r="Y438" i="15"/>
  <c r="R439" i="15"/>
  <c r="S439" i="15"/>
  <c r="T439" i="15"/>
  <c r="U439" i="15"/>
  <c r="V439" i="15"/>
  <c r="W439" i="15"/>
  <c r="X439" i="15"/>
  <c r="Y439" i="15"/>
  <c r="R440" i="15"/>
  <c r="S440" i="15"/>
  <c r="T440" i="15"/>
  <c r="U440" i="15"/>
  <c r="V440" i="15"/>
  <c r="W440" i="15"/>
  <c r="X440" i="15"/>
  <c r="Y440" i="15"/>
  <c r="R441" i="15"/>
  <c r="S441" i="15"/>
  <c r="T441" i="15"/>
  <c r="U441" i="15"/>
  <c r="V441" i="15"/>
  <c r="W441" i="15"/>
  <c r="X441" i="15"/>
  <c r="Y441" i="15"/>
  <c r="R442" i="15"/>
  <c r="S442" i="15"/>
  <c r="T442" i="15"/>
  <c r="U442" i="15"/>
  <c r="V442" i="15"/>
  <c r="W442" i="15"/>
  <c r="X442" i="15"/>
  <c r="Y442" i="15"/>
  <c r="R443" i="15"/>
  <c r="S443" i="15"/>
  <c r="T443" i="15"/>
  <c r="U443" i="15"/>
  <c r="V443" i="15"/>
  <c r="W443" i="15"/>
  <c r="X443" i="15"/>
  <c r="Y443" i="15"/>
  <c r="R444" i="15"/>
  <c r="S444" i="15"/>
  <c r="T444" i="15"/>
  <c r="U444" i="15"/>
  <c r="V444" i="15"/>
  <c r="W444" i="15"/>
  <c r="X444" i="15"/>
  <c r="Y444" i="15"/>
  <c r="R445" i="15"/>
  <c r="S445" i="15"/>
  <c r="T445" i="15"/>
  <c r="U445" i="15"/>
  <c r="V445" i="15"/>
  <c r="W445" i="15"/>
  <c r="X445" i="15"/>
  <c r="Y445" i="15"/>
  <c r="R446" i="15"/>
  <c r="S446" i="15"/>
  <c r="T446" i="15"/>
  <c r="U446" i="15"/>
  <c r="V446" i="15"/>
  <c r="W446" i="15"/>
  <c r="X446" i="15"/>
  <c r="Y446" i="15"/>
  <c r="R447" i="15"/>
  <c r="S447" i="15"/>
  <c r="T447" i="15"/>
  <c r="U447" i="15"/>
  <c r="V447" i="15"/>
  <c r="W447" i="15"/>
  <c r="X447" i="15"/>
  <c r="Y447" i="15"/>
  <c r="R448" i="15"/>
  <c r="S448" i="15"/>
  <c r="T448" i="15"/>
  <c r="U448" i="15"/>
  <c r="V448" i="15"/>
  <c r="W448" i="15"/>
  <c r="X448" i="15"/>
  <c r="Y448" i="15"/>
  <c r="R449" i="15"/>
  <c r="S449" i="15"/>
  <c r="T449" i="15"/>
  <c r="U449" i="15"/>
  <c r="V449" i="15"/>
  <c r="W449" i="15"/>
  <c r="X449" i="15"/>
  <c r="Y449" i="15"/>
  <c r="R450" i="15"/>
  <c r="S450" i="15"/>
  <c r="T450" i="15"/>
  <c r="U450" i="15"/>
  <c r="V450" i="15"/>
  <c r="W450" i="15"/>
  <c r="X450" i="15"/>
  <c r="Y450" i="15"/>
  <c r="R451" i="15"/>
  <c r="S451" i="15"/>
  <c r="T451" i="15"/>
  <c r="U451" i="15"/>
  <c r="V451" i="15"/>
  <c r="W451" i="15"/>
  <c r="X451" i="15"/>
  <c r="Y451" i="15"/>
  <c r="R452" i="15"/>
  <c r="S452" i="15"/>
  <c r="T452" i="15"/>
  <c r="U452" i="15"/>
  <c r="V452" i="15"/>
  <c r="W452" i="15"/>
  <c r="X452" i="15"/>
  <c r="Y452" i="15"/>
  <c r="R453" i="15"/>
  <c r="S453" i="15"/>
  <c r="T453" i="15"/>
  <c r="U453" i="15"/>
  <c r="V453" i="15"/>
  <c r="W453" i="15"/>
  <c r="X453" i="15"/>
  <c r="Y453" i="15"/>
  <c r="R454" i="15"/>
  <c r="S454" i="15"/>
  <c r="T454" i="15"/>
  <c r="U454" i="15"/>
  <c r="V454" i="15"/>
  <c r="W454" i="15"/>
  <c r="X454" i="15"/>
  <c r="Y454" i="15"/>
  <c r="R455" i="15"/>
  <c r="S455" i="15"/>
  <c r="T455" i="15"/>
  <c r="U455" i="15"/>
  <c r="V455" i="15"/>
  <c r="W455" i="15"/>
  <c r="X455" i="15"/>
  <c r="Y455" i="15"/>
  <c r="R456" i="15"/>
  <c r="S456" i="15"/>
  <c r="T456" i="15"/>
  <c r="U456" i="15"/>
  <c r="V456" i="15"/>
  <c r="W456" i="15"/>
  <c r="X456" i="15"/>
  <c r="Y456" i="15"/>
  <c r="R457" i="15"/>
  <c r="S457" i="15"/>
  <c r="T457" i="15"/>
  <c r="U457" i="15"/>
  <c r="V457" i="15"/>
  <c r="W457" i="15"/>
  <c r="X457" i="15"/>
  <c r="Y457" i="15"/>
  <c r="R458" i="15"/>
  <c r="S458" i="15"/>
  <c r="T458" i="15"/>
  <c r="U458" i="15"/>
  <c r="V458" i="15"/>
  <c r="W458" i="15"/>
  <c r="X458" i="15"/>
  <c r="Y458" i="15"/>
  <c r="R459" i="15"/>
  <c r="S459" i="15"/>
  <c r="T459" i="15"/>
  <c r="U459" i="15"/>
  <c r="V459" i="15"/>
  <c r="W459" i="15"/>
  <c r="X459" i="15"/>
  <c r="Y459" i="15"/>
  <c r="R460" i="15"/>
  <c r="S460" i="15"/>
  <c r="T460" i="15"/>
  <c r="U460" i="15"/>
  <c r="V460" i="15"/>
  <c r="W460" i="15"/>
  <c r="X460" i="15"/>
  <c r="Y460" i="15"/>
  <c r="R461" i="15"/>
  <c r="S461" i="15"/>
  <c r="T461" i="15"/>
  <c r="U461" i="15"/>
  <c r="V461" i="15"/>
  <c r="W461" i="15"/>
  <c r="X461" i="15"/>
  <c r="Y461" i="15"/>
  <c r="R462" i="15"/>
  <c r="S462" i="15"/>
  <c r="T462" i="15"/>
  <c r="U462" i="15"/>
  <c r="V462" i="15"/>
  <c r="W462" i="15"/>
  <c r="X462" i="15"/>
  <c r="Y462" i="15"/>
  <c r="R463" i="15"/>
  <c r="S463" i="15"/>
  <c r="T463" i="15"/>
  <c r="U463" i="15"/>
  <c r="V463" i="15"/>
  <c r="W463" i="15"/>
  <c r="X463" i="15"/>
  <c r="Y463" i="15"/>
  <c r="R464" i="15"/>
  <c r="S464" i="15"/>
  <c r="T464" i="15"/>
  <c r="U464" i="15"/>
  <c r="V464" i="15"/>
  <c r="W464" i="15"/>
  <c r="X464" i="15"/>
  <c r="Y464" i="15"/>
  <c r="R465" i="15"/>
  <c r="S465" i="15"/>
  <c r="T465" i="15"/>
  <c r="U465" i="15"/>
  <c r="V465" i="15"/>
  <c r="W465" i="15"/>
  <c r="X465" i="15"/>
  <c r="Y465" i="15"/>
  <c r="R466" i="15"/>
  <c r="S466" i="15"/>
  <c r="T466" i="15"/>
  <c r="U466" i="15"/>
  <c r="V466" i="15"/>
  <c r="W466" i="15"/>
  <c r="X466" i="15"/>
  <c r="Y466" i="15"/>
  <c r="R467" i="15"/>
  <c r="S467" i="15"/>
  <c r="T467" i="15"/>
  <c r="U467" i="15"/>
  <c r="V467" i="15"/>
  <c r="W467" i="15"/>
  <c r="X467" i="15"/>
  <c r="Y467" i="15"/>
  <c r="R468" i="15"/>
  <c r="S468" i="15"/>
  <c r="T468" i="15"/>
  <c r="U468" i="15"/>
  <c r="V468" i="15"/>
  <c r="W468" i="15"/>
  <c r="X468" i="15"/>
  <c r="Y468" i="15"/>
  <c r="R469" i="15"/>
  <c r="S469" i="15"/>
  <c r="T469" i="15"/>
  <c r="U469" i="15"/>
  <c r="V469" i="15"/>
  <c r="W469" i="15"/>
  <c r="X469" i="15"/>
  <c r="Y469" i="15"/>
  <c r="R470" i="15"/>
  <c r="S470" i="15"/>
  <c r="T470" i="15"/>
  <c r="U470" i="15"/>
  <c r="V470" i="15"/>
  <c r="W470" i="15"/>
  <c r="X470" i="15"/>
  <c r="Y470" i="15"/>
  <c r="R471" i="15"/>
  <c r="S471" i="15"/>
  <c r="T471" i="15"/>
  <c r="U471" i="15"/>
  <c r="V471" i="15"/>
  <c r="W471" i="15"/>
  <c r="X471" i="15"/>
  <c r="Y471" i="15"/>
  <c r="R472" i="15"/>
  <c r="S472" i="15"/>
  <c r="T472" i="15"/>
  <c r="U472" i="15"/>
  <c r="V472" i="15"/>
  <c r="W472" i="15"/>
  <c r="X472" i="15"/>
  <c r="Y472" i="15"/>
  <c r="R473" i="15"/>
  <c r="S473" i="15"/>
  <c r="T473" i="15"/>
  <c r="U473" i="15"/>
  <c r="V473" i="15"/>
  <c r="W473" i="15"/>
  <c r="X473" i="15"/>
  <c r="Y473" i="15"/>
  <c r="R474" i="15"/>
  <c r="S474" i="15"/>
  <c r="T474" i="15"/>
  <c r="U474" i="15"/>
  <c r="V474" i="15"/>
  <c r="W474" i="15"/>
  <c r="X474" i="15"/>
  <c r="Y474" i="15"/>
  <c r="R475" i="15"/>
  <c r="S475" i="15"/>
  <c r="T475" i="15"/>
  <c r="U475" i="15"/>
  <c r="V475" i="15"/>
  <c r="W475" i="15"/>
  <c r="X475" i="15"/>
  <c r="Y475" i="15"/>
  <c r="R476" i="15"/>
  <c r="S476" i="15"/>
  <c r="T476" i="15"/>
  <c r="U476" i="15"/>
  <c r="V476" i="15"/>
  <c r="W476" i="15"/>
  <c r="X476" i="15"/>
  <c r="Y476" i="15"/>
  <c r="R477" i="15"/>
  <c r="S477" i="15"/>
  <c r="T477" i="15"/>
  <c r="U477" i="15"/>
  <c r="V477" i="15"/>
  <c r="W477" i="15"/>
  <c r="X477" i="15"/>
  <c r="Y477" i="15"/>
  <c r="R478" i="15"/>
  <c r="S478" i="15"/>
  <c r="T478" i="15"/>
  <c r="U478" i="15"/>
  <c r="V478" i="15"/>
  <c r="W478" i="15"/>
  <c r="X478" i="15"/>
  <c r="Y478" i="15"/>
  <c r="R479" i="15"/>
  <c r="S479" i="15"/>
  <c r="T479" i="15"/>
  <c r="U479" i="15"/>
  <c r="V479" i="15"/>
  <c r="W479" i="15"/>
  <c r="X479" i="15"/>
  <c r="Y479" i="15"/>
  <c r="R480" i="15"/>
  <c r="S480" i="15"/>
  <c r="T480" i="15"/>
  <c r="U480" i="15"/>
  <c r="V480" i="15"/>
  <c r="W480" i="15"/>
  <c r="X480" i="15"/>
  <c r="Y480" i="15"/>
  <c r="R481" i="15"/>
  <c r="S481" i="15"/>
  <c r="T481" i="15"/>
  <c r="U481" i="15"/>
  <c r="V481" i="15"/>
  <c r="W481" i="15"/>
  <c r="X481" i="15"/>
  <c r="Y481" i="15"/>
  <c r="R482" i="15"/>
  <c r="S482" i="15"/>
  <c r="T482" i="15"/>
  <c r="U482" i="15"/>
  <c r="V482" i="15"/>
  <c r="W482" i="15"/>
  <c r="X482" i="15"/>
  <c r="Y482" i="15"/>
  <c r="R483" i="15"/>
  <c r="S483" i="15"/>
  <c r="T483" i="15"/>
  <c r="U483" i="15"/>
  <c r="V483" i="15"/>
  <c r="W483" i="15"/>
  <c r="X483" i="15"/>
  <c r="Y483" i="15"/>
  <c r="R484" i="15"/>
  <c r="S484" i="15"/>
  <c r="T484" i="15"/>
  <c r="U484" i="15"/>
  <c r="V484" i="15"/>
  <c r="W484" i="15"/>
  <c r="X484" i="15"/>
  <c r="Y484" i="15"/>
  <c r="R485" i="15"/>
  <c r="S485" i="15"/>
  <c r="T485" i="15"/>
  <c r="U485" i="15"/>
  <c r="V485" i="15"/>
  <c r="W485" i="15"/>
  <c r="X485" i="15"/>
  <c r="Y485" i="15"/>
  <c r="R486" i="15"/>
  <c r="S486" i="15"/>
  <c r="T486" i="15"/>
  <c r="U486" i="15"/>
  <c r="V486" i="15"/>
  <c r="W486" i="15"/>
  <c r="X486" i="15"/>
  <c r="Y486" i="15"/>
  <c r="R487" i="15"/>
  <c r="S487" i="15"/>
  <c r="T487" i="15"/>
  <c r="U487" i="15"/>
  <c r="V487" i="15"/>
  <c r="W487" i="15"/>
  <c r="X487" i="15"/>
  <c r="Y487" i="15"/>
  <c r="R488" i="15"/>
  <c r="S488" i="15"/>
  <c r="T488" i="15"/>
  <c r="U488" i="15"/>
  <c r="V488" i="15"/>
  <c r="W488" i="15"/>
  <c r="X488" i="15"/>
  <c r="Y488" i="15"/>
  <c r="R489" i="15"/>
  <c r="S489" i="15"/>
  <c r="T489" i="15"/>
  <c r="U489" i="15"/>
  <c r="V489" i="15"/>
  <c r="W489" i="15"/>
  <c r="X489" i="15"/>
  <c r="Y489" i="15"/>
  <c r="R490" i="15"/>
  <c r="S490" i="15"/>
  <c r="T490" i="15"/>
  <c r="U490" i="15"/>
  <c r="V490" i="15"/>
  <c r="W490" i="15"/>
  <c r="X490" i="15"/>
  <c r="Y490" i="15"/>
  <c r="R491" i="15"/>
  <c r="S491" i="15"/>
  <c r="T491" i="15"/>
  <c r="U491" i="15"/>
  <c r="V491" i="15"/>
  <c r="W491" i="15"/>
  <c r="X491" i="15"/>
  <c r="Y491" i="15"/>
  <c r="R492" i="15"/>
  <c r="S492" i="15"/>
  <c r="T492" i="15"/>
  <c r="U492" i="15"/>
  <c r="V492" i="15"/>
  <c r="W492" i="15"/>
  <c r="X492" i="15"/>
  <c r="Y492" i="15"/>
  <c r="R493" i="15"/>
  <c r="S493" i="15"/>
  <c r="T493" i="15"/>
  <c r="U493" i="15"/>
  <c r="V493" i="15"/>
  <c r="W493" i="15"/>
  <c r="X493" i="15"/>
  <c r="Y493" i="15"/>
  <c r="R494" i="15"/>
  <c r="S494" i="15"/>
  <c r="T494" i="15"/>
  <c r="U494" i="15"/>
  <c r="V494" i="15"/>
  <c r="W494" i="15"/>
  <c r="X494" i="15"/>
  <c r="Y494" i="15"/>
  <c r="R495" i="15"/>
  <c r="S495" i="15"/>
  <c r="T495" i="15"/>
  <c r="U495" i="15"/>
  <c r="V495" i="15"/>
  <c r="W495" i="15"/>
  <c r="X495" i="15"/>
  <c r="Y495" i="15"/>
  <c r="R496" i="15"/>
  <c r="S496" i="15"/>
  <c r="T496" i="15"/>
  <c r="U496" i="15"/>
  <c r="V496" i="15"/>
  <c r="W496" i="15"/>
  <c r="X496" i="15"/>
  <c r="Y496" i="15"/>
  <c r="R497" i="15"/>
  <c r="S497" i="15"/>
  <c r="T497" i="15"/>
  <c r="U497" i="15"/>
  <c r="V497" i="15"/>
  <c r="W497" i="15"/>
  <c r="X497" i="15"/>
  <c r="Y497" i="15"/>
  <c r="R498" i="15"/>
  <c r="S498" i="15"/>
  <c r="T498" i="15"/>
  <c r="U498" i="15"/>
  <c r="V498" i="15"/>
  <c r="W498" i="15"/>
  <c r="X498" i="15"/>
  <c r="Y498" i="15"/>
  <c r="R499" i="15"/>
  <c r="S499" i="15"/>
  <c r="T499" i="15"/>
  <c r="U499" i="15"/>
  <c r="V499" i="15"/>
  <c r="W499" i="15"/>
  <c r="X499" i="15"/>
  <c r="Y499" i="15"/>
  <c r="R500" i="15"/>
  <c r="S500" i="15"/>
  <c r="T500" i="15"/>
  <c r="U500" i="15"/>
  <c r="V500" i="15"/>
  <c r="W500" i="15"/>
  <c r="X500" i="15"/>
  <c r="Y500" i="15"/>
  <c r="R501" i="15"/>
  <c r="S501" i="15"/>
  <c r="T501" i="15"/>
  <c r="U501" i="15"/>
  <c r="V501" i="15"/>
  <c r="W501" i="15"/>
  <c r="X501" i="15"/>
  <c r="Y501" i="15"/>
  <c r="R502" i="15"/>
  <c r="S502" i="15"/>
  <c r="T502" i="15"/>
  <c r="U502" i="15"/>
  <c r="V502" i="15"/>
  <c r="W502" i="15"/>
  <c r="X502" i="15"/>
  <c r="Y502" i="15"/>
  <c r="R503" i="15"/>
  <c r="S503" i="15"/>
  <c r="T503" i="15"/>
  <c r="U503" i="15"/>
  <c r="V503" i="15"/>
  <c r="W503" i="15"/>
  <c r="X503" i="15"/>
  <c r="Y503" i="15"/>
  <c r="R504" i="15"/>
  <c r="S504" i="15"/>
  <c r="T504" i="15"/>
  <c r="U504" i="15"/>
  <c r="V504" i="15"/>
  <c r="W504" i="15"/>
  <c r="X504" i="15"/>
  <c r="Y504" i="15"/>
  <c r="R505" i="15"/>
  <c r="S505" i="15"/>
  <c r="T505" i="15"/>
  <c r="U505" i="15"/>
  <c r="V505" i="15"/>
  <c r="W505" i="15"/>
  <c r="X505" i="15"/>
  <c r="Y505" i="15"/>
  <c r="R56" i="15"/>
  <c r="S56" i="15"/>
  <c r="T56" i="15"/>
  <c r="U56" i="15"/>
  <c r="V56" i="15"/>
  <c r="W56" i="15"/>
  <c r="X56" i="15"/>
  <c r="Y56" i="15"/>
  <c r="Z56" i="15"/>
  <c r="AB56" i="15"/>
  <c r="R57" i="15"/>
  <c r="S57" i="15"/>
  <c r="T57" i="15"/>
  <c r="U57" i="15"/>
  <c r="V57" i="15"/>
  <c r="W57" i="15"/>
  <c r="X57" i="15"/>
  <c r="Y57" i="15"/>
  <c r="Z57" i="15"/>
  <c r="AB57" i="15" s="1"/>
  <c r="AC57" i="15" s="1"/>
  <c r="AA57" i="15" s="1"/>
  <c r="R58" i="15"/>
  <c r="S58" i="15"/>
  <c r="T58" i="15"/>
  <c r="U58" i="15"/>
  <c r="V58" i="15"/>
  <c r="W58" i="15"/>
  <c r="X58" i="15"/>
  <c r="Y58" i="15"/>
  <c r="Z58" i="15"/>
  <c r="AB58" i="15" s="1"/>
  <c r="AC58" i="15" s="1"/>
  <c r="AA58" i="15" s="1"/>
  <c r="R59" i="15"/>
  <c r="S59" i="15"/>
  <c r="T59" i="15"/>
  <c r="U59" i="15"/>
  <c r="V59" i="15"/>
  <c r="W59" i="15"/>
  <c r="X59" i="15"/>
  <c r="Y59" i="15"/>
  <c r="Z59" i="15"/>
  <c r="AB59" i="15"/>
  <c r="R60" i="15"/>
  <c r="S60" i="15"/>
  <c r="T60" i="15"/>
  <c r="U60" i="15"/>
  <c r="V60" i="15"/>
  <c r="W60" i="15"/>
  <c r="X60" i="15"/>
  <c r="Y60" i="15"/>
  <c r="Z60" i="15"/>
  <c r="AB60" i="15" s="1"/>
  <c r="AC60" i="15" s="1"/>
  <c r="AA60" i="15" s="1"/>
  <c r="R61" i="15"/>
  <c r="S61" i="15"/>
  <c r="T61" i="15"/>
  <c r="U61" i="15"/>
  <c r="V61" i="15"/>
  <c r="W61" i="15"/>
  <c r="X61" i="15"/>
  <c r="Y61" i="15"/>
  <c r="Z61" i="15"/>
  <c r="AB61" i="15" s="1"/>
  <c r="AC61" i="15" s="1"/>
  <c r="AA61" i="15" s="1"/>
  <c r="R62" i="15"/>
  <c r="S62" i="15"/>
  <c r="T62" i="15"/>
  <c r="U62" i="15"/>
  <c r="V62" i="15"/>
  <c r="W62" i="15"/>
  <c r="X62" i="15"/>
  <c r="Y62" i="15"/>
  <c r="Z62" i="15"/>
  <c r="AB62" i="15" s="1"/>
  <c r="AC62" i="15" s="1"/>
  <c r="AA62" i="15" s="1"/>
  <c r="R63" i="15"/>
  <c r="S63" i="15"/>
  <c r="T63" i="15"/>
  <c r="U63" i="15"/>
  <c r="V63" i="15"/>
  <c r="W63" i="15"/>
  <c r="X63" i="15"/>
  <c r="Y63" i="15"/>
  <c r="Z63" i="15"/>
  <c r="AB63" i="15"/>
  <c r="R64" i="15"/>
  <c r="S64" i="15"/>
  <c r="T64" i="15"/>
  <c r="U64" i="15"/>
  <c r="V64" i="15"/>
  <c r="W64" i="15"/>
  <c r="X64" i="15"/>
  <c r="Y64" i="15"/>
  <c r="Z64" i="15"/>
  <c r="AB64" i="15" s="1"/>
  <c r="AC64" i="15" s="1"/>
  <c r="AA64" i="15" s="1"/>
  <c r="R65" i="15"/>
  <c r="S65" i="15"/>
  <c r="T65" i="15"/>
  <c r="U65" i="15"/>
  <c r="V65" i="15"/>
  <c r="W65" i="15"/>
  <c r="X65" i="15"/>
  <c r="Y65" i="15"/>
  <c r="Z65" i="15"/>
  <c r="AB65" i="15" s="1"/>
  <c r="AC65" i="15" s="1"/>
  <c r="AA65" i="15" s="1"/>
  <c r="R66" i="15"/>
  <c r="S66" i="15"/>
  <c r="T66" i="15"/>
  <c r="U66" i="15"/>
  <c r="V66" i="15"/>
  <c r="W66" i="15"/>
  <c r="X66" i="15"/>
  <c r="Y66" i="15"/>
  <c r="Z66" i="15"/>
  <c r="AB66" i="15"/>
  <c r="R67" i="15"/>
  <c r="S67" i="15"/>
  <c r="T67" i="15"/>
  <c r="U67" i="15"/>
  <c r="V67" i="15"/>
  <c r="W67" i="15"/>
  <c r="X67" i="15"/>
  <c r="Y67" i="15"/>
  <c r="Z67" i="15"/>
  <c r="AB67" i="15" s="1"/>
  <c r="AC67" i="15" s="1"/>
  <c r="AA67" i="15" s="1"/>
  <c r="R68" i="15"/>
  <c r="S68" i="15"/>
  <c r="T68" i="15"/>
  <c r="U68" i="15"/>
  <c r="V68" i="15"/>
  <c r="W68" i="15"/>
  <c r="X68" i="15"/>
  <c r="Y68" i="15"/>
  <c r="Z68" i="15"/>
  <c r="AB68" i="15"/>
  <c r="R69" i="15"/>
  <c r="S69" i="15"/>
  <c r="T69" i="15"/>
  <c r="U69" i="15"/>
  <c r="V69" i="15"/>
  <c r="W69" i="15"/>
  <c r="X69" i="15"/>
  <c r="Y69" i="15"/>
  <c r="Z69" i="15"/>
  <c r="AB69" i="15" s="1"/>
  <c r="AC69" i="15" s="1"/>
  <c r="AA69" i="15" s="1"/>
  <c r="R70" i="15"/>
  <c r="S70" i="15"/>
  <c r="T70" i="15"/>
  <c r="U70" i="15"/>
  <c r="V70" i="15"/>
  <c r="W70" i="15"/>
  <c r="X70" i="15"/>
  <c r="Y70" i="15"/>
  <c r="Z70" i="15"/>
  <c r="AB70" i="15"/>
  <c r="R71" i="15"/>
  <c r="S71" i="15"/>
  <c r="T71" i="15"/>
  <c r="U71" i="15"/>
  <c r="V71" i="15"/>
  <c r="W71" i="15"/>
  <c r="X71" i="15"/>
  <c r="Y71" i="15"/>
  <c r="Z71" i="15"/>
  <c r="AB71" i="15"/>
  <c r="R72" i="15"/>
  <c r="S72" i="15"/>
  <c r="T72" i="15"/>
  <c r="U72" i="15"/>
  <c r="V72" i="15"/>
  <c r="W72" i="15"/>
  <c r="X72" i="15"/>
  <c r="Y72" i="15"/>
  <c r="Z72" i="15"/>
  <c r="AB72" i="15"/>
  <c r="R73" i="15"/>
  <c r="S73" i="15"/>
  <c r="T73" i="15"/>
  <c r="U73" i="15"/>
  <c r="V73" i="15"/>
  <c r="W73" i="15"/>
  <c r="X73" i="15"/>
  <c r="Y73" i="15"/>
  <c r="Z73" i="15"/>
  <c r="AB73" i="15" s="1"/>
  <c r="AC73" i="15" s="1"/>
  <c r="AA73" i="15" s="1"/>
  <c r="R74" i="15"/>
  <c r="S74" i="15"/>
  <c r="T74" i="15"/>
  <c r="U74" i="15"/>
  <c r="V74" i="15"/>
  <c r="W74" i="15"/>
  <c r="X74" i="15"/>
  <c r="Y74" i="15"/>
  <c r="Z74" i="15"/>
  <c r="AB74" i="15"/>
  <c r="R75" i="15"/>
  <c r="S75" i="15"/>
  <c r="T75" i="15"/>
  <c r="U75" i="15"/>
  <c r="V75" i="15"/>
  <c r="W75" i="15"/>
  <c r="X75" i="15"/>
  <c r="Y75" i="15"/>
  <c r="Z75" i="15"/>
  <c r="AB75" i="15"/>
  <c r="R76" i="15"/>
  <c r="S76" i="15"/>
  <c r="T76" i="15"/>
  <c r="U76" i="15"/>
  <c r="V76" i="15"/>
  <c r="W76" i="15"/>
  <c r="X76" i="15"/>
  <c r="Y76" i="15"/>
  <c r="Z76" i="15"/>
  <c r="AB76" i="15"/>
  <c r="R77" i="15"/>
  <c r="S77" i="15"/>
  <c r="T77" i="15"/>
  <c r="U77" i="15"/>
  <c r="V77" i="15"/>
  <c r="W77" i="15"/>
  <c r="X77" i="15"/>
  <c r="Y77" i="15"/>
  <c r="Z77" i="15"/>
  <c r="AB77" i="15" s="1"/>
  <c r="AC77" i="15" s="1"/>
  <c r="AA77" i="15" s="1"/>
  <c r="R78" i="15"/>
  <c r="S78" i="15"/>
  <c r="T78" i="15"/>
  <c r="U78" i="15"/>
  <c r="V78" i="15"/>
  <c r="W78" i="15"/>
  <c r="X78" i="15"/>
  <c r="Y78" i="15"/>
  <c r="Z78" i="15"/>
  <c r="AB78" i="15"/>
  <c r="R79" i="15"/>
  <c r="S79" i="15"/>
  <c r="T79" i="15"/>
  <c r="U79" i="15"/>
  <c r="V79" i="15"/>
  <c r="W79" i="15"/>
  <c r="X79" i="15"/>
  <c r="Y79" i="15"/>
  <c r="Z79" i="15"/>
  <c r="AB79" i="15"/>
  <c r="R80" i="15"/>
  <c r="S80" i="15"/>
  <c r="T80" i="15"/>
  <c r="U80" i="15"/>
  <c r="V80" i="15"/>
  <c r="W80" i="15"/>
  <c r="X80" i="15"/>
  <c r="Y80" i="15"/>
  <c r="Z80" i="15"/>
  <c r="AB80" i="15"/>
  <c r="R81" i="15"/>
  <c r="S81" i="15"/>
  <c r="T81" i="15"/>
  <c r="U81" i="15"/>
  <c r="V81" i="15"/>
  <c r="W81" i="15"/>
  <c r="X81" i="15"/>
  <c r="Y81" i="15"/>
  <c r="Z81" i="15"/>
  <c r="AB81" i="15" s="1"/>
  <c r="AC81" i="15" s="1"/>
  <c r="AA81" i="15" s="1"/>
  <c r="R82" i="15"/>
  <c r="S82" i="15"/>
  <c r="T82" i="15"/>
  <c r="U82" i="15"/>
  <c r="V82" i="15"/>
  <c r="W82" i="15"/>
  <c r="X82" i="15"/>
  <c r="Y82" i="15"/>
  <c r="Z82" i="15"/>
  <c r="AB82" i="15"/>
  <c r="R83" i="15"/>
  <c r="S83" i="15"/>
  <c r="T83" i="15"/>
  <c r="U83" i="15"/>
  <c r="V83" i="15"/>
  <c r="W83" i="15"/>
  <c r="X83" i="15"/>
  <c r="Y83" i="15"/>
  <c r="Z83" i="15"/>
  <c r="AB83" i="15"/>
  <c r="R84" i="15"/>
  <c r="S84" i="15"/>
  <c r="T84" i="15"/>
  <c r="U84" i="15"/>
  <c r="V84" i="15"/>
  <c r="W84" i="15"/>
  <c r="X84" i="15"/>
  <c r="Y84" i="15"/>
  <c r="Z84" i="15"/>
  <c r="AB84" i="15"/>
  <c r="R85" i="15"/>
  <c r="S85" i="15"/>
  <c r="T85" i="15"/>
  <c r="U85" i="15"/>
  <c r="V85" i="15"/>
  <c r="W85" i="15"/>
  <c r="X85" i="15"/>
  <c r="Y85" i="15"/>
  <c r="Z85" i="15"/>
  <c r="AB85" i="15" s="1"/>
  <c r="AC85" i="15" s="1"/>
  <c r="AA85" i="15" s="1"/>
  <c r="R86" i="15"/>
  <c r="S86" i="15"/>
  <c r="T86" i="15"/>
  <c r="U86" i="15"/>
  <c r="V86" i="15"/>
  <c r="W86" i="15"/>
  <c r="X86" i="15"/>
  <c r="Y86" i="15"/>
  <c r="Z86" i="15"/>
  <c r="AB86" i="15"/>
  <c r="R87" i="15"/>
  <c r="S87" i="15"/>
  <c r="T87" i="15"/>
  <c r="U87" i="15"/>
  <c r="V87" i="15"/>
  <c r="W87" i="15"/>
  <c r="X87" i="15"/>
  <c r="Y87" i="15"/>
  <c r="Z87" i="15"/>
  <c r="AB87" i="15"/>
  <c r="R88" i="15"/>
  <c r="S88" i="15"/>
  <c r="T88" i="15"/>
  <c r="U88" i="15"/>
  <c r="V88" i="15"/>
  <c r="W88" i="15"/>
  <c r="X88" i="15"/>
  <c r="Y88" i="15"/>
  <c r="Z88" i="15"/>
  <c r="AB88" i="15"/>
  <c r="R89" i="15"/>
  <c r="S89" i="15"/>
  <c r="T89" i="15"/>
  <c r="U89" i="15"/>
  <c r="V89" i="15"/>
  <c r="W89" i="15"/>
  <c r="X89" i="15"/>
  <c r="Y89" i="15"/>
  <c r="Z89" i="15"/>
  <c r="AB89" i="15" s="1"/>
  <c r="AC89" i="15" s="1"/>
  <c r="AA89" i="15" s="1"/>
  <c r="R90" i="15"/>
  <c r="S90" i="15"/>
  <c r="T90" i="15"/>
  <c r="U90" i="15"/>
  <c r="V90" i="15"/>
  <c r="W90" i="15"/>
  <c r="X90" i="15"/>
  <c r="Y90" i="15"/>
  <c r="Z90" i="15"/>
  <c r="AB90" i="15"/>
  <c r="R91" i="15"/>
  <c r="S91" i="15"/>
  <c r="T91" i="15"/>
  <c r="U91" i="15"/>
  <c r="V91" i="15"/>
  <c r="W91" i="15"/>
  <c r="X91" i="15"/>
  <c r="Y91" i="15"/>
  <c r="Z91" i="15"/>
  <c r="AB91" i="15"/>
  <c r="R92" i="15"/>
  <c r="S92" i="15"/>
  <c r="T92" i="15"/>
  <c r="U92" i="15"/>
  <c r="V92" i="15"/>
  <c r="W92" i="15"/>
  <c r="X92" i="15"/>
  <c r="Y92" i="15"/>
  <c r="Z92" i="15"/>
  <c r="AB92" i="15"/>
  <c r="R93" i="15"/>
  <c r="S93" i="15"/>
  <c r="T93" i="15"/>
  <c r="U93" i="15"/>
  <c r="V93" i="15"/>
  <c r="W93" i="15"/>
  <c r="X93" i="15"/>
  <c r="Y93" i="15"/>
  <c r="Z93" i="15"/>
  <c r="AB93" i="15" s="1"/>
  <c r="AC93" i="15" s="1"/>
  <c r="AA93" i="15" s="1"/>
  <c r="R94" i="15"/>
  <c r="S94" i="15"/>
  <c r="T94" i="15"/>
  <c r="U94" i="15"/>
  <c r="V94" i="15"/>
  <c r="W94" i="15"/>
  <c r="X94" i="15"/>
  <c r="Y94" i="15"/>
  <c r="Z94" i="15"/>
  <c r="AB94" i="15"/>
  <c r="R95" i="15"/>
  <c r="S95" i="15"/>
  <c r="T95" i="15"/>
  <c r="U95" i="15"/>
  <c r="V95" i="15"/>
  <c r="W95" i="15"/>
  <c r="X95" i="15"/>
  <c r="Y95" i="15"/>
  <c r="Z95" i="15"/>
  <c r="AB95" i="15"/>
  <c r="R96" i="15"/>
  <c r="S96" i="15"/>
  <c r="T96" i="15"/>
  <c r="U96" i="15"/>
  <c r="V96" i="15"/>
  <c r="W96" i="15"/>
  <c r="X96" i="15"/>
  <c r="Y96" i="15"/>
  <c r="Z96" i="15"/>
  <c r="AB96" i="15"/>
  <c r="R97" i="15"/>
  <c r="S97" i="15"/>
  <c r="T97" i="15"/>
  <c r="U97" i="15"/>
  <c r="V97" i="15"/>
  <c r="W97" i="15"/>
  <c r="X97" i="15"/>
  <c r="Y97" i="15"/>
  <c r="Z97" i="15"/>
  <c r="AB97" i="15" s="1"/>
  <c r="AC97" i="15" s="1"/>
  <c r="AA97" i="15" s="1"/>
  <c r="R98" i="15"/>
  <c r="S98" i="15"/>
  <c r="T98" i="15"/>
  <c r="U98" i="15"/>
  <c r="V98" i="15"/>
  <c r="W98" i="15"/>
  <c r="X98" i="15"/>
  <c r="Y98" i="15"/>
  <c r="Z98" i="15"/>
  <c r="AB98" i="15"/>
  <c r="R99" i="15"/>
  <c r="S99" i="15"/>
  <c r="T99" i="15"/>
  <c r="U99" i="15"/>
  <c r="V99" i="15"/>
  <c r="W99" i="15"/>
  <c r="X99" i="15"/>
  <c r="Y99" i="15"/>
  <c r="Z99" i="15"/>
  <c r="AB99" i="15"/>
  <c r="R100" i="15"/>
  <c r="S100" i="15"/>
  <c r="T100" i="15"/>
  <c r="U100" i="15"/>
  <c r="V100" i="15"/>
  <c r="W100" i="15"/>
  <c r="X100" i="15"/>
  <c r="Y100" i="15"/>
  <c r="Z100" i="15"/>
  <c r="AB100" i="15"/>
  <c r="R101" i="15"/>
  <c r="S101" i="15"/>
  <c r="T101" i="15"/>
  <c r="U101" i="15"/>
  <c r="V101" i="15"/>
  <c r="W101" i="15"/>
  <c r="X101" i="15"/>
  <c r="Y101" i="15"/>
  <c r="Z101" i="15"/>
  <c r="AB101" i="15" s="1"/>
  <c r="AC101" i="15" s="1"/>
  <c r="AA101" i="15" s="1"/>
  <c r="R102" i="15"/>
  <c r="S102" i="15"/>
  <c r="T102" i="15"/>
  <c r="U102" i="15"/>
  <c r="V102" i="15"/>
  <c r="W102" i="15"/>
  <c r="X102" i="15"/>
  <c r="Y102" i="15"/>
  <c r="R103" i="15"/>
  <c r="S103" i="15"/>
  <c r="T103" i="15"/>
  <c r="U103" i="15"/>
  <c r="V103" i="15"/>
  <c r="W103" i="15"/>
  <c r="X103" i="15"/>
  <c r="Y103" i="15"/>
  <c r="R104" i="15"/>
  <c r="S104" i="15"/>
  <c r="T104" i="15"/>
  <c r="U104" i="15"/>
  <c r="V104" i="15"/>
  <c r="W104" i="15"/>
  <c r="X104" i="15"/>
  <c r="Y104" i="15"/>
  <c r="R105" i="15"/>
  <c r="S105" i="15"/>
  <c r="T105" i="15"/>
  <c r="U105" i="15"/>
  <c r="V105" i="15"/>
  <c r="W105" i="15"/>
  <c r="X105" i="15"/>
  <c r="Y105" i="15"/>
  <c r="R106" i="15"/>
  <c r="S106" i="15"/>
  <c r="T106" i="15"/>
  <c r="U106" i="15"/>
  <c r="V106" i="15"/>
  <c r="W106" i="15"/>
  <c r="X106" i="15"/>
  <c r="Y106" i="15"/>
  <c r="R107" i="15"/>
  <c r="S107" i="15"/>
  <c r="T107" i="15"/>
  <c r="U107" i="15"/>
  <c r="V107" i="15"/>
  <c r="W107" i="15"/>
  <c r="X107" i="15"/>
  <c r="Y107" i="15"/>
  <c r="R108" i="15"/>
  <c r="S108" i="15"/>
  <c r="T108" i="15"/>
  <c r="U108" i="15"/>
  <c r="V108" i="15"/>
  <c r="W108" i="15"/>
  <c r="X108" i="15"/>
  <c r="Y108" i="15"/>
  <c r="R109" i="15"/>
  <c r="S109" i="15"/>
  <c r="T109" i="15"/>
  <c r="U109" i="15"/>
  <c r="V109" i="15"/>
  <c r="W109" i="15"/>
  <c r="X109" i="15"/>
  <c r="Y109" i="15"/>
  <c r="R110" i="15"/>
  <c r="S110" i="15"/>
  <c r="T110" i="15"/>
  <c r="U110" i="15"/>
  <c r="V110" i="15"/>
  <c r="W110" i="15"/>
  <c r="X110" i="15"/>
  <c r="Y110" i="15"/>
  <c r="R111" i="15"/>
  <c r="S111" i="15"/>
  <c r="T111" i="15"/>
  <c r="U111" i="15"/>
  <c r="V111" i="15"/>
  <c r="W111" i="15"/>
  <c r="X111" i="15"/>
  <c r="Y111" i="15"/>
  <c r="R112" i="15"/>
  <c r="S112" i="15"/>
  <c r="T112" i="15"/>
  <c r="U112" i="15"/>
  <c r="V112" i="15"/>
  <c r="W112" i="15"/>
  <c r="X112" i="15"/>
  <c r="Y112" i="15"/>
  <c r="R113" i="15"/>
  <c r="S113" i="15"/>
  <c r="T113" i="15"/>
  <c r="U113" i="15"/>
  <c r="V113" i="15"/>
  <c r="W113" i="15"/>
  <c r="X113" i="15"/>
  <c r="Y113" i="15"/>
  <c r="R114" i="15"/>
  <c r="S114" i="15"/>
  <c r="T114" i="15"/>
  <c r="U114" i="15"/>
  <c r="V114" i="15"/>
  <c r="W114" i="15"/>
  <c r="X114" i="15"/>
  <c r="Y114" i="15"/>
  <c r="R115" i="15"/>
  <c r="S115" i="15"/>
  <c r="T115" i="15"/>
  <c r="U115" i="15"/>
  <c r="V115" i="15"/>
  <c r="W115" i="15"/>
  <c r="X115" i="15"/>
  <c r="Y115" i="15"/>
  <c r="R116" i="15"/>
  <c r="S116" i="15"/>
  <c r="T116" i="15"/>
  <c r="U116" i="15"/>
  <c r="V116" i="15"/>
  <c r="W116" i="15"/>
  <c r="X116" i="15"/>
  <c r="Y116" i="15"/>
  <c r="R117" i="15"/>
  <c r="S117" i="15"/>
  <c r="T117" i="15"/>
  <c r="U117" i="15"/>
  <c r="V117" i="15"/>
  <c r="W117" i="15"/>
  <c r="X117" i="15"/>
  <c r="Y117" i="15"/>
  <c r="R118" i="15"/>
  <c r="S118" i="15"/>
  <c r="T118" i="15"/>
  <c r="U118" i="15"/>
  <c r="V118" i="15"/>
  <c r="W118" i="15"/>
  <c r="X118" i="15"/>
  <c r="Y118" i="15"/>
  <c r="R119" i="15"/>
  <c r="S119" i="15"/>
  <c r="T119" i="15"/>
  <c r="U119" i="15"/>
  <c r="V119" i="15"/>
  <c r="W119" i="15"/>
  <c r="X119" i="15"/>
  <c r="Y119" i="15"/>
  <c r="R120" i="15"/>
  <c r="S120" i="15"/>
  <c r="T120" i="15"/>
  <c r="U120" i="15"/>
  <c r="V120" i="15"/>
  <c r="W120" i="15"/>
  <c r="X120" i="15"/>
  <c r="Y120" i="15"/>
  <c r="R121" i="15"/>
  <c r="S121" i="15"/>
  <c r="T121" i="15"/>
  <c r="U121" i="15"/>
  <c r="V121" i="15"/>
  <c r="W121" i="15"/>
  <c r="X121" i="15"/>
  <c r="Y121" i="15"/>
  <c r="R122" i="15"/>
  <c r="S122" i="15"/>
  <c r="T122" i="15"/>
  <c r="U122" i="15"/>
  <c r="V122" i="15"/>
  <c r="W122" i="15"/>
  <c r="X122" i="15"/>
  <c r="Y122" i="15"/>
  <c r="R123" i="15"/>
  <c r="S123" i="15"/>
  <c r="T123" i="15"/>
  <c r="U123" i="15"/>
  <c r="V123" i="15"/>
  <c r="W123" i="15"/>
  <c r="X123" i="15"/>
  <c r="Y123" i="15"/>
  <c r="R124" i="15"/>
  <c r="S124" i="15"/>
  <c r="T124" i="15"/>
  <c r="U124" i="15"/>
  <c r="V124" i="15"/>
  <c r="W124" i="15"/>
  <c r="X124" i="15"/>
  <c r="Y124" i="15"/>
  <c r="R125" i="15"/>
  <c r="S125" i="15"/>
  <c r="T125" i="15"/>
  <c r="U125" i="15"/>
  <c r="V125" i="15"/>
  <c r="W125" i="15"/>
  <c r="X125" i="15"/>
  <c r="Y125" i="15"/>
  <c r="R126" i="15"/>
  <c r="S126" i="15"/>
  <c r="T126" i="15"/>
  <c r="U126" i="15"/>
  <c r="V126" i="15"/>
  <c r="W126" i="15"/>
  <c r="X126" i="15"/>
  <c r="Y126" i="15"/>
  <c r="R127" i="15"/>
  <c r="S127" i="15"/>
  <c r="T127" i="15"/>
  <c r="U127" i="15"/>
  <c r="V127" i="15"/>
  <c r="W127" i="15"/>
  <c r="X127" i="15"/>
  <c r="Y127" i="15"/>
  <c r="R128" i="15"/>
  <c r="S128" i="15"/>
  <c r="T128" i="15"/>
  <c r="U128" i="15"/>
  <c r="V128" i="15"/>
  <c r="W128" i="15"/>
  <c r="X128" i="15"/>
  <c r="Y128" i="15"/>
  <c r="R129" i="15"/>
  <c r="S129" i="15"/>
  <c r="T129" i="15"/>
  <c r="U129" i="15"/>
  <c r="V129" i="15"/>
  <c r="W129" i="15"/>
  <c r="X129" i="15"/>
  <c r="Y129" i="15"/>
  <c r="R130" i="15"/>
  <c r="S130" i="15"/>
  <c r="T130" i="15"/>
  <c r="U130" i="15"/>
  <c r="V130" i="15"/>
  <c r="W130" i="15"/>
  <c r="X130" i="15"/>
  <c r="Y130" i="15"/>
  <c r="R131" i="15"/>
  <c r="S131" i="15"/>
  <c r="T131" i="15"/>
  <c r="U131" i="15"/>
  <c r="V131" i="15"/>
  <c r="W131" i="15"/>
  <c r="X131" i="15"/>
  <c r="Y131" i="15"/>
  <c r="R132" i="15"/>
  <c r="S132" i="15"/>
  <c r="T132" i="15"/>
  <c r="U132" i="15"/>
  <c r="V132" i="15"/>
  <c r="W132" i="15"/>
  <c r="X132" i="15"/>
  <c r="Y132" i="15"/>
  <c r="R133" i="15"/>
  <c r="S133" i="15"/>
  <c r="T133" i="15"/>
  <c r="U133" i="15"/>
  <c r="V133" i="15"/>
  <c r="W133" i="15"/>
  <c r="X133" i="15"/>
  <c r="Y133" i="15"/>
  <c r="R134" i="15"/>
  <c r="S134" i="15"/>
  <c r="T134" i="15"/>
  <c r="U134" i="15"/>
  <c r="V134" i="15"/>
  <c r="W134" i="15"/>
  <c r="X134" i="15"/>
  <c r="Y134" i="15"/>
  <c r="R135" i="15"/>
  <c r="S135" i="15"/>
  <c r="T135" i="15"/>
  <c r="U135" i="15"/>
  <c r="V135" i="15"/>
  <c r="W135" i="15"/>
  <c r="X135" i="15"/>
  <c r="Y135" i="15"/>
  <c r="R136" i="15"/>
  <c r="S136" i="15"/>
  <c r="T136" i="15"/>
  <c r="U136" i="15"/>
  <c r="V136" i="15"/>
  <c r="W136" i="15"/>
  <c r="X136" i="15"/>
  <c r="Y136" i="15"/>
  <c r="R137" i="15"/>
  <c r="S137" i="15"/>
  <c r="T137" i="15"/>
  <c r="U137" i="15"/>
  <c r="V137" i="15"/>
  <c r="W137" i="15"/>
  <c r="X137" i="15"/>
  <c r="Y137" i="15"/>
  <c r="R138" i="15"/>
  <c r="S138" i="15"/>
  <c r="T138" i="15"/>
  <c r="U138" i="15"/>
  <c r="V138" i="15"/>
  <c r="W138" i="15"/>
  <c r="X138" i="15"/>
  <c r="Y138" i="15"/>
  <c r="R139" i="15"/>
  <c r="S139" i="15"/>
  <c r="T139" i="15"/>
  <c r="U139" i="15"/>
  <c r="V139" i="15"/>
  <c r="W139" i="15"/>
  <c r="X139" i="15"/>
  <c r="Y139" i="15"/>
  <c r="R140" i="15"/>
  <c r="S140" i="15"/>
  <c r="T140" i="15"/>
  <c r="U140" i="15"/>
  <c r="V140" i="15"/>
  <c r="W140" i="15"/>
  <c r="X140" i="15"/>
  <c r="Y140" i="15"/>
  <c r="R141" i="15"/>
  <c r="S141" i="15"/>
  <c r="T141" i="15"/>
  <c r="U141" i="15"/>
  <c r="V141" i="15"/>
  <c r="W141" i="15"/>
  <c r="X141" i="15"/>
  <c r="Y141" i="15"/>
  <c r="R142" i="15"/>
  <c r="S142" i="15"/>
  <c r="T142" i="15"/>
  <c r="U142" i="15"/>
  <c r="V142" i="15"/>
  <c r="W142" i="15"/>
  <c r="X142" i="15"/>
  <c r="Y142" i="15"/>
  <c r="R143" i="15"/>
  <c r="S143" i="15"/>
  <c r="T143" i="15"/>
  <c r="U143" i="15"/>
  <c r="V143" i="15"/>
  <c r="W143" i="15"/>
  <c r="X143" i="15"/>
  <c r="Y143" i="15"/>
  <c r="R144" i="15"/>
  <c r="S144" i="15"/>
  <c r="T144" i="15"/>
  <c r="U144" i="15"/>
  <c r="V144" i="15"/>
  <c r="W144" i="15"/>
  <c r="X144" i="15"/>
  <c r="Y144" i="15"/>
  <c r="R145" i="15"/>
  <c r="S145" i="15"/>
  <c r="T145" i="15"/>
  <c r="U145" i="15"/>
  <c r="V145" i="15"/>
  <c r="W145" i="15"/>
  <c r="X145" i="15"/>
  <c r="Y145" i="15"/>
  <c r="R146" i="15"/>
  <c r="S146" i="15"/>
  <c r="T146" i="15"/>
  <c r="U146" i="15"/>
  <c r="V146" i="15"/>
  <c r="W146" i="15"/>
  <c r="X146" i="15"/>
  <c r="Y146" i="15"/>
  <c r="R147" i="15"/>
  <c r="S147" i="15"/>
  <c r="T147" i="15"/>
  <c r="U147" i="15"/>
  <c r="V147" i="15"/>
  <c r="W147" i="15"/>
  <c r="X147" i="15"/>
  <c r="Y147" i="15"/>
  <c r="R148" i="15"/>
  <c r="S148" i="15"/>
  <c r="T148" i="15"/>
  <c r="U148" i="15"/>
  <c r="V148" i="15"/>
  <c r="W148" i="15"/>
  <c r="X148" i="15"/>
  <c r="Y148" i="15"/>
  <c r="R149" i="15"/>
  <c r="S149" i="15"/>
  <c r="T149" i="15"/>
  <c r="U149" i="15"/>
  <c r="V149" i="15"/>
  <c r="W149" i="15"/>
  <c r="X149" i="15"/>
  <c r="Y149" i="15"/>
  <c r="R150" i="15"/>
  <c r="S150" i="15"/>
  <c r="T150" i="15"/>
  <c r="U150" i="15"/>
  <c r="V150" i="15"/>
  <c r="W150" i="15"/>
  <c r="X150" i="15"/>
  <c r="Y150" i="15"/>
  <c r="R151" i="15"/>
  <c r="S151" i="15"/>
  <c r="T151" i="15"/>
  <c r="U151" i="15"/>
  <c r="V151" i="15"/>
  <c r="W151" i="15"/>
  <c r="X151" i="15"/>
  <c r="Y151" i="15"/>
  <c r="R152" i="15"/>
  <c r="S152" i="15"/>
  <c r="T152" i="15"/>
  <c r="U152" i="15"/>
  <c r="V152" i="15"/>
  <c r="W152" i="15"/>
  <c r="X152" i="15"/>
  <c r="Y152" i="15"/>
  <c r="R153" i="15"/>
  <c r="S153" i="15"/>
  <c r="T153" i="15"/>
  <c r="U153" i="15"/>
  <c r="V153" i="15"/>
  <c r="W153" i="15"/>
  <c r="X153" i="15"/>
  <c r="Y153" i="15"/>
  <c r="R154" i="15"/>
  <c r="S154" i="15"/>
  <c r="T154" i="15"/>
  <c r="U154" i="15"/>
  <c r="V154" i="15"/>
  <c r="W154" i="15"/>
  <c r="X154" i="15"/>
  <c r="Y154" i="15"/>
  <c r="R155" i="15"/>
  <c r="S155" i="15"/>
  <c r="T155" i="15"/>
  <c r="U155" i="15"/>
  <c r="V155" i="15"/>
  <c r="W155" i="15"/>
  <c r="X155" i="15"/>
  <c r="Y155" i="15"/>
  <c r="R156" i="15"/>
  <c r="S156" i="15"/>
  <c r="T156" i="15"/>
  <c r="U156" i="15"/>
  <c r="V156" i="15"/>
  <c r="W156" i="15"/>
  <c r="X156" i="15"/>
  <c r="Y156" i="15"/>
  <c r="R157" i="15"/>
  <c r="S157" i="15"/>
  <c r="T157" i="15"/>
  <c r="U157" i="15"/>
  <c r="V157" i="15"/>
  <c r="W157" i="15"/>
  <c r="X157" i="15"/>
  <c r="Y157" i="15"/>
  <c r="R158" i="15"/>
  <c r="S158" i="15"/>
  <c r="T158" i="15"/>
  <c r="U158" i="15"/>
  <c r="V158" i="15"/>
  <c r="W158" i="15"/>
  <c r="X158" i="15"/>
  <c r="Y158" i="15"/>
  <c r="R159" i="15"/>
  <c r="S159" i="15"/>
  <c r="T159" i="15"/>
  <c r="U159" i="15"/>
  <c r="V159" i="15"/>
  <c r="W159" i="15"/>
  <c r="X159" i="15"/>
  <c r="Y159" i="15"/>
  <c r="R160" i="15"/>
  <c r="S160" i="15"/>
  <c r="T160" i="15"/>
  <c r="U160" i="15"/>
  <c r="V160" i="15"/>
  <c r="W160" i="15"/>
  <c r="X160" i="15"/>
  <c r="Y160" i="15"/>
  <c r="R161" i="15"/>
  <c r="S161" i="15"/>
  <c r="T161" i="15"/>
  <c r="U161" i="15"/>
  <c r="V161" i="15"/>
  <c r="W161" i="15"/>
  <c r="X161" i="15"/>
  <c r="Y161" i="15"/>
  <c r="R162" i="15"/>
  <c r="S162" i="15"/>
  <c r="T162" i="15"/>
  <c r="U162" i="15"/>
  <c r="V162" i="15"/>
  <c r="W162" i="15"/>
  <c r="X162" i="15"/>
  <c r="Y162" i="15"/>
  <c r="R163" i="15"/>
  <c r="S163" i="15"/>
  <c r="T163" i="15"/>
  <c r="U163" i="15"/>
  <c r="V163" i="15"/>
  <c r="W163" i="15"/>
  <c r="X163" i="15"/>
  <c r="Y163" i="15"/>
  <c r="R164" i="15"/>
  <c r="S164" i="15"/>
  <c r="T164" i="15"/>
  <c r="U164" i="15"/>
  <c r="V164" i="15"/>
  <c r="W164" i="15"/>
  <c r="X164" i="15"/>
  <c r="Y164" i="15"/>
  <c r="R165" i="15"/>
  <c r="S165" i="15"/>
  <c r="T165" i="15"/>
  <c r="U165" i="15"/>
  <c r="V165" i="15"/>
  <c r="W165" i="15"/>
  <c r="X165" i="15"/>
  <c r="Y165" i="15"/>
  <c r="R166" i="15"/>
  <c r="S166" i="15"/>
  <c r="T166" i="15"/>
  <c r="U166" i="15"/>
  <c r="V166" i="15"/>
  <c r="W166" i="15"/>
  <c r="X166" i="15"/>
  <c r="Y166" i="15"/>
  <c r="R167" i="15"/>
  <c r="S167" i="15"/>
  <c r="T167" i="15"/>
  <c r="U167" i="15"/>
  <c r="V167" i="15"/>
  <c r="W167" i="15"/>
  <c r="X167" i="15"/>
  <c r="Y167" i="15"/>
  <c r="R168" i="15"/>
  <c r="S168" i="15"/>
  <c r="T168" i="15"/>
  <c r="U168" i="15"/>
  <c r="V168" i="15"/>
  <c r="W168" i="15"/>
  <c r="X168" i="15"/>
  <c r="Y168" i="15"/>
  <c r="R169" i="15"/>
  <c r="S169" i="15"/>
  <c r="T169" i="15"/>
  <c r="U169" i="15"/>
  <c r="V169" i="15"/>
  <c r="W169" i="15"/>
  <c r="X169" i="15"/>
  <c r="Y169" i="15"/>
  <c r="R170" i="15"/>
  <c r="S170" i="15"/>
  <c r="T170" i="15"/>
  <c r="U170" i="15"/>
  <c r="V170" i="15"/>
  <c r="W170" i="15"/>
  <c r="X170" i="15"/>
  <c r="Y170" i="15"/>
  <c r="R171" i="15"/>
  <c r="S171" i="15"/>
  <c r="T171" i="15"/>
  <c r="U171" i="15"/>
  <c r="V171" i="15"/>
  <c r="W171" i="15"/>
  <c r="X171" i="15"/>
  <c r="Y171" i="15"/>
  <c r="R172" i="15"/>
  <c r="S172" i="15"/>
  <c r="T172" i="15"/>
  <c r="U172" i="15"/>
  <c r="V172" i="15"/>
  <c r="W172" i="15"/>
  <c r="X172" i="15"/>
  <c r="Y172" i="15"/>
  <c r="R173" i="15"/>
  <c r="S173" i="15"/>
  <c r="T173" i="15"/>
  <c r="U173" i="15"/>
  <c r="V173" i="15"/>
  <c r="W173" i="15"/>
  <c r="X173" i="15"/>
  <c r="Y173" i="15"/>
  <c r="R174" i="15"/>
  <c r="S174" i="15"/>
  <c r="T174" i="15"/>
  <c r="U174" i="15"/>
  <c r="V174" i="15"/>
  <c r="W174" i="15"/>
  <c r="X174" i="15"/>
  <c r="Y174" i="15"/>
  <c r="R175" i="15"/>
  <c r="S175" i="15"/>
  <c r="T175" i="15"/>
  <c r="U175" i="15"/>
  <c r="V175" i="15"/>
  <c r="W175" i="15"/>
  <c r="X175" i="15"/>
  <c r="Y175" i="15"/>
  <c r="R176" i="15"/>
  <c r="S176" i="15"/>
  <c r="T176" i="15"/>
  <c r="U176" i="15"/>
  <c r="V176" i="15"/>
  <c r="W176" i="15"/>
  <c r="X176" i="15"/>
  <c r="Y176" i="15"/>
  <c r="R177" i="15"/>
  <c r="S177" i="15"/>
  <c r="T177" i="15"/>
  <c r="U177" i="15"/>
  <c r="V177" i="15"/>
  <c r="W177" i="15"/>
  <c r="X177" i="15"/>
  <c r="Y177" i="15"/>
  <c r="R178" i="15"/>
  <c r="S178" i="15"/>
  <c r="T178" i="15"/>
  <c r="U178" i="15"/>
  <c r="V178" i="15"/>
  <c r="W178" i="15"/>
  <c r="X178" i="15"/>
  <c r="Y178" i="15"/>
  <c r="R179" i="15"/>
  <c r="S179" i="15"/>
  <c r="T179" i="15"/>
  <c r="U179" i="15"/>
  <c r="V179" i="15"/>
  <c r="W179" i="15"/>
  <c r="X179" i="15"/>
  <c r="Y179" i="15"/>
  <c r="R180" i="15"/>
  <c r="S180" i="15"/>
  <c r="T180" i="15"/>
  <c r="U180" i="15"/>
  <c r="V180" i="15"/>
  <c r="W180" i="15"/>
  <c r="X180" i="15"/>
  <c r="Y180" i="15"/>
  <c r="R181" i="15"/>
  <c r="S181" i="15"/>
  <c r="T181" i="15"/>
  <c r="U181" i="15"/>
  <c r="V181" i="15"/>
  <c r="W181" i="15"/>
  <c r="X181" i="15"/>
  <c r="Y181" i="15"/>
  <c r="R182" i="15"/>
  <c r="S182" i="15"/>
  <c r="T182" i="15"/>
  <c r="U182" i="15"/>
  <c r="V182" i="15"/>
  <c r="W182" i="15"/>
  <c r="X182" i="15"/>
  <c r="Y182" i="15"/>
  <c r="R183" i="15"/>
  <c r="S183" i="15"/>
  <c r="T183" i="15"/>
  <c r="U183" i="15"/>
  <c r="V183" i="15"/>
  <c r="W183" i="15"/>
  <c r="X183" i="15"/>
  <c r="Y183" i="15"/>
  <c r="R184" i="15"/>
  <c r="S184" i="15"/>
  <c r="T184" i="15"/>
  <c r="U184" i="15"/>
  <c r="V184" i="15"/>
  <c r="W184" i="15"/>
  <c r="X184" i="15"/>
  <c r="Y184" i="15"/>
  <c r="R185" i="15"/>
  <c r="S185" i="15"/>
  <c r="T185" i="15"/>
  <c r="U185" i="15"/>
  <c r="V185" i="15"/>
  <c r="W185" i="15"/>
  <c r="X185" i="15"/>
  <c r="Y185" i="15"/>
  <c r="R186" i="15"/>
  <c r="S186" i="15"/>
  <c r="T186" i="15"/>
  <c r="U186" i="15"/>
  <c r="V186" i="15"/>
  <c r="W186" i="15"/>
  <c r="X186" i="15"/>
  <c r="Y186" i="15"/>
  <c r="R187" i="15"/>
  <c r="S187" i="15"/>
  <c r="T187" i="15"/>
  <c r="U187" i="15"/>
  <c r="V187" i="15"/>
  <c r="W187" i="15"/>
  <c r="X187" i="15"/>
  <c r="Y187" i="15"/>
  <c r="R188" i="15"/>
  <c r="S188" i="15"/>
  <c r="T188" i="15"/>
  <c r="U188" i="15"/>
  <c r="V188" i="15"/>
  <c r="W188" i="15"/>
  <c r="X188" i="15"/>
  <c r="Y188" i="15"/>
  <c r="R189" i="15"/>
  <c r="S189" i="15"/>
  <c r="T189" i="15"/>
  <c r="U189" i="15"/>
  <c r="V189" i="15"/>
  <c r="W189" i="15"/>
  <c r="X189" i="15"/>
  <c r="Y189" i="15"/>
  <c r="R190" i="15"/>
  <c r="S190" i="15"/>
  <c r="T190" i="15"/>
  <c r="U190" i="15"/>
  <c r="V190" i="15"/>
  <c r="W190" i="15"/>
  <c r="X190" i="15"/>
  <c r="Y190" i="15"/>
  <c r="R191" i="15"/>
  <c r="S191" i="15"/>
  <c r="T191" i="15"/>
  <c r="U191" i="15"/>
  <c r="V191" i="15"/>
  <c r="W191" i="15"/>
  <c r="X191" i="15"/>
  <c r="Y191" i="15"/>
  <c r="R192" i="15"/>
  <c r="S192" i="15"/>
  <c r="T192" i="15"/>
  <c r="U192" i="15"/>
  <c r="V192" i="15"/>
  <c r="W192" i="15"/>
  <c r="X192" i="15"/>
  <c r="Y192" i="15"/>
  <c r="R193" i="15"/>
  <c r="S193" i="15"/>
  <c r="T193" i="15"/>
  <c r="U193" i="15"/>
  <c r="V193" i="15"/>
  <c r="W193" i="15"/>
  <c r="X193" i="15"/>
  <c r="Y193" i="15"/>
  <c r="R194" i="15"/>
  <c r="S194" i="15"/>
  <c r="T194" i="15"/>
  <c r="U194" i="15"/>
  <c r="V194" i="15"/>
  <c r="W194" i="15"/>
  <c r="X194" i="15"/>
  <c r="Y194" i="15"/>
  <c r="R195" i="15"/>
  <c r="S195" i="15"/>
  <c r="T195" i="15"/>
  <c r="U195" i="15"/>
  <c r="V195" i="15"/>
  <c r="W195" i="15"/>
  <c r="X195" i="15"/>
  <c r="Y195" i="15"/>
  <c r="R196" i="15"/>
  <c r="S196" i="15"/>
  <c r="T196" i="15"/>
  <c r="U196" i="15"/>
  <c r="V196" i="15"/>
  <c r="W196" i="15"/>
  <c r="X196" i="15"/>
  <c r="Y196" i="15"/>
  <c r="R197" i="15"/>
  <c r="S197" i="15"/>
  <c r="T197" i="15"/>
  <c r="U197" i="15"/>
  <c r="V197" i="15"/>
  <c r="W197" i="15"/>
  <c r="X197" i="15"/>
  <c r="Y197" i="15"/>
  <c r="R198" i="15"/>
  <c r="S198" i="15"/>
  <c r="T198" i="15"/>
  <c r="U198" i="15"/>
  <c r="V198" i="15"/>
  <c r="W198" i="15"/>
  <c r="X198" i="15"/>
  <c r="Y198" i="15"/>
  <c r="R199" i="15"/>
  <c r="S199" i="15"/>
  <c r="T199" i="15"/>
  <c r="U199" i="15"/>
  <c r="V199" i="15"/>
  <c r="W199" i="15"/>
  <c r="X199" i="15"/>
  <c r="Y199" i="15"/>
  <c r="R200" i="15"/>
  <c r="S200" i="15"/>
  <c r="T200" i="15"/>
  <c r="U200" i="15"/>
  <c r="V200" i="15"/>
  <c r="W200" i="15"/>
  <c r="X200" i="15"/>
  <c r="Y200" i="15"/>
  <c r="R201" i="15"/>
  <c r="S201" i="15"/>
  <c r="T201" i="15"/>
  <c r="U201" i="15"/>
  <c r="V201" i="15"/>
  <c r="W201" i="15"/>
  <c r="X201" i="15"/>
  <c r="Y201" i="15"/>
  <c r="R202" i="15"/>
  <c r="S202" i="15"/>
  <c r="T202" i="15"/>
  <c r="U202" i="15"/>
  <c r="V202" i="15"/>
  <c r="W202" i="15"/>
  <c r="X202" i="15"/>
  <c r="Y202" i="15"/>
  <c r="R203" i="15"/>
  <c r="S203" i="15"/>
  <c r="T203" i="15"/>
  <c r="U203" i="15"/>
  <c r="V203" i="15"/>
  <c r="W203" i="15"/>
  <c r="X203" i="15"/>
  <c r="Y203" i="15"/>
  <c r="R204" i="15"/>
  <c r="S204" i="15"/>
  <c r="T204" i="15"/>
  <c r="U204" i="15"/>
  <c r="V204" i="15"/>
  <c r="W204" i="15"/>
  <c r="X204" i="15"/>
  <c r="Y204" i="15"/>
  <c r="R205" i="15"/>
  <c r="S205" i="15"/>
  <c r="T205" i="15"/>
  <c r="U205" i="15"/>
  <c r="V205" i="15"/>
  <c r="W205" i="15"/>
  <c r="X205" i="15"/>
  <c r="Y205" i="15"/>
  <c r="R206" i="15"/>
  <c r="S206" i="15"/>
  <c r="T206" i="15"/>
  <c r="U206" i="15"/>
  <c r="V206" i="15"/>
  <c r="W206" i="15"/>
  <c r="X206" i="15"/>
  <c r="Y206" i="15"/>
  <c r="R207" i="15"/>
  <c r="S207" i="15"/>
  <c r="T207" i="15"/>
  <c r="U207" i="15"/>
  <c r="V207" i="15"/>
  <c r="W207" i="15"/>
  <c r="X207" i="15"/>
  <c r="Y207" i="15"/>
  <c r="R208" i="15"/>
  <c r="S208" i="15"/>
  <c r="T208" i="15"/>
  <c r="U208" i="15"/>
  <c r="V208" i="15"/>
  <c r="W208" i="15"/>
  <c r="X208" i="15"/>
  <c r="Y208" i="15"/>
  <c r="R209" i="15"/>
  <c r="S209" i="15"/>
  <c r="T209" i="15"/>
  <c r="U209" i="15"/>
  <c r="V209" i="15"/>
  <c r="W209" i="15"/>
  <c r="X209" i="15"/>
  <c r="Y209" i="15"/>
  <c r="R210" i="15"/>
  <c r="S210" i="15"/>
  <c r="T210" i="15"/>
  <c r="U210" i="15"/>
  <c r="V210" i="15"/>
  <c r="W210" i="15"/>
  <c r="X210" i="15"/>
  <c r="Y210" i="15"/>
  <c r="R211" i="15"/>
  <c r="S211" i="15"/>
  <c r="T211" i="15"/>
  <c r="U211" i="15"/>
  <c r="V211" i="15"/>
  <c r="W211" i="15"/>
  <c r="X211" i="15"/>
  <c r="Y211" i="15"/>
  <c r="R212" i="15"/>
  <c r="S212" i="15"/>
  <c r="T212" i="15"/>
  <c r="U212" i="15"/>
  <c r="V212" i="15"/>
  <c r="W212" i="15"/>
  <c r="X212" i="15"/>
  <c r="Y212" i="15"/>
  <c r="R213" i="15"/>
  <c r="S213" i="15"/>
  <c r="T213" i="15"/>
  <c r="U213" i="15"/>
  <c r="V213" i="15"/>
  <c r="W213" i="15"/>
  <c r="X213" i="15"/>
  <c r="Y213" i="15"/>
  <c r="R214" i="15"/>
  <c r="S214" i="15"/>
  <c r="T214" i="15"/>
  <c r="U214" i="15"/>
  <c r="V214" i="15"/>
  <c r="W214" i="15"/>
  <c r="X214" i="15"/>
  <c r="Y214" i="15"/>
  <c r="R215" i="15"/>
  <c r="S215" i="15"/>
  <c r="T215" i="15"/>
  <c r="U215" i="15"/>
  <c r="V215" i="15"/>
  <c r="W215" i="15"/>
  <c r="X215" i="15"/>
  <c r="Y215" i="15"/>
  <c r="R216" i="15"/>
  <c r="S216" i="15"/>
  <c r="T216" i="15"/>
  <c r="U216" i="15"/>
  <c r="V216" i="15"/>
  <c r="W216" i="15"/>
  <c r="X216" i="15"/>
  <c r="Y216" i="15"/>
  <c r="R217" i="15"/>
  <c r="S217" i="15"/>
  <c r="T217" i="15"/>
  <c r="U217" i="15"/>
  <c r="V217" i="15"/>
  <c r="W217" i="15"/>
  <c r="X217" i="15"/>
  <c r="Y217" i="15"/>
  <c r="R218" i="15"/>
  <c r="S218" i="15"/>
  <c r="T218" i="15"/>
  <c r="U218" i="15"/>
  <c r="V218" i="15"/>
  <c r="W218" i="15"/>
  <c r="X218" i="15"/>
  <c r="Y218" i="15"/>
  <c r="R219" i="15"/>
  <c r="S219" i="15"/>
  <c r="T219" i="15"/>
  <c r="U219" i="15"/>
  <c r="V219" i="15"/>
  <c r="W219" i="15"/>
  <c r="X219" i="15"/>
  <c r="Y219" i="15"/>
  <c r="R220" i="15"/>
  <c r="S220" i="15"/>
  <c r="T220" i="15"/>
  <c r="U220" i="15"/>
  <c r="V220" i="15"/>
  <c r="W220" i="15"/>
  <c r="X220" i="15"/>
  <c r="Y220" i="15"/>
  <c r="R221" i="15"/>
  <c r="S221" i="15"/>
  <c r="T221" i="15"/>
  <c r="U221" i="15"/>
  <c r="V221" i="15"/>
  <c r="W221" i="15"/>
  <c r="X221" i="15"/>
  <c r="Y221" i="15"/>
  <c r="R222" i="15"/>
  <c r="S222" i="15"/>
  <c r="T222" i="15"/>
  <c r="U222" i="15"/>
  <c r="V222" i="15"/>
  <c r="W222" i="15"/>
  <c r="X222" i="15"/>
  <c r="Y222" i="15"/>
  <c r="R223" i="15"/>
  <c r="S223" i="15"/>
  <c r="T223" i="15"/>
  <c r="U223" i="15"/>
  <c r="V223" i="15"/>
  <c r="W223" i="15"/>
  <c r="X223" i="15"/>
  <c r="Y223" i="15"/>
  <c r="R224" i="15"/>
  <c r="S224" i="15"/>
  <c r="T224" i="15"/>
  <c r="U224" i="15"/>
  <c r="V224" i="15"/>
  <c r="W224" i="15"/>
  <c r="X224" i="15"/>
  <c r="Y224" i="15"/>
  <c r="R225" i="15"/>
  <c r="S225" i="15"/>
  <c r="T225" i="15"/>
  <c r="U225" i="15"/>
  <c r="V225" i="15"/>
  <c r="W225" i="15"/>
  <c r="X225" i="15"/>
  <c r="Y225" i="15"/>
  <c r="R226" i="15"/>
  <c r="S226" i="15"/>
  <c r="T226" i="15"/>
  <c r="U226" i="15"/>
  <c r="V226" i="15"/>
  <c r="W226" i="15"/>
  <c r="X226" i="15"/>
  <c r="Y226" i="15"/>
  <c r="R227" i="15"/>
  <c r="S227" i="15"/>
  <c r="T227" i="15"/>
  <c r="U227" i="15"/>
  <c r="V227" i="15"/>
  <c r="W227" i="15"/>
  <c r="X227" i="15"/>
  <c r="Y227" i="15"/>
  <c r="R228" i="15"/>
  <c r="S228" i="15"/>
  <c r="T228" i="15"/>
  <c r="U228" i="15"/>
  <c r="V228" i="15"/>
  <c r="W228" i="15"/>
  <c r="X228" i="15"/>
  <c r="Y228" i="15"/>
  <c r="R229" i="15"/>
  <c r="S229" i="15"/>
  <c r="T229" i="15"/>
  <c r="U229" i="15"/>
  <c r="V229" i="15"/>
  <c r="W229" i="15"/>
  <c r="X229" i="15"/>
  <c r="Y229" i="15"/>
  <c r="R230" i="15"/>
  <c r="S230" i="15"/>
  <c r="T230" i="15"/>
  <c r="U230" i="15"/>
  <c r="V230" i="15"/>
  <c r="W230" i="15"/>
  <c r="X230" i="15"/>
  <c r="Y230" i="15"/>
  <c r="R231" i="15"/>
  <c r="S231" i="15"/>
  <c r="T231" i="15"/>
  <c r="U231" i="15"/>
  <c r="V231" i="15"/>
  <c r="W231" i="15"/>
  <c r="X231" i="15"/>
  <c r="Y231" i="15"/>
  <c r="R232" i="15"/>
  <c r="S232" i="15"/>
  <c r="T232" i="15"/>
  <c r="U232" i="15"/>
  <c r="V232" i="15"/>
  <c r="W232" i="15"/>
  <c r="X232" i="15"/>
  <c r="Y232" i="15"/>
  <c r="R233" i="15"/>
  <c r="S233" i="15"/>
  <c r="T233" i="15"/>
  <c r="U233" i="15"/>
  <c r="V233" i="15"/>
  <c r="W233" i="15"/>
  <c r="X233" i="15"/>
  <c r="Y233" i="15"/>
  <c r="R234" i="15"/>
  <c r="S234" i="15"/>
  <c r="T234" i="15"/>
  <c r="U234" i="15"/>
  <c r="V234" i="15"/>
  <c r="W234" i="15"/>
  <c r="X234" i="15"/>
  <c r="Y234" i="15"/>
  <c r="R235" i="15"/>
  <c r="S235" i="15"/>
  <c r="T235" i="15"/>
  <c r="U235" i="15"/>
  <c r="V235" i="15"/>
  <c r="W235" i="15"/>
  <c r="X235" i="15"/>
  <c r="Y235" i="15"/>
  <c r="R236" i="15"/>
  <c r="S236" i="15"/>
  <c r="T236" i="15"/>
  <c r="U236" i="15"/>
  <c r="V236" i="15"/>
  <c r="W236" i="15"/>
  <c r="X236" i="15"/>
  <c r="Y236" i="15"/>
  <c r="R237" i="15"/>
  <c r="S237" i="15"/>
  <c r="T237" i="15"/>
  <c r="U237" i="15"/>
  <c r="V237" i="15"/>
  <c r="W237" i="15"/>
  <c r="X237" i="15"/>
  <c r="Y237" i="15"/>
  <c r="R238" i="15"/>
  <c r="S238" i="15"/>
  <c r="T238" i="15"/>
  <c r="U238" i="15"/>
  <c r="V238" i="15"/>
  <c r="W238" i="15"/>
  <c r="X238" i="15"/>
  <c r="Y238" i="15"/>
  <c r="R239" i="15"/>
  <c r="S239" i="15"/>
  <c r="T239" i="15"/>
  <c r="U239" i="15"/>
  <c r="V239" i="15"/>
  <c r="W239" i="15"/>
  <c r="X239" i="15"/>
  <c r="Y239" i="15"/>
  <c r="R240" i="15"/>
  <c r="S240" i="15"/>
  <c r="T240" i="15"/>
  <c r="U240" i="15"/>
  <c r="V240" i="15"/>
  <c r="W240" i="15"/>
  <c r="X240" i="15"/>
  <c r="Y240" i="15"/>
  <c r="R241" i="15"/>
  <c r="S241" i="15"/>
  <c r="T241" i="15"/>
  <c r="U241" i="15"/>
  <c r="V241" i="15"/>
  <c r="W241" i="15"/>
  <c r="X241" i="15"/>
  <c r="Y241" i="15"/>
  <c r="R242" i="15"/>
  <c r="S242" i="15"/>
  <c r="T242" i="15"/>
  <c r="U242" i="15"/>
  <c r="V242" i="15"/>
  <c r="W242" i="15"/>
  <c r="X242" i="15"/>
  <c r="Y242" i="15"/>
  <c r="R243" i="15"/>
  <c r="S243" i="15"/>
  <c r="T243" i="15"/>
  <c r="U243" i="15"/>
  <c r="V243" i="15"/>
  <c r="W243" i="15"/>
  <c r="X243" i="15"/>
  <c r="Y243" i="15"/>
  <c r="R244" i="15"/>
  <c r="S244" i="15"/>
  <c r="T244" i="15"/>
  <c r="U244" i="15"/>
  <c r="V244" i="15"/>
  <c r="W244" i="15"/>
  <c r="X244" i="15"/>
  <c r="Y244" i="15"/>
  <c r="R245" i="15"/>
  <c r="S245" i="15"/>
  <c r="T245" i="15"/>
  <c r="U245" i="15"/>
  <c r="V245" i="15"/>
  <c r="W245" i="15"/>
  <c r="X245" i="15"/>
  <c r="Y245" i="15"/>
  <c r="R246" i="15"/>
  <c r="S246" i="15"/>
  <c r="T246" i="15"/>
  <c r="U246" i="15"/>
  <c r="V246" i="15"/>
  <c r="W246" i="15"/>
  <c r="X246" i="15"/>
  <c r="Y246" i="15"/>
  <c r="R247" i="15"/>
  <c r="S247" i="15"/>
  <c r="T247" i="15"/>
  <c r="U247" i="15"/>
  <c r="V247" i="15"/>
  <c r="W247" i="15"/>
  <c r="X247" i="15"/>
  <c r="Y247" i="15"/>
  <c r="R248" i="15"/>
  <c r="S248" i="15"/>
  <c r="T248" i="15"/>
  <c r="U248" i="15"/>
  <c r="V248" i="15"/>
  <c r="W248" i="15"/>
  <c r="X248" i="15"/>
  <c r="Y248" i="15"/>
  <c r="R249" i="15"/>
  <c r="S249" i="15"/>
  <c r="T249" i="15"/>
  <c r="U249" i="15"/>
  <c r="V249" i="15"/>
  <c r="W249" i="15"/>
  <c r="X249" i="15"/>
  <c r="Y249" i="15"/>
  <c r="R250" i="15"/>
  <c r="S250" i="15"/>
  <c r="T250" i="15"/>
  <c r="U250" i="15"/>
  <c r="V250" i="15"/>
  <c r="W250" i="15"/>
  <c r="X250" i="15"/>
  <c r="Y250" i="15"/>
  <c r="R251" i="15"/>
  <c r="S251" i="15"/>
  <c r="T251" i="15"/>
  <c r="U251" i="15"/>
  <c r="V251" i="15"/>
  <c r="W251" i="15"/>
  <c r="X251" i="15"/>
  <c r="Y251" i="15"/>
  <c r="R252" i="15"/>
  <c r="S252" i="15"/>
  <c r="T252" i="15"/>
  <c r="U252" i="15"/>
  <c r="V252" i="15"/>
  <c r="W252" i="15"/>
  <c r="X252" i="15"/>
  <c r="Y252" i="15"/>
  <c r="R253" i="15"/>
  <c r="S253" i="15"/>
  <c r="T253" i="15"/>
  <c r="U253" i="15"/>
  <c r="V253" i="15"/>
  <c r="W253" i="15"/>
  <c r="X253" i="15"/>
  <c r="Y253" i="15"/>
  <c r="R254" i="15"/>
  <c r="S254" i="15"/>
  <c r="T254" i="15"/>
  <c r="U254" i="15"/>
  <c r="V254" i="15"/>
  <c r="W254" i="15"/>
  <c r="X254" i="15"/>
  <c r="Y254" i="15"/>
  <c r="R255" i="15"/>
  <c r="S255" i="15"/>
  <c r="T255" i="15"/>
  <c r="U255" i="15"/>
  <c r="V255" i="15"/>
  <c r="W255" i="15"/>
  <c r="X255" i="15"/>
  <c r="Y255" i="15"/>
  <c r="R256" i="15"/>
  <c r="S256" i="15"/>
  <c r="T256" i="15"/>
  <c r="U256" i="15"/>
  <c r="V256" i="15"/>
  <c r="W256" i="15"/>
  <c r="X256" i="15"/>
  <c r="Y256" i="15"/>
  <c r="R257" i="15"/>
  <c r="S257" i="15"/>
  <c r="T257" i="15"/>
  <c r="U257" i="15"/>
  <c r="V257" i="15"/>
  <c r="W257" i="15"/>
  <c r="X257" i="15"/>
  <c r="Y257" i="15"/>
  <c r="R258" i="15"/>
  <c r="S258" i="15"/>
  <c r="T258" i="15"/>
  <c r="U258" i="15"/>
  <c r="V258" i="15"/>
  <c r="W258" i="15"/>
  <c r="X258" i="15"/>
  <c r="Y258" i="15"/>
  <c r="R259" i="15"/>
  <c r="S259" i="15"/>
  <c r="T259" i="15"/>
  <c r="U259" i="15"/>
  <c r="V259" i="15"/>
  <c r="W259" i="15"/>
  <c r="X259" i="15"/>
  <c r="Y259" i="15"/>
  <c r="R260" i="15"/>
  <c r="S260" i="15"/>
  <c r="T260" i="15"/>
  <c r="U260" i="15"/>
  <c r="V260" i="15"/>
  <c r="W260" i="15"/>
  <c r="X260" i="15"/>
  <c r="Y260" i="15"/>
  <c r="R261" i="15"/>
  <c r="S261" i="15"/>
  <c r="T261" i="15"/>
  <c r="U261" i="15"/>
  <c r="V261" i="15"/>
  <c r="W261" i="15"/>
  <c r="X261" i="15"/>
  <c r="Y261" i="15"/>
  <c r="R262" i="15"/>
  <c r="S262" i="15"/>
  <c r="T262" i="15"/>
  <c r="U262" i="15"/>
  <c r="V262" i="15"/>
  <c r="W262" i="15"/>
  <c r="X262" i="15"/>
  <c r="Y262" i="15"/>
  <c r="R263" i="15"/>
  <c r="S263" i="15"/>
  <c r="T263" i="15"/>
  <c r="U263" i="15"/>
  <c r="V263" i="15"/>
  <c r="W263" i="15"/>
  <c r="X263" i="15"/>
  <c r="Y263" i="15"/>
  <c r="R264" i="15"/>
  <c r="S264" i="15"/>
  <c r="T264" i="15"/>
  <c r="U264" i="15"/>
  <c r="V264" i="15"/>
  <c r="W264" i="15"/>
  <c r="X264" i="15"/>
  <c r="Y264" i="15"/>
  <c r="R265" i="15"/>
  <c r="S265" i="15"/>
  <c r="T265" i="15"/>
  <c r="U265" i="15"/>
  <c r="V265" i="15"/>
  <c r="W265" i="15"/>
  <c r="X265" i="15"/>
  <c r="Y265" i="15"/>
  <c r="R266" i="15"/>
  <c r="S266" i="15"/>
  <c r="T266" i="15"/>
  <c r="U266" i="15"/>
  <c r="V266" i="15"/>
  <c r="W266" i="15"/>
  <c r="X266" i="15"/>
  <c r="Y266" i="15"/>
  <c r="R267" i="15"/>
  <c r="S267" i="15"/>
  <c r="T267" i="15"/>
  <c r="U267" i="15"/>
  <c r="V267" i="15"/>
  <c r="W267" i="15"/>
  <c r="X267" i="15"/>
  <c r="Y267" i="15"/>
  <c r="R268" i="15"/>
  <c r="S268" i="15"/>
  <c r="T268" i="15"/>
  <c r="U268" i="15"/>
  <c r="V268" i="15"/>
  <c r="W268" i="15"/>
  <c r="X268" i="15"/>
  <c r="Y268" i="15"/>
  <c r="R269" i="15"/>
  <c r="S269" i="15"/>
  <c r="T269" i="15"/>
  <c r="U269" i="15"/>
  <c r="V269" i="15"/>
  <c r="W269" i="15"/>
  <c r="X269" i="15"/>
  <c r="Y269" i="15"/>
  <c r="R270" i="15"/>
  <c r="S270" i="15"/>
  <c r="T270" i="15"/>
  <c r="U270" i="15"/>
  <c r="V270" i="15"/>
  <c r="W270" i="15"/>
  <c r="X270" i="15"/>
  <c r="Y270" i="15"/>
  <c r="R271" i="15"/>
  <c r="S271" i="15"/>
  <c r="T271" i="15"/>
  <c r="U271" i="15"/>
  <c r="V271" i="15"/>
  <c r="W271" i="15"/>
  <c r="X271" i="15"/>
  <c r="Y271" i="15"/>
  <c r="R272" i="15"/>
  <c r="S272" i="15"/>
  <c r="T272" i="15"/>
  <c r="U272" i="15"/>
  <c r="V272" i="15"/>
  <c r="W272" i="15"/>
  <c r="X272" i="15"/>
  <c r="Y272" i="15"/>
  <c r="R273" i="15"/>
  <c r="S273" i="15"/>
  <c r="T273" i="15"/>
  <c r="U273" i="15"/>
  <c r="V273" i="15"/>
  <c r="W273" i="15"/>
  <c r="X273" i="15"/>
  <c r="Y273" i="15"/>
  <c r="R274" i="15"/>
  <c r="S274" i="15"/>
  <c r="T274" i="15"/>
  <c r="U274" i="15"/>
  <c r="V274" i="15"/>
  <c r="W274" i="15"/>
  <c r="X274" i="15"/>
  <c r="Y274" i="15"/>
  <c r="R275" i="15"/>
  <c r="S275" i="15"/>
  <c r="T275" i="15"/>
  <c r="U275" i="15"/>
  <c r="V275" i="15"/>
  <c r="W275" i="15"/>
  <c r="X275" i="15"/>
  <c r="Y275" i="15"/>
  <c r="R276" i="15"/>
  <c r="S276" i="15"/>
  <c r="T276" i="15"/>
  <c r="U276" i="15"/>
  <c r="V276" i="15"/>
  <c r="W276" i="15"/>
  <c r="X276" i="15"/>
  <c r="Y276" i="15"/>
  <c r="R277" i="15"/>
  <c r="S277" i="15"/>
  <c r="T277" i="15"/>
  <c r="U277" i="15"/>
  <c r="V277" i="15"/>
  <c r="W277" i="15"/>
  <c r="X277" i="15"/>
  <c r="Y277" i="15"/>
  <c r="R278" i="15"/>
  <c r="S278" i="15"/>
  <c r="T278" i="15"/>
  <c r="U278" i="15"/>
  <c r="V278" i="15"/>
  <c r="W278" i="15"/>
  <c r="X278" i="15"/>
  <c r="Y278" i="15"/>
  <c r="R279" i="15"/>
  <c r="S279" i="15"/>
  <c r="T279" i="15"/>
  <c r="U279" i="15"/>
  <c r="V279" i="15"/>
  <c r="W279" i="15"/>
  <c r="X279" i="15"/>
  <c r="Y279" i="15"/>
  <c r="R280" i="15"/>
  <c r="S280" i="15"/>
  <c r="T280" i="15"/>
  <c r="U280" i="15"/>
  <c r="V280" i="15"/>
  <c r="W280" i="15"/>
  <c r="X280" i="15"/>
  <c r="Y280" i="15"/>
  <c r="R281" i="15"/>
  <c r="S281" i="15"/>
  <c r="T281" i="15"/>
  <c r="U281" i="15"/>
  <c r="V281" i="15"/>
  <c r="W281" i="15"/>
  <c r="X281" i="15"/>
  <c r="Y281" i="15"/>
  <c r="R282" i="15"/>
  <c r="S282" i="15"/>
  <c r="T282" i="15"/>
  <c r="U282" i="15"/>
  <c r="V282" i="15"/>
  <c r="W282" i="15"/>
  <c r="X282" i="15"/>
  <c r="Y282" i="15"/>
  <c r="R283" i="15"/>
  <c r="S283" i="15"/>
  <c r="T283" i="15"/>
  <c r="U283" i="15"/>
  <c r="V283" i="15"/>
  <c r="W283" i="15"/>
  <c r="X283" i="15"/>
  <c r="Y283" i="15"/>
  <c r="R284" i="15"/>
  <c r="S284" i="15"/>
  <c r="T284" i="15"/>
  <c r="U284" i="15"/>
  <c r="V284" i="15"/>
  <c r="W284" i="15"/>
  <c r="X284" i="15"/>
  <c r="Y284" i="15"/>
  <c r="R285" i="15"/>
  <c r="S285" i="15"/>
  <c r="T285" i="15"/>
  <c r="U285" i="15"/>
  <c r="V285" i="15"/>
  <c r="W285" i="15"/>
  <c r="X285" i="15"/>
  <c r="Y285" i="15"/>
  <c r="R286" i="15"/>
  <c r="S286" i="15"/>
  <c r="T286" i="15"/>
  <c r="U286" i="15"/>
  <c r="V286" i="15"/>
  <c r="W286" i="15"/>
  <c r="X286" i="15"/>
  <c r="Y286" i="15"/>
  <c r="R287" i="15"/>
  <c r="S287" i="15"/>
  <c r="T287" i="15"/>
  <c r="U287" i="15"/>
  <c r="V287" i="15"/>
  <c r="W287" i="15"/>
  <c r="X287" i="15"/>
  <c r="Y287" i="15"/>
  <c r="R288" i="15"/>
  <c r="S288" i="15"/>
  <c r="T288" i="15"/>
  <c r="U288" i="15"/>
  <c r="V288" i="15"/>
  <c r="W288" i="15"/>
  <c r="X288" i="15"/>
  <c r="Y288" i="15"/>
  <c r="R289" i="15"/>
  <c r="S289" i="15"/>
  <c r="T289" i="15"/>
  <c r="U289" i="15"/>
  <c r="V289" i="15"/>
  <c r="W289" i="15"/>
  <c r="X289" i="15"/>
  <c r="Y289" i="15"/>
  <c r="R290" i="15"/>
  <c r="S290" i="15"/>
  <c r="T290" i="15"/>
  <c r="U290" i="15"/>
  <c r="V290" i="15"/>
  <c r="W290" i="15"/>
  <c r="X290" i="15"/>
  <c r="Y290" i="15"/>
  <c r="R291" i="15"/>
  <c r="S291" i="15"/>
  <c r="T291" i="15"/>
  <c r="U291" i="15"/>
  <c r="V291" i="15"/>
  <c r="W291" i="15"/>
  <c r="X291" i="15"/>
  <c r="Y291" i="15"/>
  <c r="R292" i="15"/>
  <c r="S292" i="15"/>
  <c r="T292" i="15"/>
  <c r="U292" i="15"/>
  <c r="V292" i="15"/>
  <c r="W292" i="15"/>
  <c r="X292" i="15"/>
  <c r="Y292" i="15"/>
  <c r="R293" i="15"/>
  <c r="S293" i="15"/>
  <c r="T293" i="15"/>
  <c r="U293" i="15"/>
  <c r="V293" i="15"/>
  <c r="W293" i="15"/>
  <c r="X293" i="15"/>
  <c r="Y293" i="15"/>
  <c r="R294" i="15"/>
  <c r="S294" i="15"/>
  <c r="T294" i="15"/>
  <c r="U294" i="15"/>
  <c r="V294" i="15"/>
  <c r="W294" i="15"/>
  <c r="X294" i="15"/>
  <c r="Y294" i="15"/>
  <c r="R295" i="15"/>
  <c r="S295" i="15"/>
  <c r="T295" i="15"/>
  <c r="U295" i="15"/>
  <c r="V295" i="15"/>
  <c r="W295" i="15"/>
  <c r="X295" i="15"/>
  <c r="Y295" i="15"/>
  <c r="R296" i="15"/>
  <c r="S296" i="15"/>
  <c r="T296" i="15"/>
  <c r="U296" i="15"/>
  <c r="V296" i="15"/>
  <c r="W296" i="15"/>
  <c r="X296" i="15"/>
  <c r="Y296" i="15"/>
  <c r="R297" i="15"/>
  <c r="S297" i="15"/>
  <c r="T297" i="15"/>
  <c r="U297" i="15"/>
  <c r="V297" i="15"/>
  <c r="W297" i="15"/>
  <c r="X297" i="15"/>
  <c r="Y297" i="15"/>
  <c r="R298" i="15"/>
  <c r="S298" i="15"/>
  <c r="T298" i="15"/>
  <c r="U298" i="15"/>
  <c r="V298" i="15"/>
  <c r="W298" i="15"/>
  <c r="X298" i="15"/>
  <c r="Y298" i="15"/>
  <c r="R299" i="15"/>
  <c r="S299" i="15"/>
  <c r="T299" i="15"/>
  <c r="U299" i="15"/>
  <c r="V299" i="15"/>
  <c r="W299" i="15"/>
  <c r="X299" i="15"/>
  <c r="Y299" i="15"/>
  <c r="R300" i="15"/>
  <c r="S300" i="15"/>
  <c r="T300" i="15"/>
  <c r="U300" i="15"/>
  <c r="V300" i="15"/>
  <c r="W300" i="15"/>
  <c r="X300" i="15"/>
  <c r="Y300" i="15"/>
  <c r="R301" i="15"/>
  <c r="S301" i="15"/>
  <c r="T301" i="15"/>
  <c r="U301" i="15"/>
  <c r="V301" i="15"/>
  <c r="W301" i="15"/>
  <c r="X301" i="15"/>
  <c r="Y301" i="15"/>
  <c r="R302" i="15"/>
  <c r="S302" i="15"/>
  <c r="T302" i="15"/>
  <c r="U302" i="15"/>
  <c r="V302" i="15"/>
  <c r="W302" i="15"/>
  <c r="X302" i="15"/>
  <c r="Y302" i="15"/>
  <c r="R303" i="15"/>
  <c r="S303" i="15"/>
  <c r="T303" i="15"/>
  <c r="U303" i="15"/>
  <c r="V303" i="15"/>
  <c r="W303" i="15"/>
  <c r="X303" i="15"/>
  <c r="Y303" i="15"/>
  <c r="R304" i="15"/>
  <c r="S304" i="15"/>
  <c r="T304" i="15"/>
  <c r="U304" i="15"/>
  <c r="V304" i="15"/>
  <c r="W304" i="15"/>
  <c r="X304" i="15"/>
  <c r="Y304" i="15"/>
  <c r="R305" i="15"/>
  <c r="S305" i="15"/>
  <c r="T305" i="15"/>
  <c r="U305" i="15"/>
  <c r="V305" i="15"/>
  <c r="W305" i="15"/>
  <c r="X305" i="15"/>
  <c r="Y305" i="15"/>
  <c r="AC56" i="15"/>
  <c r="AA56" i="15" s="1"/>
  <c r="AC59" i="15"/>
  <c r="AA59" i="15" s="1"/>
  <c r="AC63" i="15"/>
  <c r="AA63" i="15" s="1"/>
  <c r="AC66" i="15"/>
  <c r="AA66" i="15" s="1"/>
  <c r="AC68" i="15"/>
  <c r="AA68" i="15" s="1"/>
  <c r="AC70" i="15"/>
  <c r="AA70" i="15" s="1"/>
  <c r="AC71" i="15"/>
  <c r="AA71" i="15" s="1"/>
  <c r="AC72" i="15"/>
  <c r="AA72" i="15" s="1"/>
  <c r="AC74" i="15"/>
  <c r="AA74" i="15" s="1"/>
  <c r="AC75" i="15"/>
  <c r="AA75" i="15" s="1"/>
  <c r="AC76" i="15"/>
  <c r="AA76" i="15" s="1"/>
  <c r="AC78" i="15"/>
  <c r="AA78" i="15" s="1"/>
  <c r="AC79" i="15"/>
  <c r="AA79" i="15" s="1"/>
  <c r="AC80" i="15"/>
  <c r="AA80" i="15" s="1"/>
  <c r="AC82" i="15"/>
  <c r="AA82" i="15" s="1"/>
  <c r="AC83" i="15"/>
  <c r="AA83" i="15" s="1"/>
  <c r="AC84" i="15"/>
  <c r="AA84" i="15" s="1"/>
  <c r="AC86" i="15"/>
  <c r="AA86" i="15" s="1"/>
  <c r="AC87" i="15"/>
  <c r="AA87" i="15" s="1"/>
  <c r="AC88" i="15"/>
  <c r="AA88" i="15" s="1"/>
  <c r="AC90" i="15"/>
  <c r="AA90" i="15" s="1"/>
  <c r="AC91" i="15"/>
  <c r="AA91" i="15" s="1"/>
  <c r="AC92" i="15"/>
  <c r="AA92" i="15" s="1"/>
  <c r="AC94" i="15"/>
  <c r="AA94" i="15" s="1"/>
  <c r="AC95" i="15"/>
  <c r="AA95" i="15" s="1"/>
  <c r="AC96" i="15"/>
  <c r="AA96" i="15" s="1"/>
  <c r="AC98" i="15"/>
  <c r="AA98" i="15" s="1"/>
  <c r="AC99" i="15"/>
  <c r="AA99" i="15" s="1"/>
  <c r="AC100" i="15"/>
  <c r="AA100" i="15" s="1"/>
  <c r="P472" i="15" l="1"/>
  <c r="Q472" i="15" s="1"/>
  <c r="AE472" i="15" s="1"/>
  <c r="AF472" i="15" s="1"/>
  <c r="P389" i="15"/>
  <c r="Q389" i="15" s="1"/>
  <c r="AE389" i="15" s="1"/>
  <c r="AF389" i="15" s="1"/>
  <c r="P377" i="15"/>
  <c r="Q377" i="15" s="1"/>
  <c r="AE377" i="15" s="1"/>
  <c r="AF377" i="15" s="1"/>
  <c r="P345" i="15"/>
  <c r="Q345" i="15" s="1"/>
  <c r="AE345" i="15" s="1"/>
  <c r="P409" i="15"/>
  <c r="Q409" i="15" s="1"/>
  <c r="AE409" i="15" s="1"/>
  <c r="AF409" i="15" s="1"/>
  <c r="P313" i="15"/>
  <c r="Q313" i="15" s="1"/>
  <c r="AE313" i="15" s="1"/>
  <c r="AF313" i="15" s="1"/>
  <c r="P444" i="15"/>
  <c r="Q444" i="15" s="1"/>
  <c r="AE444" i="15" s="1"/>
  <c r="P440" i="15"/>
  <c r="Q440" i="15" s="1"/>
  <c r="AE440" i="15" s="1"/>
  <c r="P436" i="15"/>
  <c r="Q436" i="15" s="1"/>
  <c r="AE436" i="15" s="1"/>
  <c r="AF436" i="15" s="1"/>
  <c r="P432" i="15"/>
  <c r="Q432" i="15" s="1"/>
  <c r="AE432" i="15" s="1"/>
  <c r="AF432" i="15" s="1"/>
  <c r="P428" i="15"/>
  <c r="Q428" i="15" s="1"/>
  <c r="AE428" i="15" s="1"/>
  <c r="AF428" i="15" s="1"/>
  <c r="P424" i="15"/>
  <c r="Q424" i="15" s="1"/>
  <c r="AE424" i="15" s="1"/>
  <c r="P420" i="15"/>
  <c r="Q420" i="15" s="1"/>
  <c r="AE420" i="15" s="1"/>
  <c r="AF420" i="15" s="1"/>
  <c r="P405" i="15"/>
  <c r="Q405" i="15" s="1"/>
  <c r="AE405" i="15" s="1"/>
  <c r="AF405" i="15" s="1"/>
  <c r="P393" i="15"/>
  <c r="Q393" i="15" s="1"/>
  <c r="AE393" i="15" s="1"/>
  <c r="AF393" i="15" s="1"/>
  <c r="P357" i="15"/>
  <c r="Q357" i="15" s="1"/>
  <c r="AE357" i="15" s="1"/>
  <c r="P241" i="15"/>
  <c r="Q241" i="15" s="1"/>
  <c r="AE241" i="15" s="1"/>
  <c r="P467" i="15"/>
  <c r="Q467" i="15" s="1"/>
  <c r="AE467" i="15" s="1"/>
  <c r="AF467" i="15" s="1"/>
  <c r="P463" i="15"/>
  <c r="Q463" i="15" s="1"/>
  <c r="AE463" i="15" s="1"/>
  <c r="AF463" i="15" s="1"/>
  <c r="P459" i="15"/>
  <c r="Q459" i="15" s="1"/>
  <c r="AE459" i="15" s="1"/>
  <c r="AF459" i="15" s="1"/>
  <c r="P373" i="15"/>
  <c r="Q373" i="15" s="1"/>
  <c r="AE373" i="15" s="1"/>
  <c r="AF373" i="15" s="1"/>
  <c r="P361" i="15"/>
  <c r="Q361" i="15" s="1"/>
  <c r="AE361" i="15" s="1"/>
  <c r="AF361" i="15" s="1"/>
  <c r="P447" i="15"/>
  <c r="Q447" i="15" s="1"/>
  <c r="AE447" i="15" s="1"/>
  <c r="AF447" i="15" s="1"/>
  <c r="P341" i="15"/>
  <c r="Q341" i="15" s="1"/>
  <c r="AE341" i="15" s="1"/>
  <c r="P329" i="15"/>
  <c r="Q329" i="15" s="1"/>
  <c r="AE329" i="15" s="1"/>
  <c r="AF329" i="15" s="1"/>
  <c r="P325" i="15"/>
  <c r="Q325" i="15" s="1"/>
  <c r="AE325" i="15" s="1"/>
  <c r="AF325" i="15" s="1"/>
  <c r="P309" i="15"/>
  <c r="Q309" i="15" s="1"/>
  <c r="AE309" i="15" s="1"/>
  <c r="AF309" i="15" s="1"/>
  <c r="P505" i="15"/>
  <c r="Q505" i="15" s="1"/>
  <c r="AE505" i="15" s="1"/>
  <c r="AF505" i="15" s="1"/>
  <c r="P501" i="15"/>
  <c r="Q501" i="15" s="1"/>
  <c r="AE501" i="15" s="1"/>
  <c r="AF501" i="15" s="1"/>
  <c r="P497" i="15"/>
  <c r="Q497" i="15" s="1"/>
  <c r="AE497" i="15" s="1"/>
  <c r="AF497" i="15" s="1"/>
  <c r="P493" i="15"/>
  <c r="Q493" i="15" s="1"/>
  <c r="AE493" i="15" s="1"/>
  <c r="AF493" i="15" s="1"/>
  <c r="P489" i="15"/>
  <c r="Q489" i="15" s="1"/>
  <c r="AE489" i="15" s="1"/>
  <c r="AF489" i="15" s="1"/>
  <c r="P481" i="15"/>
  <c r="Q481" i="15" s="1"/>
  <c r="AE481" i="15" s="1"/>
  <c r="AF481" i="15" s="1"/>
  <c r="P477" i="15"/>
  <c r="Q477" i="15" s="1"/>
  <c r="AE477" i="15" s="1"/>
  <c r="AF477" i="15" s="1"/>
  <c r="P485" i="15"/>
  <c r="Q485" i="15" s="1"/>
  <c r="AE485" i="15" s="1"/>
  <c r="AF485" i="15" s="1"/>
  <c r="P265" i="15"/>
  <c r="Q265" i="15" s="1"/>
  <c r="AE265" i="15" s="1"/>
  <c r="AF265" i="15" s="1"/>
  <c r="P197" i="15"/>
  <c r="Q197" i="15" s="1"/>
  <c r="AE197" i="15" s="1"/>
  <c r="AF197" i="15" s="1"/>
  <c r="P95" i="15"/>
  <c r="Q95" i="15" s="1"/>
  <c r="AE95" i="15" s="1"/>
  <c r="AF95" i="15" s="1"/>
  <c r="P63" i="15"/>
  <c r="Q63" i="15" s="1"/>
  <c r="AE63" i="15" s="1"/>
  <c r="AF63" i="15" s="1"/>
  <c r="P503" i="15"/>
  <c r="Q503" i="15" s="1"/>
  <c r="AE503" i="15" s="1"/>
  <c r="AF503" i="15" s="1"/>
  <c r="P502" i="15"/>
  <c r="Q502" i="15" s="1"/>
  <c r="AE502" i="15" s="1"/>
  <c r="AF502" i="15" s="1"/>
  <c r="P499" i="15"/>
  <c r="Q499" i="15" s="1"/>
  <c r="AE499" i="15" s="1"/>
  <c r="AF499" i="15" s="1"/>
  <c r="P498" i="15"/>
  <c r="Q498" i="15" s="1"/>
  <c r="AE498" i="15" s="1"/>
  <c r="AF498" i="15" s="1"/>
  <c r="P495" i="15"/>
  <c r="Q495" i="15" s="1"/>
  <c r="AE495" i="15" s="1"/>
  <c r="P494" i="15"/>
  <c r="Q494" i="15" s="1"/>
  <c r="AE494" i="15" s="1"/>
  <c r="AF494" i="15" s="1"/>
  <c r="P491" i="15"/>
  <c r="Q491" i="15" s="1"/>
  <c r="AE491" i="15" s="1"/>
  <c r="AF491" i="15" s="1"/>
  <c r="P490" i="15"/>
  <c r="Q490" i="15" s="1"/>
  <c r="AE490" i="15" s="1"/>
  <c r="AF490" i="15" s="1"/>
  <c r="P487" i="15"/>
  <c r="Q487" i="15" s="1"/>
  <c r="AE487" i="15" s="1"/>
  <c r="AF487" i="15" s="1"/>
  <c r="P486" i="15"/>
  <c r="Q486" i="15" s="1"/>
  <c r="AE486" i="15" s="1"/>
  <c r="P483" i="15"/>
  <c r="Q483" i="15" s="1"/>
  <c r="AE483" i="15" s="1"/>
  <c r="AF483" i="15" s="1"/>
  <c r="P482" i="15"/>
  <c r="Q482" i="15" s="1"/>
  <c r="AE482" i="15" s="1"/>
  <c r="AF482" i="15" s="1"/>
  <c r="P479" i="15"/>
  <c r="Q479" i="15" s="1"/>
  <c r="AE479" i="15" s="1"/>
  <c r="AF479" i="15" s="1"/>
  <c r="P478" i="15"/>
  <c r="Q478" i="15" s="1"/>
  <c r="AE478" i="15" s="1"/>
  <c r="AF478" i="15" s="1"/>
  <c r="P475" i="15"/>
  <c r="Q475" i="15" s="1"/>
  <c r="AE475" i="15" s="1"/>
  <c r="AF475" i="15" s="1"/>
  <c r="P474" i="15"/>
  <c r="Q474" i="15" s="1"/>
  <c r="AE474" i="15" s="1"/>
  <c r="AF474" i="15" s="1"/>
  <c r="P471" i="15"/>
  <c r="Q471" i="15" s="1"/>
  <c r="AE471" i="15" s="1"/>
  <c r="AF471" i="15" s="1"/>
  <c r="P446" i="15"/>
  <c r="Q446" i="15" s="1"/>
  <c r="AE446" i="15" s="1"/>
  <c r="P443" i="15"/>
  <c r="Q443" i="15" s="1"/>
  <c r="AE443" i="15" s="1"/>
  <c r="AF443" i="15" s="1"/>
  <c r="P442" i="15"/>
  <c r="Q442" i="15" s="1"/>
  <c r="AE442" i="15" s="1"/>
  <c r="AF442" i="15" s="1"/>
  <c r="P439" i="15"/>
  <c r="Q439" i="15" s="1"/>
  <c r="AE439" i="15" s="1"/>
  <c r="AF439" i="15" s="1"/>
  <c r="P438" i="15"/>
  <c r="Q438" i="15" s="1"/>
  <c r="AE438" i="15" s="1"/>
  <c r="AF438" i="15" s="1"/>
  <c r="P435" i="15"/>
  <c r="Q435" i="15" s="1"/>
  <c r="AE435" i="15" s="1"/>
  <c r="AF435" i="15" s="1"/>
  <c r="P434" i="15"/>
  <c r="Q434" i="15" s="1"/>
  <c r="AE434" i="15" s="1"/>
  <c r="AF434" i="15" s="1"/>
  <c r="P431" i="15"/>
  <c r="Q431" i="15" s="1"/>
  <c r="AE431" i="15" s="1"/>
  <c r="AF431" i="15" s="1"/>
  <c r="P430" i="15"/>
  <c r="Q430" i="15" s="1"/>
  <c r="AE430" i="15" s="1"/>
  <c r="AF430" i="15" s="1"/>
  <c r="P427" i="15"/>
  <c r="Q427" i="15" s="1"/>
  <c r="AE427" i="15" s="1"/>
  <c r="AF427" i="15" s="1"/>
  <c r="P426" i="15"/>
  <c r="Q426" i="15" s="1"/>
  <c r="AE426" i="15" s="1"/>
  <c r="AF426" i="15" s="1"/>
  <c r="P423" i="15"/>
  <c r="Q423" i="15" s="1"/>
  <c r="AE423" i="15" s="1"/>
  <c r="AF423" i="15" s="1"/>
  <c r="P422" i="15"/>
  <c r="Q422" i="15" s="1"/>
  <c r="AE422" i="15" s="1"/>
  <c r="AF422" i="15" s="1"/>
  <c r="P419" i="15"/>
  <c r="Q419" i="15" s="1"/>
  <c r="AE419" i="15" s="1"/>
  <c r="AF419" i="15" s="1"/>
  <c r="P417" i="15"/>
  <c r="Q417" i="15" s="1"/>
  <c r="AE417" i="15" s="1"/>
  <c r="AF417" i="15" s="1"/>
  <c r="P414" i="15"/>
  <c r="Q414" i="15" s="1"/>
  <c r="AE414" i="15" s="1"/>
  <c r="AF414" i="15" s="1"/>
  <c r="P413" i="15"/>
  <c r="Q413" i="15" s="1"/>
  <c r="AE413" i="15" s="1"/>
  <c r="AF413" i="15" s="1"/>
  <c r="P404" i="15"/>
  <c r="Q404" i="15" s="1"/>
  <c r="AE404" i="15" s="1"/>
  <c r="AF404" i="15" s="1"/>
  <c r="P400" i="15"/>
  <c r="Q400" i="15" s="1"/>
  <c r="AE400" i="15" s="1"/>
  <c r="AF400" i="15" s="1"/>
  <c r="P386" i="15"/>
  <c r="Q386" i="15" s="1"/>
  <c r="AE386" i="15" s="1"/>
  <c r="AF386" i="15" s="1"/>
  <c r="P385" i="15"/>
  <c r="Q385" i="15" s="1"/>
  <c r="AE385" i="15" s="1"/>
  <c r="AF385" i="15" s="1"/>
  <c r="P382" i="15"/>
  <c r="Q382" i="15" s="1"/>
  <c r="AE382" i="15" s="1"/>
  <c r="AF382" i="15" s="1"/>
  <c r="P381" i="15"/>
  <c r="Q381" i="15" s="1"/>
  <c r="AE381" i="15" s="1"/>
  <c r="P353" i="15"/>
  <c r="Q353" i="15" s="1"/>
  <c r="AE353" i="15" s="1"/>
  <c r="AF353" i="15" s="1"/>
  <c r="P352" i="15"/>
  <c r="Q352" i="15" s="1"/>
  <c r="AE352" i="15" s="1"/>
  <c r="AF352" i="15" s="1"/>
  <c r="P349" i="15"/>
  <c r="Q349" i="15" s="1"/>
  <c r="AE349" i="15" s="1"/>
  <c r="AF349" i="15" s="1"/>
  <c r="P348" i="15"/>
  <c r="Q348" i="15" s="1"/>
  <c r="AE348" i="15" s="1"/>
  <c r="AF348" i="15" s="1"/>
  <c r="P321" i="15"/>
  <c r="Q321" i="15" s="1"/>
  <c r="AE321" i="15" s="1"/>
  <c r="AF321" i="15" s="1"/>
  <c r="P320" i="15"/>
  <c r="Q320" i="15" s="1"/>
  <c r="AE320" i="15" s="1"/>
  <c r="AF320" i="15" s="1"/>
  <c r="P317" i="15"/>
  <c r="Q317" i="15" s="1"/>
  <c r="AE317" i="15" s="1"/>
  <c r="AF317" i="15" s="1"/>
  <c r="P316" i="15"/>
  <c r="Q316" i="15" s="1"/>
  <c r="AE316" i="15" s="1"/>
  <c r="P455" i="15"/>
  <c r="Q455" i="15" s="1"/>
  <c r="AE455" i="15" s="1"/>
  <c r="AF455" i="15" s="1"/>
  <c r="P451" i="15"/>
  <c r="Q451" i="15" s="1"/>
  <c r="AE451" i="15" s="1"/>
  <c r="AF451" i="15" s="1"/>
  <c r="P221" i="15"/>
  <c r="Q221" i="15" s="1"/>
  <c r="AE221" i="15" s="1"/>
  <c r="AF221" i="15" s="1"/>
  <c r="P147" i="15"/>
  <c r="Q147" i="15" s="1"/>
  <c r="AE147" i="15" s="1"/>
  <c r="AF147" i="15" s="1"/>
  <c r="P464" i="15"/>
  <c r="Q464" i="15" s="1"/>
  <c r="AE464" i="15" s="1"/>
  <c r="AF464" i="15" s="1"/>
  <c r="P456" i="15"/>
  <c r="Q456" i="15" s="1"/>
  <c r="AE456" i="15" s="1"/>
  <c r="AF456" i="15" s="1"/>
  <c r="P212" i="15"/>
  <c r="Q212" i="15" s="1"/>
  <c r="AE212" i="15" s="1"/>
  <c r="P184" i="15"/>
  <c r="Q184" i="15" s="1"/>
  <c r="AE184" i="15" s="1"/>
  <c r="P504" i="15"/>
  <c r="Q504" i="15" s="1"/>
  <c r="AE504" i="15" s="1"/>
  <c r="AF504" i="15" s="1"/>
  <c r="P500" i="15"/>
  <c r="Q500" i="15" s="1"/>
  <c r="AE500" i="15" s="1"/>
  <c r="AF500" i="15" s="1"/>
  <c r="P496" i="15"/>
  <c r="Q496" i="15" s="1"/>
  <c r="AE496" i="15" s="1"/>
  <c r="AF496" i="15" s="1"/>
  <c r="P492" i="15"/>
  <c r="Q492" i="15" s="1"/>
  <c r="AE492" i="15" s="1"/>
  <c r="AF492" i="15" s="1"/>
  <c r="P488" i="15"/>
  <c r="Q488" i="15" s="1"/>
  <c r="AE488" i="15" s="1"/>
  <c r="AF488" i="15" s="1"/>
  <c r="P484" i="15"/>
  <c r="Q484" i="15" s="1"/>
  <c r="AE484" i="15" s="1"/>
  <c r="P480" i="15"/>
  <c r="Q480" i="15" s="1"/>
  <c r="AE480" i="15" s="1"/>
  <c r="AF480" i="15" s="1"/>
  <c r="P476" i="15"/>
  <c r="Q476" i="15" s="1"/>
  <c r="AE476" i="15" s="1"/>
  <c r="AF476" i="15" s="1"/>
  <c r="P468" i="15"/>
  <c r="Q468" i="15" s="1"/>
  <c r="AE468" i="15" s="1"/>
  <c r="AF468" i="15" s="1"/>
  <c r="P460" i="15"/>
  <c r="Q460" i="15" s="1"/>
  <c r="AE460" i="15" s="1"/>
  <c r="AF460" i="15" s="1"/>
  <c r="P452" i="15"/>
  <c r="Q452" i="15" s="1"/>
  <c r="AE452" i="15" s="1"/>
  <c r="AF452" i="15" s="1"/>
  <c r="P445" i="15"/>
  <c r="Q445" i="15" s="1"/>
  <c r="AE445" i="15" s="1"/>
  <c r="AF445" i="15" s="1"/>
  <c r="P441" i="15"/>
  <c r="Q441" i="15" s="1"/>
  <c r="AE441" i="15" s="1"/>
  <c r="AF441" i="15" s="1"/>
  <c r="P437" i="15"/>
  <c r="Q437" i="15" s="1"/>
  <c r="AE437" i="15" s="1"/>
  <c r="AF437" i="15" s="1"/>
  <c r="P433" i="15"/>
  <c r="Q433" i="15" s="1"/>
  <c r="AE433" i="15" s="1"/>
  <c r="AF433" i="15" s="1"/>
  <c r="P429" i="15"/>
  <c r="Q429" i="15" s="1"/>
  <c r="AE429" i="15" s="1"/>
  <c r="AF429" i="15" s="1"/>
  <c r="P425" i="15"/>
  <c r="Q425" i="15" s="1"/>
  <c r="AE425" i="15" s="1"/>
  <c r="AF425" i="15" s="1"/>
  <c r="P421" i="15"/>
  <c r="Q421" i="15" s="1"/>
  <c r="AE421" i="15" s="1"/>
  <c r="AF421" i="15" s="1"/>
  <c r="P416" i="15"/>
  <c r="Q416" i="15" s="1"/>
  <c r="AE416" i="15" s="1"/>
  <c r="AF416" i="15" s="1"/>
  <c r="P402" i="15"/>
  <c r="Q402" i="15" s="1"/>
  <c r="AE402" i="15" s="1"/>
  <c r="AF402" i="15" s="1"/>
  <c r="P401" i="15"/>
  <c r="Q401" i="15" s="1"/>
  <c r="AE401" i="15" s="1"/>
  <c r="AF401" i="15" s="1"/>
  <c r="P398" i="15"/>
  <c r="Q398" i="15" s="1"/>
  <c r="AE398" i="15" s="1"/>
  <c r="AF398" i="15" s="1"/>
  <c r="P397" i="15"/>
  <c r="Q397" i="15" s="1"/>
  <c r="AE397" i="15" s="1"/>
  <c r="AF397" i="15" s="1"/>
  <c r="P388" i="15"/>
  <c r="Q388" i="15" s="1"/>
  <c r="AE388" i="15" s="1"/>
  <c r="AF388" i="15" s="1"/>
  <c r="P384" i="15"/>
  <c r="Q384" i="15" s="1"/>
  <c r="AE384" i="15" s="1"/>
  <c r="AF384" i="15" s="1"/>
  <c r="P369" i="15"/>
  <c r="Q369" i="15" s="1"/>
  <c r="AE369" i="15" s="1"/>
  <c r="AF369" i="15" s="1"/>
  <c r="P368" i="15"/>
  <c r="Q368" i="15" s="1"/>
  <c r="AE368" i="15" s="1"/>
  <c r="AF368" i="15" s="1"/>
  <c r="P365" i="15"/>
  <c r="Q365" i="15" s="1"/>
  <c r="AE365" i="15" s="1"/>
  <c r="AF365" i="15" s="1"/>
  <c r="P364" i="15"/>
  <c r="Q364" i="15" s="1"/>
  <c r="AE364" i="15" s="1"/>
  <c r="AF364" i="15" s="1"/>
  <c r="P337" i="15"/>
  <c r="Q337" i="15" s="1"/>
  <c r="AE337" i="15" s="1"/>
  <c r="AF337" i="15" s="1"/>
  <c r="P336" i="15"/>
  <c r="Q336" i="15" s="1"/>
  <c r="AE336" i="15" s="1"/>
  <c r="AF336" i="15" s="1"/>
  <c r="P333" i="15"/>
  <c r="Q333" i="15" s="1"/>
  <c r="AE333" i="15" s="1"/>
  <c r="P332" i="15"/>
  <c r="Q332" i="15" s="1"/>
  <c r="AE332" i="15" s="1"/>
  <c r="AF332" i="15" s="1"/>
  <c r="P473" i="15"/>
  <c r="Q473" i="15" s="1"/>
  <c r="AE473" i="15" s="1"/>
  <c r="AF473" i="15" s="1"/>
  <c r="P470" i="15"/>
  <c r="Q470" i="15" s="1"/>
  <c r="AE470" i="15" s="1"/>
  <c r="AF470" i="15" s="1"/>
  <c r="P469" i="15"/>
  <c r="Q469" i="15" s="1"/>
  <c r="AE469" i="15" s="1"/>
  <c r="AF469" i="15" s="1"/>
  <c r="P462" i="15"/>
  <c r="Q462" i="15" s="1"/>
  <c r="AE462" i="15" s="1"/>
  <c r="AF462" i="15" s="1"/>
  <c r="P461" i="15"/>
  <c r="Q461" i="15" s="1"/>
  <c r="AE461" i="15" s="1"/>
  <c r="AF461" i="15" s="1"/>
  <c r="P454" i="15"/>
  <c r="Q454" i="15" s="1"/>
  <c r="AE454" i="15" s="1"/>
  <c r="AF454" i="15" s="1"/>
  <c r="P453" i="15"/>
  <c r="Q453" i="15" s="1"/>
  <c r="AE453" i="15" s="1"/>
  <c r="AF453" i="15" s="1"/>
  <c r="P449" i="15"/>
  <c r="Q449" i="15" s="1"/>
  <c r="AE449" i="15" s="1"/>
  <c r="AF449" i="15" s="1"/>
  <c r="P466" i="15"/>
  <c r="Q466" i="15" s="1"/>
  <c r="AE466" i="15" s="1"/>
  <c r="AF466" i="15" s="1"/>
  <c r="P465" i="15"/>
  <c r="Q465" i="15" s="1"/>
  <c r="AE465" i="15" s="1"/>
  <c r="AF465" i="15" s="1"/>
  <c r="P458" i="15"/>
  <c r="Q458" i="15" s="1"/>
  <c r="AE458" i="15" s="1"/>
  <c r="P457" i="15"/>
  <c r="Q457" i="15" s="1"/>
  <c r="AE457" i="15" s="1"/>
  <c r="AF457" i="15" s="1"/>
  <c r="P450" i="15"/>
  <c r="Q450" i="15" s="1"/>
  <c r="AE450" i="15" s="1"/>
  <c r="AF450" i="15" s="1"/>
  <c r="P448" i="15"/>
  <c r="Q448" i="15" s="1"/>
  <c r="AE448" i="15" s="1"/>
  <c r="AF448" i="15" s="1"/>
  <c r="P408" i="15"/>
  <c r="Q408" i="15" s="1"/>
  <c r="AE408" i="15" s="1"/>
  <c r="AF408" i="15" s="1"/>
  <c r="P406" i="15"/>
  <c r="Q406" i="15" s="1"/>
  <c r="AE406" i="15" s="1"/>
  <c r="AF406" i="15" s="1"/>
  <c r="P403" i="15"/>
  <c r="Q403" i="15" s="1"/>
  <c r="AE403" i="15" s="1"/>
  <c r="AF403" i="15" s="1"/>
  <c r="P392" i="15"/>
  <c r="Q392" i="15" s="1"/>
  <c r="AE392" i="15" s="1"/>
  <c r="AF392" i="15" s="1"/>
  <c r="P390" i="15"/>
  <c r="Q390" i="15" s="1"/>
  <c r="AE390" i="15" s="1"/>
  <c r="AF390" i="15" s="1"/>
  <c r="P387" i="15"/>
  <c r="Q387" i="15" s="1"/>
  <c r="AE387" i="15" s="1"/>
  <c r="AF387" i="15" s="1"/>
  <c r="P376" i="15"/>
  <c r="Q376" i="15" s="1"/>
  <c r="AE376" i="15" s="1"/>
  <c r="AF376" i="15" s="1"/>
  <c r="P371" i="15"/>
  <c r="Q371" i="15" s="1"/>
  <c r="AE371" i="15" s="1"/>
  <c r="P362" i="15"/>
  <c r="Q362" i="15" s="1"/>
  <c r="AE362" i="15" s="1"/>
  <c r="AF362" i="15" s="1"/>
  <c r="P355" i="15"/>
  <c r="Q355" i="15" s="1"/>
  <c r="AE355" i="15" s="1"/>
  <c r="AF355" i="15" s="1"/>
  <c r="P346" i="15"/>
  <c r="Q346" i="15" s="1"/>
  <c r="AE346" i="15" s="1"/>
  <c r="AF346" i="15" s="1"/>
  <c r="P339" i="15"/>
  <c r="Q339" i="15" s="1"/>
  <c r="AE339" i="15" s="1"/>
  <c r="AF339" i="15" s="1"/>
  <c r="P330" i="15"/>
  <c r="Q330" i="15" s="1"/>
  <c r="AE330" i="15" s="1"/>
  <c r="AF330" i="15" s="1"/>
  <c r="P323" i="15"/>
  <c r="Q323" i="15" s="1"/>
  <c r="AE323" i="15" s="1"/>
  <c r="AF323" i="15" s="1"/>
  <c r="P314" i="15"/>
  <c r="Q314" i="15" s="1"/>
  <c r="AE314" i="15" s="1"/>
  <c r="AF314" i="15" s="1"/>
  <c r="P307" i="15"/>
  <c r="Q307" i="15" s="1"/>
  <c r="AE307" i="15" s="1"/>
  <c r="AF307" i="15" s="1"/>
  <c r="P412" i="15"/>
  <c r="Q412" i="15" s="1"/>
  <c r="AE412" i="15" s="1"/>
  <c r="P410" i="15"/>
  <c r="Q410" i="15" s="1"/>
  <c r="AE410" i="15" s="1"/>
  <c r="AF410" i="15" s="1"/>
  <c r="P407" i="15"/>
  <c r="Q407" i="15" s="1"/>
  <c r="AE407" i="15" s="1"/>
  <c r="AF407" i="15" s="1"/>
  <c r="P396" i="15"/>
  <c r="Q396" i="15" s="1"/>
  <c r="AE396" i="15" s="1"/>
  <c r="AF396" i="15" s="1"/>
  <c r="P394" i="15"/>
  <c r="Q394" i="15" s="1"/>
  <c r="AE394" i="15" s="1"/>
  <c r="P391" i="15"/>
  <c r="Q391" i="15" s="1"/>
  <c r="AE391" i="15" s="1"/>
  <c r="AF391" i="15" s="1"/>
  <c r="P380" i="15"/>
  <c r="Q380" i="15" s="1"/>
  <c r="AE380" i="15" s="1"/>
  <c r="AF380" i="15" s="1"/>
  <c r="P378" i="15"/>
  <c r="Q378" i="15" s="1"/>
  <c r="AE378" i="15" s="1"/>
  <c r="AF378" i="15" s="1"/>
  <c r="P375" i="15"/>
  <c r="Q375" i="15" s="1"/>
  <c r="AE375" i="15" s="1"/>
  <c r="P372" i="15"/>
  <c r="Q372" i="15" s="1"/>
  <c r="AE372" i="15" s="1"/>
  <c r="AF372" i="15" s="1"/>
  <c r="P366" i="15"/>
  <c r="Q366" i="15" s="1"/>
  <c r="AE366" i="15" s="1"/>
  <c r="P359" i="15"/>
  <c r="Q359" i="15" s="1"/>
  <c r="AE359" i="15" s="1"/>
  <c r="AF359" i="15" s="1"/>
  <c r="P356" i="15"/>
  <c r="Q356" i="15" s="1"/>
  <c r="AE356" i="15" s="1"/>
  <c r="AF356" i="15" s="1"/>
  <c r="P350" i="15"/>
  <c r="Q350" i="15" s="1"/>
  <c r="AE350" i="15" s="1"/>
  <c r="AF350" i="15" s="1"/>
  <c r="P343" i="15"/>
  <c r="Q343" i="15" s="1"/>
  <c r="AE343" i="15" s="1"/>
  <c r="AF343" i="15" s="1"/>
  <c r="P340" i="15"/>
  <c r="Q340" i="15" s="1"/>
  <c r="AE340" i="15" s="1"/>
  <c r="AF340" i="15" s="1"/>
  <c r="P334" i="15"/>
  <c r="Q334" i="15" s="1"/>
  <c r="AE334" i="15" s="1"/>
  <c r="P327" i="15"/>
  <c r="Q327" i="15" s="1"/>
  <c r="AE327" i="15" s="1"/>
  <c r="AF327" i="15" s="1"/>
  <c r="P324" i="15"/>
  <c r="Q324" i="15" s="1"/>
  <c r="AE324" i="15" s="1"/>
  <c r="AF324" i="15" s="1"/>
  <c r="P318" i="15"/>
  <c r="Q318" i="15" s="1"/>
  <c r="AE318" i="15" s="1"/>
  <c r="AF318" i="15" s="1"/>
  <c r="P311" i="15"/>
  <c r="Q311" i="15" s="1"/>
  <c r="AE311" i="15" s="1"/>
  <c r="AF311" i="15" s="1"/>
  <c r="P308" i="15"/>
  <c r="Q308" i="15" s="1"/>
  <c r="AE308" i="15" s="1"/>
  <c r="AF308" i="15" s="1"/>
  <c r="P418" i="15"/>
  <c r="Q418" i="15" s="1"/>
  <c r="AE418" i="15" s="1"/>
  <c r="AF418" i="15" s="1"/>
  <c r="P411" i="15"/>
  <c r="Q411" i="15" s="1"/>
  <c r="AE411" i="15" s="1"/>
  <c r="AF411" i="15" s="1"/>
  <c r="P395" i="15"/>
  <c r="Q395" i="15" s="1"/>
  <c r="AE395" i="15" s="1"/>
  <c r="P379" i="15"/>
  <c r="Q379" i="15" s="1"/>
  <c r="AE379" i="15" s="1"/>
  <c r="AF379" i="15" s="1"/>
  <c r="P370" i="15"/>
  <c r="Q370" i="15" s="1"/>
  <c r="AE370" i="15" s="1"/>
  <c r="P363" i="15"/>
  <c r="Q363" i="15" s="1"/>
  <c r="AE363" i="15" s="1"/>
  <c r="AF363" i="15" s="1"/>
  <c r="P360" i="15"/>
  <c r="Q360" i="15" s="1"/>
  <c r="AE360" i="15" s="1"/>
  <c r="AF360" i="15" s="1"/>
  <c r="P354" i="15"/>
  <c r="Q354" i="15" s="1"/>
  <c r="AE354" i="15" s="1"/>
  <c r="P347" i="15"/>
  <c r="Q347" i="15" s="1"/>
  <c r="AE347" i="15" s="1"/>
  <c r="AF347" i="15" s="1"/>
  <c r="P344" i="15"/>
  <c r="Q344" i="15" s="1"/>
  <c r="AE344" i="15" s="1"/>
  <c r="AF344" i="15" s="1"/>
  <c r="P338" i="15"/>
  <c r="Q338" i="15" s="1"/>
  <c r="AE338" i="15" s="1"/>
  <c r="AF338" i="15" s="1"/>
  <c r="P331" i="15"/>
  <c r="Q331" i="15" s="1"/>
  <c r="AE331" i="15" s="1"/>
  <c r="AF331" i="15" s="1"/>
  <c r="P328" i="15"/>
  <c r="Q328" i="15" s="1"/>
  <c r="AE328" i="15" s="1"/>
  <c r="AF328" i="15" s="1"/>
  <c r="P322" i="15"/>
  <c r="Q322" i="15" s="1"/>
  <c r="AE322" i="15" s="1"/>
  <c r="P315" i="15"/>
  <c r="Q315" i="15" s="1"/>
  <c r="AE315" i="15" s="1"/>
  <c r="AF315" i="15" s="1"/>
  <c r="P312" i="15"/>
  <c r="Q312" i="15" s="1"/>
  <c r="AE312" i="15" s="1"/>
  <c r="AF312" i="15" s="1"/>
  <c r="P306" i="15"/>
  <c r="Q306" i="15" s="1"/>
  <c r="AE306" i="15" s="1"/>
  <c r="P415" i="15"/>
  <c r="Q415" i="15" s="1"/>
  <c r="AE415" i="15" s="1"/>
  <c r="AF415" i="15" s="1"/>
  <c r="P399" i="15"/>
  <c r="Q399" i="15" s="1"/>
  <c r="AE399" i="15" s="1"/>
  <c r="AF399" i="15" s="1"/>
  <c r="P383" i="15"/>
  <c r="Q383" i="15" s="1"/>
  <c r="AE383" i="15" s="1"/>
  <c r="AF383" i="15" s="1"/>
  <c r="P374" i="15"/>
  <c r="Q374" i="15" s="1"/>
  <c r="AE374" i="15" s="1"/>
  <c r="AF374" i="15" s="1"/>
  <c r="P367" i="15"/>
  <c r="Q367" i="15" s="1"/>
  <c r="AE367" i="15" s="1"/>
  <c r="AF367" i="15" s="1"/>
  <c r="P358" i="15"/>
  <c r="Q358" i="15" s="1"/>
  <c r="AE358" i="15" s="1"/>
  <c r="AF358" i="15" s="1"/>
  <c r="P351" i="15"/>
  <c r="Q351" i="15" s="1"/>
  <c r="AE351" i="15" s="1"/>
  <c r="AF351" i="15" s="1"/>
  <c r="P342" i="15"/>
  <c r="Q342" i="15" s="1"/>
  <c r="AE342" i="15" s="1"/>
  <c r="AF342" i="15" s="1"/>
  <c r="P335" i="15"/>
  <c r="Q335" i="15" s="1"/>
  <c r="AE335" i="15" s="1"/>
  <c r="P326" i="15"/>
  <c r="Q326" i="15" s="1"/>
  <c r="AE326" i="15" s="1"/>
  <c r="AF326" i="15" s="1"/>
  <c r="P319" i="15"/>
  <c r="Q319" i="15" s="1"/>
  <c r="AE319" i="15" s="1"/>
  <c r="P310" i="15"/>
  <c r="Q310" i="15" s="1"/>
  <c r="AE310" i="15" s="1"/>
  <c r="P288" i="15"/>
  <c r="Q288" i="15" s="1"/>
  <c r="AE288" i="15" s="1"/>
  <c r="AF288" i="15" s="1"/>
  <c r="P284" i="15"/>
  <c r="Q284" i="15" s="1"/>
  <c r="AE284" i="15" s="1"/>
  <c r="AF284" i="15" s="1"/>
  <c r="P249" i="15"/>
  <c r="Q249" i="15" s="1"/>
  <c r="AE249" i="15" s="1"/>
  <c r="AF249" i="15" s="1"/>
  <c r="P220" i="15"/>
  <c r="Q220" i="15" s="1"/>
  <c r="AE220" i="15" s="1"/>
  <c r="P216" i="15"/>
  <c r="Q216" i="15" s="1"/>
  <c r="AE216" i="15" s="1"/>
  <c r="AF216" i="15" s="1"/>
  <c r="P213" i="15"/>
  <c r="Q213" i="15" s="1"/>
  <c r="AE213" i="15" s="1"/>
  <c r="AF213" i="15" s="1"/>
  <c r="P205" i="15"/>
  <c r="Q205" i="15" s="1"/>
  <c r="AE205" i="15" s="1"/>
  <c r="AF205" i="15" s="1"/>
  <c r="P196" i="15"/>
  <c r="Q196" i="15" s="1"/>
  <c r="AE196" i="15" s="1"/>
  <c r="AF196" i="15" s="1"/>
  <c r="P164" i="15"/>
  <c r="Q164" i="15" s="1"/>
  <c r="AE164" i="15" s="1"/>
  <c r="AF164" i="15" s="1"/>
  <c r="P126" i="15"/>
  <c r="Q126" i="15" s="1"/>
  <c r="AE126" i="15" s="1"/>
  <c r="P122" i="15"/>
  <c r="Q122" i="15" s="1"/>
  <c r="AE122" i="15" s="1"/>
  <c r="AF122" i="15" s="1"/>
  <c r="P115" i="15"/>
  <c r="Q115" i="15" s="1"/>
  <c r="AE115" i="15" s="1"/>
  <c r="AF115" i="15" s="1"/>
  <c r="P99" i="15"/>
  <c r="Q99" i="15" s="1"/>
  <c r="AE99" i="15" s="1"/>
  <c r="AF99" i="15" s="1"/>
  <c r="P79" i="15"/>
  <c r="Q79" i="15" s="1"/>
  <c r="AE79" i="15" s="1"/>
  <c r="AF79" i="15" s="1"/>
  <c r="P298" i="15"/>
  <c r="Q298" i="15" s="1"/>
  <c r="AE298" i="15" s="1"/>
  <c r="AF298" i="15" s="1"/>
  <c r="P230" i="15"/>
  <c r="Q230" i="15" s="1"/>
  <c r="AE230" i="15" s="1"/>
  <c r="P229" i="15"/>
  <c r="Q229" i="15" s="1"/>
  <c r="AE229" i="15" s="1"/>
  <c r="AF229" i="15" s="1"/>
  <c r="P228" i="15"/>
  <c r="Q228" i="15" s="1"/>
  <c r="AE228" i="15" s="1"/>
  <c r="AF228" i="15" s="1"/>
  <c r="P180" i="15"/>
  <c r="Q180" i="15" s="1"/>
  <c r="AE180" i="15" s="1"/>
  <c r="AF180" i="15" s="1"/>
  <c r="P156" i="15"/>
  <c r="Q156" i="15" s="1"/>
  <c r="AE156" i="15" s="1"/>
  <c r="AF156" i="15" s="1"/>
  <c r="P151" i="15"/>
  <c r="Q151" i="15" s="1"/>
  <c r="AE151" i="15" s="1"/>
  <c r="AF151" i="15" s="1"/>
  <c r="P148" i="15"/>
  <c r="Q148" i="15" s="1"/>
  <c r="AE148" i="15" s="1"/>
  <c r="P127" i="15"/>
  <c r="Q127" i="15" s="1"/>
  <c r="AE127" i="15" s="1"/>
  <c r="P94" i="15"/>
  <c r="Q94" i="15" s="1"/>
  <c r="AE94" i="15" s="1"/>
  <c r="AF94" i="15" s="1"/>
  <c r="P90" i="15"/>
  <c r="Q90" i="15" s="1"/>
  <c r="AE90" i="15" s="1"/>
  <c r="AF90" i="15" s="1"/>
  <c r="P83" i="15"/>
  <c r="Q83" i="15" s="1"/>
  <c r="AE83" i="15" s="1"/>
  <c r="AF83" i="15" s="1"/>
  <c r="P269" i="15"/>
  <c r="Q269" i="15" s="1"/>
  <c r="AE269" i="15" s="1"/>
  <c r="AF269" i="15" s="1"/>
  <c r="P264" i="15"/>
  <c r="Q264" i="15" s="1"/>
  <c r="AE264" i="15" s="1"/>
  <c r="AF264" i="15" s="1"/>
  <c r="P259" i="15"/>
  <c r="Q259" i="15" s="1"/>
  <c r="AE259" i="15" s="1"/>
  <c r="AF259" i="15" s="1"/>
  <c r="P257" i="15"/>
  <c r="Q257" i="15" s="1"/>
  <c r="AE257" i="15" s="1"/>
  <c r="P233" i="15"/>
  <c r="Q233" i="15" s="1"/>
  <c r="AE233" i="15" s="1"/>
  <c r="P140" i="15"/>
  <c r="Q140" i="15" s="1"/>
  <c r="AE140" i="15" s="1"/>
  <c r="AF140" i="15" s="1"/>
  <c r="P135" i="15"/>
  <c r="Q135" i="15" s="1"/>
  <c r="AE135" i="15" s="1"/>
  <c r="AF135" i="15" s="1"/>
  <c r="P132" i="15"/>
  <c r="Q132" i="15" s="1"/>
  <c r="AE132" i="15" s="1"/>
  <c r="AF132" i="15" s="1"/>
  <c r="P108" i="15"/>
  <c r="Q108" i="15" s="1"/>
  <c r="AE108" i="15" s="1"/>
  <c r="AF108" i="15" s="1"/>
  <c r="P104" i="15"/>
  <c r="Q104" i="15" s="1"/>
  <c r="AE104" i="15" s="1"/>
  <c r="P103" i="15"/>
  <c r="Q103" i="15" s="1"/>
  <c r="AE103" i="15" s="1"/>
  <c r="P303" i="15"/>
  <c r="Q303" i="15" s="1"/>
  <c r="AE303" i="15" s="1"/>
  <c r="AF303" i="15" s="1"/>
  <c r="P281" i="15"/>
  <c r="Q281" i="15" s="1"/>
  <c r="AE281" i="15" s="1"/>
  <c r="P273" i="15"/>
  <c r="Q273" i="15" s="1"/>
  <c r="AE273" i="15" s="1"/>
  <c r="AF273" i="15" s="1"/>
  <c r="P240" i="15"/>
  <c r="Q240" i="15" s="1"/>
  <c r="AE240" i="15" s="1"/>
  <c r="P139" i="15"/>
  <c r="Q139" i="15" s="1"/>
  <c r="AE139" i="15" s="1"/>
  <c r="AF139" i="15" s="1"/>
  <c r="P111" i="15"/>
  <c r="Q111" i="15" s="1"/>
  <c r="AE111" i="15" s="1"/>
  <c r="P76" i="15"/>
  <c r="Q76" i="15" s="1"/>
  <c r="AE76" i="15" s="1"/>
  <c r="AF76" i="15" s="1"/>
  <c r="P72" i="15"/>
  <c r="Q72" i="15" s="1"/>
  <c r="AE72" i="15" s="1"/>
  <c r="AF72" i="15" s="1"/>
  <c r="P67" i="15"/>
  <c r="Q67" i="15" s="1"/>
  <c r="AE67" i="15" s="1"/>
  <c r="AF67" i="15" s="1"/>
  <c r="P71" i="15"/>
  <c r="Q71" i="15" s="1"/>
  <c r="AE71" i="15" s="1"/>
  <c r="AF71" i="15" s="1"/>
  <c r="P62" i="15"/>
  <c r="Q62" i="15" s="1"/>
  <c r="AE62" i="15" s="1"/>
  <c r="AF62" i="15" s="1"/>
  <c r="P58" i="15"/>
  <c r="Q58" i="15" s="1"/>
  <c r="AE58" i="15" s="1"/>
  <c r="AF58" i="15" s="1"/>
  <c r="P270" i="15"/>
  <c r="Q270" i="15" s="1"/>
  <c r="AE270" i="15" s="1"/>
  <c r="AF270" i="15" s="1"/>
  <c r="P304" i="15"/>
  <c r="Q304" i="15" s="1"/>
  <c r="AE304" i="15" s="1"/>
  <c r="AF304" i="15" s="1"/>
  <c r="P294" i="15"/>
  <c r="Q294" i="15" s="1"/>
  <c r="AE294" i="15" s="1"/>
  <c r="AF294" i="15" s="1"/>
  <c r="P293" i="15"/>
  <c r="Q293" i="15" s="1"/>
  <c r="AE293" i="15" s="1"/>
  <c r="AF293" i="15" s="1"/>
  <c r="P280" i="15"/>
  <c r="Q280" i="15" s="1"/>
  <c r="AE280" i="15" s="1"/>
  <c r="P275" i="15"/>
  <c r="Q275" i="15" s="1"/>
  <c r="AE275" i="15" s="1"/>
  <c r="AF275" i="15" s="1"/>
  <c r="P256" i="15"/>
  <c r="Q256" i="15" s="1"/>
  <c r="AE256" i="15" s="1"/>
  <c r="AF256" i="15" s="1"/>
  <c r="P246" i="15"/>
  <c r="Q246" i="15" s="1"/>
  <c r="AE246" i="15" s="1"/>
  <c r="AF246" i="15" s="1"/>
  <c r="P245" i="15"/>
  <c r="Q245" i="15" s="1"/>
  <c r="AE245" i="15" s="1"/>
  <c r="AF245" i="15" s="1"/>
  <c r="P198" i="15"/>
  <c r="Q198" i="15" s="1"/>
  <c r="AE198" i="15" s="1"/>
  <c r="P192" i="15"/>
  <c r="Q192" i="15" s="1"/>
  <c r="AE192" i="15" s="1"/>
  <c r="AF192" i="15" s="1"/>
  <c r="P191" i="15"/>
  <c r="Q191" i="15" s="1"/>
  <c r="AE191" i="15" s="1"/>
  <c r="AF191" i="15" s="1"/>
  <c r="P188" i="15"/>
  <c r="Q188" i="15" s="1"/>
  <c r="AE188" i="15" s="1"/>
  <c r="AF188" i="15" s="1"/>
  <c r="P187" i="15"/>
  <c r="Q187" i="15" s="1"/>
  <c r="AE187" i="15" s="1"/>
  <c r="AF187" i="15" s="1"/>
  <c r="P297" i="15"/>
  <c r="Q297" i="15" s="1"/>
  <c r="AE297" i="15" s="1"/>
  <c r="P285" i="15"/>
  <c r="Q285" i="15" s="1"/>
  <c r="AE285" i="15" s="1"/>
  <c r="AF285" i="15" s="1"/>
  <c r="P272" i="15"/>
  <c r="Q272" i="15" s="1"/>
  <c r="AE272" i="15" s="1"/>
  <c r="AF272" i="15" s="1"/>
  <c r="P262" i="15"/>
  <c r="Q262" i="15" s="1"/>
  <c r="AE262" i="15" s="1"/>
  <c r="AF262" i="15" s="1"/>
  <c r="P261" i="15"/>
  <c r="Q261" i="15" s="1"/>
  <c r="AE261" i="15" s="1"/>
  <c r="AF261" i="15" s="1"/>
  <c r="P238" i="15"/>
  <c r="Q238" i="15" s="1"/>
  <c r="AE238" i="15" s="1"/>
  <c r="AF238" i="15" s="1"/>
  <c r="P237" i="15"/>
  <c r="Q237" i="15" s="1"/>
  <c r="AE237" i="15" s="1"/>
  <c r="AF237" i="15" s="1"/>
  <c r="P232" i="15"/>
  <c r="Q232" i="15" s="1"/>
  <c r="AE232" i="15" s="1"/>
  <c r="P208" i="15"/>
  <c r="Q208" i="15" s="1"/>
  <c r="AE208" i="15" s="1"/>
  <c r="AF208" i="15" s="1"/>
  <c r="P162" i="15"/>
  <c r="Q162" i="15" s="1"/>
  <c r="AE162" i="15" s="1"/>
  <c r="AF162" i="15" s="1"/>
  <c r="P159" i="15"/>
  <c r="Q159" i="15" s="1"/>
  <c r="AE159" i="15" s="1"/>
  <c r="P143" i="15"/>
  <c r="Q143" i="15" s="1"/>
  <c r="AE143" i="15" s="1"/>
  <c r="AF143" i="15" s="1"/>
  <c r="P124" i="15"/>
  <c r="Q124" i="15" s="1"/>
  <c r="AE124" i="15" s="1"/>
  <c r="AF124" i="15" s="1"/>
  <c r="P120" i="15"/>
  <c r="Q120" i="15" s="1"/>
  <c r="AE120" i="15" s="1"/>
  <c r="AF120" i="15" s="1"/>
  <c r="P119" i="15"/>
  <c r="Q119" i="15" s="1"/>
  <c r="AE119" i="15" s="1"/>
  <c r="AF119" i="15" s="1"/>
  <c r="P110" i="15"/>
  <c r="Q110" i="15" s="1"/>
  <c r="AE110" i="15" s="1"/>
  <c r="AF110" i="15" s="1"/>
  <c r="P106" i="15"/>
  <c r="Q106" i="15" s="1"/>
  <c r="AE106" i="15" s="1"/>
  <c r="AF106" i="15" s="1"/>
  <c r="P92" i="15"/>
  <c r="Q92" i="15" s="1"/>
  <c r="AE92" i="15" s="1"/>
  <c r="P88" i="15"/>
  <c r="Q88" i="15" s="1"/>
  <c r="AE88" i="15" s="1"/>
  <c r="AF88" i="15" s="1"/>
  <c r="P87" i="15"/>
  <c r="Q87" i="15" s="1"/>
  <c r="AE87" i="15" s="1"/>
  <c r="AF87" i="15" s="1"/>
  <c r="P78" i="15"/>
  <c r="Q78" i="15" s="1"/>
  <c r="AE78" i="15" s="1"/>
  <c r="AF78" i="15" s="1"/>
  <c r="P74" i="15"/>
  <c r="Q74" i="15" s="1"/>
  <c r="AE74" i="15" s="1"/>
  <c r="P60" i="15"/>
  <c r="Q60" i="15" s="1"/>
  <c r="AE60" i="15" s="1"/>
  <c r="P56" i="15"/>
  <c r="Q56" i="15" s="1"/>
  <c r="AE56" i="15" s="1"/>
  <c r="AF56" i="15" s="1"/>
  <c r="P305" i="15"/>
  <c r="Q305" i="15" s="1"/>
  <c r="AE305" i="15" s="1"/>
  <c r="AF305" i="15" s="1"/>
  <c r="P302" i="15"/>
  <c r="Q302" i="15" s="1"/>
  <c r="AE302" i="15" s="1"/>
  <c r="P301" i="15"/>
  <c r="Q301" i="15" s="1"/>
  <c r="AE301" i="15" s="1"/>
  <c r="AF301" i="15" s="1"/>
  <c r="P300" i="15"/>
  <c r="Q300" i="15" s="1"/>
  <c r="AE300" i="15" s="1"/>
  <c r="AF300" i="15" s="1"/>
  <c r="P296" i="15"/>
  <c r="Q296" i="15" s="1"/>
  <c r="AE296" i="15" s="1"/>
  <c r="AF296" i="15" s="1"/>
  <c r="P292" i="15"/>
  <c r="Q292" i="15" s="1"/>
  <c r="AE292" i="15" s="1"/>
  <c r="AF292" i="15" s="1"/>
  <c r="P289" i="15"/>
  <c r="Q289" i="15" s="1"/>
  <c r="AE289" i="15" s="1"/>
  <c r="P277" i="15"/>
  <c r="Q277" i="15" s="1"/>
  <c r="AE277" i="15" s="1"/>
  <c r="AF277" i="15" s="1"/>
  <c r="P254" i="15"/>
  <c r="Q254" i="15" s="1"/>
  <c r="AE254" i="15" s="1"/>
  <c r="AF254" i="15" s="1"/>
  <c r="P253" i="15"/>
  <c r="Q253" i="15" s="1"/>
  <c r="AE253" i="15" s="1"/>
  <c r="AF253" i="15" s="1"/>
  <c r="P248" i="15"/>
  <c r="Q248" i="15" s="1"/>
  <c r="AE248" i="15" s="1"/>
  <c r="P243" i="15"/>
  <c r="Q243" i="15" s="1"/>
  <c r="AE243" i="15" s="1"/>
  <c r="AF243" i="15" s="1"/>
  <c r="P224" i="15"/>
  <c r="Q224" i="15" s="1"/>
  <c r="AE224" i="15" s="1"/>
  <c r="AF224" i="15" s="1"/>
  <c r="P204" i="15"/>
  <c r="Q204" i="15" s="1"/>
  <c r="AE204" i="15" s="1"/>
  <c r="AF204" i="15" s="1"/>
  <c r="P200" i="15"/>
  <c r="Q200" i="15" s="1"/>
  <c r="AE200" i="15" s="1"/>
  <c r="AF200" i="15" s="1"/>
  <c r="P176" i="15"/>
  <c r="Q176" i="15" s="1"/>
  <c r="AE176" i="15" s="1"/>
  <c r="AF176" i="15" s="1"/>
  <c r="P175" i="15"/>
  <c r="Q175" i="15" s="1"/>
  <c r="AE175" i="15" s="1"/>
  <c r="P172" i="15"/>
  <c r="Q172" i="15" s="1"/>
  <c r="AE172" i="15" s="1"/>
  <c r="AF172" i="15" s="1"/>
  <c r="P171" i="15"/>
  <c r="Q171" i="15" s="1"/>
  <c r="AE171" i="15" s="1"/>
  <c r="AF171" i="15" s="1"/>
  <c r="P166" i="15"/>
  <c r="Q166" i="15" s="1"/>
  <c r="AE166" i="15" s="1"/>
  <c r="AF166" i="15" s="1"/>
  <c r="P163" i="15"/>
  <c r="Q163" i="15" s="1"/>
  <c r="AE163" i="15" s="1"/>
  <c r="AF163" i="15" s="1"/>
  <c r="P155" i="15"/>
  <c r="Q155" i="15" s="1"/>
  <c r="AE155" i="15" s="1"/>
  <c r="AF155" i="15" s="1"/>
  <c r="P152" i="15"/>
  <c r="Q152" i="15" s="1"/>
  <c r="AE152" i="15" s="1"/>
  <c r="P225" i="15"/>
  <c r="Q225" i="15" s="1"/>
  <c r="AE225" i="15" s="1"/>
  <c r="AF225" i="15" s="1"/>
  <c r="P299" i="15"/>
  <c r="Q299" i="15" s="1"/>
  <c r="AE299" i="15" s="1"/>
  <c r="AF299" i="15" s="1"/>
  <c r="P291" i="15"/>
  <c r="Q291" i="15" s="1"/>
  <c r="AE291" i="15" s="1"/>
  <c r="P290" i="15"/>
  <c r="Q290" i="15" s="1"/>
  <c r="AE290" i="15" s="1"/>
  <c r="P283" i="15"/>
  <c r="Q283" i="15" s="1"/>
  <c r="AE283" i="15" s="1"/>
  <c r="AF283" i="15" s="1"/>
  <c r="P282" i="15"/>
  <c r="Q282" i="15" s="1"/>
  <c r="AE282" i="15" s="1"/>
  <c r="AF282" i="15" s="1"/>
  <c r="P268" i="15"/>
  <c r="Q268" i="15" s="1"/>
  <c r="AE268" i="15" s="1"/>
  <c r="AF268" i="15" s="1"/>
  <c r="P266" i="15"/>
  <c r="Q266" i="15" s="1"/>
  <c r="AE266" i="15" s="1"/>
  <c r="AF266" i="15" s="1"/>
  <c r="P263" i="15"/>
  <c r="Q263" i="15" s="1"/>
  <c r="AE263" i="15" s="1"/>
  <c r="AF263" i="15" s="1"/>
  <c r="P252" i="15"/>
  <c r="Q252" i="15" s="1"/>
  <c r="AE252" i="15" s="1"/>
  <c r="AF252" i="15" s="1"/>
  <c r="P250" i="15"/>
  <c r="Q250" i="15" s="1"/>
  <c r="AE250" i="15" s="1"/>
  <c r="AF250" i="15" s="1"/>
  <c r="P247" i="15"/>
  <c r="Q247" i="15" s="1"/>
  <c r="AE247" i="15" s="1"/>
  <c r="AF247" i="15" s="1"/>
  <c r="P236" i="15"/>
  <c r="Q236" i="15" s="1"/>
  <c r="AE236" i="15" s="1"/>
  <c r="P234" i="15"/>
  <c r="Q234" i="15" s="1"/>
  <c r="AE234" i="15" s="1"/>
  <c r="AF234" i="15" s="1"/>
  <c r="P231" i="15"/>
  <c r="Q231" i="15" s="1"/>
  <c r="AE231" i="15" s="1"/>
  <c r="P223" i="15"/>
  <c r="Q223" i="15" s="1"/>
  <c r="AE223" i="15" s="1"/>
  <c r="P206" i="15"/>
  <c r="Q206" i="15" s="1"/>
  <c r="AE206" i="15" s="1"/>
  <c r="P201" i="15"/>
  <c r="Q201" i="15" s="1"/>
  <c r="AE201" i="15" s="1"/>
  <c r="AF201" i="15" s="1"/>
  <c r="P161" i="15"/>
  <c r="Q161" i="15" s="1"/>
  <c r="AE161" i="15" s="1"/>
  <c r="P157" i="15"/>
  <c r="Q157" i="15" s="1"/>
  <c r="AE157" i="15" s="1"/>
  <c r="P215" i="15"/>
  <c r="Q215" i="15" s="1"/>
  <c r="AE215" i="15" s="1"/>
  <c r="P295" i="15"/>
  <c r="Q295" i="15" s="1"/>
  <c r="AE295" i="15" s="1"/>
  <c r="P267" i="15"/>
  <c r="Q267" i="15" s="1"/>
  <c r="AE267" i="15" s="1"/>
  <c r="AF267" i="15" s="1"/>
  <c r="P251" i="15"/>
  <c r="Q251" i="15" s="1"/>
  <c r="AE251" i="15" s="1"/>
  <c r="AF251" i="15" s="1"/>
  <c r="P235" i="15"/>
  <c r="Q235" i="15" s="1"/>
  <c r="AE235" i="15" s="1"/>
  <c r="AF235" i="15" s="1"/>
  <c r="P214" i="15"/>
  <c r="Q214" i="15" s="1"/>
  <c r="AE214" i="15" s="1"/>
  <c r="AF214" i="15" s="1"/>
  <c r="P209" i="15"/>
  <c r="Q209" i="15" s="1"/>
  <c r="AE209" i="15" s="1"/>
  <c r="AF209" i="15" s="1"/>
  <c r="P199" i="15"/>
  <c r="Q199" i="15" s="1"/>
  <c r="AE199" i="15" s="1"/>
  <c r="AF199" i="15" s="1"/>
  <c r="P190" i="15"/>
  <c r="Q190" i="15" s="1"/>
  <c r="AE190" i="15" s="1"/>
  <c r="AF190" i="15" s="1"/>
  <c r="P181" i="15"/>
  <c r="Q181" i="15" s="1"/>
  <c r="AE181" i="15" s="1"/>
  <c r="AF181" i="15" s="1"/>
  <c r="P174" i="15"/>
  <c r="Q174" i="15" s="1"/>
  <c r="AE174" i="15" s="1"/>
  <c r="AF174" i="15" s="1"/>
  <c r="P167" i="15"/>
  <c r="Q167" i="15" s="1"/>
  <c r="AE167" i="15" s="1"/>
  <c r="AF167" i="15" s="1"/>
  <c r="P131" i="15"/>
  <c r="Q131" i="15" s="1"/>
  <c r="AE131" i="15" s="1"/>
  <c r="P287" i="15"/>
  <c r="Q287" i="15" s="1"/>
  <c r="AE287" i="15" s="1"/>
  <c r="AF287" i="15" s="1"/>
  <c r="P286" i="15"/>
  <c r="Q286" i="15" s="1"/>
  <c r="AE286" i="15" s="1"/>
  <c r="AF286" i="15" s="1"/>
  <c r="P279" i="15"/>
  <c r="Q279" i="15" s="1"/>
  <c r="AE279" i="15" s="1"/>
  <c r="AF279" i="15" s="1"/>
  <c r="P278" i="15"/>
  <c r="Q278" i="15" s="1"/>
  <c r="AE278" i="15" s="1"/>
  <c r="P276" i="15"/>
  <c r="Q276" i="15" s="1"/>
  <c r="AE276" i="15" s="1"/>
  <c r="AF276" i="15" s="1"/>
  <c r="P274" i="15"/>
  <c r="Q274" i="15" s="1"/>
  <c r="AE274" i="15" s="1"/>
  <c r="AF274" i="15" s="1"/>
  <c r="P271" i="15"/>
  <c r="Q271" i="15" s="1"/>
  <c r="AE271" i="15" s="1"/>
  <c r="P260" i="15"/>
  <c r="Q260" i="15" s="1"/>
  <c r="AE260" i="15" s="1"/>
  <c r="AF260" i="15" s="1"/>
  <c r="P258" i="15"/>
  <c r="Q258" i="15" s="1"/>
  <c r="AE258" i="15" s="1"/>
  <c r="AF258" i="15" s="1"/>
  <c r="P255" i="15"/>
  <c r="Q255" i="15" s="1"/>
  <c r="AE255" i="15" s="1"/>
  <c r="AF255" i="15" s="1"/>
  <c r="P244" i="15"/>
  <c r="Q244" i="15" s="1"/>
  <c r="AE244" i="15" s="1"/>
  <c r="AF244" i="15" s="1"/>
  <c r="P242" i="15"/>
  <c r="Q242" i="15" s="1"/>
  <c r="AE242" i="15" s="1"/>
  <c r="AF242" i="15" s="1"/>
  <c r="P239" i="15"/>
  <c r="Q239" i="15" s="1"/>
  <c r="AE239" i="15" s="1"/>
  <c r="AF239" i="15" s="1"/>
  <c r="P222" i="15"/>
  <c r="Q222" i="15" s="1"/>
  <c r="AE222" i="15" s="1"/>
  <c r="AF222" i="15" s="1"/>
  <c r="P217" i="15"/>
  <c r="Q217" i="15" s="1"/>
  <c r="AE217" i="15" s="1"/>
  <c r="AF217" i="15" s="1"/>
  <c r="P207" i="15"/>
  <c r="Q207" i="15" s="1"/>
  <c r="AE207" i="15" s="1"/>
  <c r="P142" i="15"/>
  <c r="Q142" i="15" s="1"/>
  <c r="AE142" i="15" s="1"/>
  <c r="AF142" i="15" s="1"/>
  <c r="P194" i="15"/>
  <c r="Q194" i="15" s="1"/>
  <c r="AE194" i="15" s="1"/>
  <c r="AF194" i="15" s="1"/>
  <c r="P185" i="15"/>
  <c r="Q185" i="15" s="1"/>
  <c r="AE185" i="15" s="1"/>
  <c r="P178" i="15"/>
  <c r="Q178" i="15" s="1"/>
  <c r="AE178" i="15" s="1"/>
  <c r="P169" i="15"/>
  <c r="Q169" i="15" s="1"/>
  <c r="AE169" i="15" s="1"/>
  <c r="AF169" i="15" s="1"/>
  <c r="P150" i="15"/>
  <c r="Q150" i="15" s="1"/>
  <c r="AE150" i="15" s="1"/>
  <c r="AF150" i="15" s="1"/>
  <c r="P133" i="15"/>
  <c r="Q133" i="15" s="1"/>
  <c r="AE133" i="15" s="1"/>
  <c r="AF133" i="15" s="1"/>
  <c r="P121" i="15"/>
  <c r="Q121" i="15" s="1"/>
  <c r="AE121" i="15" s="1"/>
  <c r="AF121" i="15" s="1"/>
  <c r="P105" i="15"/>
  <c r="Q105" i="15" s="1"/>
  <c r="AE105" i="15" s="1"/>
  <c r="AF105" i="15" s="1"/>
  <c r="P89" i="15"/>
  <c r="Q89" i="15" s="1"/>
  <c r="AE89" i="15" s="1"/>
  <c r="AF89" i="15" s="1"/>
  <c r="P73" i="15"/>
  <c r="Q73" i="15" s="1"/>
  <c r="AE73" i="15" s="1"/>
  <c r="AF73" i="15" s="1"/>
  <c r="P57" i="15"/>
  <c r="Q57" i="15" s="1"/>
  <c r="AE57" i="15" s="1"/>
  <c r="AF57" i="15" s="1"/>
  <c r="P227" i="15"/>
  <c r="Q227" i="15" s="1"/>
  <c r="AE227" i="15" s="1"/>
  <c r="AF227" i="15" s="1"/>
  <c r="P226" i="15"/>
  <c r="Q226" i="15" s="1"/>
  <c r="AE226" i="15" s="1"/>
  <c r="AF226" i="15" s="1"/>
  <c r="P219" i="15"/>
  <c r="Q219" i="15" s="1"/>
  <c r="AE219" i="15" s="1"/>
  <c r="AF219" i="15" s="1"/>
  <c r="P218" i="15"/>
  <c r="Q218" i="15" s="1"/>
  <c r="AE218" i="15" s="1"/>
  <c r="AF218" i="15" s="1"/>
  <c r="P211" i="15"/>
  <c r="Q211" i="15" s="1"/>
  <c r="AE211" i="15" s="1"/>
  <c r="AF211" i="15" s="1"/>
  <c r="P210" i="15"/>
  <c r="Q210" i="15" s="1"/>
  <c r="AE210" i="15" s="1"/>
  <c r="AF210" i="15" s="1"/>
  <c r="P203" i="15"/>
  <c r="Q203" i="15" s="1"/>
  <c r="AE203" i="15" s="1"/>
  <c r="P202" i="15"/>
  <c r="Q202" i="15" s="1"/>
  <c r="AE202" i="15" s="1"/>
  <c r="P195" i="15"/>
  <c r="Q195" i="15" s="1"/>
  <c r="AE195" i="15" s="1"/>
  <c r="AF195" i="15" s="1"/>
  <c r="P189" i="15"/>
  <c r="Q189" i="15" s="1"/>
  <c r="AE189" i="15" s="1"/>
  <c r="AF189" i="15" s="1"/>
  <c r="P182" i="15"/>
  <c r="Q182" i="15" s="1"/>
  <c r="AE182" i="15" s="1"/>
  <c r="P179" i="15"/>
  <c r="Q179" i="15" s="1"/>
  <c r="AE179" i="15" s="1"/>
  <c r="AF179" i="15" s="1"/>
  <c r="P173" i="15"/>
  <c r="Q173" i="15" s="1"/>
  <c r="AE173" i="15" s="1"/>
  <c r="AF173" i="15" s="1"/>
  <c r="P168" i="15"/>
  <c r="Q168" i="15" s="1"/>
  <c r="AE168" i="15" s="1"/>
  <c r="AF168" i="15" s="1"/>
  <c r="P160" i="15"/>
  <c r="Q160" i="15" s="1"/>
  <c r="AE160" i="15" s="1"/>
  <c r="AF160" i="15" s="1"/>
  <c r="P158" i="15"/>
  <c r="Q158" i="15" s="1"/>
  <c r="AE158" i="15" s="1"/>
  <c r="AF158" i="15" s="1"/>
  <c r="P141" i="15"/>
  <c r="Q141" i="15" s="1"/>
  <c r="AE141" i="15" s="1"/>
  <c r="AF141" i="15" s="1"/>
  <c r="P136" i="15"/>
  <c r="Q136" i="15" s="1"/>
  <c r="AE136" i="15" s="1"/>
  <c r="P193" i="15"/>
  <c r="Q193" i="15" s="1"/>
  <c r="AE193" i="15" s="1"/>
  <c r="AF193" i="15" s="1"/>
  <c r="P186" i="15"/>
  <c r="Q186" i="15" s="1"/>
  <c r="AE186" i="15" s="1"/>
  <c r="AF186" i="15" s="1"/>
  <c r="P183" i="15"/>
  <c r="Q183" i="15" s="1"/>
  <c r="AE183" i="15" s="1"/>
  <c r="AF183" i="15" s="1"/>
  <c r="P177" i="15"/>
  <c r="Q177" i="15" s="1"/>
  <c r="AE177" i="15" s="1"/>
  <c r="P170" i="15"/>
  <c r="Q170" i="15" s="1"/>
  <c r="AE170" i="15" s="1"/>
  <c r="AF170" i="15" s="1"/>
  <c r="P149" i="15"/>
  <c r="Q149" i="15" s="1"/>
  <c r="AE149" i="15" s="1"/>
  <c r="AF149" i="15" s="1"/>
  <c r="P144" i="15"/>
  <c r="Q144" i="15" s="1"/>
  <c r="AE144" i="15" s="1"/>
  <c r="AF144" i="15" s="1"/>
  <c r="P134" i="15"/>
  <c r="Q134" i="15" s="1"/>
  <c r="AE134" i="15" s="1"/>
  <c r="P123" i="15"/>
  <c r="Q123" i="15" s="1"/>
  <c r="AE123" i="15" s="1"/>
  <c r="P107" i="15"/>
  <c r="Q107" i="15" s="1"/>
  <c r="AE107" i="15" s="1"/>
  <c r="AF107" i="15" s="1"/>
  <c r="P91" i="15"/>
  <c r="Q91" i="15" s="1"/>
  <c r="AE91" i="15" s="1"/>
  <c r="AF91" i="15" s="1"/>
  <c r="P75" i="15"/>
  <c r="Q75" i="15" s="1"/>
  <c r="AE75" i="15" s="1"/>
  <c r="AF75" i="15" s="1"/>
  <c r="P59" i="15"/>
  <c r="Q59" i="15" s="1"/>
  <c r="AE59" i="15" s="1"/>
  <c r="AF59" i="15" s="1"/>
  <c r="P128" i="15"/>
  <c r="Q128" i="15" s="1"/>
  <c r="AE128" i="15" s="1"/>
  <c r="P125" i="15"/>
  <c r="Q125" i="15" s="1"/>
  <c r="AE125" i="15" s="1"/>
  <c r="P114" i="15"/>
  <c r="Q114" i="15" s="1"/>
  <c r="AE114" i="15" s="1"/>
  <c r="AF114" i="15" s="1"/>
  <c r="P112" i="15"/>
  <c r="Q112" i="15" s="1"/>
  <c r="AE112" i="15" s="1"/>
  <c r="AF112" i="15" s="1"/>
  <c r="P109" i="15"/>
  <c r="Q109" i="15" s="1"/>
  <c r="AE109" i="15" s="1"/>
  <c r="AF109" i="15" s="1"/>
  <c r="P98" i="15"/>
  <c r="Q98" i="15" s="1"/>
  <c r="AE98" i="15" s="1"/>
  <c r="AF98" i="15" s="1"/>
  <c r="P96" i="15"/>
  <c r="Q96" i="15" s="1"/>
  <c r="AE96" i="15" s="1"/>
  <c r="AF96" i="15" s="1"/>
  <c r="P93" i="15"/>
  <c r="Q93" i="15" s="1"/>
  <c r="AE93" i="15" s="1"/>
  <c r="AF93" i="15" s="1"/>
  <c r="P82" i="15"/>
  <c r="Q82" i="15" s="1"/>
  <c r="AE82" i="15" s="1"/>
  <c r="AF82" i="15" s="1"/>
  <c r="P80" i="15"/>
  <c r="Q80" i="15" s="1"/>
  <c r="AE80" i="15" s="1"/>
  <c r="AF80" i="15" s="1"/>
  <c r="P77" i="15"/>
  <c r="Q77" i="15" s="1"/>
  <c r="AE77" i="15" s="1"/>
  <c r="AF77" i="15" s="1"/>
  <c r="P66" i="15"/>
  <c r="Q66" i="15" s="1"/>
  <c r="AE66" i="15" s="1"/>
  <c r="AF66" i="15" s="1"/>
  <c r="P64" i="15"/>
  <c r="Q64" i="15" s="1"/>
  <c r="AE64" i="15" s="1"/>
  <c r="AF64" i="15" s="1"/>
  <c r="P61" i="15"/>
  <c r="Q61" i="15" s="1"/>
  <c r="AE61" i="15" s="1"/>
  <c r="AF61" i="15" s="1"/>
  <c r="P154" i="15"/>
  <c r="Q154" i="15" s="1"/>
  <c r="AE154" i="15" s="1"/>
  <c r="AF154" i="15" s="1"/>
  <c r="P153" i="15"/>
  <c r="Q153" i="15" s="1"/>
  <c r="AE153" i="15" s="1"/>
  <c r="AF153" i="15" s="1"/>
  <c r="P146" i="15"/>
  <c r="Q146" i="15" s="1"/>
  <c r="AE146" i="15" s="1"/>
  <c r="AF146" i="15" s="1"/>
  <c r="P145" i="15"/>
  <c r="Q145" i="15" s="1"/>
  <c r="AE145" i="15" s="1"/>
  <c r="AF145" i="15" s="1"/>
  <c r="P138" i="15"/>
  <c r="Q138" i="15" s="1"/>
  <c r="AE138" i="15" s="1"/>
  <c r="AF138" i="15" s="1"/>
  <c r="P137" i="15"/>
  <c r="Q137" i="15" s="1"/>
  <c r="AE137" i="15" s="1"/>
  <c r="AF137" i="15" s="1"/>
  <c r="P130" i="15"/>
  <c r="Q130" i="15" s="1"/>
  <c r="AE130" i="15" s="1"/>
  <c r="AF130" i="15" s="1"/>
  <c r="P129" i="15"/>
  <c r="Q129" i="15" s="1"/>
  <c r="AE129" i="15" s="1"/>
  <c r="AF129" i="15" s="1"/>
  <c r="P118" i="15"/>
  <c r="Q118" i="15" s="1"/>
  <c r="AE118" i="15" s="1"/>
  <c r="P116" i="15"/>
  <c r="Q116" i="15" s="1"/>
  <c r="AE116" i="15" s="1"/>
  <c r="AF116" i="15" s="1"/>
  <c r="P113" i="15"/>
  <c r="Q113" i="15" s="1"/>
  <c r="AE113" i="15" s="1"/>
  <c r="AF113" i="15" s="1"/>
  <c r="P102" i="15"/>
  <c r="Q102" i="15" s="1"/>
  <c r="AE102" i="15" s="1"/>
  <c r="AF102" i="15" s="1"/>
  <c r="P100" i="15"/>
  <c r="Q100" i="15" s="1"/>
  <c r="AE100" i="15" s="1"/>
  <c r="AF100" i="15" s="1"/>
  <c r="P97" i="15"/>
  <c r="Q97" i="15" s="1"/>
  <c r="AE97" i="15" s="1"/>
  <c r="AF97" i="15" s="1"/>
  <c r="P86" i="15"/>
  <c r="Q86" i="15" s="1"/>
  <c r="AE86" i="15" s="1"/>
  <c r="AF86" i="15" s="1"/>
  <c r="P84" i="15"/>
  <c r="Q84" i="15" s="1"/>
  <c r="AE84" i="15" s="1"/>
  <c r="AF84" i="15" s="1"/>
  <c r="P81" i="15"/>
  <c r="Q81" i="15" s="1"/>
  <c r="AE81" i="15" s="1"/>
  <c r="AF81" i="15" s="1"/>
  <c r="P70" i="15"/>
  <c r="Q70" i="15" s="1"/>
  <c r="AE70" i="15" s="1"/>
  <c r="AF70" i="15" s="1"/>
  <c r="P68" i="15"/>
  <c r="Q68" i="15" s="1"/>
  <c r="AE68" i="15" s="1"/>
  <c r="AF68" i="15" s="1"/>
  <c r="P65" i="15"/>
  <c r="Q65" i="15" s="1"/>
  <c r="AE65" i="15" s="1"/>
  <c r="AF65" i="15" s="1"/>
  <c r="P165" i="15"/>
  <c r="Q165" i="15" s="1"/>
  <c r="AE165" i="15" s="1"/>
  <c r="AF165" i="15" s="1"/>
  <c r="P117" i="15"/>
  <c r="Q117" i="15" s="1"/>
  <c r="AE117" i="15" s="1"/>
  <c r="AF117" i="15" s="1"/>
  <c r="P101" i="15"/>
  <c r="Q101" i="15" s="1"/>
  <c r="AE101" i="15" s="1"/>
  <c r="AF101" i="15" s="1"/>
  <c r="P85" i="15"/>
  <c r="Q85" i="15" s="1"/>
  <c r="AE85" i="15" s="1"/>
  <c r="AF85" i="15" s="1"/>
  <c r="P69" i="15"/>
  <c r="Q69" i="15" s="1"/>
  <c r="AE69" i="15" s="1"/>
  <c r="AF69" i="15" s="1"/>
  <c r="AF230" i="15" l="1"/>
  <c r="AF241" i="15"/>
  <c r="AF232" i="15"/>
  <c r="AF281" i="15"/>
  <c r="AF280" i="15"/>
  <c r="AF257" i="15"/>
  <c r="AF223" i="15"/>
  <c r="AF271" i="15"/>
  <c r="AF278" i="15"/>
  <c r="AF185" i="15"/>
  <c r="AF159" i="15"/>
  <c r="AF161" i="15"/>
  <c r="AF175" i="15"/>
  <c r="AF127" i="15"/>
  <c r="AF182" i="15"/>
  <c r="AF152" i="15"/>
  <c r="AF184" i="15"/>
  <c r="AF136" i="15"/>
  <c r="AF104" i="15"/>
  <c r="AF111" i="15"/>
  <c r="AD7" i="15"/>
  <c r="AD8" i="15"/>
  <c r="AD9" i="15"/>
  <c r="AD10" i="15"/>
  <c r="AD11" i="15"/>
  <c r="AD12" i="15"/>
  <c r="AD13" i="15"/>
  <c r="AD14" i="15"/>
  <c r="AD15" i="15"/>
  <c r="AD16" i="15"/>
  <c r="AD17" i="15"/>
  <c r="AD18" i="15"/>
  <c r="AD19" i="15"/>
  <c r="AD20" i="15"/>
  <c r="AD21" i="15"/>
  <c r="AD22" i="15"/>
  <c r="AD23" i="15"/>
  <c r="AD24" i="15"/>
  <c r="AD25" i="15"/>
  <c r="AD26" i="15"/>
  <c r="AD27" i="15"/>
  <c r="AD28" i="15"/>
  <c r="AD29" i="15"/>
  <c r="AD30" i="15"/>
  <c r="AD31" i="15"/>
  <c r="AD32" i="15"/>
  <c r="AD33" i="15"/>
  <c r="AD34" i="15"/>
  <c r="AD35" i="15"/>
  <c r="AD36" i="15"/>
  <c r="AD37" i="15"/>
  <c r="AD38" i="15"/>
  <c r="AD39" i="15"/>
  <c r="AD40" i="15"/>
  <c r="AD41" i="15"/>
  <c r="AD42" i="15"/>
  <c r="AD43" i="15"/>
  <c r="AD44" i="15"/>
  <c r="AD45" i="15"/>
  <c r="AD46" i="15"/>
  <c r="AD47" i="15"/>
  <c r="AD48" i="15"/>
  <c r="AD49" i="15"/>
  <c r="AD50" i="15"/>
  <c r="AD51" i="15"/>
  <c r="AD52" i="15"/>
  <c r="AD53" i="15"/>
  <c r="AD54" i="15"/>
  <c r="AD55" i="15"/>
  <c r="AD6" i="15"/>
  <c r="K13" i="14" l="1"/>
  <c r="AC55" i="18" l="1"/>
  <c r="AC54" i="18"/>
  <c r="AC53" i="18"/>
  <c r="AC52" i="18"/>
  <c r="AC51" i="18"/>
  <c r="AC50" i="18"/>
  <c r="AC49" i="18"/>
  <c r="AC48" i="18"/>
  <c r="AC47" i="18"/>
  <c r="AC46" i="18"/>
  <c r="AC45" i="18"/>
  <c r="AC44" i="18"/>
  <c r="AC43" i="18"/>
  <c r="AC42" i="18"/>
  <c r="Z41" i="18"/>
  <c r="AB41" i="18" s="1"/>
  <c r="AC41" i="18" s="1"/>
  <c r="AA41" i="18" s="1"/>
  <c r="Y41" i="18"/>
  <c r="X41" i="18"/>
  <c r="W41" i="18"/>
  <c r="V41" i="18"/>
  <c r="U41" i="18"/>
  <c r="T41" i="18"/>
  <c r="S41" i="18"/>
  <c r="R41" i="18"/>
  <c r="Z40" i="18"/>
  <c r="AB40" i="18" s="1"/>
  <c r="AC40" i="18" s="1"/>
  <c r="AA40" i="18" s="1"/>
  <c r="Y40" i="18"/>
  <c r="X40" i="18"/>
  <c r="W40" i="18"/>
  <c r="V40" i="18"/>
  <c r="U40" i="18"/>
  <c r="T40" i="18"/>
  <c r="S40" i="18"/>
  <c r="R40" i="18"/>
  <c r="Z39" i="18"/>
  <c r="AB39" i="18" s="1"/>
  <c r="AC39" i="18" s="1"/>
  <c r="AA39" i="18" s="1"/>
  <c r="Y39" i="18"/>
  <c r="X39" i="18"/>
  <c r="W39" i="18"/>
  <c r="V39" i="18"/>
  <c r="U39" i="18"/>
  <c r="T39" i="18"/>
  <c r="S39" i="18"/>
  <c r="R39" i="18"/>
  <c r="Z38" i="18"/>
  <c r="AB38" i="18" s="1"/>
  <c r="AC38" i="18" s="1"/>
  <c r="AA38" i="18" s="1"/>
  <c r="Y38" i="18"/>
  <c r="X38" i="18"/>
  <c r="W38" i="18"/>
  <c r="V38" i="18"/>
  <c r="U38" i="18"/>
  <c r="T38" i="18"/>
  <c r="S38" i="18"/>
  <c r="R38" i="18"/>
  <c r="Z37" i="18"/>
  <c r="AB37" i="18" s="1"/>
  <c r="AC37" i="18" s="1"/>
  <c r="AA37" i="18" s="1"/>
  <c r="Y37" i="18"/>
  <c r="X37" i="18"/>
  <c r="W37" i="18"/>
  <c r="V37" i="18"/>
  <c r="U37" i="18"/>
  <c r="T37" i="18"/>
  <c r="S37" i="18"/>
  <c r="R37" i="18"/>
  <c r="Z36" i="18"/>
  <c r="AB36" i="18" s="1"/>
  <c r="AC36" i="18" s="1"/>
  <c r="AA36" i="18" s="1"/>
  <c r="Y36" i="18"/>
  <c r="X36" i="18"/>
  <c r="W36" i="18"/>
  <c r="V36" i="18"/>
  <c r="U36" i="18"/>
  <c r="T36" i="18"/>
  <c r="S36" i="18"/>
  <c r="R36" i="18"/>
  <c r="Z35" i="18"/>
  <c r="AB35" i="18" s="1"/>
  <c r="AC35" i="18" s="1"/>
  <c r="AA35" i="18" s="1"/>
  <c r="Y35" i="18"/>
  <c r="X35" i="18"/>
  <c r="W35" i="18"/>
  <c r="V35" i="18"/>
  <c r="U35" i="18"/>
  <c r="T35" i="18"/>
  <c r="S35" i="18"/>
  <c r="R35" i="18"/>
  <c r="Z34" i="18"/>
  <c r="AB34" i="18" s="1"/>
  <c r="AC34" i="18" s="1"/>
  <c r="AA34" i="18" s="1"/>
  <c r="Y34" i="18"/>
  <c r="X34" i="18"/>
  <c r="W34" i="18"/>
  <c r="V34" i="18"/>
  <c r="U34" i="18"/>
  <c r="T34" i="18"/>
  <c r="S34" i="18"/>
  <c r="R34" i="18"/>
  <c r="Z33" i="18"/>
  <c r="AB33" i="18" s="1"/>
  <c r="AC33" i="18" s="1"/>
  <c r="AA33" i="18" s="1"/>
  <c r="Y33" i="18"/>
  <c r="X33" i="18"/>
  <c r="W33" i="18"/>
  <c r="V33" i="18"/>
  <c r="U33" i="18"/>
  <c r="T33" i="18"/>
  <c r="S33" i="18"/>
  <c r="R33" i="18"/>
  <c r="Z32" i="18"/>
  <c r="AB32" i="18" s="1"/>
  <c r="AC32" i="18" s="1"/>
  <c r="AA32" i="18" s="1"/>
  <c r="Y32" i="18"/>
  <c r="X32" i="18"/>
  <c r="W32" i="18"/>
  <c r="V32" i="18"/>
  <c r="U32" i="18"/>
  <c r="T32" i="18"/>
  <c r="S32" i="18"/>
  <c r="R32" i="18"/>
  <c r="Z31" i="18"/>
  <c r="AB31" i="18" s="1"/>
  <c r="AC31" i="18" s="1"/>
  <c r="AA31" i="18" s="1"/>
  <c r="Y31" i="18"/>
  <c r="X31" i="18"/>
  <c r="W31" i="18"/>
  <c r="V31" i="18"/>
  <c r="U31" i="18"/>
  <c r="T31" i="18"/>
  <c r="S31" i="18"/>
  <c r="R31" i="18"/>
  <c r="Z30" i="18"/>
  <c r="AB30" i="18" s="1"/>
  <c r="AC30" i="18" s="1"/>
  <c r="AA30" i="18" s="1"/>
  <c r="Y30" i="18"/>
  <c r="X30" i="18"/>
  <c r="W30" i="18"/>
  <c r="V30" i="18"/>
  <c r="U30" i="18"/>
  <c r="T30" i="18"/>
  <c r="S30" i="18"/>
  <c r="R30" i="18"/>
  <c r="Z29" i="18"/>
  <c r="AB29" i="18" s="1"/>
  <c r="AC29" i="18" s="1"/>
  <c r="AA29" i="18" s="1"/>
  <c r="Y29" i="18"/>
  <c r="X29" i="18"/>
  <c r="W29" i="18"/>
  <c r="V29" i="18"/>
  <c r="U29" i="18"/>
  <c r="T29" i="18"/>
  <c r="S29" i="18"/>
  <c r="R29" i="18"/>
  <c r="Z28" i="18"/>
  <c r="AB28" i="18" s="1"/>
  <c r="AC28" i="18" s="1"/>
  <c r="AA28" i="18" s="1"/>
  <c r="Y28" i="18"/>
  <c r="X28" i="18"/>
  <c r="W28" i="18"/>
  <c r="V28" i="18"/>
  <c r="U28" i="18"/>
  <c r="T28" i="18"/>
  <c r="S28" i="18"/>
  <c r="R28" i="18"/>
  <c r="Z27" i="18"/>
  <c r="AB27" i="18" s="1"/>
  <c r="AC27" i="18" s="1"/>
  <c r="AA27" i="18" s="1"/>
  <c r="Y27" i="18"/>
  <c r="X27" i="18"/>
  <c r="W27" i="18"/>
  <c r="V27" i="18"/>
  <c r="U27" i="18"/>
  <c r="T27" i="18"/>
  <c r="S27" i="18"/>
  <c r="R27" i="18"/>
  <c r="Z26" i="18"/>
  <c r="AB26" i="18" s="1"/>
  <c r="AC26" i="18" s="1"/>
  <c r="AA26" i="18" s="1"/>
  <c r="Y26" i="18"/>
  <c r="X26" i="18"/>
  <c r="W26" i="18"/>
  <c r="V26" i="18"/>
  <c r="U26" i="18"/>
  <c r="T26" i="18"/>
  <c r="S26" i="18"/>
  <c r="R26" i="18"/>
  <c r="Z25" i="18"/>
  <c r="AB25" i="18" s="1"/>
  <c r="AC25" i="18" s="1"/>
  <c r="AA25" i="18" s="1"/>
  <c r="Y25" i="18"/>
  <c r="X25" i="18"/>
  <c r="W25" i="18"/>
  <c r="V25" i="18"/>
  <c r="U25" i="18"/>
  <c r="T25" i="18"/>
  <c r="S25" i="18"/>
  <c r="R25" i="18"/>
  <c r="Z24" i="18"/>
  <c r="AB24" i="18" s="1"/>
  <c r="AC24" i="18" s="1"/>
  <c r="AA24" i="18" s="1"/>
  <c r="Y24" i="18"/>
  <c r="X24" i="18"/>
  <c r="W24" i="18"/>
  <c r="V24" i="18"/>
  <c r="U24" i="18"/>
  <c r="T24" i="18"/>
  <c r="S24" i="18"/>
  <c r="R24" i="18"/>
  <c r="Z23" i="18"/>
  <c r="AB23" i="18" s="1"/>
  <c r="AC23" i="18" s="1"/>
  <c r="AA23" i="18" s="1"/>
  <c r="Y23" i="18"/>
  <c r="X23" i="18"/>
  <c r="W23" i="18"/>
  <c r="V23" i="18"/>
  <c r="U23" i="18"/>
  <c r="T23" i="18"/>
  <c r="S23" i="18"/>
  <c r="R23" i="18"/>
  <c r="Z22" i="18"/>
  <c r="AB22" i="18" s="1"/>
  <c r="AC22" i="18" s="1"/>
  <c r="AA22" i="18" s="1"/>
  <c r="Y22" i="18"/>
  <c r="X22" i="18"/>
  <c r="W22" i="18"/>
  <c r="V22" i="18"/>
  <c r="U22" i="18"/>
  <c r="T22" i="18"/>
  <c r="S22" i="18"/>
  <c r="R22" i="18"/>
  <c r="Z21" i="18"/>
  <c r="AB21" i="18" s="1"/>
  <c r="AC21" i="18" s="1"/>
  <c r="AA21" i="18" s="1"/>
  <c r="Y21" i="18"/>
  <c r="X21" i="18"/>
  <c r="W21" i="18"/>
  <c r="V21" i="18"/>
  <c r="U21" i="18"/>
  <c r="T21" i="18"/>
  <c r="S21" i="18"/>
  <c r="R21" i="18"/>
  <c r="Z20" i="18"/>
  <c r="AB20" i="18" s="1"/>
  <c r="AC20" i="18" s="1"/>
  <c r="AA20" i="18" s="1"/>
  <c r="Y20" i="18"/>
  <c r="X20" i="18"/>
  <c r="W20" i="18"/>
  <c r="V20" i="18"/>
  <c r="U20" i="18"/>
  <c r="T20" i="18"/>
  <c r="S20" i="18"/>
  <c r="R20" i="18"/>
  <c r="Z19" i="18"/>
  <c r="AB19" i="18" s="1"/>
  <c r="AC19" i="18" s="1"/>
  <c r="AA19" i="18" s="1"/>
  <c r="Y19" i="18"/>
  <c r="X19" i="18"/>
  <c r="W19" i="18"/>
  <c r="V19" i="18"/>
  <c r="U19" i="18"/>
  <c r="T19" i="18"/>
  <c r="S19" i="18"/>
  <c r="R19" i="18"/>
  <c r="Z18" i="18"/>
  <c r="AB18" i="18" s="1"/>
  <c r="AC18" i="18" s="1"/>
  <c r="AA18" i="18" s="1"/>
  <c r="Y18" i="18"/>
  <c r="X18" i="18"/>
  <c r="W18" i="18"/>
  <c r="V18" i="18"/>
  <c r="U18" i="18"/>
  <c r="T18" i="18"/>
  <c r="S18" i="18"/>
  <c r="R18" i="18"/>
  <c r="Z17" i="18"/>
  <c r="AB17" i="18" s="1"/>
  <c r="AC17" i="18" s="1"/>
  <c r="AA17" i="18" s="1"/>
  <c r="Y17" i="18"/>
  <c r="X17" i="18"/>
  <c r="W17" i="18"/>
  <c r="V17" i="18"/>
  <c r="U17" i="18"/>
  <c r="T17" i="18"/>
  <c r="S17" i="18"/>
  <c r="R17" i="18"/>
  <c r="Z16" i="18"/>
  <c r="AB16" i="18" s="1"/>
  <c r="AC16" i="18" s="1"/>
  <c r="AA16" i="18" s="1"/>
  <c r="Y16" i="18"/>
  <c r="X16" i="18"/>
  <c r="W16" i="18"/>
  <c r="V16" i="18"/>
  <c r="U16" i="18"/>
  <c r="T16" i="18"/>
  <c r="S16" i="18"/>
  <c r="R16" i="18"/>
  <c r="Z15" i="18"/>
  <c r="AB15" i="18" s="1"/>
  <c r="AC15" i="18" s="1"/>
  <c r="AA15" i="18" s="1"/>
  <c r="Y15" i="18"/>
  <c r="X15" i="18"/>
  <c r="W15" i="18"/>
  <c r="V15" i="18"/>
  <c r="U15" i="18"/>
  <c r="T15" i="18"/>
  <c r="S15" i="18"/>
  <c r="R15" i="18"/>
  <c r="Z14" i="18"/>
  <c r="AB14" i="18" s="1"/>
  <c r="AC14" i="18" s="1"/>
  <c r="AA14" i="18" s="1"/>
  <c r="Y14" i="18"/>
  <c r="X14" i="18"/>
  <c r="W14" i="18"/>
  <c r="V14" i="18"/>
  <c r="U14" i="18"/>
  <c r="T14" i="18"/>
  <c r="S14" i="18"/>
  <c r="R14" i="18"/>
  <c r="Z13" i="18"/>
  <c r="AB13" i="18" s="1"/>
  <c r="AC13" i="18" s="1"/>
  <c r="AA13" i="18" s="1"/>
  <c r="Y13" i="18"/>
  <c r="X13" i="18"/>
  <c r="W13" i="18"/>
  <c r="V13" i="18"/>
  <c r="U13" i="18"/>
  <c r="T13" i="18"/>
  <c r="S13" i="18"/>
  <c r="R13" i="18"/>
  <c r="Z12" i="18"/>
  <c r="AB12" i="18" s="1"/>
  <c r="AC12" i="18" s="1"/>
  <c r="AA12" i="18" s="1"/>
  <c r="Y12" i="18"/>
  <c r="X12" i="18"/>
  <c r="W12" i="18"/>
  <c r="V12" i="18"/>
  <c r="U12" i="18"/>
  <c r="T12" i="18"/>
  <c r="S12" i="18"/>
  <c r="R12" i="18"/>
  <c r="Z11" i="18"/>
  <c r="AB11" i="18" s="1"/>
  <c r="AC11" i="18" s="1"/>
  <c r="AA11" i="18" s="1"/>
  <c r="Y11" i="18"/>
  <c r="X11" i="18"/>
  <c r="W11" i="18"/>
  <c r="V11" i="18"/>
  <c r="U11" i="18"/>
  <c r="T11" i="18"/>
  <c r="S11" i="18"/>
  <c r="R11" i="18"/>
  <c r="Z10" i="18"/>
  <c r="AB10" i="18" s="1"/>
  <c r="AC10" i="18" s="1"/>
  <c r="AA10" i="18" s="1"/>
  <c r="Y10" i="18"/>
  <c r="X10" i="18"/>
  <c r="W10" i="18"/>
  <c r="V10" i="18"/>
  <c r="U10" i="18"/>
  <c r="T10" i="18"/>
  <c r="S10" i="18"/>
  <c r="R10" i="18"/>
  <c r="Z9" i="18"/>
  <c r="AB9" i="18" s="1"/>
  <c r="AC9" i="18" s="1"/>
  <c r="AA9" i="18" s="1"/>
  <c r="Y9" i="18"/>
  <c r="X9" i="18"/>
  <c r="W9" i="18"/>
  <c r="V9" i="18"/>
  <c r="U9" i="18"/>
  <c r="T9" i="18"/>
  <c r="S9" i="18"/>
  <c r="R9" i="18"/>
  <c r="Z8" i="18"/>
  <c r="AB8" i="18" s="1"/>
  <c r="AC8" i="18" s="1"/>
  <c r="AA8" i="18" s="1"/>
  <c r="Y8" i="18"/>
  <c r="X8" i="18"/>
  <c r="W8" i="18"/>
  <c r="V8" i="18"/>
  <c r="U8" i="18"/>
  <c r="T8" i="18"/>
  <c r="S8" i="18"/>
  <c r="R8" i="18"/>
  <c r="Z7" i="18"/>
  <c r="AB7" i="18" s="1"/>
  <c r="AC7" i="18" s="1"/>
  <c r="AA7" i="18" s="1"/>
  <c r="Y7" i="18"/>
  <c r="X7" i="18"/>
  <c r="W7" i="18"/>
  <c r="V7" i="18"/>
  <c r="U7" i="18"/>
  <c r="T7" i="18"/>
  <c r="S7" i="18"/>
  <c r="R7" i="18"/>
  <c r="Z6" i="18"/>
  <c r="AB6" i="18" s="1"/>
  <c r="AC6" i="18" s="1"/>
  <c r="AA6" i="18" s="1"/>
  <c r="Y6" i="18"/>
  <c r="X6" i="18"/>
  <c r="W6" i="18"/>
  <c r="V6" i="18"/>
  <c r="U6" i="18"/>
  <c r="T6" i="18"/>
  <c r="S6" i="18"/>
  <c r="R6" i="18"/>
  <c r="P8" i="18" l="1"/>
  <c r="Q8" i="18" s="1"/>
  <c r="AD8" i="18" s="1"/>
  <c r="AE8" i="18" s="1"/>
  <c r="P12" i="18"/>
  <c r="Q12" i="18" s="1"/>
  <c r="AD12" i="18" s="1"/>
  <c r="AE12" i="18" s="1"/>
  <c r="P16" i="18"/>
  <c r="Q16" i="18" s="1"/>
  <c r="AD16" i="18" s="1"/>
  <c r="AE16" i="18" s="1"/>
  <c r="P20" i="18"/>
  <c r="Q20" i="18" s="1"/>
  <c r="AD20" i="18" s="1"/>
  <c r="AE20" i="18" s="1"/>
  <c r="P24" i="18"/>
  <c r="Q24" i="18" s="1"/>
  <c r="AD24" i="18" s="1"/>
  <c r="AE24" i="18" s="1"/>
  <c r="P28" i="18"/>
  <c r="Q28" i="18" s="1"/>
  <c r="AD28" i="18" s="1"/>
  <c r="AE28" i="18" s="1"/>
  <c r="P32" i="18"/>
  <c r="Q32" i="18" s="1"/>
  <c r="AD32" i="18" s="1"/>
  <c r="AE32" i="18" s="1"/>
  <c r="P36" i="18"/>
  <c r="Q36" i="18" s="1"/>
  <c r="AD36" i="18" s="1"/>
  <c r="AE36" i="18" s="1"/>
  <c r="P40" i="18"/>
  <c r="Q40" i="18" s="1"/>
  <c r="AD40" i="18" s="1"/>
  <c r="AE40" i="18" s="1"/>
  <c r="P6" i="18"/>
  <c r="Q6" i="18" s="1"/>
  <c r="AD6" i="18" s="1"/>
  <c r="AE6" i="18" s="1"/>
  <c r="P18" i="18"/>
  <c r="Q18" i="18" s="1"/>
  <c r="AD18" i="18" s="1"/>
  <c r="AE18" i="18" s="1"/>
  <c r="P22" i="18"/>
  <c r="Q22" i="18" s="1"/>
  <c r="AD22" i="18" s="1"/>
  <c r="AE22" i="18" s="1"/>
  <c r="P26" i="18"/>
  <c r="Q26" i="18" s="1"/>
  <c r="AD26" i="18" s="1"/>
  <c r="AE26" i="18" s="1"/>
  <c r="P30" i="18"/>
  <c r="Q30" i="18" s="1"/>
  <c r="AD30" i="18" s="1"/>
  <c r="AE30" i="18" s="1"/>
  <c r="P34" i="18"/>
  <c r="Q34" i="18" s="1"/>
  <c r="AD34" i="18" s="1"/>
  <c r="P38" i="18"/>
  <c r="Q38" i="18" s="1"/>
  <c r="AD38" i="18" s="1"/>
  <c r="AE38" i="18" s="1"/>
  <c r="AD42" i="18"/>
  <c r="AE42" i="18" s="1"/>
  <c r="AD43" i="18"/>
  <c r="AE43" i="18" s="1"/>
  <c r="AD44" i="18"/>
  <c r="AE44" i="18" s="1"/>
  <c r="AD45" i="18"/>
  <c r="AE45" i="18" s="1"/>
  <c r="AD46" i="18"/>
  <c r="AE46" i="18" s="1"/>
  <c r="AD47" i="18"/>
  <c r="AE47" i="18" s="1"/>
  <c r="AD48" i="18"/>
  <c r="AE48" i="18" s="1"/>
  <c r="AD49" i="18"/>
  <c r="AE49" i="18" s="1"/>
  <c r="AD50" i="18"/>
  <c r="AE50" i="18" s="1"/>
  <c r="AD51" i="18"/>
  <c r="AE51" i="18" s="1"/>
  <c r="AD52" i="18"/>
  <c r="AE52" i="18" s="1"/>
  <c r="AD53" i="18"/>
  <c r="AE53" i="18" s="1"/>
  <c r="AD54" i="18"/>
  <c r="AE54" i="18" s="1"/>
  <c r="AD55" i="18"/>
  <c r="AE55" i="18" s="1"/>
  <c r="P10" i="18"/>
  <c r="Q10" i="18" s="1"/>
  <c r="AD10" i="18" s="1"/>
  <c r="AE10" i="18" s="1"/>
  <c r="P14" i="18"/>
  <c r="Q14" i="18" s="1"/>
  <c r="AD14" i="18" s="1"/>
  <c r="AE14" i="18" s="1"/>
  <c r="P7" i="18"/>
  <c r="Q7" i="18" s="1"/>
  <c r="AD7" i="18" s="1"/>
  <c r="AE7" i="18" s="1"/>
  <c r="P11" i="18"/>
  <c r="Q11" i="18" s="1"/>
  <c r="AD11" i="18" s="1"/>
  <c r="AE11" i="18" s="1"/>
  <c r="P15" i="18"/>
  <c r="Q15" i="18" s="1"/>
  <c r="AD15" i="18" s="1"/>
  <c r="AE15" i="18" s="1"/>
  <c r="P19" i="18"/>
  <c r="Q19" i="18" s="1"/>
  <c r="AD19" i="18" s="1"/>
  <c r="AE19" i="18" s="1"/>
  <c r="P23" i="18"/>
  <c r="Q23" i="18" s="1"/>
  <c r="AD23" i="18" s="1"/>
  <c r="AE23" i="18" s="1"/>
  <c r="P27" i="18"/>
  <c r="Q27" i="18" s="1"/>
  <c r="AD27" i="18" s="1"/>
  <c r="AE27" i="18" s="1"/>
  <c r="P31" i="18"/>
  <c r="Q31" i="18" s="1"/>
  <c r="AD31" i="18" s="1"/>
  <c r="P35" i="18"/>
  <c r="Q35" i="18" s="1"/>
  <c r="AD35" i="18" s="1"/>
  <c r="AE35" i="18" s="1"/>
  <c r="P39" i="18"/>
  <c r="Q39" i="18" s="1"/>
  <c r="AD39" i="18" s="1"/>
  <c r="AE39" i="18" s="1"/>
  <c r="P9" i="18"/>
  <c r="Q9" i="18" s="1"/>
  <c r="AD9" i="18" s="1"/>
  <c r="AE9" i="18" s="1"/>
  <c r="P13" i="18"/>
  <c r="Q13" i="18" s="1"/>
  <c r="AD13" i="18" s="1"/>
  <c r="P17" i="18"/>
  <c r="Q17" i="18" s="1"/>
  <c r="AD17" i="18" s="1"/>
  <c r="AE17" i="18" s="1"/>
  <c r="P21" i="18"/>
  <c r="Q21" i="18" s="1"/>
  <c r="AD21" i="18" s="1"/>
  <c r="AE21" i="18" s="1"/>
  <c r="P25" i="18"/>
  <c r="Q25" i="18" s="1"/>
  <c r="AD25" i="18" s="1"/>
  <c r="AE25" i="18" s="1"/>
  <c r="P29" i="18"/>
  <c r="Q29" i="18" s="1"/>
  <c r="AD29" i="18" s="1"/>
  <c r="AE29" i="18" s="1"/>
  <c r="P33" i="18"/>
  <c r="Q33" i="18" s="1"/>
  <c r="AD33" i="18" s="1"/>
  <c r="AE33" i="18" s="1"/>
  <c r="P37" i="18"/>
  <c r="Q37" i="18" s="1"/>
  <c r="AD37" i="18" s="1"/>
  <c r="AE37" i="18" s="1"/>
  <c r="P41" i="18"/>
  <c r="Q41" i="18" s="1"/>
  <c r="AD41" i="18" s="1"/>
  <c r="AE41" i="18" s="1"/>
  <c r="AE13" i="18"/>
  <c r="AE34" i="18" l="1"/>
  <c r="AE31" i="18"/>
  <c r="R6" i="15"/>
  <c r="J5" i="14" l="1"/>
  <c r="I9" i="7" l="1"/>
  <c r="I8" i="7"/>
  <c r="Z7" i="15"/>
  <c r="AB7" i="15" s="1"/>
  <c r="AC7" i="15" s="1"/>
  <c r="AA7" i="15" s="1"/>
  <c r="Z8" i="15"/>
  <c r="AB8" i="15" s="1"/>
  <c r="AC8" i="15" s="1"/>
  <c r="AA8" i="15" s="1"/>
  <c r="Z9" i="15"/>
  <c r="AB9" i="15" s="1"/>
  <c r="AC9" i="15" s="1"/>
  <c r="AA9" i="15" s="1"/>
  <c r="Z10" i="15"/>
  <c r="AB10" i="15" s="1"/>
  <c r="AC10" i="15" s="1"/>
  <c r="AA10" i="15" s="1"/>
  <c r="Z11" i="15"/>
  <c r="AB11" i="15" s="1"/>
  <c r="AC11" i="15" s="1"/>
  <c r="AA11" i="15" s="1"/>
  <c r="Z12" i="15"/>
  <c r="AB12" i="15" s="1"/>
  <c r="AC12" i="15" s="1"/>
  <c r="AA12" i="15" s="1"/>
  <c r="Z13" i="15"/>
  <c r="AB13" i="15" s="1"/>
  <c r="AC13" i="15" s="1"/>
  <c r="AA13" i="15" s="1"/>
  <c r="Z14" i="15"/>
  <c r="AB14" i="15" s="1"/>
  <c r="AC14" i="15" s="1"/>
  <c r="AA14" i="15" s="1"/>
  <c r="Z15" i="15"/>
  <c r="AB15" i="15" s="1"/>
  <c r="AC15" i="15" s="1"/>
  <c r="AA15" i="15" s="1"/>
  <c r="Z16" i="15"/>
  <c r="AB16" i="15" s="1"/>
  <c r="AC16" i="15" s="1"/>
  <c r="AA16" i="15" s="1"/>
  <c r="Z17" i="15"/>
  <c r="AB17" i="15" s="1"/>
  <c r="AC17" i="15" s="1"/>
  <c r="AA17" i="15" s="1"/>
  <c r="Z18" i="15"/>
  <c r="AB18" i="15" s="1"/>
  <c r="AC18" i="15" s="1"/>
  <c r="AA18" i="15" s="1"/>
  <c r="Z19" i="15"/>
  <c r="AB19" i="15" s="1"/>
  <c r="AC19" i="15" s="1"/>
  <c r="AA19" i="15" s="1"/>
  <c r="Z20" i="15"/>
  <c r="AB20" i="15" s="1"/>
  <c r="AC20" i="15" s="1"/>
  <c r="AA20" i="15" s="1"/>
  <c r="Z21" i="15"/>
  <c r="AB21" i="15" s="1"/>
  <c r="AC21" i="15" s="1"/>
  <c r="AA21" i="15" s="1"/>
  <c r="Z22" i="15"/>
  <c r="AB22" i="15" s="1"/>
  <c r="AC22" i="15" s="1"/>
  <c r="AA22" i="15" s="1"/>
  <c r="Z23" i="15"/>
  <c r="AB23" i="15" s="1"/>
  <c r="AC23" i="15" s="1"/>
  <c r="AA23" i="15" s="1"/>
  <c r="Z24" i="15"/>
  <c r="AB24" i="15" s="1"/>
  <c r="AC24" i="15" s="1"/>
  <c r="AA24" i="15" s="1"/>
  <c r="Z25" i="15"/>
  <c r="AB25" i="15" s="1"/>
  <c r="AC25" i="15" s="1"/>
  <c r="AA25" i="15" s="1"/>
  <c r="Z26" i="15"/>
  <c r="AB26" i="15" s="1"/>
  <c r="AC26" i="15" s="1"/>
  <c r="AA26" i="15" s="1"/>
  <c r="Z27" i="15"/>
  <c r="AB27" i="15" s="1"/>
  <c r="AC27" i="15" s="1"/>
  <c r="AA27" i="15" s="1"/>
  <c r="Z28" i="15"/>
  <c r="AB28" i="15" s="1"/>
  <c r="AC28" i="15" s="1"/>
  <c r="AA28" i="15" s="1"/>
  <c r="Z29" i="15"/>
  <c r="AB29" i="15" s="1"/>
  <c r="AC29" i="15" s="1"/>
  <c r="AA29" i="15" s="1"/>
  <c r="Z30" i="15"/>
  <c r="AB30" i="15" s="1"/>
  <c r="AC30" i="15" s="1"/>
  <c r="AA30" i="15" s="1"/>
  <c r="Z31" i="15"/>
  <c r="AB31" i="15" s="1"/>
  <c r="AC31" i="15" s="1"/>
  <c r="AA31" i="15" s="1"/>
  <c r="Z32" i="15"/>
  <c r="AB32" i="15" s="1"/>
  <c r="AC32" i="15" s="1"/>
  <c r="AA32" i="15" s="1"/>
  <c r="Z33" i="15"/>
  <c r="AB33" i="15" s="1"/>
  <c r="AC33" i="15" s="1"/>
  <c r="AA33" i="15" s="1"/>
  <c r="Z34" i="15"/>
  <c r="AB34" i="15" s="1"/>
  <c r="AC34" i="15" s="1"/>
  <c r="AA34" i="15" s="1"/>
  <c r="Z35" i="15"/>
  <c r="AB35" i="15" s="1"/>
  <c r="AC35" i="15" s="1"/>
  <c r="AA35" i="15" s="1"/>
  <c r="Z36" i="15"/>
  <c r="AB36" i="15" s="1"/>
  <c r="AC36" i="15" s="1"/>
  <c r="AA36" i="15" s="1"/>
  <c r="Z37" i="15"/>
  <c r="AB37" i="15" s="1"/>
  <c r="AC37" i="15" s="1"/>
  <c r="AA37" i="15" s="1"/>
  <c r="Z38" i="15"/>
  <c r="AB38" i="15" s="1"/>
  <c r="AC38" i="15" s="1"/>
  <c r="AA38" i="15" s="1"/>
  <c r="Z39" i="15"/>
  <c r="AB39" i="15" s="1"/>
  <c r="AC39" i="15" s="1"/>
  <c r="AA39" i="15" s="1"/>
  <c r="Z40" i="15"/>
  <c r="AB40" i="15" s="1"/>
  <c r="AC40" i="15" s="1"/>
  <c r="AA40" i="15" s="1"/>
  <c r="Z41" i="15"/>
  <c r="AB41" i="15" s="1"/>
  <c r="AC41" i="15" s="1"/>
  <c r="AA41" i="15" s="1"/>
  <c r="Z42" i="15"/>
  <c r="AB42" i="15" s="1"/>
  <c r="AC42" i="15" s="1"/>
  <c r="AA42" i="15" s="1"/>
  <c r="Z43" i="15"/>
  <c r="AB43" i="15" s="1"/>
  <c r="AC43" i="15" s="1"/>
  <c r="AA43" i="15" s="1"/>
  <c r="Z44" i="15"/>
  <c r="AB44" i="15" s="1"/>
  <c r="AC44" i="15" s="1"/>
  <c r="AA44" i="15" s="1"/>
  <c r="Z45" i="15"/>
  <c r="AB45" i="15" s="1"/>
  <c r="AC45" i="15" s="1"/>
  <c r="AA45" i="15" s="1"/>
  <c r="Z46" i="15"/>
  <c r="AB46" i="15" s="1"/>
  <c r="AC46" i="15" s="1"/>
  <c r="AA46" i="15" s="1"/>
  <c r="Z47" i="15"/>
  <c r="AB47" i="15" s="1"/>
  <c r="AC47" i="15" s="1"/>
  <c r="AA47" i="15" s="1"/>
  <c r="Z48" i="15"/>
  <c r="AB48" i="15" s="1"/>
  <c r="AC48" i="15" s="1"/>
  <c r="AA48" i="15" s="1"/>
  <c r="Z49" i="15"/>
  <c r="AB49" i="15" s="1"/>
  <c r="AC49" i="15" s="1"/>
  <c r="AA49" i="15" s="1"/>
  <c r="Z50" i="15"/>
  <c r="AB50" i="15" s="1"/>
  <c r="AC50" i="15" s="1"/>
  <c r="AA50" i="15" s="1"/>
  <c r="Z51" i="15"/>
  <c r="AB51" i="15" s="1"/>
  <c r="AC51" i="15" s="1"/>
  <c r="AA51" i="15" s="1"/>
  <c r="Z52" i="15"/>
  <c r="AB52" i="15" s="1"/>
  <c r="AC52" i="15" s="1"/>
  <c r="AA52" i="15" s="1"/>
  <c r="Z53" i="15"/>
  <c r="AB53" i="15" s="1"/>
  <c r="AC53" i="15" s="1"/>
  <c r="AA53" i="15" s="1"/>
  <c r="Z54" i="15"/>
  <c r="AB54" i="15" s="1"/>
  <c r="AC54" i="15" s="1"/>
  <c r="AA54" i="15" s="1"/>
  <c r="Z55" i="15"/>
  <c r="AB55" i="15" s="1"/>
  <c r="AC55" i="15" s="1"/>
  <c r="AA55" i="15" s="1"/>
  <c r="Z6" i="15"/>
  <c r="AB6" i="15" s="1"/>
  <c r="AC6" i="15" s="1"/>
  <c r="AA6" i="15" s="1"/>
  <c r="L8" i="6"/>
  <c r="L7" i="6"/>
  <c r="F10" i="14" l="1"/>
  <c r="D16" i="14"/>
  <c r="N16" i="14"/>
  <c r="M16" i="14"/>
  <c r="L16" i="14"/>
  <c r="K16" i="14"/>
  <c r="J16" i="14"/>
  <c r="I16" i="14"/>
  <c r="H16" i="14"/>
  <c r="G16" i="14"/>
  <c r="E16" i="14"/>
  <c r="N15" i="14"/>
  <c r="M15" i="14"/>
  <c r="L15" i="14"/>
  <c r="K15" i="14"/>
  <c r="J15" i="14"/>
  <c r="I15" i="14"/>
  <c r="H15" i="14"/>
  <c r="G15" i="14"/>
  <c r="E15" i="14"/>
  <c r="D15" i="14"/>
  <c r="N14" i="14"/>
  <c r="M14" i="14"/>
  <c r="L14" i="14"/>
  <c r="K14" i="14"/>
  <c r="J14" i="14"/>
  <c r="I14" i="14"/>
  <c r="H14" i="14"/>
  <c r="G14" i="14"/>
  <c r="E14" i="14"/>
  <c r="D14" i="14"/>
  <c r="N13" i="14"/>
  <c r="M13" i="14"/>
  <c r="L13" i="14"/>
  <c r="J13" i="14"/>
  <c r="I13" i="14"/>
  <c r="H13" i="14"/>
  <c r="G13" i="14"/>
  <c r="E13" i="14"/>
  <c r="D13" i="14"/>
  <c r="N12" i="14"/>
  <c r="M12" i="14"/>
  <c r="L12" i="14"/>
  <c r="K12" i="14"/>
  <c r="J12" i="14"/>
  <c r="I12" i="14"/>
  <c r="H12" i="14"/>
  <c r="G12" i="14"/>
  <c r="E12" i="14"/>
  <c r="D12" i="14"/>
  <c r="N11" i="14"/>
  <c r="M11" i="14"/>
  <c r="L11" i="14"/>
  <c r="K11" i="14"/>
  <c r="J11" i="14"/>
  <c r="I11" i="14"/>
  <c r="H11" i="14"/>
  <c r="G11" i="14"/>
  <c r="E11" i="14"/>
  <c r="D11" i="14"/>
  <c r="N10" i="14"/>
  <c r="M10" i="14"/>
  <c r="L10" i="14"/>
  <c r="K10" i="14"/>
  <c r="J10" i="14"/>
  <c r="I10" i="14"/>
  <c r="H10" i="14"/>
  <c r="G10" i="14"/>
  <c r="E10" i="14"/>
  <c r="D10" i="14"/>
  <c r="N9" i="14"/>
  <c r="M9" i="14"/>
  <c r="L9" i="14"/>
  <c r="K9" i="14"/>
  <c r="J9" i="14"/>
  <c r="I9" i="14"/>
  <c r="H9" i="14"/>
  <c r="G9" i="14"/>
  <c r="E9" i="14"/>
  <c r="D9" i="14"/>
  <c r="N8" i="14"/>
  <c r="M8" i="14"/>
  <c r="L8" i="14"/>
  <c r="K8" i="14"/>
  <c r="J8" i="14"/>
  <c r="I8" i="14"/>
  <c r="H8" i="14"/>
  <c r="G8" i="14"/>
  <c r="E8" i="14"/>
  <c r="D8" i="14"/>
  <c r="N7" i="14"/>
  <c r="M7" i="14"/>
  <c r="L7" i="14"/>
  <c r="K7" i="14"/>
  <c r="J7" i="14"/>
  <c r="I7" i="14"/>
  <c r="H7" i="14"/>
  <c r="G7" i="14"/>
  <c r="E7" i="14"/>
  <c r="D7" i="14"/>
  <c r="N6" i="14"/>
  <c r="M6" i="14"/>
  <c r="L6" i="14"/>
  <c r="K6" i="14"/>
  <c r="J6" i="14"/>
  <c r="I6" i="14"/>
  <c r="H6" i="14"/>
  <c r="G6" i="14"/>
  <c r="E6" i="14"/>
  <c r="D6" i="14"/>
  <c r="N5" i="14"/>
  <c r="M5" i="14"/>
  <c r="L5" i="14"/>
  <c r="K5" i="14"/>
  <c r="I5" i="14"/>
  <c r="H5" i="14"/>
  <c r="G5" i="14"/>
  <c r="E5" i="14"/>
  <c r="D5" i="14"/>
  <c r="Y55" i="15"/>
  <c r="X55" i="15"/>
  <c r="W55" i="15"/>
  <c r="V55" i="15"/>
  <c r="U55" i="15"/>
  <c r="T55" i="15"/>
  <c r="S55" i="15"/>
  <c r="R55" i="15"/>
  <c r="Y54" i="15"/>
  <c r="X54" i="15"/>
  <c r="W54" i="15"/>
  <c r="V54" i="15"/>
  <c r="U54" i="15"/>
  <c r="T54" i="15"/>
  <c r="S54" i="15"/>
  <c r="R54" i="15"/>
  <c r="Y53" i="15"/>
  <c r="X53" i="15"/>
  <c r="W53" i="15"/>
  <c r="V53" i="15"/>
  <c r="U53" i="15"/>
  <c r="T53" i="15"/>
  <c r="S53" i="15"/>
  <c r="R53" i="15"/>
  <c r="Y52" i="15"/>
  <c r="X52" i="15"/>
  <c r="W52" i="15"/>
  <c r="V52" i="15"/>
  <c r="U52" i="15"/>
  <c r="T52" i="15"/>
  <c r="S52" i="15"/>
  <c r="R52" i="15"/>
  <c r="Y51" i="15"/>
  <c r="X51" i="15"/>
  <c r="W51" i="15"/>
  <c r="V51" i="15"/>
  <c r="U51" i="15"/>
  <c r="T51" i="15"/>
  <c r="S51" i="15"/>
  <c r="R51" i="15"/>
  <c r="Y50" i="15"/>
  <c r="X50" i="15"/>
  <c r="W50" i="15"/>
  <c r="V50" i="15"/>
  <c r="U50" i="15"/>
  <c r="T50" i="15"/>
  <c r="S50" i="15"/>
  <c r="R50" i="15"/>
  <c r="Y49" i="15"/>
  <c r="X49" i="15"/>
  <c r="W49" i="15"/>
  <c r="V49" i="15"/>
  <c r="U49" i="15"/>
  <c r="T49" i="15"/>
  <c r="S49" i="15"/>
  <c r="R49" i="15"/>
  <c r="Y48" i="15"/>
  <c r="X48" i="15"/>
  <c r="W48" i="15"/>
  <c r="V48" i="15"/>
  <c r="U48" i="15"/>
  <c r="T48" i="15"/>
  <c r="S48" i="15"/>
  <c r="R48" i="15"/>
  <c r="Y47" i="15"/>
  <c r="X47" i="15"/>
  <c r="W47" i="15"/>
  <c r="V47" i="15"/>
  <c r="U47" i="15"/>
  <c r="T47" i="15"/>
  <c r="S47" i="15"/>
  <c r="R47" i="15"/>
  <c r="Y46" i="15"/>
  <c r="X46" i="15"/>
  <c r="W46" i="15"/>
  <c r="V46" i="15"/>
  <c r="U46" i="15"/>
  <c r="T46" i="15"/>
  <c r="S46" i="15"/>
  <c r="R46" i="15"/>
  <c r="Y45" i="15"/>
  <c r="X45" i="15"/>
  <c r="W45" i="15"/>
  <c r="V45" i="15"/>
  <c r="U45" i="15"/>
  <c r="T45" i="15"/>
  <c r="S45" i="15"/>
  <c r="R45" i="15"/>
  <c r="Y44" i="15"/>
  <c r="X44" i="15"/>
  <c r="W44" i="15"/>
  <c r="V44" i="15"/>
  <c r="U44" i="15"/>
  <c r="T44" i="15"/>
  <c r="S44" i="15"/>
  <c r="R44" i="15"/>
  <c r="Y43" i="15"/>
  <c r="X43" i="15"/>
  <c r="W43" i="15"/>
  <c r="V43" i="15"/>
  <c r="U43" i="15"/>
  <c r="T43" i="15"/>
  <c r="S43" i="15"/>
  <c r="R43" i="15"/>
  <c r="Y42" i="15"/>
  <c r="X42" i="15"/>
  <c r="W42" i="15"/>
  <c r="V42" i="15"/>
  <c r="U42" i="15"/>
  <c r="T42" i="15"/>
  <c r="S42" i="15"/>
  <c r="R42" i="15"/>
  <c r="Y41" i="15"/>
  <c r="X41" i="15"/>
  <c r="W41" i="15"/>
  <c r="V41" i="15"/>
  <c r="U41" i="15"/>
  <c r="T41" i="15"/>
  <c r="S41" i="15"/>
  <c r="R41" i="15"/>
  <c r="Y40" i="15"/>
  <c r="X40" i="15"/>
  <c r="W40" i="15"/>
  <c r="V40" i="15"/>
  <c r="U40" i="15"/>
  <c r="T40" i="15"/>
  <c r="S40" i="15"/>
  <c r="R40" i="15"/>
  <c r="Y39" i="15"/>
  <c r="X39" i="15"/>
  <c r="W39" i="15"/>
  <c r="V39" i="15"/>
  <c r="U39" i="15"/>
  <c r="T39" i="15"/>
  <c r="S39" i="15"/>
  <c r="R39" i="15"/>
  <c r="Y38" i="15"/>
  <c r="X38" i="15"/>
  <c r="W38" i="15"/>
  <c r="V38" i="15"/>
  <c r="U38" i="15"/>
  <c r="T38" i="15"/>
  <c r="S38" i="15"/>
  <c r="R38" i="15"/>
  <c r="Y37" i="15"/>
  <c r="X37" i="15"/>
  <c r="W37" i="15"/>
  <c r="V37" i="15"/>
  <c r="U37" i="15"/>
  <c r="T37" i="15"/>
  <c r="S37" i="15"/>
  <c r="R37" i="15"/>
  <c r="Y36" i="15"/>
  <c r="X36" i="15"/>
  <c r="W36" i="15"/>
  <c r="V36" i="15"/>
  <c r="U36" i="15"/>
  <c r="T36" i="15"/>
  <c r="S36" i="15"/>
  <c r="R36" i="15"/>
  <c r="Y35" i="15"/>
  <c r="X35" i="15"/>
  <c r="W35" i="15"/>
  <c r="V35" i="15"/>
  <c r="U35" i="15"/>
  <c r="T35" i="15"/>
  <c r="S35" i="15"/>
  <c r="R35" i="15"/>
  <c r="Y34" i="15"/>
  <c r="X34" i="15"/>
  <c r="W34" i="15"/>
  <c r="V34" i="15"/>
  <c r="U34" i="15"/>
  <c r="T34" i="15"/>
  <c r="S34" i="15"/>
  <c r="R34" i="15"/>
  <c r="Y33" i="15"/>
  <c r="X33" i="15"/>
  <c r="W33" i="15"/>
  <c r="V33" i="15"/>
  <c r="U33" i="15"/>
  <c r="T33" i="15"/>
  <c r="S33" i="15"/>
  <c r="R33" i="15"/>
  <c r="Y32" i="15"/>
  <c r="X32" i="15"/>
  <c r="W32" i="15"/>
  <c r="V32" i="15"/>
  <c r="U32" i="15"/>
  <c r="T32" i="15"/>
  <c r="S32" i="15"/>
  <c r="R32" i="15"/>
  <c r="Y31" i="15"/>
  <c r="X31" i="15"/>
  <c r="W31" i="15"/>
  <c r="V31" i="15"/>
  <c r="U31" i="15"/>
  <c r="T31" i="15"/>
  <c r="S31" i="15"/>
  <c r="R31" i="15"/>
  <c r="Y30" i="15"/>
  <c r="X30" i="15"/>
  <c r="W30" i="15"/>
  <c r="V30" i="15"/>
  <c r="U30" i="15"/>
  <c r="T30" i="15"/>
  <c r="S30" i="15"/>
  <c r="R30" i="15"/>
  <c r="Y29" i="15"/>
  <c r="X29" i="15"/>
  <c r="W29" i="15"/>
  <c r="V29" i="15"/>
  <c r="U29" i="15"/>
  <c r="T29" i="15"/>
  <c r="S29" i="15"/>
  <c r="R29" i="15"/>
  <c r="Y28" i="15"/>
  <c r="X28" i="15"/>
  <c r="W28" i="15"/>
  <c r="V28" i="15"/>
  <c r="U28" i="15"/>
  <c r="T28" i="15"/>
  <c r="S28" i="15"/>
  <c r="R28" i="15"/>
  <c r="Y27" i="15"/>
  <c r="X27" i="15"/>
  <c r="W27" i="15"/>
  <c r="V27" i="15"/>
  <c r="U27" i="15"/>
  <c r="T27" i="15"/>
  <c r="S27" i="15"/>
  <c r="R27" i="15"/>
  <c r="Y26" i="15"/>
  <c r="X26" i="15"/>
  <c r="W26" i="15"/>
  <c r="V26" i="15"/>
  <c r="U26" i="15"/>
  <c r="T26" i="15"/>
  <c r="S26" i="15"/>
  <c r="R26" i="15"/>
  <c r="Y25" i="15"/>
  <c r="X25" i="15"/>
  <c r="W25" i="15"/>
  <c r="V25" i="15"/>
  <c r="U25" i="15"/>
  <c r="T25" i="15"/>
  <c r="S25" i="15"/>
  <c r="R25" i="15"/>
  <c r="Y24" i="15"/>
  <c r="X24" i="15"/>
  <c r="W24" i="15"/>
  <c r="V24" i="15"/>
  <c r="U24" i="15"/>
  <c r="T24" i="15"/>
  <c r="S24" i="15"/>
  <c r="R24" i="15"/>
  <c r="Y23" i="15"/>
  <c r="X23" i="15"/>
  <c r="W23" i="15"/>
  <c r="V23" i="15"/>
  <c r="U23" i="15"/>
  <c r="T23" i="15"/>
  <c r="S23" i="15"/>
  <c r="R23" i="15"/>
  <c r="Y22" i="15"/>
  <c r="X22" i="15"/>
  <c r="W22" i="15"/>
  <c r="V22" i="15"/>
  <c r="U22" i="15"/>
  <c r="T22" i="15"/>
  <c r="S22" i="15"/>
  <c r="R22" i="15"/>
  <c r="Y21" i="15"/>
  <c r="X21" i="15"/>
  <c r="W21" i="15"/>
  <c r="V21" i="15"/>
  <c r="U21" i="15"/>
  <c r="T21" i="15"/>
  <c r="S21" i="15"/>
  <c r="R21" i="15"/>
  <c r="Y20" i="15"/>
  <c r="X20" i="15"/>
  <c r="W20" i="15"/>
  <c r="V20" i="15"/>
  <c r="U20" i="15"/>
  <c r="T20" i="15"/>
  <c r="S20" i="15"/>
  <c r="R20" i="15"/>
  <c r="Y19" i="15"/>
  <c r="X19" i="15"/>
  <c r="W19" i="15"/>
  <c r="V19" i="15"/>
  <c r="U19" i="15"/>
  <c r="T19" i="15"/>
  <c r="S19" i="15"/>
  <c r="R19" i="15"/>
  <c r="Y18" i="15"/>
  <c r="X18" i="15"/>
  <c r="W18" i="15"/>
  <c r="V18" i="15"/>
  <c r="U18" i="15"/>
  <c r="T18" i="15"/>
  <c r="S18" i="15"/>
  <c r="R18" i="15"/>
  <c r="Y17" i="15"/>
  <c r="X17" i="15"/>
  <c r="W17" i="15"/>
  <c r="V17" i="15"/>
  <c r="U17" i="15"/>
  <c r="T17" i="15"/>
  <c r="S17" i="15"/>
  <c r="R17" i="15"/>
  <c r="Y16" i="15"/>
  <c r="X16" i="15"/>
  <c r="W16" i="15"/>
  <c r="V16" i="15"/>
  <c r="U16" i="15"/>
  <c r="T16" i="15"/>
  <c r="S16" i="15"/>
  <c r="R16" i="15"/>
  <c r="Y15" i="15"/>
  <c r="X15" i="15"/>
  <c r="W15" i="15"/>
  <c r="V15" i="15"/>
  <c r="U15" i="15"/>
  <c r="T15" i="15"/>
  <c r="S15" i="15"/>
  <c r="R15" i="15"/>
  <c r="Y14" i="15"/>
  <c r="X14" i="15"/>
  <c r="W14" i="15"/>
  <c r="V14" i="15"/>
  <c r="U14" i="15"/>
  <c r="T14" i="15"/>
  <c r="S14" i="15"/>
  <c r="R14" i="15"/>
  <c r="Y13" i="15"/>
  <c r="X13" i="15"/>
  <c r="W13" i="15"/>
  <c r="V13" i="15"/>
  <c r="U13" i="15"/>
  <c r="T13" i="15"/>
  <c r="S13" i="15"/>
  <c r="R13" i="15"/>
  <c r="Y12" i="15"/>
  <c r="X12" i="15"/>
  <c r="W12" i="15"/>
  <c r="V12" i="15"/>
  <c r="U12" i="15"/>
  <c r="T12" i="15"/>
  <c r="S12" i="15"/>
  <c r="R12" i="15"/>
  <c r="Y11" i="15"/>
  <c r="X11" i="15"/>
  <c r="W11" i="15"/>
  <c r="V11" i="15"/>
  <c r="U11" i="15"/>
  <c r="T11" i="15"/>
  <c r="S11" i="15"/>
  <c r="R11" i="15"/>
  <c r="Y10" i="15"/>
  <c r="X10" i="15"/>
  <c r="W10" i="15"/>
  <c r="V10" i="15"/>
  <c r="U10" i="15"/>
  <c r="T10" i="15"/>
  <c r="S10" i="15"/>
  <c r="R10" i="15"/>
  <c r="Y9" i="15"/>
  <c r="X9" i="15"/>
  <c r="W9" i="15"/>
  <c r="V9" i="15"/>
  <c r="U9" i="15"/>
  <c r="T9" i="15"/>
  <c r="S9" i="15"/>
  <c r="R9" i="15"/>
  <c r="Y8" i="15"/>
  <c r="X8" i="15"/>
  <c r="W8" i="15"/>
  <c r="V8" i="15"/>
  <c r="U8" i="15"/>
  <c r="T8" i="15"/>
  <c r="S8" i="15"/>
  <c r="R8" i="15"/>
  <c r="Y7" i="15"/>
  <c r="X7" i="15"/>
  <c r="W7" i="15"/>
  <c r="V7" i="15"/>
  <c r="U7" i="15"/>
  <c r="T7" i="15"/>
  <c r="S7" i="15"/>
  <c r="R7" i="15"/>
  <c r="Y6" i="15"/>
  <c r="X6" i="15"/>
  <c r="W6" i="15"/>
  <c r="V6" i="15"/>
  <c r="U6" i="15"/>
  <c r="T6" i="15"/>
  <c r="S6" i="15"/>
  <c r="P6" i="15" l="1"/>
  <c r="Q6" i="15" s="1"/>
  <c r="P7" i="15"/>
  <c r="Q7" i="15" s="1"/>
  <c r="AE7" i="15" s="1"/>
  <c r="AF7" i="15" s="1"/>
  <c r="P9" i="15"/>
  <c r="Q9" i="15" s="1"/>
  <c r="AE9" i="15" s="1"/>
  <c r="AF9" i="15" s="1"/>
  <c r="P11" i="15"/>
  <c r="Q11" i="15" s="1"/>
  <c r="AE11" i="15" s="1"/>
  <c r="P13" i="15"/>
  <c r="Q13" i="15" s="1"/>
  <c r="AE13" i="15" s="1"/>
  <c r="AF13" i="15" s="1"/>
  <c r="P15" i="15"/>
  <c r="Q15" i="15" s="1"/>
  <c r="AE15" i="15" s="1"/>
  <c r="AF15" i="15" s="1"/>
  <c r="P16" i="15"/>
  <c r="Q16" i="15" s="1"/>
  <c r="AE16" i="15" s="1"/>
  <c r="P18" i="15"/>
  <c r="Q18" i="15" s="1"/>
  <c r="AE18" i="15" s="1"/>
  <c r="AF18" i="15" s="1"/>
  <c r="P21" i="15"/>
  <c r="Q21" i="15" s="1"/>
  <c r="AE21" i="15" s="1"/>
  <c r="AF21" i="15" s="1"/>
  <c r="P23" i="15"/>
  <c r="Q23" i="15" s="1"/>
  <c r="AE23" i="15" s="1"/>
  <c r="AF23" i="15" s="1"/>
  <c r="P25" i="15"/>
  <c r="Q25" i="15" s="1"/>
  <c r="AE25" i="15" s="1"/>
  <c r="P27" i="15"/>
  <c r="Q27" i="15" s="1"/>
  <c r="AE27" i="15" s="1"/>
  <c r="AF27" i="15" s="1"/>
  <c r="P29" i="15"/>
  <c r="Q29" i="15" s="1"/>
  <c r="AE29" i="15" s="1"/>
  <c r="AF29" i="15" s="1"/>
  <c r="P31" i="15"/>
  <c r="Q31" i="15" s="1"/>
  <c r="AE31" i="15" s="1"/>
  <c r="AF31" i="15" s="1"/>
  <c r="P33" i="15"/>
  <c r="Q33" i="15" s="1"/>
  <c r="AE33" i="15" s="1"/>
  <c r="AF33" i="15" s="1"/>
  <c r="P35" i="15"/>
  <c r="Q35" i="15" s="1"/>
  <c r="AE35" i="15" s="1"/>
  <c r="AF35" i="15" s="1"/>
  <c r="P37" i="15"/>
  <c r="Q37" i="15" s="1"/>
  <c r="AE37" i="15" s="1"/>
  <c r="AF37" i="15" s="1"/>
  <c r="P39" i="15"/>
  <c r="Q39" i="15" s="1"/>
  <c r="AE39" i="15" s="1"/>
  <c r="P41" i="15"/>
  <c r="Q41" i="15" s="1"/>
  <c r="AE41" i="15" s="1"/>
  <c r="P43" i="15"/>
  <c r="Q43" i="15" s="1"/>
  <c r="AE43" i="15" s="1"/>
  <c r="AF43" i="15" s="1"/>
  <c r="P44" i="15"/>
  <c r="Q44" i="15" s="1"/>
  <c r="AE44" i="15" s="1"/>
  <c r="AF44" i="15" s="1"/>
  <c r="P47" i="15"/>
  <c r="Q47" i="15" s="1"/>
  <c r="AE47" i="15" s="1"/>
  <c r="AF47" i="15" s="1"/>
  <c r="P48" i="15"/>
  <c r="Q48" i="15" s="1"/>
  <c r="AE48" i="15" s="1"/>
  <c r="AF48" i="15" s="1"/>
  <c r="P49" i="15"/>
  <c r="Q49" i="15" s="1"/>
  <c r="AE49" i="15" s="1"/>
  <c r="AF49" i="15" s="1"/>
  <c r="P50" i="15"/>
  <c r="Q50" i="15" s="1"/>
  <c r="AE50" i="15" s="1"/>
  <c r="AF50" i="15" s="1"/>
  <c r="P51" i="15"/>
  <c r="Q51" i="15" s="1"/>
  <c r="AE51" i="15" s="1"/>
  <c r="AF51" i="15" s="1"/>
  <c r="P52" i="15"/>
  <c r="Q52" i="15" s="1"/>
  <c r="AE52" i="15" s="1"/>
  <c r="AF52" i="15" s="1"/>
  <c r="P53" i="15"/>
  <c r="Q53" i="15" s="1"/>
  <c r="AE53" i="15" s="1"/>
  <c r="AF53" i="15" s="1"/>
  <c r="P54" i="15"/>
  <c r="Q54" i="15" s="1"/>
  <c r="AE54" i="15" s="1"/>
  <c r="AF54" i="15" s="1"/>
  <c r="P55" i="15"/>
  <c r="Q55" i="15" s="1"/>
  <c r="AE55" i="15" s="1"/>
  <c r="P8" i="15"/>
  <c r="Q8" i="15" s="1"/>
  <c r="AE8" i="15" s="1"/>
  <c r="AF8" i="15" s="1"/>
  <c r="P10" i="15"/>
  <c r="Q10" i="15" s="1"/>
  <c r="AE10" i="15" s="1"/>
  <c r="P12" i="15"/>
  <c r="Q12" i="15" s="1"/>
  <c r="AE12" i="15" s="1"/>
  <c r="AF12" i="15" s="1"/>
  <c r="P14" i="15"/>
  <c r="Q14" i="15" s="1"/>
  <c r="AE14" i="15" s="1"/>
  <c r="AF14" i="15" s="1"/>
  <c r="P17" i="15"/>
  <c r="Q17" i="15" s="1"/>
  <c r="AE17" i="15" s="1"/>
  <c r="AF17" i="15" s="1"/>
  <c r="P19" i="15"/>
  <c r="Q19" i="15" s="1"/>
  <c r="AE19" i="15" s="1"/>
  <c r="AF19" i="15" s="1"/>
  <c r="P20" i="15"/>
  <c r="Q20" i="15" s="1"/>
  <c r="AE20" i="15" s="1"/>
  <c r="AF20" i="15" s="1"/>
  <c r="P22" i="15"/>
  <c r="Q22" i="15" s="1"/>
  <c r="AE22" i="15" s="1"/>
  <c r="AF22" i="15" s="1"/>
  <c r="P24" i="15"/>
  <c r="Q24" i="15" s="1"/>
  <c r="AE24" i="15" s="1"/>
  <c r="AF24" i="15" s="1"/>
  <c r="P26" i="15"/>
  <c r="Q26" i="15" s="1"/>
  <c r="AE26" i="15" s="1"/>
  <c r="AF26" i="15" s="1"/>
  <c r="P28" i="15"/>
  <c r="Q28" i="15" s="1"/>
  <c r="AE28" i="15" s="1"/>
  <c r="P30" i="15"/>
  <c r="Q30" i="15" s="1"/>
  <c r="AE30" i="15" s="1"/>
  <c r="AF30" i="15" s="1"/>
  <c r="P32" i="15"/>
  <c r="Q32" i="15" s="1"/>
  <c r="AE32" i="15" s="1"/>
  <c r="P34" i="15"/>
  <c r="Q34" i="15" s="1"/>
  <c r="AE34" i="15" s="1"/>
  <c r="AF34" i="15" s="1"/>
  <c r="P36" i="15"/>
  <c r="Q36" i="15" s="1"/>
  <c r="AE36" i="15" s="1"/>
  <c r="AF36" i="15" s="1"/>
  <c r="P38" i="15"/>
  <c r="Q38" i="15" s="1"/>
  <c r="AE38" i="15" s="1"/>
  <c r="AF38" i="15" s="1"/>
  <c r="P40" i="15"/>
  <c r="Q40" i="15" s="1"/>
  <c r="AE40" i="15" s="1"/>
  <c r="AF40" i="15" s="1"/>
  <c r="P42" i="15"/>
  <c r="Q42" i="15" s="1"/>
  <c r="AE42" i="15" s="1"/>
  <c r="AF42" i="15" s="1"/>
  <c r="P45" i="15"/>
  <c r="Q45" i="15" s="1"/>
  <c r="AE45" i="15" s="1"/>
  <c r="P46" i="15"/>
  <c r="Q46" i="15" s="1"/>
  <c r="AE46" i="15" s="1"/>
  <c r="F14" i="14"/>
  <c r="F6" i="14"/>
  <c r="F9" i="14"/>
  <c r="F11" i="14"/>
  <c r="F7" i="14"/>
  <c r="F15" i="14"/>
  <c r="F12" i="14"/>
  <c r="F8" i="14"/>
  <c r="F13" i="14"/>
  <c r="F5" i="14"/>
  <c r="F16" i="14"/>
  <c r="AE6" i="15" l="1"/>
  <c r="J19" i="6"/>
  <c r="AF207" i="15"/>
  <c r="AF357" i="15"/>
  <c r="AF126" i="15"/>
  <c r="AF316" i="15"/>
  <c r="AF394" i="15"/>
  <c r="AF302" i="15"/>
  <c r="AF74" i="15"/>
  <c r="AF103" i="15"/>
  <c r="AF118" i="15"/>
  <c r="AF335" i="15"/>
  <c r="AF297" i="15"/>
  <c r="AF371" i="15"/>
  <c r="AF310" i="15"/>
  <c r="AF125" i="15"/>
  <c r="AF248" i="15"/>
  <c r="AF123" i="15"/>
  <c r="AF10" i="15"/>
  <c r="AF16" i="15"/>
  <c r="AF55" i="15"/>
  <c r="AF11" i="15"/>
  <c r="AF6" i="15"/>
  <c r="K20" i="7" s="1"/>
  <c r="AF203" i="15"/>
  <c r="AF486" i="15"/>
  <c r="AF148" i="15"/>
  <c r="AF240" i="15"/>
  <c r="AF177" i="15"/>
  <c r="AF495" i="15"/>
  <c r="AF424" i="15"/>
  <c r="AF157" i="15"/>
  <c r="AF131" i="15"/>
  <c r="AF395" i="15"/>
  <c r="AF231" i="15"/>
  <c r="AF198" i="15"/>
  <c r="AF290" i="15"/>
  <c r="AF206" i="15"/>
  <c r="AF334" i="15"/>
  <c r="AF212" i="15"/>
  <c r="AF202" i="15"/>
  <c r="AF345" i="15"/>
  <c r="AF381" i="15"/>
  <c r="AF458" i="15"/>
  <c r="AF319" i="15"/>
  <c r="AF375" i="15"/>
  <c r="AF92" i="15"/>
  <c r="AF178" i="15"/>
  <c r="AF322" i="15"/>
  <c r="AF291" i="15"/>
  <c r="AF341" i="15"/>
  <c r="AF412" i="15"/>
  <c r="AF295" i="15"/>
  <c r="AF215" i="15"/>
  <c r="AF289" i="15"/>
  <c r="AF306" i="15"/>
  <c r="AF370" i="15"/>
  <c r="AF440" i="15"/>
  <c r="AF333" i="15"/>
  <c r="AF220" i="15"/>
  <c r="AF236" i="15"/>
  <c r="AF366" i="15"/>
  <c r="AF446" i="15"/>
  <c r="AF60" i="15"/>
  <c r="AF444" i="15"/>
  <c r="AF484" i="15"/>
  <c r="AF354" i="15"/>
  <c r="AF134" i="15"/>
  <c r="AF233" i="15"/>
  <c r="AF128" i="15"/>
  <c r="AF32" i="15"/>
  <c r="AF41" i="15"/>
  <c r="AF25" i="15"/>
  <c r="AF46" i="15"/>
  <c r="AF39" i="15"/>
  <c r="AF45" i="15"/>
  <c r="AF28" i="15"/>
  <c r="D197" i="7"/>
  <c r="N15" i="10"/>
  <c r="E15" i="10"/>
  <c r="K15" i="10"/>
  <c r="H15" i="10"/>
  <c r="Q15" i="10"/>
  <c r="E13" i="10"/>
  <c r="H23" i="10"/>
  <c r="Q23" i="10"/>
  <c r="E23" i="10"/>
  <c r="N23" i="10"/>
  <c r="K23" i="10"/>
  <c r="P27" i="10"/>
  <c r="D27" i="10"/>
  <c r="M27" i="10"/>
  <c r="J27" i="10"/>
  <c r="G27" i="10"/>
  <c r="K19" i="10"/>
  <c r="N19" i="10"/>
  <c r="E19" i="10"/>
  <c r="Q19" i="10"/>
  <c r="H19" i="10"/>
  <c r="D11" i="10"/>
  <c r="P11" i="10"/>
  <c r="G11" i="10"/>
  <c r="J11" i="10"/>
  <c r="M11" i="10"/>
  <c r="E11" i="10"/>
  <c r="Q11" i="10"/>
  <c r="H11" i="10"/>
  <c r="K11" i="10"/>
  <c r="N11" i="10"/>
  <c r="Q27" i="10"/>
  <c r="E27" i="10"/>
  <c r="N27" i="10"/>
  <c r="K27" i="10"/>
  <c r="H27" i="10"/>
  <c r="G7" i="10"/>
  <c r="P7" i="10"/>
  <c r="D7" i="10"/>
  <c r="M7" i="10"/>
  <c r="J7" i="10"/>
  <c r="J19" i="10"/>
  <c r="M19" i="10"/>
  <c r="G19" i="10"/>
  <c r="P19" i="10"/>
  <c r="D19" i="10"/>
  <c r="M15" i="10"/>
  <c r="O15" i="10" s="1"/>
  <c r="J15" i="10"/>
  <c r="G15" i="10"/>
  <c r="P15" i="10"/>
  <c r="D15" i="10"/>
  <c r="H7" i="10"/>
  <c r="E7" i="10"/>
  <c r="Q7" i="10"/>
  <c r="K7" i="10"/>
  <c r="N7" i="10"/>
  <c r="G23" i="10"/>
  <c r="P23" i="10"/>
  <c r="D23" i="10"/>
  <c r="M23" i="10"/>
  <c r="J23" i="10"/>
  <c r="O8" i="14"/>
  <c r="O14" i="14"/>
  <c r="O13" i="14"/>
  <c r="P17" i="10"/>
  <c r="M17" i="10"/>
  <c r="J17" i="10"/>
  <c r="D17" i="10"/>
  <c r="G17" i="10"/>
  <c r="O9" i="14"/>
  <c r="O15" i="14"/>
  <c r="M13" i="10"/>
  <c r="G13" i="10"/>
  <c r="P13" i="10"/>
  <c r="J13" i="10"/>
  <c r="D13" i="10"/>
  <c r="O16" i="14"/>
  <c r="O11" i="14"/>
  <c r="O10" i="14"/>
  <c r="Q17" i="10"/>
  <c r="N17" i="10"/>
  <c r="K17" i="10"/>
  <c r="E17" i="10"/>
  <c r="H17" i="10"/>
  <c r="O12" i="14"/>
  <c r="O5" i="14"/>
  <c r="O7" i="14"/>
  <c r="D5" i="10"/>
  <c r="O6" i="14"/>
  <c r="D303" i="7" l="1"/>
  <c r="L295" i="7"/>
  <c r="F280" i="7"/>
  <c r="G195" i="7"/>
  <c r="D302" i="7"/>
  <c r="J220" i="7"/>
  <c r="D314" i="7"/>
  <c r="K15" i="7"/>
  <c r="L23" i="10"/>
  <c r="E198" i="7"/>
  <c r="I210" i="7"/>
  <c r="B256" i="7"/>
  <c r="B150" i="7"/>
  <c r="M279" i="7"/>
  <c r="B120" i="7"/>
  <c r="L233" i="7"/>
  <c r="H269" i="7"/>
  <c r="E264" i="7"/>
  <c r="B83" i="7"/>
  <c r="D290" i="7"/>
  <c r="C191" i="7"/>
  <c r="B244" i="7"/>
  <c r="I311" i="7"/>
  <c r="I251" i="7"/>
  <c r="K101" i="7"/>
  <c r="H287" i="7"/>
  <c r="F247" i="7"/>
  <c r="G168" i="7"/>
  <c r="D19" i="7"/>
  <c r="C269" i="7"/>
  <c r="J298" i="7"/>
  <c r="G304" i="7"/>
  <c r="K286" i="7"/>
  <c r="G297" i="7"/>
  <c r="M299" i="7"/>
  <c r="M298" i="7"/>
  <c r="J22" i="7"/>
  <c r="J225" i="7"/>
  <c r="M254" i="7"/>
  <c r="E239" i="7"/>
  <c r="D258" i="7"/>
  <c r="C220" i="7"/>
  <c r="M257" i="7"/>
  <c r="B82" i="7"/>
  <c r="J146" i="7"/>
  <c r="B158" i="7"/>
  <c r="J244" i="7"/>
  <c r="H271" i="7"/>
  <c r="H277" i="7"/>
  <c r="G17" i="7"/>
  <c r="G274" i="7"/>
  <c r="H282" i="7"/>
  <c r="G227" i="7"/>
  <c r="B185" i="7"/>
  <c r="G232" i="7"/>
  <c r="D277" i="7"/>
  <c r="M264" i="7"/>
  <c r="J272" i="7"/>
  <c r="B24" i="7"/>
  <c r="M217" i="7"/>
  <c r="B214" i="7"/>
  <c r="M174" i="7"/>
  <c r="F277" i="7"/>
  <c r="L204" i="7"/>
  <c r="M206" i="7"/>
  <c r="E303" i="7"/>
  <c r="E236" i="7"/>
  <c r="B204" i="7"/>
  <c r="K19" i="7"/>
  <c r="L188" i="7"/>
  <c r="K210" i="7"/>
  <c r="B128" i="7"/>
  <c r="B81" i="7"/>
  <c r="F302" i="7"/>
  <c r="G269" i="7"/>
  <c r="H195" i="7"/>
  <c r="F295" i="7"/>
  <c r="G260" i="7"/>
  <c r="C300" i="7"/>
  <c r="E291" i="7"/>
  <c r="F217" i="7"/>
  <c r="D18" i="7"/>
  <c r="E282" i="7"/>
  <c r="B110" i="7"/>
  <c r="F286" i="7"/>
  <c r="F208" i="7"/>
  <c r="J314" i="7"/>
  <c r="C292" i="7"/>
  <c r="C306" i="7"/>
  <c r="B263" i="7"/>
  <c r="J273" i="7"/>
  <c r="B218" i="7"/>
  <c r="B22" i="7"/>
  <c r="D196" i="7"/>
  <c r="H249" i="7"/>
  <c r="M278" i="7"/>
  <c r="C257" i="7"/>
  <c r="I154" i="7"/>
  <c r="E306" i="7"/>
  <c r="F271" i="7"/>
  <c r="K311" i="7"/>
  <c r="L278" i="7"/>
  <c r="M204" i="7"/>
  <c r="G20" i="7"/>
  <c r="H281" i="7"/>
  <c r="I289" i="7"/>
  <c r="E296" i="7"/>
  <c r="I188" i="7"/>
  <c r="D259" i="7"/>
  <c r="G303" i="7"/>
  <c r="M292" i="7"/>
  <c r="I310" i="7"/>
  <c r="I123" i="7"/>
  <c r="C286" i="7"/>
  <c r="B304" i="7"/>
  <c r="L255" i="7"/>
  <c r="E182" i="7"/>
  <c r="C194" i="7"/>
  <c r="C209" i="7"/>
  <c r="G16" i="7"/>
  <c r="F230" i="7"/>
  <c r="B136" i="7"/>
  <c r="L19" i="7"/>
  <c r="B151" i="7"/>
  <c r="K293" i="7"/>
  <c r="M301" i="7"/>
  <c r="J223" i="7"/>
  <c r="F314" i="7"/>
  <c r="B175" i="7"/>
  <c r="J307" i="7"/>
  <c r="M300" i="7"/>
  <c r="F256" i="7"/>
  <c r="K237" i="7"/>
  <c r="M22" i="7"/>
  <c r="B39" i="7"/>
  <c r="F278" i="7"/>
  <c r="B300" i="7"/>
  <c r="K99" i="7"/>
  <c r="I33" i="7"/>
  <c r="G69" i="7"/>
  <c r="G76" i="7"/>
  <c r="H32" i="7"/>
  <c r="F68" i="7"/>
  <c r="G111" i="7"/>
  <c r="C64" i="7"/>
  <c r="E125" i="7"/>
  <c r="K26" i="7"/>
  <c r="F56" i="7"/>
  <c r="E74" i="7"/>
  <c r="G81" i="7"/>
  <c r="F26" i="7"/>
  <c r="B200" i="7"/>
  <c r="K61" i="7"/>
  <c r="K33" i="7"/>
  <c r="C123" i="7"/>
  <c r="I35" i="7"/>
  <c r="B219" i="7"/>
  <c r="B119" i="7"/>
  <c r="I67" i="7"/>
  <c r="D64" i="7"/>
  <c r="L128" i="7"/>
  <c r="L47" i="7"/>
  <c r="I59" i="7"/>
  <c r="B232" i="7"/>
  <c r="D37" i="7"/>
  <c r="I79" i="7"/>
  <c r="L63" i="7"/>
  <c r="G28" i="7"/>
  <c r="M109" i="7"/>
  <c r="D55" i="7"/>
  <c r="J119" i="7"/>
  <c r="I103" i="7"/>
  <c r="D128" i="7"/>
  <c r="M156" i="7"/>
  <c r="E108" i="7"/>
  <c r="K105" i="7"/>
  <c r="F172" i="7"/>
  <c r="K120" i="7"/>
  <c r="L116" i="7"/>
  <c r="C63" i="7"/>
  <c r="J78" i="7"/>
  <c r="G79" i="7"/>
  <c r="H125" i="7"/>
  <c r="I124" i="7"/>
  <c r="M103" i="7"/>
  <c r="L57" i="7"/>
  <c r="L77" i="7"/>
  <c r="H53" i="7"/>
  <c r="L53" i="7"/>
  <c r="C97" i="7"/>
  <c r="I163" i="7"/>
  <c r="C112" i="7"/>
  <c r="D108" i="7"/>
  <c r="L110" i="7"/>
  <c r="G177" i="7"/>
  <c r="G126" i="7"/>
  <c r="F123" i="7"/>
  <c r="I69" i="7"/>
  <c r="M101" i="7"/>
  <c r="E80" i="7"/>
  <c r="D124" i="7"/>
  <c r="C121" i="7"/>
  <c r="I187" i="7"/>
  <c r="I91" i="7"/>
  <c r="L51" i="7"/>
  <c r="J42" i="7"/>
  <c r="H65" i="7"/>
  <c r="J108" i="7"/>
  <c r="E175" i="7"/>
  <c r="J123" i="7"/>
  <c r="K119" i="7"/>
  <c r="H122" i="7"/>
  <c r="C189" i="7"/>
  <c r="H69" i="7"/>
  <c r="B194" i="7"/>
  <c r="I47" i="7"/>
  <c r="K24" i="7"/>
  <c r="J129" i="7"/>
  <c r="G134" i="7"/>
  <c r="F82" i="7"/>
  <c r="K54" i="7"/>
  <c r="K91" i="7"/>
  <c r="M52" i="7"/>
  <c r="G50" i="7"/>
  <c r="I54" i="7"/>
  <c r="L61" i="7"/>
  <c r="K23" i="7"/>
  <c r="L48" i="7"/>
  <c r="B49" i="7"/>
  <c r="F73" i="7"/>
  <c r="H92" i="7"/>
  <c r="C59" i="7"/>
  <c r="K47" i="7"/>
  <c r="L72" i="7"/>
  <c r="B65" i="7"/>
  <c r="F55" i="7"/>
  <c r="H116" i="7"/>
  <c r="G70" i="7"/>
  <c r="D29" i="7"/>
  <c r="B270" i="7"/>
  <c r="M49" i="7"/>
  <c r="M45" i="7"/>
  <c r="D41" i="7"/>
  <c r="E41" i="7"/>
  <c r="G41" i="7"/>
  <c r="D53" i="7"/>
  <c r="B61" i="7"/>
  <c r="J57" i="7"/>
  <c r="K115" i="7"/>
  <c r="G57" i="7"/>
  <c r="M74" i="7"/>
  <c r="H76" i="7"/>
  <c r="C27" i="7"/>
  <c r="J106" i="7"/>
  <c r="F91" i="7"/>
  <c r="K36" i="7"/>
  <c r="K141" i="7"/>
  <c r="C96" i="7"/>
  <c r="H93" i="7"/>
  <c r="C36" i="7"/>
  <c r="D159" i="7"/>
  <c r="I104" i="7"/>
  <c r="L79" i="7"/>
  <c r="I71" i="7"/>
  <c r="I68" i="7"/>
  <c r="H112" i="7"/>
  <c r="G109" i="7"/>
  <c r="M175" i="7"/>
  <c r="G124" i="7"/>
  <c r="G73" i="7"/>
  <c r="E71" i="7"/>
  <c r="J38" i="7"/>
  <c r="K84" i="7"/>
  <c r="E146" i="7"/>
  <c r="G150" i="7"/>
  <c r="L95" i="7"/>
  <c r="I98" i="7"/>
  <c r="C160" i="7"/>
  <c r="E114" i="7"/>
  <c r="F110" i="7"/>
  <c r="D88" i="7"/>
  <c r="I37" i="7"/>
  <c r="H66" i="7"/>
  <c r="L111" i="7"/>
  <c r="K108" i="7"/>
  <c r="L107" i="7"/>
  <c r="G174" i="7"/>
  <c r="K51" i="7"/>
  <c r="M58" i="7"/>
  <c r="F50" i="7"/>
  <c r="G96" i="7"/>
  <c r="F85" i="7"/>
  <c r="C162" i="7"/>
  <c r="H107" i="7"/>
  <c r="E110" i="7"/>
  <c r="J171" i="7"/>
  <c r="L125" i="7"/>
  <c r="D38" i="7"/>
  <c r="F25" i="7"/>
  <c r="F71" i="7"/>
  <c r="H114" i="7"/>
  <c r="C181" i="7"/>
  <c r="H129" i="7"/>
  <c r="I125" i="7"/>
  <c r="B228" i="7"/>
  <c r="G52" i="7"/>
  <c r="L37" i="7"/>
  <c r="G71" i="7"/>
  <c r="E83" i="7"/>
  <c r="I28" i="7"/>
  <c r="J46" i="7"/>
  <c r="F70" i="7"/>
  <c r="C38" i="7"/>
  <c r="B278" i="7"/>
  <c r="L66" i="7"/>
  <c r="I45" i="7"/>
  <c r="E48" i="7"/>
  <c r="E36" i="7"/>
  <c r="C62" i="7"/>
  <c r="B196" i="7"/>
  <c r="D40" i="7"/>
  <c r="M57" i="7"/>
  <c r="M63" i="7"/>
  <c r="J75" i="7"/>
  <c r="B247" i="7"/>
  <c r="H25" i="7"/>
  <c r="D35" i="7"/>
  <c r="F122" i="7"/>
  <c r="J29" i="7"/>
  <c r="H81" i="7"/>
  <c r="J73" i="7"/>
  <c r="B103" i="7"/>
  <c r="M43" i="7"/>
  <c r="L68" i="7"/>
  <c r="K35" i="7"/>
  <c r="E35" i="7"/>
  <c r="I75" i="7"/>
  <c r="I73" i="7"/>
  <c r="G94" i="7"/>
  <c r="H61" i="7"/>
  <c r="K121" i="7"/>
  <c r="F188" i="7"/>
  <c r="F134" i="7"/>
  <c r="M76" i="7"/>
  <c r="E54" i="7"/>
  <c r="M143" i="7"/>
  <c r="G92" i="7"/>
  <c r="J65" i="7"/>
  <c r="M25" i="7"/>
  <c r="L54" i="7"/>
  <c r="E100" i="7"/>
  <c r="D97" i="7"/>
  <c r="C86" i="7"/>
  <c r="K162" i="7"/>
  <c r="H51" i="7"/>
  <c r="M32" i="7"/>
  <c r="L27" i="7"/>
  <c r="F131" i="7"/>
  <c r="G130" i="7"/>
  <c r="E135" i="7"/>
  <c r="H83" i="7"/>
  <c r="I85" i="7"/>
  <c r="E109" i="7"/>
  <c r="I152" i="7"/>
  <c r="C98" i="7"/>
  <c r="D43" i="7"/>
  <c r="C26" i="7"/>
  <c r="J102" i="7"/>
  <c r="J99" i="7"/>
  <c r="K95" i="7"/>
  <c r="J92" i="7"/>
  <c r="E159" i="7"/>
  <c r="I38" i="7"/>
  <c r="L67" i="7"/>
  <c r="H39" i="7"/>
  <c r="C83" i="7"/>
  <c r="F76" i="7"/>
  <c r="L146" i="7"/>
  <c r="F95" i="7"/>
  <c r="E97" i="7"/>
  <c r="D91" i="7"/>
  <c r="E164" i="7"/>
  <c r="M40" i="7"/>
  <c r="K64" i="7"/>
  <c r="D56" i="7"/>
  <c r="E102" i="7"/>
  <c r="G98" i="7"/>
  <c r="L167" i="7"/>
  <c r="B95" i="7"/>
  <c r="M36" i="7"/>
  <c r="J44" i="7"/>
  <c r="I129" i="7"/>
  <c r="B203" i="7"/>
  <c r="G61" i="7"/>
  <c r="L104" i="7"/>
  <c r="J30" i="7"/>
  <c r="K94" i="7"/>
  <c r="B107" i="7"/>
  <c r="M80" i="7"/>
  <c r="J67" i="7"/>
  <c r="I29" i="7"/>
  <c r="J54" i="7"/>
  <c r="B164" i="7"/>
  <c r="D26" i="7"/>
  <c r="F98" i="7"/>
  <c r="G46" i="7"/>
  <c r="F42" i="7"/>
  <c r="M35" i="7"/>
  <c r="B286" i="7"/>
  <c r="C72" i="7"/>
  <c r="J81" i="7"/>
  <c r="E52" i="7"/>
  <c r="F63" i="7"/>
  <c r="F66" i="7"/>
  <c r="M59" i="7"/>
  <c r="B268" i="7"/>
  <c r="J50" i="7"/>
  <c r="G44" i="7"/>
  <c r="M24" i="7"/>
  <c r="K81" i="7"/>
  <c r="E65" i="7"/>
  <c r="K62" i="7"/>
  <c r="E81" i="7"/>
  <c r="L124" i="7"/>
  <c r="H109" i="7"/>
  <c r="G114" i="7"/>
  <c r="M180" i="7"/>
  <c r="C127" i="7"/>
  <c r="M123" i="7"/>
  <c r="E79" i="7"/>
  <c r="L114" i="7"/>
  <c r="D69" i="7"/>
  <c r="H72" i="7"/>
  <c r="C91" i="7"/>
  <c r="C88" i="7"/>
  <c r="C84" i="7"/>
  <c r="G78" i="7"/>
  <c r="I147" i="7"/>
  <c r="C23" i="7"/>
  <c r="F90" i="7"/>
  <c r="G74" i="7"/>
  <c r="F118" i="7"/>
  <c r="E115" i="7"/>
  <c r="K181" i="7"/>
  <c r="E130" i="7"/>
  <c r="D132" i="7"/>
  <c r="I132" i="7"/>
  <c r="G137" i="7"/>
  <c r="B69" i="7"/>
  <c r="E47" i="7"/>
  <c r="I72" i="7"/>
  <c r="G90" i="7"/>
  <c r="C138" i="7"/>
  <c r="F83" i="7"/>
  <c r="K76" i="7"/>
  <c r="G103" i="7"/>
  <c r="C58" i="7"/>
  <c r="K107" i="7"/>
  <c r="K25" i="7"/>
  <c r="M129" i="7"/>
  <c r="L126" i="7"/>
  <c r="J104" i="7"/>
  <c r="H133" i="7"/>
  <c r="M84" i="7"/>
  <c r="I81" i="7"/>
  <c r="C149" i="7"/>
  <c r="G23" i="7"/>
  <c r="H79" i="7"/>
  <c r="F45" i="7"/>
  <c r="E89" i="7"/>
  <c r="D86" i="7"/>
  <c r="J152" i="7"/>
  <c r="D101" i="7"/>
  <c r="F74" i="7"/>
  <c r="I113" i="7"/>
  <c r="M68" i="7"/>
  <c r="J64" i="7"/>
  <c r="B248" i="7"/>
  <c r="D50" i="7"/>
  <c r="K34" i="7"/>
  <c r="G66" i="7"/>
  <c r="I48" i="7"/>
  <c r="B177" i="7"/>
  <c r="G27" i="7"/>
  <c r="J41" i="7"/>
  <c r="I64" i="7"/>
  <c r="D30" i="7"/>
  <c r="B313" i="7"/>
  <c r="E66" i="7"/>
  <c r="L39" i="7"/>
  <c r="C80" i="7"/>
  <c r="H31" i="7"/>
  <c r="H82" i="7"/>
  <c r="B143" i="7"/>
  <c r="C46" i="7"/>
  <c r="E57" i="7"/>
  <c r="K45" i="7"/>
  <c r="D48" i="7"/>
  <c r="H55" i="7"/>
  <c r="K83" i="7"/>
  <c r="B298" i="7"/>
  <c r="D39" i="7"/>
  <c r="E29" i="7"/>
  <c r="H71" i="7"/>
  <c r="H24" i="7"/>
  <c r="J24" i="7"/>
  <c r="C49" i="7"/>
  <c r="K128" i="7"/>
  <c r="I112" i="7"/>
  <c r="H96" i="7"/>
  <c r="E99" i="7"/>
  <c r="K165" i="7"/>
  <c r="K114" i="7"/>
  <c r="J111" i="7"/>
  <c r="K110" i="7"/>
  <c r="B236" i="7"/>
  <c r="J53" i="7"/>
  <c r="M60" i="7"/>
  <c r="D65" i="7"/>
  <c r="I74" i="7"/>
  <c r="J130" i="7"/>
  <c r="I127" i="7"/>
  <c r="H110" i="7"/>
  <c r="M51" i="7"/>
  <c r="K31" i="7"/>
  <c r="J60" i="7"/>
  <c r="C106" i="7"/>
  <c r="M102" i="7"/>
  <c r="D99" i="7"/>
  <c r="I168" i="7"/>
  <c r="L119" i="7"/>
  <c r="G117" i="7"/>
  <c r="M183" i="7"/>
  <c r="B252" i="7"/>
  <c r="F61" i="7"/>
  <c r="D66" i="7"/>
  <c r="C118" i="7"/>
  <c r="I184" i="7"/>
  <c r="C130" i="7"/>
  <c r="M126" i="7"/>
  <c r="L131" i="7"/>
  <c r="L41" i="7"/>
  <c r="G43" i="7"/>
  <c r="F72" i="7"/>
  <c r="J117" i="7"/>
  <c r="I114" i="7"/>
  <c r="J113" i="7"/>
  <c r="E180" i="7"/>
  <c r="H131" i="7"/>
  <c r="C129" i="7"/>
  <c r="D122" i="7"/>
  <c r="I51" i="7"/>
  <c r="F59" i="7"/>
  <c r="I31" i="7"/>
  <c r="I50" i="7"/>
  <c r="L25" i="7"/>
  <c r="F135" i="7"/>
  <c r="I78" i="7"/>
  <c r="B258" i="7"/>
  <c r="C30" i="7"/>
  <c r="K78" i="7"/>
  <c r="B25" i="7"/>
  <c r="H28" i="7"/>
  <c r="F28" i="7"/>
  <c r="J52" i="7"/>
  <c r="D42" i="7"/>
  <c r="B303" i="7"/>
  <c r="M73" i="7"/>
  <c r="M27" i="7"/>
  <c r="D58" i="7"/>
  <c r="J76" i="7"/>
  <c r="B174" i="7"/>
  <c r="C51" i="7"/>
  <c r="G33" i="7"/>
  <c r="L64" i="7"/>
  <c r="C78" i="7"/>
  <c r="E25" i="7"/>
  <c r="B280" i="7"/>
  <c r="F32" i="7"/>
  <c r="J45" i="7"/>
  <c r="F39" i="7"/>
  <c r="I23" i="7"/>
  <c r="H124" i="7"/>
  <c r="B195" i="7"/>
  <c r="B50" i="7"/>
  <c r="J32" i="7"/>
  <c r="M64" i="7"/>
  <c r="M79" i="7"/>
  <c r="C71" i="7"/>
  <c r="I49" i="7"/>
  <c r="E85" i="7"/>
  <c r="D167" i="7"/>
  <c r="K138" i="7"/>
  <c r="D84" i="7"/>
  <c r="M86" i="7"/>
  <c r="G148" i="7"/>
  <c r="I102" i="7"/>
  <c r="J98" i="7"/>
  <c r="I95" i="7"/>
  <c r="B89" i="7"/>
  <c r="D72" i="7"/>
  <c r="H54" i="7"/>
  <c r="G106" i="7"/>
  <c r="M172" i="7"/>
  <c r="G118" i="7"/>
  <c r="F115" i="7"/>
  <c r="E120" i="7"/>
  <c r="M53" i="7"/>
  <c r="F78" i="7"/>
  <c r="L96" i="7"/>
  <c r="L93" i="7"/>
  <c r="M89" i="7"/>
  <c r="L86" i="7"/>
  <c r="G153" i="7"/>
  <c r="J107" i="7"/>
  <c r="D105" i="7"/>
  <c r="E104" i="7"/>
  <c r="J62" i="7"/>
  <c r="L36" i="7"/>
  <c r="J59" i="7"/>
  <c r="L102" i="7"/>
  <c r="G169" i="7"/>
  <c r="L117" i="7"/>
  <c r="M113" i="7"/>
  <c r="J116" i="7"/>
  <c r="G29" i="7"/>
  <c r="L31" i="7"/>
  <c r="H108" i="7"/>
  <c r="H105" i="7"/>
  <c r="I101" i="7"/>
  <c r="H98" i="7"/>
  <c r="C165" i="7"/>
  <c r="F119" i="7"/>
  <c r="K116" i="7"/>
  <c r="L115" i="7"/>
  <c r="C47" i="7"/>
  <c r="E49" i="7"/>
  <c r="D78" i="7"/>
  <c r="H123" i="7"/>
  <c r="G120" i="7"/>
  <c r="H119" i="7"/>
  <c r="D23" i="7"/>
  <c r="E73" i="7"/>
  <c r="I62" i="7"/>
  <c r="F54" i="7"/>
  <c r="B179" i="7"/>
  <c r="E28" i="7"/>
  <c r="J28" i="7"/>
  <c r="M23" i="7"/>
  <c r="H42" i="7"/>
  <c r="B38" i="7"/>
  <c r="H23" i="7"/>
  <c r="D34" i="7"/>
  <c r="H58" i="7"/>
  <c r="M47" i="7"/>
  <c r="B133" i="7"/>
  <c r="K79" i="7"/>
  <c r="H47" i="7"/>
  <c r="M46" i="7"/>
  <c r="I53" i="7"/>
  <c r="E60" i="7"/>
  <c r="B47" i="7"/>
  <c r="C74" i="7"/>
  <c r="F79" i="7"/>
  <c r="D46" i="7"/>
  <c r="F106" i="7"/>
  <c r="C66" i="7"/>
  <c r="B21" i="7"/>
  <c r="I43" i="7"/>
  <c r="K46" i="7"/>
  <c r="G87" i="7"/>
  <c r="L34" i="7"/>
  <c r="F33" i="7"/>
  <c r="J66" i="7"/>
  <c r="M131" i="7"/>
  <c r="K118" i="7"/>
  <c r="D170" i="7"/>
  <c r="I118" i="7"/>
  <c r="H120" i="7"/>
  <c r="M120" i="7"/>
  <c r="L33" i="7"/>
  <c r="K28" i="7"/>
  <c r="L129" i="7"/>
  <c r="L26" i="7"/>
  <c r="G65" i="7"/>
  <c r="L32" i="7"/>
  <c r="I66" i="7"/>
  <c r="G140" i="7"/>
  <c r="I144" i="7"/>
  <c r="C90" i="7"/>
  <c r="B257" i="7"/>
  <c r="M77" i="7"/>
  <c r="F60" i="7"/>
  <c r="E112" i="7"/>
  <c r="K178" i="7"/>
  <c r="E124" i="7"/>
  <c r="D121" i="7"/>
  <c r="C126" i="7"/>
  <c r="I115" i="7"/>
  <c r="L73" i="7"/>
  <c r="D49" i="7"/>
  <c r="C45" i="7"/>
  <c r="K38" i="7"/>
  <c r="J33" i="7"/>
  <c r="J55" i="7"/>
  <c r="M30" i="7"/>
  <c r="C141" i="7"/>
  <c r="H89" i="7"/>
  <c r="B159" i="7"/>
  <c r="D67" i="7"/>
  <c r="M71" i="7"/>
  <c r="L123" i="7"/>
  <c r="D98" i="7"/>
  <c r="C52" i="7"/>
  <c r="K132" i="7"/>
  <c r="I42" i="7"/>
  <c r="H142" i="7"/>
  <c r="H91" i="7"/>
  <c r="B306" i="7"/>
  <c r="K40" i="7"/>
  <c r="E31" i="7"/>
  <c r="C102" i="7"/>
  <c r="J149" i="7"/>
  <c r="D95" i="7"/>
  <c r="C92" i="7"/>
  <c r="L74" i="7"/>
  <c r="B282" i="7"/>
  <c r="K32" i="7"/>
  <c r="L52" i="7"/>
  <c r="L132" i="7"/>
  <c r="K157" i="7"/>
  <c r="G56" i="7"/>
  <c r="H44" i="7"/>
  <c r="E96" i="7"/>
  <c r="M75" i="7"/>
  <c r="H139" i="7"/>
  <c r="K90" i="7"/>
  <c r="F88" i="7"/>
  <c r="E44" i="7"/>
  <c r="I46" i="7"/>
  <c r="M100" i="7"/>
  <c r="J136" i="7"/>
  <c r="L94" i="7"/>
  <c r="G122" i="7"/>
  <c r="M167" i="7"/>
  <c r="E122" i="7"/>
  <c r="C137" i="7"/>
  <c r="F175" i="7"/>
  <c r="D145" i="7"/>
  <c r="J170" i="7"/>
  <c r="M56" i="7"/>
  <c r="K112" i="7"/>
  <c r="G128" i="7"/>
  <c r="H115" i="7"/>
  <c r="E105" i="7"/>
  <c r="E131" i="7"/>
  <c r="J133" i="7"/>
  <c r="H214" i="7"/>
  <c r="I143" i="7"/>
  <c r="C184" i="7"/>
  <c r="G188" i="7"/>
  <c r="C82" i="7"/>
  <c r="J127" i="7"/>
  <c r="D135" i="7"/>
  <c r="M164" i="7"/>
  <c r="C104" i="7"/>
  <c r="K111" i="7"/>
  <c r="K93" i="7"/>
  <c r="L192" i="7"/>
  <c r="I181" i="7"/>
  <c r="I164" i="7"/>
  <c r="J71" i="7"/>
  <c r="G93" i="7"/>
  <c r="I120" i="7"/>
  <c r="I126" i="7"/>
  <c r="E116" i="7"/>
  <c r="I130" i="7"/>
  <c r="E111" i="7"/>
  <c r="K216" i="7"/>
  <c r="L140" i="7"/>
  <c r="L184" i="7"/>
  <c r="J23" i="7"/>
  <c r="K109" i="7"/>
  <c r="M97" i="7"/>
  <c r="F75" i="7"/>
  <c r="H128" i="7"/>
  <c r="L89" i="7"/>
  <c r="F151" i="7"/>
  <c r="M231" i="7"/>
  <c r="L71" i="7"/>
  <c r="F132" i="7"/>
  <c r="K136" i="7"/>
  <c r="L81" i="7"/>
  <c r="K89" i="7"/>
  <c r="J132" i="7"/>
  <c r="D143" i="7"/>
  <c r="D166" i="7"/>
  <c r="E149" i="7"/>
  <c r="C211" i="7"/>
  <c r="J192" i="7"/>
  <c r="D120" i="7"/>
  <c r="J176" i="7"/>
  <c r="E121" i="7"/>
  <c r="J91" i="7"/>
  <c r="D79" i="7"/>
  <c r="H101" i="7"/>
  <c r="D162" i="7"/>
  <c r="K240" i="7"/>
  <c r="H156" i="7"/>
  <c r="F218" i="7"/>
  <c r="L88" i="7"/>
  <c r="E40" i="7"/>
  <c r="L59" i="7"/>
  <c r="B59" i="7"/>
  <c r="M140" i="7"/>
  <c r="E106" i="7"/>
  <c r="J31" i="7"/>
  <c r="I90" i="7"/>
  <c r="L143" i="7"/>
  <c r="J37" i="7"/>
  <c r="C186" i="7"/>
  <c r="J63" i="7"/>
  <c r="F43" i="7"/>
  <c r="L44" i="7"/>
  <c r="C25" i="7"/>
  <c r="H158" i="7"/>
  <c r="L165" i="7"/>
  <c r="C100" i="7"/>
  <c r="C113" i="7"/>
  <c r="E76" i="7"/>
  <c r="I160" i="7"/>
  <c r="I183" i="7"/>
  <c r="J166" i="7"/>
  <c r="H228" i="7"/>
  <c r="D210" i="7"/>
  <c r="E78" i="7"/>
  <c r="I108" i="7"/>
  <c r="D103" i="7"/>
  <c r="D109" i="7"/>
  <c r="K98" i="7"/>
  <c r="M118" i="7"/>
  <c r="G180" i="7"/>
  <c r="D205" i="7"/>
  <c r="H102" i="7"/>
  <c r="E173" i="7"/>
  <c r="C235" i="7"/>
  <c r="F140" i="7"/>
  <c r="G102" i="7"/>
  <c r="L154" i="7"/>
  <c r="I155" i="7"/>
  <c r="E148" i="7"/>
  <c r="H99" i="7"/>
  <c r="I177" i="7"/>
  <c r="G239" i="7"/>
  <c r="C221" i="7"/>
  <c r="D150" i="7"/>
  <c r="I88" i="7"/>
  <c r="D73" i="7"/>
  <c r="K146" i="7"/>
  <c r="K170" i="7"/>
  <c r="L109" i="7"/>
  <c r="I117" i="7"/>
  <c r="G135" i="7"/>
  <c r="J198" i="7"/>
  <c r="C125" i="7"/>
  <c r="G170" i="7"/>
  <c r="F120" i="7"/>
  <c r="C105" i="7"/>
  <c r="E132" i="7"/>
  <c r="G132" i="7"/>
  <c r="C122" i="7"/>
  <c r="L49" i="7"/>
  <c r="D136" i="7"/>
  <c r="I222" i="7"/>
  <c r="L60" i="7"/>
  <c r="D131" i="7"/>
  <c r="F109" i="7"/>
  <c r="M78" i="7"/>
  <c r="D89" i="7"/>
  <c r="D123" i="7"/>
  <c r="F92" i="7"/>
  <c r="K151" i="7"/>
  <c r="J134" i="7"/>
  <c r="L195" i="7"/>
  <c r="C156" i="7"/>
  <c r="C108" i="7"/>
  <c r="H78" i="7"/>
  <c r="K96" i="7"/>
  <c r="L135" i="7"/>
  <c r="I34" i="7"/>
  <c r="H88" i="7"/>
  <c r="I128" i="7"/>
  <c r="K160" i="7"/>
  <c r="C142" i="7"/>
  <c r="D203" i="7"/>
  <c r="J56" i="7"/>
  <c r="J35" i="7"/>
  <c r="M26" i="7"/>
  <c r="D70" i="7"/>
  <c r="F101" i="7"/>
  <c r="G86" i="7"/>
  <c r="F102" i="7"/>
  <c r="C136" i="7"/>
  <c r="G127" i="7"/>
  <c r="F89" i="7"/>
  <c r="F114" i="7"/>
  <c r="L170" i="7"/>
  <c r="D125" i="7"/>
  <c r="I122" i="7"/>
  <c r="K73" i="7"/>
  <c r="C37" i="7"/>
  <c r="L97" i="7"/>
  <c r="G48" i="7"/>
  <c r="H104" i="7"/>
  <c r="I106" i="7"/>
  <c r="L65" i="7"/>
  <c r="G145" i="7"/>
  <c r="E169" i="7"/>
  <c r="E152" i="7"/>
  <c r="F213" i="7"/>
  <c r="K200" i="7"/>
  <c r="L100" i="7"/>
  <c r="L121" i="7"/>
  <c r="E103" i="7"/>
  <c r="F153" i="7"/>
  <c r="E98" i="7"/>
  <c r="M105" i="7"/>
  <c r="L181" i="7"/>
  <c r="L185" i="7"/>
  <c r="K175" i="7"/>
  <c r="K158" i="7"/>
  <c r="H29" i="7"/>
  <c r="G72" i="7"/>
  <c r="G97" i="7"/>
  <c r="L91" i="7"/>
  <c r="C144" i="7"/>
  <c r="H132" i="7"/>
  <c r="F87" i="7"/>
  <c r="D163" i="7"/>
  <c r="E224" i="7"/>
  <c r="J211" i="7"/>
  <c r="K135" i="7"/>
  <c r="D146" i="7"/>
  <c r="C114" i="7"/>
  <c r="J160" i="7"/>
  <c r="G161" i="7"/>
  <c r="C154" i="7"/>
  <c r="F105" i="7"/>
  <c r="G183" i="7"/>
  <c r="H157" i="7"/>
  <c r="L226" i="7"/>
  <c r="M155" i="7"/>
  <c r="F129" i="7"/>
  <c r="G91" i="7"/>
  <c r="G158" i="7"/>
  <c r="I176" i="7"/>
  <c r="J115" i="7"/>
  <c r="G123" i="7"/>
  <c r="J142" i="7"/>
  <c r="H204" i="7"/>
  <c r="M82" i="7"/>
  <c r="E62" i="7"/>
  <c r="I80" i="7"/>
  <c r="C77" i="7"/>
  <c r="J80" i="7"/>
  <c r="M107" i="7"/>
  <c r="H174" i="7"/>
  <c r="E191" i="7"/>
  <c r="F181" i="7"/>
  <c r="K152" i="7"/>
  <c r="L229" i="7"/>
  <c r="D117" i="7"/>
  <c r="J114" i="7"/>
  <c r="L175" i="7"/>
  <c r="H77" i="7"/>
  <c r="F127" i="7"/>
  <c r="K44" i="7"/>
  <c r="D186" i="7"/>
  <c r="E176" i="7"/>
  <c r="G89" i="7"/>
  <c r="B266" i="7"/>
  <c r="B88" i="7"/>
  <c r="F40" i="7"/>
  <c r="C31" i="7"/>
  <c r="K131" i="7"/>
  <c r="L82" i="7"/>
  <c r="B273" i="7"/>
  <c r="C146" i="7"/>
  <c r="E156" i="7"/>
  <c r="E86" i="7"/>
  <c r="F111" i="7"/>
  <c r="K86" i="7"/>
  <c r="H163" i="7"/>
  <c r="I109" i="7"/>
  <c r="D59" i="7"/>
  <c r="D51" i="7"/>
  <c r="M106" i="7"/>
  <c r="M110" i="7"/>
  <c r="J109" i="7"/>
  <c r="G99" i="7"/>
  <c r="G125" i="7"/>
  <c r="C93" i="7"/>
  <c r="J208" i="7"/>
  <c r="K137" i="7"/>
  <c r="C176" i="7"/>
  <c r="M150" i="7"/>
  <c r="F161" i="7"/>
  <c r="I96" i="7"/>
  <c r="E143" i="7"/>
  <c r="K149" i="7"/>
  <c r="G142" i="7"/>
  <c r="J93" i="7"/>
  <c r="K171" i="7"/>
  <c r="I233" i="7"/>
  <c r="E215" i="7"/>
  <c r="F144" i="7"/>
  <c r="G53" i="7"/>
  <c r="K88" i="7"/>
  <c r="M159" i="7"/>
  <c r="F112" i="7"/>
  <c r="C134" i="7"/>
  <c r="I179" i="7"/>
  <c r="C28" i="7"/>
  <c r="J148" i="7"/>
  <c r="I99" i="7"/>
  <c r="I193" i="7"/>
  <c r="E27" i="7"/>
  <c r="H40" i="7"/>
  <c r="G62" i="7"/>
  <c r="E88" i="7"/>
  <c r="B67" i="7"/>
  <c r="H134" i="7"/>
  <c r="F31" i="7"/>
  <c r="H59" i="7"/>
  <c r="D92" i="7"/>
  <c r="J101" i="7"/>
  <c r="G24" i="7"/>
  <c r="G107" i="7"/>
  <c r="G80" i="7"/>
  <c r="F148" i="7"/>
  <c r="F97" i="7"/>
  <c r="M29" i="7"/>
  <c r="J126" i="7"/>
  <c r="K102" i="7"/>
  <c r="J85" i="7"/>
  <c r="F103" i="7"/>
  <c r="M92" i="7"/>
  <c r="D113" i="7"/>
  <c r="I174" i="7"/>
  <c r="F199" i="7"/>
  <c r="F184" i="7"/>
  <c r="G167" i="7"/>
  <c r="K55" i="7"/>
  <c r="K97" i="7"/>
  <c r="M130" i="7"/>
  <c r="C115" i="7"/>
  <c r="E138" i="7"/>
  <c r="H86" i="7"/>
  <c r="J79" i="7"/>
  <c r="F157" i="7"/>
  <c r="G218" i="7"/>
  <c r="L205" i="7"/>
  <c r="F108" i="7"/>
  <c r="J89" i="7"/>
  <c r="D141" i="7"/>
  <c r="M87" i="7"/>
  <c r="H117" i="7"/>
  <c r="J124" i="7"/>
  <c r="J105" i="7"/>
  <c r="E172" i="7"/>
  <c r="E134" i="7"/>
  <c r="F178" i="7"/>
  <c r="D240" i="7"/>
  <c r="I83" i="7"/>
  <c r="I94" i="7"/>
  <c r="I171" i="7"/>
  <c r="D118" i="7"/>
  <c r="C60" i="7"/>
  <c r="G185" i="7"/>
  <c r="J120" i="7"/>
  <c r="H154" i="7"/>
  <c r="L136" i="7"/>
  <c r="G199" i="7"/>
  <c r="M69" i="7"/>
  <c r="E126" i="7"/>
  <c r="L151" i="7"/>
  <c r="J121" i="7"/>
  <c r="M70" i="7"/>
  <c r="J144" i="7"/>
  <c r="M98" i="7"/>
  <c r="K174" i="7"/>
  <c r="L235" i="7"/>
  <c r="D126" i="7"/>
  <c r="H37" i="7"/>
  <c r="M90" i="7"/>
  <c r="C109" i="7"/>
  <c r="L127" i="7"/>
  <c r="M81" i="7"/>
  <c r="I150" i="7"/>
  <c r="G228" i="7"/>
  <c r="H152" i="7"/>
  <c r="H135" i="7"/>
  <c r="H35" i="7"/>
  <c r="E113" i="7"/>
  <c r="D175" i="7"/>
  <c r="F133" i="7"/>
  <c r="M104" i="7"/>
  <c r="F156" i="7"/>
  <c r="C119" i="7"/>
  <c r="L202" i="7"/>
  <c r="G233" i="7"/>
  <c r="K159" i="7"/>
  <c r="E101" i="7"/>
  <c r="H74" i="7"/>
  <c r="K71" i="7"/>
  <c r="C50" i="7"/>
  <c r="F185" i="7"/>
  <c r="F130" i="7"/>
  <c r="K66" i="7"/>
  <c r="C89" i="7"/>
  <c r="B124" i="7"/>
  <c r="J157" i="7"/>
  <c r="F104" i="7"/>
  <c r="F128" i="7"/>
  <c r="F116" i="7"/>
  <c r="D85" i="7"/>
  <c r="C29" i="7"/>
  <c r="C95" i="7"/>
  <c r="G104" i="7"/>
  <c r="C120" i="7"/>
  <c r="H147" i="7"/>
  <c r="I86" i="7"/>
  <c r="D100" i="7"/>
  <c r="L173" i="7"/>
  <c r="F139" i="7"/>
  <c r="M169" i="7"/>
  <c r="M152" i="7"/>
  <c r="I25" i="7"/>
  <c r="K106" i="7"/>
  <c r="D154" i="7"/>
  <c r="H106" i="7"/>
  <c r="E128" i="7"/>
  <c r="K173" i="7"/>
  <c r="C128" i="7"/>
  <c r="L142" i="7"/>
  <c r="I182" i="7"/>
  <c r="H187" i="7"/>
  <c r="H176" i="7"/>
  <c r="I30" i="7"/>
  <c r="L84" i="7"/>
  <c r="M99" i="7"/>
  <c r="M121" i="7"/>
  <c r="E118" i="7"/>
  <c r="H90" i="7"/>
  <c r="C157" i="7"/>
  <c r="L180" i="7"/>
  <c r="L163" i="7"/>
  <c r="M224" i="7"/>
  <c r="H95" i="7"/>
  <c r="M146" i="7"/>
  <c r="C139" i="7"/>
  <c r="D129" i="7"/>
  <c r="H130" i="7"/>
  <c r="H111" i="7"/>
  <c r="C178" i="7"/>
  <c r="D140" i="7"/>
  <c r="D184" i="7"/>
  <c r="F163" i="7"/>
  <c r="D31" i="7"/>
  <c r="K85" i="7"/>
  <c r="E183" i="7"/>
  <c r="K129" i="7"/>
  <c r="L83" i="7"/>
  <c r="E87" i="7"/>
  <c r="F137" i="7"/>
  <c r="F160" i="7"/>
  <c r="G143" i="7"/>
  <c r="E46" i="7"/>
  <c r="L108" i="7"/>
  <c r="C170" i="7"/>
  <c r="G182" i="7"/>
  <c r="H121" i="7"/>
  <c r="E129" i="7"/>
  <c r="H148" i="7"/>
  <c r="F210" i="7"/>
  <c r="M191" i="7"/>
  <c r="C182" i="7"/>
  <c r="D32" i="7"/>
  <c r="J173" i="7"/>
  <c r="I142" i="7"/>
  <c r="G88" i="7"/>
  <c r="G101" i="7"/>
  <c r="M138" i="7"/>
  <c r="K186" i="7"/>
  <c r="K206" i="7"/>
  <c r="F194" i="7"/>
  <c r="E199" i="7"/>
  <c r="E64" i="7"/>
  <c r="L112" i="7"/>
  <c r="L78" i="7"/>
  <c r="E51" i="7"/>
  <c r="I26" i="7"/>
  <c r="E91" i="7"/>
  <c r="H126" i="7"/>
  <c r="F47" i="7"/>
  <c r="G25" i="7"/>
  <c r="J100" i="7"/>
  <c r="F113" i="7"/>
  <c r="C103" i="7"/>
  <c r="H103" i="7"/>
  <c r="B53" i="7"/>
  <c r="B134" i="7"/>
  <c r="M91" i="7"/>
  <c r="H113" i="7"/>
  <c r="F143" i="7"/>
  <c r="M127" i="7"/>
  <c r="D183" i="7"/>
  <c r="G40" i="7"/>
  <c r="H151" i="7"/>
  <c r="I212" i="7"/>
  <c r="C200" i="7"/>
  <c r="C185" i="7"/>
  <c r="L42" i="7"/>
  <c r="J103" i="7"/>
  <c r="D94" i="7"/>
  <c r="D116" i="7"/>
  <c r="G112" i="7"/>
  <c r="J84" i="7"/>
  <c r="E151" i="7"/>
  <c r="C175" i="7"/>
  <c r="C158" i="7"/>
  <c r="D219" i="7"/>
  <c r="I206" i="7"/>
  <c r="D25" i="7"/>
  <c r="I87" i="7"/>
  <c r="M108" i="7"/>
  <c r="M114" i="7"/>
  <c r="G110" i="7"/>
  <c r="K124" i="7"/>
  <c r="E186" i="7"/>
  <c r="M210" i="7"/>
  <c r="C135" i="7"/>
  <c r="C179" i="7"/>
  <c r="E43" i="7"/>
  <c r="D151" i="7"/>
  <c r="F86" i="7"/>
  <c r="D127" i="7"/>
  <c r="J122" i="7"/>
  <c r="M83" i="7"/>
  <c r="H145" i="7"/>
  <c r="D226" i="7"/>
  <c r="E155" i="7"/>
  <c r="I137" i="7"/>
  <c r="D77" i="7"/>
  <c r="G131" i="7"/>
  <c r="E123" i="7"/>
  <c r="D33" i="7"/>
  <c r="C44" i="7"/>
  <c r="D102" i="7"/>
  <c r="J168" i="7"/>
  <c r="K172" i="7"/>
  <c r="D45" i="7"/>
  <c r="C132" i="7"/>
  <c r="F169" i="7"/>
  <c r="H127" i="7"/>
  <c r="I92" i="7"/>
  <c r="H150" i="7"/>
  <c r="K104" i="7"/>
  <c r="I180" i="7"/>
  <c r="C152" i="7"/>
  <c r="D229" i="7"/>
  <c r="E153" i="7"/>
  <c r="M61" i="7"/>
  <c r="D119" i="7"/>
  <c r="J87" i="7"/>
  <c r="E92" i="7"/>
  <c r="K87" i="7"/>
  <c r="K113" i="7"/>
  <c r="I116" i="7"/>
  <c r="I178" i="7"/>
  <c r="H161" i="7"/>
  <c r="I84" i="7"/>
  <c r="L99" i="7"/>
  <c r="K227" i="7"/>
  <c r="M96" i="7"/>
  <c r="G32" i="7"/>
  <c r="G36" i="7"/>
  <c r="C124" i="7"/>
  <c r="J169" i="7"/>
  <c r="E30" i="7"/>
  <c r="L183" i="7"/>
  <c r="F84" i="7"/>
  <c r="M116" i="7"/>
  <c r="I167" i="7"/>
  <c r="C87" i="7"/>
  <c r="D57" i="7"/>
  <c r="L122" i="7"/>
  <c r="K195" i="7"/>
  <c r="H184" i="7"/>
  <c r="F173" i="7"/>
  <c r="D165" i="7"/>
  <c r="F239" i="7"/>
  <c r="M244" i="7"/>
  <c r="J266" i="7"/>
  <c r="E154" i="7"/>
  <c r="F159" i="7"/>
  <c r="D200" i="7"/>
  <c r="C205" i="7"/>
  <c r="F186" i="7"/>
  <c r="K180" i="7"/>
  <c r="K229" i="7"/>
  <c r="J164" i="7"/>
  <c r="E165" i="7"/>
  <c r="C227" i="7"/>
  <c r="G116" i="7"/>
  <c r="D144" i="7"/>
  <c r="J153" i="7"/>
  <c r="K214" i="7"/>
  <c r="I119" i="7"/>
  <c r="J222" i="7"/>
  <c r="M173" i="7"/>
  <c r="K235" i="7"/>
  <c r="J154" i="7"/>
  <c r="J137" i="7"/>
  <c r="K198" i="7"/>
  <c r="C192" i="7"/>
  <c r="G133" i="7"/>
  <c r="G189" i="7"/>
  <c r="H276" i="7"/>
  <c r="I166" i="7"/>
  <c r="G173" i="7"/>
  <c r="L150" i="7"/>
  <c r="H210" i="7"/>
  <c r="I190" i="7"/>
  <c r="I175" i="7"/>
  <c r="H164" i="7"/>
  <c r="F226" i="7"/>
  <c r="G225" i="7"/>
  <c r="E166" i="7"/>
  <c r="H137" i="7"/>
  <c r="H175" i="7"/>
  <c r="D169" i="7"/>
  <c r="L161" i="7"/>
  <c r="E160" i="7"/>
  <c r="F221" i="7"/>
  <c r="K208" i="7"/>
  <c r="J138" i="7"/>
  <c r="D139" i="7"/>
  <c r="E200" i="7"/>
  <c r="L200" i="7"/>
  <c r="E226" i="7"/>
  <c r="L221" i="7"/>
  <c r="K254" i="7"/>
  <c r="M294" i="7"/>
  <c r="M233" i="7"/>
  <c r="K18" i="7"/>
  <c r="I218" i="7"/>
  <c r="F285" i="7"/>
  <c r="D148" i="7"/>
  <c r="L172" i="7"/>
  <c r="F174" i="7"/>
  <c r="L264" i="7"/>
  <c r="G242" i="7"/>
  <c r="K253" i="7"/>
  <c r="I21" i="7"/>
  <c r="D230" i="7"/>
  <c r="M66" i="7"/>
  <c r="H155" i="7"/>
  <c r="G209" i="7"/>
  <c r="G166" i="7"/>
  <c r="F121" i="7"/>
  <c r="H85" i="7"/>
  <c r="L138" i="7"/>
  <c r="H217" i="7"/>
  <c r="H166" i="7"/>
  <c r="H94" i="7"/>
  <c r="G115" i="7"/>
  <c r="D157" i="7"/>
  <c r="K211" i="7"/>
  <c r="L178" i="7"/>
  <c r="L164" i="7"/>
  <c r="H180" i="7"/>
  <c r="D134" i="7"/>
  <c r="M223" i="7"/>
  <c r="L158" i="7"/>
  <c r="G159" i="7"/>
  <c r="E221" i="7"/>
  <c r="D204" i="7"/>
  <c r="G302" i="7"/>
  <c r="E94" i="7"/>
  <c r="F124" i="7"/>
  <c r="I196" i="7"/>
  <c r="J195" i="7"/>
  <c r="L171" i="7"/>
  <c r="M232" i="7"/>
  <c r="G220" i="7"/>
  <c r="F150" i="7"/>
  <c r="K150" i="7"/>
  <c r="L211" i="7"/>
  <c r="K168" i="7"/>
  <c r="D130" i="7"/>
  <c r="E139" i="7"/>
  <c r="L198" i="7"/>
  <c r="M148" i="7"/>
  <c r="K155" i="7"/>
  <c r="H159" i="7"/>
  <c r="I220" i="7"/>
  <c r="D194" i="7"/>
  <c r="E184" i="7"/>
  <c r="G164" i="7"/>
  <c r="I238" i="7"/>
  <c r="D180" i="7"/>
  <c r="L193" i="7"/>
  <c r="M125" i="7"/>
  <c r="B75" i="7"/>
  <c r="C53" i="7"/>
  <c r="C68" i="7"/>
  <c r="H138" i="7"/>
  <c r="J96" i="7"/>
  <c r="C111" i="7"/>
  <c r="J90" i="7"/>
  <c r="F96" i="7"/>
  <c r="K230" i="7"/>
  <c r="E38" i="7"/>
  <c r="M145" i="7"/>
  <c r="D178" i="7"/>
  <c r="L133" i="7"/>
  <c r="H43" i="7"/>
  <c r="M94" i="7"/>
  <c r="K190" i="7"/>
  <c r="C166" i="7"/>
  <c r="D227" i="7"/>
  <c r="I214" i="7"/>
  <c r="H144" i="7"/>
  <c r="M144" i="7"/>
  <c r="C206" i="7"/>
  <c r="D282" i="7"/>
  <c r="G305" i="7"/>
  <c r="E107" i="7"/>
  <c r="K197" i="7"/>
  <c r="H169" i="7"/>
  <c r="E242" i="7"/>
  <c r="G157" i="7"/>
  <c r="H140" i="7"/>
  <c r="F202" i="7"/>
  <c r="K189" i="7"/>
  <c r="F136" i="7"/>
  <c r="F49" i="7"/>
  <c r="H118" i="7"/>
  <c r="L137" i="7"/>
  <c r="K185" i="7"/>
  <c r="K144" i="7"/>
  <c r="I158" i="7"/>
  <c r="K161" i="7"/>
  <c r="C145" i="7"/>
  <c r="J204" i="7"/>
  <c r="J167" i="7"/>
  <c r="K169" i="7"/>
  <c r="J158" i="7"/>
  <c r="H220" i="7"/>
  <c r="I219" i="7"/>
  <c r="G240" i="7"/>
  <c r="H182" i="7"/>
  <c r="C240" i="7"/>
  <c r="E218" i="7"/>
  <c r="C183" i="7"/>
  <c r="E157" i="7"/>
  <c r="C219" i="7"/>
  <c r="J200" i="7"/>
  <c r="I135" i="7"/>
  <c r="I134" i="7"/>
  <c r="M197" i="7"/>
  <c r="E268" i="7"/>
  <c r="F177" i="7"/>
  <c r="M234" i="7"/>
  <c r="J150" i="7"/>
  <c r="H212" i="7"/>
  <c r="M119" i="7"/>
  <c r="G175" i="7"/>
  <c r="E237" i="7"/>
  <c r="J224" i="7"/>
  <c r="E171" i="7"/>
  <c r="J77" i="7"/>
  <c r="J177" i="7"/>
  <c r="L155" i="7"/>
  <c r="L230" i="7"/>
  <c r="F243" i="7"/>
  <c r="G152" i="7"/>
  <c r="G271" i="7"/>
  <c r="L297" i="7"/>
  <c r="D238" i="7"/>
  <c r="M122" i="7"/>
  <c r="E178" i="7"/>
  <c r="G156" i="7"/>
  <c r="D235" i="7"/>
  <c r="H258" i="7"/>
  <c r="B271" i="7"/>
  <c r="J291" i="7"/>
  <c r="L313" i="7"/>
  <c r="F209" i="7"/>
  <c r="J51" i="7"/>
  <c r="K103" i="7"/>
  <c r="G121" i="7"/>
  <c r="D54" i="7"/>
  <c r="H172" i="7"/>
  <c r="K60" i="7"/>
  <c r="E140" i="7"/>
  <c r="D93" i="7"/>
  <c r="I141" i="7"/>
  <c r="E167" i="7"/>
  <c r="F189" i="7"/>
  <c r="L85" i="7"/>
  <c r="G144" i="7"/>
  <c r="D107" i="7"/>
  <c r="H171" i="7"/>
  <c r="D174" i="7"/>
  <c r="I151" i="7"/>
  <c r="J128" i="7"/>
  <c r="H196" i="7"/>
  <c r="D161" i="7"/>
  <c r="J112" i="7"/>
  <c r="D190" i="7"/>
  <c r="H273" i="7"/>
  <c r="G308" i="7"/>
  <c r="I121" i="7"/>
  <c r="E205" i="7"/>
  <c r="F162" i="7"/>
  <c r="D224" i="7"/>
  <c r="C143" i="7"/>
  <c r="F51" i="7"/>
  <c r="I186" i="7"/>
  <c r="L130" i="7"/>
  <c r="L182" i="7"/>
  <c r="M115" i="7"/>
  <c r="H193" i="7"/>
  <c r="M194" i="7"/>
  <c r="G171" i="7"/>
  <c r="K67" i="7"/>
  <c r="M171" i="7"/>
  <c r="G184" i="7"/>
  <c r="D114" i="7"/>
  <c r="M154" i="7"/>
  <c r="F231" i="7"/>
  <c r="G155" i="7"/>
  <c r="E144" i="7"/>
  <c r="F205" i="7"/>
  <c r="E210" i="7"/>
  <c r="F225" i="7"/>
  <c r="F27" i="7"/>
  <c r="L160" i="7"/>
  <c r="G223" i="7"/>
  <c r="H222" i="7"/>
  <c r="K142" i="7"/>
  <c r="L203" i="7"/>
  <c r="F191" i="7"/>
  <c r="D182" i="7"/>
  <c r="J182" i="7"/>
  <c r="J151" i="7"/>
  <c r="L258" i="7"/>
  <c r="K122" i="7"/>
  <c r="I236" i="7"/>
  <c r="E136" i="7"/>
  <c r="F197" i="7"/>
  <c r="M177" i="7"/>
  <c r="M160" i="7"/>
  <c r="C222" i="7"/>
  <c r="F215" i="7"/>
  <c r="L156" i="7"/>
  <c r="I157" i="7"/>
  <c r="D172" i="7"/>
  <c r="D156" i="7"/>
  <c r="H205" i="7"/>
  <c r="C231" i="7"/>
  <c r="J188" i="7"/>
  <c r="H255" i="7"/>
  <c r="J295" i="7"/>
  <c r="D287" i="7"/>
  <c r="D133" i="7"/>
  <c r="M133" i="7"/>
  <c r="J161" i="7"/>
  <c r="G234" i="7"/>
  <c r="E249" i="7"/>
  <c r="L190" i="7"/>
  <c r="E277" i="7"/>
  <c r="J247" i="7"/>
  <c r="B91" i="7"/>
  <c r="F67" i="7"/>
  <c r="D138" i="7"/>
  <c r="F164" i="7"/>
  <c r="F234" i="7"/>
  <c r="J139" i="7"/>
  <c r="I111" i="7"/>
  <c r="L162" i="7"/>
  <c r="C55" i="7"/>
  <c r="M54" i="7"/>
  <c r="F100" i="7"/>
  <c r="C173" i="7"/>
  <c r="D195" i="7"/>
  <c r="D110" i="7"/>
  <c r="M128" i="7"/>
  <c r="L189" i="7"/>
  <c r="E137" i="7"/>
  <c r="E181" i="7"/>
  <c r="C140" i="7"/>
  <c r="H230" i="7"/>
  <c r="C177" i="7"/>
  <c r="H141" i="7"/>
  <c r="C259" i="7"/>
  <c r="G311" i="7"/>
  <c r="I110" i="7"/>
  <c r="C168" i="7"/>
  <c r="L147" i="7"/>
  <c r="M208" i="7"/>
  <c r="H149" i="7"/>
  <c r="I172" i="7"/>
  <c r="D149" i="7"/>
  <c r="M226" i="7"/>
  <c r="H168" i="7"/>
  <c r="K126" i="7"/>
  <c r="F167" i="7"/>
  <c r="M205" i="7"/>
  <c r="L210" i="7"/>
  <c r="M124" i="7"/>
  <c r="E234" i="7"/>
  <c r="G212" i="7"/>
  <c r="E177" i="7"/>
  <c r="G151" i="7"/>
  <c r="E213" i="7"/>
  <c r="L194" i="7"/>
  <c r="L106" i="7"/>
  <c r="D81" i="7"/>
  <c r="D192" i="7"/>
  <c r="G262" i="7"/>
  <c r="H97" i="7"/>
  <c r="H178" i="7"/>
  <c r="C214" i="7"/>
  <c r="D213" i="7"/>
  <c r="E95" i="7"/>
  <c r="J163" i="7"/>
  <c r="L237" i="7"/>
  <c r="K167" i="7"/>
  <c r="E168" i="7"/>
  <c r="F229" i="7"/>
  <c r="E250" i="7"/>
  <c r="F180" i="7"/>
  <c r="D147" i="7"/>
  <c r="K182" i="7"/>
  <c r="K140" i="7"/>
  <c r="G217" i="7"/>
  <c r="H146" i="7"/>
  <c r="K133" i="7"/>
  <c r="E197" i="7"/>
  <c r="F196" i="7"/>
  <c r="E194" i="7"/>
  <c r="M242" i="7"/>
  <c r="H209" i="7"/>
  <c r="J213" i="7"/>
  <c r="C293" i="7"/>
  <c r="F235" i="7"/>
  <c r="I247" i="7"/>
  <c r="G296" i="7"/>
  <c r="K277" i="7"/>
  <c r="G163" i="7"/>
  <c r="D188" i="7"/>
  <c r="I173" i="7"/>
  <c r="F211" i="7"/>
  <c r="H285" i="7"/>
  <c r="I194" i="7"/>
  <c r="F261" i="7"/>
  <c r="G248" i="7"/>
  <c r="I57" i="7"/>
  <c r="C116" i="7"/>
  <c r="I136" i="7"/>
  <c r="F183" i="7"/>
  <c r="M215" i="7"/>
  <c r="F220" i="7"/>
  <c r="C110" i="7"/>
  <c r="M168" i="7"/>
  <c r="L186" i="7"/>
  <c r="L159" i="7"/>
  <c r="E70" i="7"/>
  <c r="M38" i="7"/>
  <c r="L166" i="7"/>
  <c r="E90" i="7"/>
  <c r="D112" i="7"/>
  <c r="G236" i="7"/>
  <c r="K183" i="7"/>
  <c r="K166" i="7"/>
  <c r="L227" i="7"/>
  <c r="D221" i="7"/>
  <c r="J162" i="7"/>
  <c r="J228" i="7"/>
  <c r="C243" i="7"/>
  <c r="G314" i="7"/>
  <c r="M162" i="7"/>
  <c r="G83" i="7"/>
  <c r="C133" i="7"/>
  <c r="C193" i="7"/>
  <c r="C229" i="7"/>
  <c r="D158" i="7"/>
  <c r="C147" i="7"/>
  <c r="L208" i="7"/>
  <c r="M207" i="7"/>
  <c r="L92" i="7"/>
  <c r="C161" i="7"/>
  <c r="G202" i="7"/>
  <c r="H201" i="7"/>
  <c r="F99" i="7"/>
  <c r="C155" i="7"/>
  <c r="I217" i="7"/>
  <c r="J216" i="7"/>
  <c r="M136" i="7"/>
  <c r="C198" i="7"/>
  <c r="H173" i="7"/>
  <c r="F176" i="7"/>
  <c r="L176" i="7"/>
  <c r="J238" i="7"/>
  <c r="C253" i="7"/>
  <c r="D87" i="7"/>
  <c r="E188" i="7"/>
  <c r="C117" i="7"/>
  <c r="C195" i="7"/>
  <c r="L174" i="7"/>
  <c r="M157" i="7"/>
  <c r="K219" i="7"/>
  <c r="E207" i="7"/>
  <c r="K153" i="7"/>
  <c r="G213" i="7"/>
  <c r="I205" i="7"/>
  <c r="L139" i="7"/>
  <c r="C159" i="7"/>
  <c r="F168" i="7"/>
  <c r="M227" i="7"/>
  <c r="C208" i="7"/>
  <c r="K125" i="7"/>
  <c r="M181" i="7"/>
  <c r="L145" i="7"/>
  <c r="D185" i="7"/>
  <c r="F204" i="7"/>
  <c r="J147" i="7"/>
  <c r="M216" i="7"/>
  <c r="L279" i="7"/>
  <c r="I302" i="7"/>
  <c r="E220" i="7"/>
  <c r="D294" i="7"/>
  <c r="D22" i="7"/>
  <c r="D269" i="7"/>
  <c r="F223" i="7"/>
  <c r="I162" i="7"/>
  <c r="K232" i="7"/>
  <c r="H219" i="7"/>
  <c r="I299" i="7"/>
  <c r="D241" i="7"/>
  <c r="G253" i="7"/>
  <c r="L249" i="7"/>
  <c r="C48" i="7"/>
  <c r="J131" i="7"/>
  <c r="M165" i="7"/>
  <c r="L118" i="7"/>
  <c r="F145" i="7"/>
  <c r="G105" i="7"/>
  <c r="L120" i="7"/>
  <c r="C230" i="7"/>
  <c r="J125" i="7"/>
  <c r="D111" i="7"/>
  <c r="M135" i="7"/>
  <c r="J95" i="7"/>
  <c r="M149" i="7"/>
  <c r="J39" i="7"/>
  <c r="J145" i="7"/>
  <c r="K233" i="7"/>
  <c r="L213" i="7"/>
  <c r="M137" i="7"/>
  <c r="D82" i="7"/>
  <c r="J187" i="7"/>
  <c r="K192" i="7"/>
  <c r="L207" i="7"/>
  <c r="K281" i="7"/>
  <c r="H179" i="7"/>
  <c r="G187" i="7"/>
  <c r="D189" i="7"/>
  <c r="I165" i="7"/>
  <c r="K139" i="7"/>
  <c r="I201" i="7"/>
  <c r="F155" i="7"/>
  <c r="D179" i="7"/>
  <c r="D173" i="7"/>
  <c r="E133" i="7"/>
  <c r="K134" i="7"/>
  <c r="L216" i="7"/>
  <c r="D168" i="7"/>
  <c r="M229" i="7"/>
  <c r="I93" i="7"/>
  <c r="J232" i="7"/>
  <c r="K184" i="7"/>
  <c r="E189" i="7"/>
  <c r="C169" i="7"/>
  <c r="D152" i="7"/>
  <c r="M213" i="7"/>
  <c r="G201" i="7"/>
  <c r="M147" i="7"/>
  <c r="I207" i="7"/>
  <c r="M290" i="7"/>
  <c r="K154" i="7"/>
  <c r="I161" i="7"/>
  <c r="F165" i="7"/>
  <c r="G226" i="7"/>
  <c r="M199" i="7"/>
  <c r="C101" i="7"/>
  <c r="G172" i="7"/>
  <c r="D90" i="7"/>
  <c r="M185" i="7"/>
  <c r="J199" i="7"/>
  <c r="L101" i="7"/>
  <c r="M200" i="7"/>
  <c r="H241" i="7"/>
  <c r="G193" i="7"/>
  <c r="J174" i="7"/>
  <c r="H236" i="7"/>
  <c r="D218" i="7"/>
  <c r="C153" i="7"/>
  <c r="I153" i="7"/>
  <c r="G215" i="7"/>
  <c r="F142" i="7"/>
  <c r="C167" i="7"/>
  <c r="C151" i="7"/>
  <c r="E253" i="7"/>
  <c r="L293" i="7"/>
  <c r="M247" i="7"/>
  <c r="K314" i="7"/>
  <c r="L222" i="7"/>
  <c r="I229" i="7"/>
  <c r="L144" i="7"/>
  <c r="G178" i="7"/>
  <c r="C174" i="7"/>
  <c r="C256" i="7"/>
  <c r="C284" i="7"/>
  <c r="D263" i="7"/>
  <c r="L284" i="7"/>
  <c r="B238" i="7"/>
  <c r="K127" i="7"/>
  <c r="K82" i="7"/>
  <c r="E201" i="7"/>
  <c r="G129" i="7"/>
  <c r="J172" i="7"/>
  <c r="H223" i="7"/>
  <c r="M95" i="7"/>
  <c r="L197" i="7"/>
  <c r="C197" i="7"/>
  <c r="M189" i="7"/>
  <c r="H233" i="7"/>
  <c r="D228" i="7"/>
  <c r="B229" i="7"/>
  <c r="L149" i="7"/>
  <c r="M225" i="7"/>
  <c r="H260" i="7"/>
  <c r="L312" i="7"/>
  <c r="D247" i="7"/>
  <c r="F94" i="7"/>
  <c r="M139" i="7"/>
  <c r="M184" i="7"/>
  <c r="I146" i="7"/>
  <c r="C255" i="7"/>
  <c r="D198" i="7"/>
  <c r="C283" i="7"/>
  <c r="F289" i="7"/>
  <c r="E252" i="7"/>
  <c r="F126" i="7"/>
  <c r="C163" i="7"/>
  <c r="H45" i="7"/>
  <c r="C164" i="7"/>
  <c r="D270" i="7"/>
  <c r="B310" i="7"/>
  <c r="C242" i="7"/>
  <c r="I294" i="7"/>
  <c r="M220" i="7"/>
  <c r="F171" i="7"/>
  <c r="B63" i="7"/>
  <c r="I133" i="7"/>
  <c r="J180" i="7"/>
  <c r="E147" i="7"/>
  <c r="J212" i="7"/>
  <c r="H272" i="7"/>
  <c r="D214" i="7"/>
  <c r="J294" i="7"/>
  <c r="H303" i="7"/>
  <c r="L263" i="7"/>
  <c r="I285" i="7"/>
  <c r="F141" i="7"/>
  <c r="E192" i="7"/>
  <c r="D232" i="7"/>
  <c r="K250" i="7"/>
  <c r="I237" i="7"/>
  <c r="K202" i="7"/>
  <c r="J276" i="7"/>
  <c r="I309" i="7"/>
  <c r="J251" i="7"/>
  <c r="C252" i="7"/>
  <c r="J183" i="7"/>
  <c r="J260" i="7"/>
  <c r="K224" i="7"/>
  <c r="M202" i="7"/>
  <c r="G204" i="7"/>
  <c r="M248" i="7"/>
  <c r="F21" i="7"/>
  <c r="D187" i="7"/>
  <c r="M311" i="7"/>
  <c r="K212" i="7"/>
  <c r="H279" i="7"/>
  <c r="F304" i="7"/>
  <c r="I148" i="7"/>
  <c r="J250" i="7"/>
  <c r="K243" i="7"/>
  <c r="E292" i="7"/>
  <c r="G222" i="7"/>
  <c r="L196" i="7"/>
  <c r="B160" i="7"/>
  <c r="K288" i="7"/>
  <c r="I292" i="7"/>
  <c r="I200" i="7"/>
  <c r="H274" i="7"/>
  <c r="G307" i="7"/>
  <c r="M266" i="7"/>
  <c r="L301" i="7"/>
  <c r="M62" i="7"/>
  <c r="J186" i="7"/>
  <c r="K43" i="7"/>
  <c r="J193" i="7"/>
  <c r="E208" i="7"/>
  <c r="G244" i="7"/>
  <c r="E162" i="7"/>
  <c r="D211" i="7"/>
  <c r="D164" i="7"/>
  <c r="M186" i="7"/>
  <c r="L113" i="7"/>
  <c r="J252" i="7"/>
  <c r="H203" i="7"/>
  <c r="J227" i="7"/>
  <c r="D291" i="7"/>
  <c r="I244" i="7"/>
  <c r="L16" i="7"/>
  <c r="I221" i="7"/>
  <c r="D216" i="7"/>
  <c r="K205" i="7"/>
  <c r="G179" i="7"/>
  <c r="D217" i="7"/>
  <c r="I296" i="7"/>
  <c r="G200" i="7"/>
  <c r="D267" i="7"/>
  <c r="G289" i="7"/>
  <c r="J242" i="7"/>
  <c r="L80" i="7"/>
  <c r="E163" i="7"/>
  <c r="G141" i="7"/>
  <c r="G205" i="7"/>
  <c r="L260" i="7"/>
  <c r="D206" i="7"/>
  <c r="L288" i="7"/>
  <c r="J297" i="7"/>
  <c r="C258" i="7"/>
  <c r="K279" i="7"/>
  <c r="L169" i="7"/>
  <c r="I140" i="7"/>
  <c r="L234" i="7"/>
  <c r="C213" i="7"/>
  <c r="I234" i="7"/>
  <c r="C314" i="7"/>
  <c r="C212" i="7"/>
  <c r="K278" i="7"/>
  <c r="I303" i="7"/>
  <c r="H254" i="7"/>
  <c r="F22" i="7"/>
  <c r="L240" i="7"/>
  <c r="I169" i="7"/>
  <c r="C171" i="7"/>
  <c r="H270" i="7"/>
  <c r="H293" i="7"/>
  <c r="D236" i="7"/>
  <c r="I261" i="7"/>
  <c r="B291" i="7"/>
  <c r="E217" i="7"/>
  <c r="C276" i="7"/>
  <c r="F233" i="7"/>
  <c r="I245" i="7"/>
  <c r="D222" i="7"/>
  <c r="G210" i="7"/>
  <c r="G194" i="7"/>
  <c r="L246" i="7"/>
  <c r="H21" i="7"/>
  <c r="C280" i="7"/>
  <c r="M314" i="7"/>
  <c r="J197" i="7"/>
  <c r="I271" i="7"/>
  <c r="H304" i="7"/>
  <c r="D176" i="7"/>
  <c r="J312" i="7"/>
  <c r="E235" i="7"/>
  <c r="F292" i="7"/>
  <c r="H259" i="7"/>
  <c r="E281" i="7"/>
  <c r="H181" i="7"/>
  <c r="F274" i="7"/>
  <c r="H18" i="7"/>
  <c r="L220" i="7"/>
  <c r="G259" i="7"/>
  <c r="B105" i="7"/>
  <c r="H252" i="7"/>
  <c r="L304" i="7"/>
  <c r="B309" i="7"/>
  <c r="K130" i="7"/>
  <c r="F125" i="7"/>
  <c r="E223" i="7"/>
  <c r="G186" i="7"/>
  <c r="I198" i="7"/>
  <c r="F207" i="7"/>
  <c r="F107" i="7"/>
  <c r="H160" i="7"/>
  <c r="G139" i="7"/>
  <c r="I227" i="7"/>
  <c r="J178" i="7"/>
  <c r="F138" i="7"/>
  <c r="E18" i="7"/>
  <c r="J254" i="7"/>
  <c r="J285" i="7"/>
  <c r="B168" i="7"/>
  <c r="L212" i="7"/>
  <c r="M16" i="7"/>
  <c r="F284" i="7"/>
  <c r="J201" i="7"/>
  <c r="G207" i="7"/>
  <c r="E174" i="7"/>
  <c r="M236" i="7"/>
  <c r="E311" i="7"/>
  <c r="C172" i="7"/>
  <c r="E259" i="7"/>
  <c r="L289" i="7"/>
  <c r="E193" i="7"/>
  <c r="M221" i="7"/>
  <c r="I211" i="7"/>
  <c r="I195" i="7"/>
  <c r="K228" i="7"/>
  <c r="E308" i="7"/>
  <c r="E206" i="7"/>
  <c r="M272" i="7"/>
  <c r="K297" i="7"/>
  <c r="J248" i="7"/>
  <c r="H16" i="7"/>
  <c r="E190" i="7"/>
  <c r="D106" i="7"/>
  <c r="J230" i="7"/>
  <c r="J214" i="7"/>
  <c r="H232" i="7"/>
  <c r="D15" i="7"/>
  <c r="M196" i="7"/>
  <c r="L270" i="7"/>
  <c r="K303" i="7"/>
  <c r="L245" i="7"/>
  <c r="D297" i="7"/>
  <c r="M176" i="7"/>
  <c r="G181" i="7"/>
  <c r="G165" i="7"/>
  <c r="D285" i="7"/>
  <c r="K302" i="7"/>
  <c r="G286" i="7"/>
  <c r="F297" i="7"/>
  <c r="I199" i="7"/>
  <c r="K283" i="7"/>
  <c r="K290" i="7"/>
  <c r="G270" i="7"/>
  <c r="E127" i="7"/>
  <c r="G154" i="7"/>
  <c r="G138" i="7"/>
  <c r="C225" i="7"/>
  <c r="D220" i="7"/>
  <c r="F237" i="7"/>
  <c r="I265" i="7"/>
  <c r="M18" i="7"/>
  <c r="I197" i="7"/>
  <c r="H256" i="7"/>
  <c r="B58" i="7"/>
  <c r="E219" i="7"/>
  <c r="C310" i="7"/>
  <c r="C249" i="7"/>
  <c r="K292" i="7"/>
  <c r="D250" i="7"/>
  <c r="M17" i="7"/>
  <c r="J191" i="7"/>
  <c r="G258" i="7"/>
  <c r="I314" i="7"/>
  <c r="E284" i="7"/>
  <c r="D295" i="7"/>
  <c r="M219" i="7"/>
  <c r="D212" i="7"/>
  <c r="L307" i="7"/>
  <c r="H177" i="7"/>
  <c r="F117" i="7"/>
  <c r="F152" i="7"/>
  <c r="F182" i="7"/>
  <c r="K100" i="7"/>
  <c r="H183" i="7"/>
  <c r="K177" i="7"/>
  <c r="D237" i="7"/>
  <c r="C216" i="7"/>
  <c r="H153" i="7"/>
  <c r="J190" i="7"/>
  <c r="E170" i="7"/>
  <c r="K17" i="7"/>
  <c r="G277" i="7"/>
  <c r="I260" i="7"/>
  <c r="G224" i="7"/>
  <c r="E283" i="7"/>
  <c r="D17" i="7"/>
  <c r="J275" i="7"/>
  <c r="C224" i="7"/>
  <c r="M178" i="7"/>
  <c r="D181" i="7"/>
  <c r="F240" i="7"/>
  <c r="C21" i="7"/>
  <c r="L231" i="7"/>
  <c r="D244" i="7"/>
  <c r="B242" i="7"/>
  <c r="K280" i="7"/>
  <c r="H207" i="7"/>
  <c r="L224" i="7"/>
  <c r="G191" i="7"/>
  <c r="D177" i="7"/>
  <c r="C18" i="7"/>
  <c r="D191" i="7"/>
  <c r="C265" i="7"/>
  <c r="M297" i="7"/>
  <c r="J236" i="7"/>
  <c r="H19" i="7"/>
  <c r="K236" i="7"/>
  <c r="E229" i="7"/>
  <c r="K163" i="7"/>
  <c r="K147" i="7"/>
  <c r="J264" i="7"/>
  <c r="G264" i="7"/>
  <c r="K191" i="7"/>
  <c r="K255" i="7"/>
  <c r="B28" i="7"/>
  <c r="G292" i="7"/>
  <c r="M19" i="7"/>
  <c r="D234" i="7"/>
  <c r="E84" i="7"/>
  <c r="E231" i="7"/>
  <c r="M293" i="7"/>
  <c r="J308" i="7"/>
  <c r="C277" i="7"/>
  <c r="F300" i="7"/>
  <c r="D201" i="7"/>
  <c r="L267" i="7"/>
  <c r="L290" i="7"/>
  <c r="C261" i="7"/>
  <c r="D160" i="7"/>
  <c r="F166" i="7"/>
  <c r="I131" i="7"/>
  <c r="L187" i="7"/>
  <c r="M289" i="7"/>
  <c r="F147" i="7"/>
  <c r="J249" i="7"/>
  <c r="M21" i="7"/>
  <c r="F281" i="7"/>
  <c r="C290" i="7"/>
  <c r="I215" i="7"/>
  <c r="G293" i="7"/>
  <c r="F310" i="7"/>
  <c r="M235" i="7"/>
  <c r="B264" i="7"/>
  <c r="H240" i="7"/>
  <c r="M20" i="7"/>
  <c r="E238" i="7"/>
  <c r="H250" i="7"/>
  <c r="F16" i="7"/>
  <c r="L274" i="7"/>
  <c r="D298" i="7"/>
  <c r="G216" i="7"/>
  <c r="D283" i="7"/>
  <c r="M307" i="7"/>
  <c r="L87" i="7"/>
  <c r="L98" i="7"/>
  <c r="E141" i="7"/>
  <c r="M179" i="7"/>
  <c r="I203" i="7"/>
  <c r="J155" i="7"/>
  <c r="C190" i="7"/>
  <c r="H143" i="7"/>
  <c r="G197" i="7"/>
  <c r="M153" i="7"/>
  <c r="H167" i="7"/>
  <c r="D155" i="7"/>
  <c r="F257" i="7"/>
  <c r="K221" i="7"/>
  <c r="E314" i="7"/>
  <c r="G246" i="7"/>
  <c r="D268" i="7"/>
  <c r="K222" i="7"/>
  <c r="E261" i="7"/>
  <c r="I185" i="7"/>
  <c r="L134" i="7"/>
  <c r="L179" i="7"/>
  <c r="L261" i="7"/>
  <c r="G241" i="7"/>
  <c r="M268" i="7"/>
  <c r="J290" i="7"/>
  <c r="K238" i="7"/>
  <c r="F266" i="7"/>
  <c r="J235" i="7"/>
  <c r="F146" i="7"/>
  <c r="M141" i="7"/>
  <c r="E247" i="7"/>
  <c r="K308" i="7"/>
  <c r="J237" i="7"/>
  <c r="M249" i="7"/>
  <c r="B246" i="7"/>
  <c r="I286" i="7"/>
  <c r="H22" i="7"/>
  <c r="J221" i="7"/>
  <c r="D171" i="7"/>
  <c r="M163" i="7"/>
  <c r="I159" i="7"/>
  <c r="F279" i="7"/>
  <c r="M296" i="7"/>
  <c r="I280" i="7"/>
  <c r="I288" i="7"/>
  <c r="I191" i="7"/>
  <c r="M277" i="7"/>
  <c r="H253" i="7"/>
  <c r="C238" i="7"/>
  <c r="G231" i="7"/>
  <c r="L232" i="7"/>
  <c r="L283" i="7"/>
  <c r="L308" i="7"/>
  <c r="G268" i="7"/>
  <c r="F303" i="7"/>
  <c r="L177" i="7"/>
  <c r="M259" i="7"/>
  <c r="F291" i="7"/>
  <c r="G252" i="7"/>
  <c r="F158" i="7"/>
  <c r="H225" i="7"/>
  <c r="J203" i="7"/>
  <c r="C202" i="7"/>
  <c r="M262" i="7"/>
  <c r="H229" i="7"/>
  <c r="E241" i="7"/>
  <c r="C22" i="7"/>
  <c r="M271" i="7"/>
  <c r="E295" i="7"/>
  <c r="H213" i="7"/>
  <c r="B70" i="7"/>
  <c r="I223" i="7"/>
  <c r="D292" i="7"/>
  <c r="B289" i="7"/>
  <c r="C288" i="7"/>
  <c r="C15" i="7"/>
  <c r="D223" i="7"/>
  <c r="J202" i="7"/>
  <c r="B45" i="7"/>
  <c r="E266" i="7"/>
  <c r="D301" i="7"/>
  <c r="F201" i="7"/>
  <c r="E275" i="7"/>
  <c r="D308" i="7"/>
  <c r="L105" i="7"/>
  <c r="J165" i="7"/>
  <c r="C203" i="7"/>
  <c r="K164" i="7"/>
  <c r="K176" i="7"/>
  <c r="C232" i="7"/>
  <c r="H198" i="7"/>
  <c r="E161" i="7"/>
  <c r="D231" i="7"/>
  <c r="I230" i="7"/>
  <c r="E185" i="7"/>
  <c r="E216" i="7"/>
  <c r="L285" i="7"/>
  <c r="J206" i="7"/>
  <c r="C244" i="7"/>
  <c r="K215" i="7"/>
  <c r="L303" i="7"/>
  <c r="I231" i="7"/>
  <c r="F245" i="7"/>
  <c r="J143" i="7"/>
  <c r="M188" i="7"/>
  <c r="M166" i="7"/>
  <c r="J270" i="7"/>
  <c r="M287" i="7"/>
  <c r="I259" i="7"/>
  <c r="C17" i="7"/>
  <c r="D153" i="7"/>
  <c r="G250" i="7"/>
  <c r="M111" i="7"/>
  <c r="J140" i="7"/>
  <c r="D142" i="7"/>
  <c r="J267" i="7"/>
  <c r="J287" i="7"/>
  <c r="K274" i="7"/>
  <c r="K244" i="7"/>
  <c r="E158" i="7"/>
  <c r="D272" i="7"/>
  <c r="M302" i="7"/>
  <c r="K258" i="7"/>
  <c r="F228" i="7"/>
  <c r="F212" i="7"/>
  <c r="K213" i="7"/>
  <c r="D288" i="7"/>
  <c r="L302" i="7"/>
  <c r="E271" i="7"/>
  <c r="G294" i="7"/>
  <c r="F195" i="7"/>
  <c r="C262" i="7"/>
  <c r="J181" i="7"/>
  <c r="K117" i="7"/>
  <c r="F170" i="7"/>
  <c r="K201" i="7"/>
  <c r="I287" i="7"/>
  <c r="B299" i="7"/>
  <c r="M253" i="7"/>
  <c r="F306" i="7"/>
  <c r="I232" i="7"/>
  <c r="L244" i="7"/>
  <c r="B139" i="7"/>
  <c r="C223" i="7"/>
  <c r="G147" i="7"/>
  <c r="H215" i="7"/>
  <c r="H199" i="7"/>
  <c r="C274" i="7"/>
  <c r="K296" i="7"/>
  <c r="G214" i="7"/>
  <c r="F288" i="7"/>
  <c r="E22" i="7"/>
  <c r="F263" i="7"/>
  <c r="E298" i="7"/>
  <c r="G198" i="7"/>
  <c r="K259" i="7"/>
  <c r="E204" i="7"/>
  <c r="F190" i="7"/>
  <c r="J175" i="7"/>
  <c r="I273" i="7"/>
  <c r="G312" i="7"/>
  <c r="E260" i="7"/>
  <c r="M281" i="7"/>
  <c r="B138" i="7"/>
  <c r="K251" i="7"/>
  <c r="D304" i="7"/>
  <c r="J226" i="7"/>
  <c r="D260" i="7"/>
  <c r="B41" i="7"/>
  <c r="G149" i="7"/>
  <c r="D115" i="7"/>
  <c r="M222" i="7"/>
  <c r="K143" i="7"/>
  <c r="L103" i="7"/>
  <c r="G162" i="7"/>
  <c r="H136" i="7"/>
  <c r="C150" i="7"/>
  <c r="J184" i="7"/>
  <c r="K145" i="7"/>
  <c r="J185" i="7"/>
  <c r="J217" i="7"/>
  <c r="K21" i="7"/>
  <c r="J243" i="7"/>
  <c r="D245" i="7"/>
  <c r="M274" i="7"/>
  <c r="L309" i="7"/>
  <c r="C210" i="7"/>
  <c r="K92" i="7"/>
  <c r="I145" i="7"/>
  <c r="J179" i="7"/>
  <c r="M240" i="7"/>
  <c r="F264" i="7"/>
  <c r="B104" i="7"/>
  <c r="G211" i="7"/>
  <c r="E270" i="7"/>
  <c r="D215" i="7"/>
  <c r="C289" i="7"/>
  <c r="H191" i="7"/>
  <c r="D208" i="7"/>
  <c r="K203" i="7"/>
  <c r="E272" i="7"/>
  <c r="E297" i="7"/>
  <c r="K256" i="7"/>
  <c r="M288" i="7"/>
  <c r="C236" i="7"/>
  <c r="F248" i="7"/>
  <c r="H301" i="7"/>
  <c r="G108" i="7"/>
  <c r="L168" i="7"/>
  <c r="L152" i="7"/>
  <c r="M195" i="7"/>
  <c r="M275" i="7"/>
  <c r="B92" i="7"/>
  <c r="D248" i="7"/>
  <c r="H300" i="7"/>
  <c r="K226" i="7"/>
  <c r="K231" i="7"/>
  <c r="G146" i="7"/>
  <c r="G196" i="7"/>
  <c r="L218" i="7"/>
  <c r="G190" i="7"/>
  <c r="L20" i="7"/>
  <c r="L217" i="7"/>
  <c r="I284" i="7"/>
  <c r="G309" i="7"/>
  <c r="F260" i="7"/>
  <c r="L22" i="7"/>
  <c r="L201" i="7"/>
  <c r="I268" i="7"/>
  <c r="H162" i="7"/>
  <c r="I149" i="7"/>
  <c r="E145" i="7"/>
  <c r="G247" i="7"/>
  <c r="E21" i="7"/>
  <c r="L241" i="7"/>
  <c r="M308" i="7"/>
  <c r="L214" i="7"/>
  <c r="L153" i="7"/>
  <c r="E304" i="7"/>
  <c r="J141" i="7"/>
  <c r="G238" i="7"/>
  <c r="H238" i="7"/>
  <c r="L281" i="7"/>
  <c r="H237" i="7"/>
  <c r="K249" i="7"/>
  <c r="J311" i="7"/>
  <c r="M241" i="7"/>
  <c r="J21" i="7"/>
  <c r="J215" i="7"/>
  <c r="G282" i="7"/>
  <c r="E307" i="7"/>
  <c r="I275" i="7"/>
  <c r="L298" i="7"/>
  <c r="K179" i="7"/>
  <c r="C226" i="7"/>
  <c r="G266" i="7"/>
  <c r="H190" i="7"/>
  <c r="G249" i="7"/>
  <c r="E119" i="7"/>
  <c r="K223" i="7"/>
  <c r="M132" i="7"/>
  <c r="G203" i="7"/>
  <c r="J18" i="7"/>
  <c r="B109" i="7"/>
  <c r="B198" i="7"/>
  <c r="B190" i="7"/>
  <c r="L243" i="7"/>
  <c r="L215" i="7"/>
  <c r="G280" i="7"/>
  <c r="K193" i="7"/>
  <c r="G279" i="7"/>
  <c r="D265" i="7"/>
  <c r="C266" i="7"/>
  <c r="K287" i="7"/>
  <c r="B276" i="7"/>
  <c r="I257" i="7"/>
  <c r="M309" i="7"/>
  <c r="E244" i="7"/>
  <c r="M265" i="7"/>
  <c r="B64" i="7"/>
  <c r="B135" i="7"/>
  <c r="B172" i="7"/>
  <c r="B205" i="7"/>
  <c r="E20" i="7"/>
  <c r="C312" i="7"/>
  <c r="D257" i="7"/>
  <c r="F179" i="7"/>
  <c r="C304" i="7"/>
  <c r="M256" i="7"/>
  <c r="C305" i="7"/>
  <c r="D271" i="7"/>
  <c r="L292" i="7"/>
  <c r="H202" i="7"/>
  <c r="M285" i="7"/>
  <c r="K294" i="7"/>
  <c r="F249" i="7"/>
  <c r="C271" i="7"/>
  <c r="J233" i="7"/>
  <c r="D264" i="7"/>
  <c r="H17" i="7"/>
  <c r="B102" i="7"/>
  <c r="B141" i="7"/>
  <c r="F305" i="7"/>
  <c r="F275" i="7"/>
  <c r="J209" i="7"/>
  <c r="I250" i="7"/>
  <c r="C267" i="7"/>
  <c r="K310" i="7"/>
  <c r="L239" i="7"/>
  <c r="D252" i="7"/>
  <c r="B54" i="7"/>
  <c r="E245" i="7"/>
  <c r="I297" i="7"/>
  <c r="C218" i="7"/>
  <c r="M291" i="7"/>
  <c r="L305" i="7"/>
  <c r="G284" i="7"/>
  <c r="F20" i="7"/>
  <c r="B260" i="7"/>
  <c r="B226" i="7"/>
  <c r="E225" i="7"/>
  <c r="B187" i="7"/>
  <c r="E203" i="7"/>
  <c r="H296" i="7"/>
  <c r="K299" i="7"/>
  <c r="B142" i="7"/>
  <c r="L268" i="7"/>
  <c r="B250" i="7"/>
  <c r="K264" i="7"/>
  <c r="J299" i="7"/>
  <c r="L199" i="7"/>
  <c r="K273" i="7"/>
  <c r="J306" i="7"/>
  <c r="K242" i="7"/>
  <c r="G22" i="7"/>
  <c r="I243" i="7"/>
  <c r="I204" i="7"/>
  <c r="I283" i="7"/>
  <c r="G288" i="7"/>
  <c r="F282" i="7"/>
  <c r="E232" i="7"/>
  <c r="D254" i="7"/>
  <c r="F309" i="7"/>
  <c r="E142" i="7"/>
  <c r="D312" i="7"/>
  <c r="H218" i="7"/>
  <c r="B56" i="7"/>
  <c r="B90" i="7"/>
  <c r="B26" i="7"/>
  <c r="D16" i="7"/>
  <c r="L287" i="7"/>
  <c r="L291" i="7"/>
  <c r="K196" i="7"/>
  <c r="H263" i="7"/>
  <c r="L265" i="7"/>
  <c r="J256" i="7"/>
  <c r="J289" i="7"/>
  <c r="H226" i="7"/>
  <c r="C241" i="7"/>
  <c r="M312" i="7"/>
  <c r="F198" i="7"/>
  <c r="J301" i="7"/>
  <c r="B171" i="7"/>
  <c r="B181" i="7"/>
  <c r="B294" i="7"/>
  <c r="B249" i="7"/>
  <c r="I306" i="7"/>
  <c r="B312" i="7"/>
  <c r="F296" i="7"/>
  <c r="E196" i="7"/>
  <c r="E254" i="7"/>
  <c r="H266" i="7"/>
  <c r="E305" i="7"/>
  <c r="K261" i="7"/>
  <c r="I235" i="7"/>
  <c r="F203" i="7"/>
  <c r="C270" i="7"/>
  <c r="L294" i="7"/>
  <c r="F236" i="7"/>
  <c r="K306" i="7"/>
  <c r="I107" i="7"/>
  <c r="E248" i="7"/>
  <c r="H20" i="7"/>
  <c r="B35" i="7"/>
  <c r="J239" i="7"/>
  <c r="G18" i="7"/>
  <c r="M203" i="7"/>
  <c r="M237" i="7"/>
  <c r="J16" i="7"/>
  <c r="K262" i="7"/>
  <c r="L310" i="7"/>
  <c r="M276" i="7"/>
  <c r="E262" i="7"/>
  <c r="K209" i="7"/>
  <c r="K291" i="7"/>
  <c r="I300" i="7"/>
  <c r="D255" i="7"/>
  <c r="L276" i="7"/>
  <c r="M134" i="7"/>
  <c r="M269" i="7"/>
  <c r="J15" i="7"/>
  <c r="B307" i="7"/>
  <c r="B32" i="7"/>
  <c r="B112" i="7"/>
  <c r="M261" i="7"/>
  <c r="E263" i="7"/>
  <c r="B20" i="7"/>
  <c r="J245" i="7"/>
  <c r="F219" i="7"/>
  <c r="I304" i="7"/>
  <c r="B114" i="7"/>
  <c r="F250" i="7"/>
  <c r="J302" i="7"/>
  <c r="C215" i="7"/>
  <c r="J258" i="7"/>
  <c r="B169" i="7"/>
  <c r="H289" i="7"/>
  <c r="I298" i="7"/>
  <c r="E290" i="7"/>
  <c r="B281" i="7"/>
  <c r="L206" i="7"/>
  <c r="G37" i="7"/>
  <c r="M112" i="7"/>
  <c r="L306" i="7"/>
  <c r="M250" i="7"/>
  <c r="C297" i="7"/>
  <c r="I225" i="7"/>
  <c r="I139" i="7"/>
  <c r="J269" i="7"/>
  <c r="I305" i="7"/>
  <c r="C282" i="7"/>
  <c r="F206" i="7"/>
  <c r="B78" i="7"/>
  <c r="B99" i="7"/>
  <c r="F154" i="7"/>
  <c r="H275" i="7"/>
  <c r="I246" i="7"/>
  <c r="D296" i="7"/>
  <c r="M142" i="7"/>
  <c r="I255" i="7"/>
  <c r="F267" i="7"/>
  <c r="C248" i="7"/>
  <c r="D313" i="7"/>
  <c r="H221" i="7"/>
  <c r="I189" i="7"/>
  <c r="C313" i="7"/>
  <c r="G281" i="7"/>
  <c r="J304" i="7"/>
  <c r="B269" i="7"/>
  <c r="B116" i="7"/>
  <c r="B191" i="7"/>
  <c r="H314" i="7"/>
  <c r="F232" i="7"/>
  <c r="I272" i="7"/>
  <c r="B305" i="7"/>
  <c r="H309" i="7"/>
  <c r="B55" i="7"/>
  <c r="E257" i="7"/>
  <c r="B297" i="7"/>
  <c r="D253" i="7"/>
  <c r="J263" i="7"/>
  <c r="C188" i="7"/>
  <c r="D262" i="7"/>
  <c r="C295" i="7"/>
  <c r="H286" i="7"/>
  <c r="K309" i="7"/>
  <c r="C228" i="7"/>
  <c r="G237" i="7"/>
  <c r="I20" i="7"/>
  <c r="B86" i="7"/>
  <c r="F214" i="7"/>
  <c r="I248" i="7"/>
  <c r="F255" i="7"/>
  <c r="I256" i="7"/>
  <c r="H298" i="7"/>
  <c r="F272" i="7"/>
  <c r="C311" i="7"/>
  <c r="I267" i="7"/>
  <c r="E286" i="7"/>
  <c r="D209" i="7"/>
  <c r="L275" i="7"/>
  <c r="J300" i="7"/>
  <c r="K245" i="7"/>
  <c r="I312" i="7"/>
  <c r="C187" i="7"/>
  <c r="C254" i="7"/>
  <c r="G272" i="7"/>
  <c r="B66" i="7"/>
  <c r="B117" i="7"/>
  <c r="B184" i="7"/>
  <c r="I269" i="7"/>
  <c r="L262" i="7"/>
  <c r="B224" i="7"/>
  <c r="G267" i="7"/>
  <c r="M239" i="7"/>
  <c r="I307" i="7"/>
  <c r="C217" i="7"/>
  <c r="J194" i="7"/>
  <c r="J305" i="7"/>
  <c r="H283" i="7"/>
  <c r="E294" i="7"/>
  <c r="K187" i="7"/>
  <c r="C275" i="7"/>
  <c r="G15" i="7"/>
  <c r="E150" i="7"/>
  <c r="H185" i="7"/>
  <c r="D225" i="7"/>
  <c r="E246" i="7"/>
  <c r="G265" i="7"/>
  <c r="I209" i="7"/>
  <c r="H186" i="7"/>
  <c r="G291" i="7"/>
  <c r="H251" i="7"/>
  <c r="L257" i="7"/>
  <c r="D307" i="7"/>
  <c r="B30" i="7"/>
  <c r="B57" i="7"/>
  <c r="L148" i="7"/>
  <c r="F262" i="7"/>
  <c r="I249" i="7"/>
  <c r="D299" i="7"/>
  <c r="D202" i="7"/>
  <c r="L157" i="7"/>
  <c r="J218" i="7"/>
  <c r="E230" i="7"/>
  <c r="K268" i="7"/>
  <c r="C278" i="7"/>
  <c r="H170" i="7"/>
  <c r="F200" i="7"/>
  <c r="E273" i="7"/>
  <c r="M190" i="7"/>
  <c r="M284" i="7"/>
  <c r="B259" i="7"/>
  <c r="I224" i="7"/>
  <c r="C85" i="7"/>
  <c r="G290" i="7"/>
  <c r="D251" i="7"/>
  <c r="E299" i="7"/>
  <c r="F265" i="7"/>
  <c r="C287" i="7"/>
  <c r="H194" i="7"/>
  <c r="D280" i="7"/>
  <c r="M270" i="7"/>
  <c r="G243" i="7"/>
  <c r="E265" i="7"/>
  <c r="B157" i="7"/>
  <c r="F258" i="7"/>
  <c r="J310" i="7"/>
  <c r="B217" i="7"/>
  <c r="B207" i="7"/>
  <c r="D193" i="7"/>
  <c r="I264" i="7"/>
  <c r="C246" i="7"/>
  <c r="F294" i="7"/>
  <c r="B36" i="7"/>
  <c r="C207" i="7"/>
  <c r="H227" i="7"/>
  <c r="M295" i="7"/>
  <c r="C201" i="7"/>
  <c r="E285" i="7"/>
  <c r="J293" i="7"/>
  <c r="L271" i="7"/>
  <c r="I293" i="7"/>
  <c r="H231" i="7"/>
  <c r="G263" i="7"/>
  <c r="K16" i="7"/>
  <c r="C250" i="7"/>
  <c r="K271" i="7"/>
  <c r="B144" i="7"/>
  <c r="B308" i="7"/>
  <c r="B15" i="7"/>
  <c r="C309" i="7"/>
  <c r="B27" i="7"/>
  <c r="I208" i="7"/>
  <c r="J207" i="7"/>
  <c r="K298" i="7"/>
  <c r="B251" i="7"/>
  <c r="H244" i="7"/>
  <c r="L296" i="7"/>
  <c r="I240" i="7"/>
  <c r="L252" i="7"/>
  <c r="B284" i="7"/>
  <c r="J283" i="7"/>
  <c r="I19" i="7"/>
  <c r="K218" i="7"/>
  <c r="J292" i="7"/>
  <c r="M310" i="7"/>
  <c r="B122" i="7"/>
  <c r="F252" i="7"/>
  <c r="B237" i="7"/>
  <c r="C233" i="7"/>
  <c r="I295" i="7"/>
  <c r="L219" i="7"/>
  <c r="L242" i="7"/>
  <c r="L269" i="7"/>
  <c r="I313" i="7"/>
  <c r="D199" i="7"/>
  <c r="C273" i="7"/>
  <c r="M305" i="7"/>
  <c r="H265" i="7"/>
  <c r="G300" i="7"/>
  <c r="M161" i="7"/>
  <c r="M170" i="7"/>
  <c r="C180" i="7"/>
  <c r="H206" i="7"/>
  <c r="K300" i="7"/>
  <c r="H297" i="7"/>
  <c r="G221" i="7"/>
  <c r="F149" i="7"/>
  <c r="E301" i="7"/>
  <c r="L250" i="7"/>
  <c r="B17" i="7"/>
  <c r="B137" i="7"/>
  <c r="B40" i="7"/>
  <c r="G229" i="7"/>
  <c r="M158" i="7"/>
  <c r="G256" i="7"/>
  <c r="B18" i="7"/>
  <c r="C148" i="7"/>
  <c r="I239" i="7"/>
  <c r="M228" i="7"/>
  <c r="K239" i="7"/>
  <c r="B23" i="7"/>
  <c r="C272" i="7"/>
  <c r="M306" i="7"/>
  <c r="D207" i="7"/>
  <c r="C281" i="7"/>
  <c r="M313" i="7"/>
  <c r="B215" i="7"/>
  <c r="B85" i="7"/>
  <c r="B170" i="7"/>
  <c r="E17" i="7"/>
  <c r="K246" i="7"/>
  <c r="I263" i="7"/>
  <c r="E202" i="7"/>
  <c r="M273" i="7"/>
  <c r="G255" i="7"/>
  <c r="M304" i="7"/>
  <c r="C234" i="7"/>
  <c r="F246" i="7"/>
  <c r="B253" i="7"/>
  <c r="J234" i="7"/>
  <c r="D289" i="7"/>
  <c r="E212" i="7"/>
  <c r="D286" i="7"/>
  <c r="C20" i="7"/>
  <c r="I278" i="7"/>
  <c r="H313" i="7"/>
  <c r="B301" i="7"/>
  <c r="B213" i="7"/>
  <c r="L247" i="7"/>
  <c r="J286" i="7"/>
  <c r="E179" i="7"/>
  <c r="H257" i="7"/>
  <c r="C264" i="7"/>
  <c r="K307" i="7"/>
  <c r="F193" i="7"/>
  <c r="E267" i="7"/>
  <c r="D300" i="7"/>
  <c r="J259" i="7"/>
  <c r="H294" i="7"/>
  <c r="D233" i="7"/>
  <c r="G245" i="7"/>
  <c r="I266" i="7"/>
  <c r="F222" i="7"/>
  <c r="F17" i="7"/>
  <c r="B52" i="7"/>
  <c r="B94" i="7"/>
  <c r="J303" i="7"/>
  <c r="F307" i="7"/>
  <c r="C16" i="7"/>
  <c r="H165" i="7"/>
  <c r="F276" i="7"/>
  <c r="D310" i="7"/>
  <c r="D278" i="7"/>
  <c r="L17" i="7"/>
  <c r="G273" i="7"/>
  <c r="J296" i="7"/>
  <c r="M214" i="7"/>
  <c r="J281" i="7"/>
  <c r="B202" i="7"/>
  <c r="G285" i="7"/>
  <c r="D305" i="7"/>
  <c r="B183" i="7"/>
  <c r="B127" i="7"/>
  <c r="C302" i="7"/>
  <c r="E293" i="7"/>
  <c r="M211" i="7"/>
  <c r="L273" i="7"/>
  <c r="G278" i="7"/>
  <c r="D249" i="7"/>
  <c r="I252" i="7"/>
  <c r="G176" i="7"/>
  <c r="D311" i="7"/>
  <c r="F244" i="7"/>
  <c r="H261" i="7"/>
  <c r="D243" i="7"/>
  <c r="G298" i="7"/>
  <c r="H188" i="7"/>
  <c r="F273" i="7"/>
  <c r="I226" i="7"/>
  <c r="K289" i="7"/>
  <c r="D306" i="7"/>
  <c r="B108" i="7"/>
  <c r="B148" i="7"/>
  <c r="E289" i="7"/>
  <c r="H267" i="7"/>
  <c r="K276" i="7"/>
  <c r="L280" i="7"/>
  <c r="E195" i="7"/>
  <c r="E300" i="7"/>
  <c r="M182" i="7"/>
  <c r="H311" i="7"/>
  <c r="C237" i="7"/>
  <c r="F224" i="7"/>
  <c r="G313" i="7"/>
  <c r="M252" i="7"/>
  <c r="M209" i="7"/>
  <c r="L236" i="7"/>
  <c r="G21" i="7"/>
  <c r="M260" i="7"/>
  <c r="H200" i="7"/>
  <c r="M280" i="7"/>
  <c r="L272" i="7"/>
  <c r="G287" i="7"/>
  <c r="B79" i="7"/>
  <c r="B285" i="7"/>
  <c r="K260" i="7"/>
  <c r="L300" i="7"/>
  <c r="L299" i="7"/>
  <c r="K304" i="7"/>
  <c r="M286" i="7"/>
  <c r="B131" i="7"/>
  <c r="H310" i="7"/>
  <c r="K312" i="7"/>
  <c r="H245" i="7"/>
  <c r="G261" i="7"/>
  <c r="H291" i="7"/>
  <c r="B34" i="7"/>
  <c r="F290" i="7"/>
  <c r="B42" i="7"/>
  <c r="D242" i="7"/>
  <c r="J280" i="7"/>
  <c r="M187" i="7"/>
  <c r="M255" i="7"/>
  <c r="D284" i="7"/>
  <c r="E310" i="7"/>
  <c r="I262" i="7"/>
  <c r="C279" i="7"/>
  <c r="D281" i="7"/>
  <c r="E233" i="7"/>
  <c r="H280" i="7"/>
  <c r="B197" i="7"/>
  <c r="B274" i="7"/>
  <c r="C299" i="7"/>
  <c r="J246" i="7"/>
  <c r="B220" i="7"/>
  <c r="I253" i="7"/>
  <c r="F241" i="7"/>
  <c r="L21" i="7"/>
  <c r="H268" i="7"/>
  <c r="J241" i="7"/>
  <c r="G275" i="7"/>
  <c r="J253" i="7"/>
  <c r="C260" i="7"/>
  <c r="K188" i="7"/>
  <c r="C301" i="7"/>
  <c r="M192" i="7"/>
  <c r="K295" i="7"/>
  <c r="I18" i="7"/>
  <c r="H278" i="7"/>
  <c r="M218" i="7"/>
  <c r="B199" i="7"/>
  <c r="B311" i="7"/>
  <c r="H242" i="7"/>
  <c r="G230" i="7"/>
  <c r="K252" i="7"/>
  <c r="M193" i="7"/>
  <c r="B87" i="7"/>
  <c r="H264" i="7"/>
  <c r="I242" i="7"/>
  <c r="H308" i="7"/>
  <c r="D256" i="7"/>
  <c r="B166" i="7"/>
  <c r="G310" i="7"/>
  <c r="M230" i="7"/>
  <c r="I308" i="7"/>
  <c r="K285" i="7"/>
  <c r="J20" i="7"/>
  <c r="L223" i="7"/>
  <c r="C251" i="7"/>
  <c r="K282" i="7"/>
  <c r="L266" i="7"/>
  <c r="J189" i="7"/>
  <c r="G283" i="7"/>
  <c r="E278" i="7"/>
  <c r="I22" i="7"/>
  <c r="J288" i="7"/>
  <c r="F293" i="7"/>
  <c r="K301" i="7"/>
  <c r="B162" i="7"/>
  <c r="I213" i="7"/>
  <c r="H307" i="7"/>
  <c r="G235" i="7"/>
  <c r="C247" i="7"/>
  <c r="F269" i="7"/>
  <c r="E258" i="7"/>
  <c r="B261" i="7"/>
  <c r="F287" i="7"/>
  <c r="B265" i="7"/>
  <c r="K272" i="7"/>
  <c r="H192" i="7"/>
  <c r="K148" i="7"/>
  <c r="E228" i="7"/>
  <c r="J135" i="7"/>
  <c r="J257" i="7"/>
  <c r="C303" i="7"/>
  <c r="I156" i="7"/>
  <c r="L238" i="7"/>
  <c r="I228" i="7"/>
  <c r="I138" i="7"/>
  <c r="B193" i="7"/>
  <c r="B101" i="7"/>
  <c r="C296" i="7"/>
  <c r="D261" i="7"/>
  <c r="I301" i="7"/>
  <c r="J268" i="7"/>
  <c r="K194" i="7"/>
  <c r="L18" i="7"/>
  <c r="M282" i="7"/>
  <c r="E288" i="7"/>
  <c r="H290" i="7"/>
  <c r="I216" i="7"/>
  <c r="F259" i="7"/>
  <c r="D293" i="7"/>
  <c r="K265" i="7"/>
  <c r="F216" i="7"/>
  <c r="F251" i="7"/>
  <c r="F308" i="7"/>
  <c r="D137" i="7"/>
  <c r="B106" i="7"/>
  <c r="B211" i="7"/>
  <c r="K284" i="7"/>
  <c r="K257" i="7"/>
  <c r="G160" i="7"/>
  <c r="E19" i="7"/>
  <c r="K248" i="7"/>
  <c r="H312" i="7"/>
  <c r="I279" i="7"/>
  <c r="J205" i="7"/>
  <c r="H305" i="7"/>
  <c r="I270" i="7"/>
  <c r="B243" i="7"/>
  <c r="J274" i="7"/>
  <c r="H239" i="7"/>
  <c r="J240" i="7"/>
  <c r="L282" i="7"/>
  <c r="G19" i="7"/>
  <c r="M238" i="7"/>
  <c r="D274" i="7"/>
  <c r="E209" i="7"/>
  <c r="G295" i="7"/>
  <c r="I290" i="7"/>
  <c r="K275" i="7"/>
  <c r="F313" i="7"/>
  <c r="I16" i="7"/>
  <c r="C268" i="7"/>
  <c r="D275" i="7"/>
  <c r="C263" i="7"/>
  <c r="B129" i="7"/>
  <c r="B100" i="7"/>
  <c r="L286" i="7"/>
  <c r="H247" i="7"/>
  <c r="L253" i="7"/>
  <c r="L228" i="7"/>
  <c r="H243" i="7"/>
  <c r="M263" i="7"/>
  <c r="F192" i="7"/>
  <c r="B121" i="7"/>
  <c r="E222" i="7"/>
  <c r="G206" i="7"/>
  <c r="H197" i="7"/>
  <c r="B118" i="7"/>
  <c r="K207" i="7"/>
  <c r="L248" i="7"/>
  <c r="E256" i="7"/>
  <c r="K156" i="7"/>
  <c r="K204" i="7"/>
  <c r="F311" i="7"/>
  <c r="B145" i="7"/>
  <c r="B111" i="7"/>
  <c r="B126" i="7"/>
  <c r="I291" i="7"/>
  <c r="K269" i="7"/>
  <c r="G301" i="7"/>
  <c r="I276" i="7"/>
  <c r="L209" i="7"/>
  <c r="L314" i="7"/>
  <c r="J210" i="7"/>
  <c r="G219" i="7"/>
  <c r="M243" i="7"/>
  <c r="J231" i="7"/>
  <c r="M201" i="7"/>
  <c r="C199" i="7"/>
  <c r="L191" i="7"/>
  <c r="B212" i="7"/>
  <c r="I254" i="7"/>
  <c r="H224" i="7"/>
  <c r="J255" i="7"/>
  <c r="B206" i="7"/>
  <c r="B152" i="7"/>
  <c r="F283" i="7"/>
  <c r="J265" i="7"/>
  <c r="M198" i="7"/>
  <c r="F299" i="7"/>
  <c r="G257" i="7"/>
  <c r="F312" i="7"/>
  <c r="J159" i="7"/>
  <c r="K220" i="7"/>
  <c r="H302" i="7"/>
  <c r="E279" i="7"/>
  <c r="F15" i="7"/>
  <c r="M283" i="7"/>
  <c r="K22" i="7"/>
  <c r="L90" i="7"/>
  <c r="B201" i="7"/>
  <c r="J282" i="7"/>
  <c r="G192" i="7"/>
  <c r="K217" i="7"/>
  <c r="E214" i="7"/>
  <c r="C298" i="7"/>
  <c r="F270" i="7"/>
  <c r="B180" i="7"/>
  <c r="I277" i="7"/>
  <c r="F253" i="7"/>
  <c r="M267" i="7"/>
  <c r="C291" i="7"/>
  <c r="E255" i="7"/>
  <c r="H248" i="7"/>
  <c r="B209" i="7"/>
  <c r="E287" i="7"/>
  <c r="L277" i="7"/>
  <c r="H262" i="7"/>
  <c r="E187" i="7"/>
  <c r="C196" i="7"/>
  <c r="B277" i="7"/>
  <c r="L15" i="7"/>
  <c r="B221" i="7"/>
  <c r="E227" i="7"/>
  <c r="D273" i="7"/>
  <c r="B154" i="7"/>
  <c r="G299" i="7"/>
  <c r="M251" i="7"/>
  <c r="B155" i="7"/>
  <c r="H189" i="7"/>
  <c r="J219" i="7"/>
  <c r="H295" i="7"/>
  <c r="J284" i="7"/>
  <c r="B72" i="7"/>
  <c r="B254" i="7"/>
  <c r="B176" i="7"/>
  <c r="J279" i="7"/>
  <c r="D279" i="7"/>
  <c r="F301" i="7"/>
  <c r="H292" i="7"/>
  <c r="E211" i="7"/>
  <c r="L311" i="7"/>
  <c r="C245" i="7"/>
  <c r="E243" i="7"/>
  <c r="L251" i="7"/>
  <c r="I170" i="7"/>
  <c r="E302" i="7"/>
  <c r="E276" i="7"/>
  <c r="D309" i="7"/>
  <c r="B71" i="7"/>
  <c r="C204" i="7"/>
  <c r="C285" i="7"/>
  <c r="J19" i="7"/>
  <c r="B283" i="7"/>
  <c r="B186" i="7"/>
  <c r="I282" i="7"/>
  <c r="I281" i="7"/>
  <c r="J196" i="7"/>
  <c r="H288" i="7"/>
  <c r="K266" i="7"/>
  <c r="E312" i="7"/>
  <c r="C239" i="7"/>
  <c r="K225" i="7"/>
  <c r="H299" i="7"/>
  <c r="G136" i="7"/>
  <c r="H15" i="7"/>
  <c r="E280" i="7"/>
  <c r="C307" i="7"/>
  <c r="K68" i="7"/>
  <c r="D20" i="7"/>
  <c r="H208" i="7"/>
  <c r="H306" i="7"/>
  <c r="B233" i="7"/>
  <c r="J17" i="7"/>
  <c r="B74" i="7"/>
  <c r="J262" i="7"/>
  <c r="B239" i="7"/>
  <c r="D246" i="7"/>
  <c r="E269" i="7"/>
  <c r="F268" i="7"/>
  <c r="M258" i="7"/>
  <c r="D239" i="7"/>
  <c r="H235" i="7"/>
  <c r="B115" i="7"/>
  <c r="F238" i="7"/>
  <c r="F227" i="7"/>
  <c r="K234" i="7"/>
  <c r="I202" i="7"/>
  <c r="D266" i="7"/>
  <c r="K270" i="7"/>
  <c r="L259" i="7"/>
  <c r="K313" i="7"/>
  <c r="E313" i="7"/>
  <c r="J271" i="7"/>
  <c r="C308" i="7"/>
  <c r="G251" i="7"/>
  <c r="B314" i="7"/>
  <c r="L141" i="7"/>
  <c r="F187" i="7"/>
  <c r="K247" i="7"/>
  <c r="G276" i="7"/>
  <c r="B287" i="7"/>
  <c r="B230" i="7"/>
  <c r="B156" i="7"/>
  <c r="F254" i="7"/>
  <c r="G113" i="7"/>
  <c r="F298" i="7"/>
  <c r="M245" i="7"/>
  <c r="B290" i="7"/>
  <c r="D276" i="7"/>
  <c r="G254" i="7"/>
  <c r="D21" i="7"/>
  <c r="K267" i="7"/>
  <c r="E240" i="7"/>
  <c r="M15" i="7"/>
  <c r="I192" i="7"/>
  <c r="E274" i="7"/>
  <c r="B33" i="7"/>
  <c r="C19" i="7"/>
  <c r="L225" i="7"/>
  <c r="I274" i="7"/>
  <c r="B80" i="7"/>
  <c r="B149" i="7"/>
  <c r="I258" i="7"/>
  <c r="K199" i="7"/>
  <c r="B223" i="7"/>
  <c r="I241" i="7"/>
  <c r="J229" i="7"/>
  <c r="E309" i="7"/>
  <c r="L256" i="7"/>
  <c r="B288" i="7"/>
  <c r="K263" i="7"/>
  <c r="K241" i="7"/>
  <c r="I15" i="7"/>
  <c r="J278" i="7"/>
  <c r="J309" i="7"/>
  <c r="J156" i="7"/>
  <c r="J261" i="7"/>
  <c r="E251" i="7"/>
  <c r="G306" i="7"/>
  <c r="K305" i="7"/>
  <c r="I17" i="7"/>
  <c r="J88" i="7"/>
  <c r="F18" i="7"/>
  <c r="B84" i="7"/>
  <c r="H246" i="7"/>
  <c r="H216" i="7"/>
  <c r="J277" i="7"/>
  <c r="G208" i="7"/>
  <c r="B182" i="7"/>
  <c r="F19" i="7"/>
  <c r="B275" i="7"/>
  <c r="M212" i="7"/>
  <c r="H234" i="7"/>
  <c r="C294" i="7"/>
  <c r="B48" i="7"/>
  <c r="E16" i="7"/>
  <c r="H211" i="7"/>
  <c r="B46" i="7"/>
  <c r="J313" i="7"/>
  <c r="M303" i="7"/>
  <c r="M246" i="7"/>
  <c r="E15" i="7"/>
  <c r="L254" i="7"/>
  <c r="B255" i="7"/>
  <c r="H284" i="7"/>
  <c r="F242" i="7"/>
  <c r="B267" i="7"/>
  <c r="L35" i="7"/>
  <c r="B302" i="7"/>
  <c r="K65" i="7"/>
  <c r="G45" i="7"/>
  <c r="M117" i="7"/>
  <c r="F41" i="7"/>
  <c r="M50" i="7"/>
  <c r="K75" i="7"/>
  <c r="C33" i="7"/>
  <c r="C76" i="7"/>
  <c r="I61" i="7"/>
  <c r="B161" i="7"/>
  <c r="D96" i="7"/>
  <c r="I77" i="7"/>
  <c r="M34" i="7"/>
  <c r="F37" i="7"/>
  <c r="F81" i="7"/>
  <c r="K63" i="7"/>
  <c r="E39" i="7"/>
  <c r="D61" i="7"/>
  <c r="L56" i="7"/>
  <c r="B73" i="7"/>
  <c r="B29" i="7"/>
  <c r="J118" i="7"/>
  <c r="C42" i="7"/>
  <c r="H57" i="7"/>
  <c r="C54" i="7"/>
  <c r="F80" i="7"/>
  <c r="G51" i="7"/>
  <c r="E68" i="7"/>
  <c r="J72" i="7"/>
  <c r="B262" i="7"/>
  <c r="B293" i="7"/>
  <c r="H41" i="7"/>
  <c r="L43" i="7"/>
  <c r="J94" i="7"/>
  <c r="D76" i="7"/>
  <c r="J27" i="7"/>
  <c r="H52" i="7"/>
  <c r="C70" i="7"/>
  <c r="E67" i="7"/>
  <c r="F38" i="7"/>
  <c r="B140" i="7"/>
  <c r="G64" i="7"/>
  <c r="D60" i="7"/>
  <c r="H70" i="7"/>
  <c r="E77" i="7"/>
  <c r="E75" i="7"/>
  <c r="F46" i="7"/>
  <c r="K74" i="7"/>
  <c r="J43" i="7"/>
  <c r="G39" i="7"/>
  <c r="B167" i="7"/>
  <c r="B44" i="7"/>
  <c r="E61" i="7"/>
  <c r="C65" i="7"/>
  <c r="D36" i="7"/>
  <c r="H46" i="7"/>
  <c r="G47" i="7"/>
  <c r="I76" i="7"/>
  <c r="K77" i="7"/>
  <c r="F62" i="7"/>
  <c r="J61" i="7"/>
  <c r="B93" i="7"/>
  <c r="B147" i="7"/>
  <c r="H30" i="7"/>
  <c r="E37" i="7"/>
  <c r="C41" i="7"/>
  <c r="H87" i="7"/>
  <c r="J69" i="7"/>
  <c r="E50" i="7"/>
  <c r="G63" i="7"/>
  <c r="H63" i="7"/>
  <c r="B51" i="7"/>
  <c r="B208" i="7"/>
  <c r="D62" i="7"/>
  <c r="E33" i="7"/>
  <c r="I32" i="7"/>
  <c r="B292" i="7"/>
  <c r="C131" i="7"/>
  <c r="G54" i="7"/>
  <c r="L69" i="7"/>
  <c r="E72" i="7"/>
  <c r="E117" i="7"/>
  <c r="I40" i="7"/>
  <c r="D74" i="7"/>
  <c r="F34" i="7"/>
  <c r="G34" i="7"/>
  <c r="B210" i="7"/>
  <c r="B146" i="7"/>
  <c r="E56" i="7"/>
  <c r="C107" i="7"/>
  <c r="G30" i="7"/>
  <c r="L45" i="7"/>
  <c r="G42" i="7"/>
  <c r="J68" i="7"/>
  <c r="K39" i="7"/>
  <c r="I56" i="7"/>
  <c r="C61" i="7"/>
  <c r="B234" i="7"/>
  <c r="B60" i="7"/>
  <c r="L29" i="7"/>
  <c r="E32" i="7"/>
  <c r="I82" i="7"/>
  <c r="H64" i="7"/>
  <c r="C69" i="7"/>
  <c r="L40" i="7"/>
  <c r="G58" i="7"/>
  <c r="I55" i="7"/>
  <c r="J26" i="7"/>
  <c r="B189" i="7"/>
  <c r="G77" i="7"/>
  <c r="H48" i="7"/>
  <c r="L58" i="7"/>
  <c r="I65" i="7"/>
  <c r="I63" i="7"/>
  <c r="J34" i="7"/>
  <c r="D63" i="7"/>
  <c r="C32" i="7"/>
  <c r="K27" i="7"/>
  <c r="B62" i="7"/>
  <c r="B125" i="7"/>
  <c r="I19" i="10"/>
  <c r="G100" i="7"/>
  <c r="M151" i="7"/>
  <c r="G85" i="7"/>
  <c r="E42" i="7"/>
  <c r="I89" i="7"/>
  <c r="K37" i="7"/>
  <c r="M48" i="7"/>
  <c r="M93" i="7"/>
  <c r="G75" i="7"/>
  <c r="L50" i="7"/>
  <c r="K72" i="7"/>
  <c r="H68" i="7"/>
  <c r="B96" i="7"/>
  <c r="B113" i="7"/>
  <c r="D27" i="7"/>
  <c r="I58" i="7"/>
  <c r="G59" i="7"/>
  <c r="K69" i="7"/>
  <c r="J70" i="7"/>
  <c r="I39" i="7"/>
  <c r="D104" i="7"/>
  <c r="H27" i="7"/>
  <c r="M31" i="7"/>
  <c r="B272" i="7"/>
  <c r="B43" i="7"/>
  <c r="J49" i="7"/>
  <c r="H100" i="7"/>
  <c r="L23" i="7"/>
  <c r="H33" i="7"/>
  <c r="F58" i="7"/>
  <c r="L75" i="7"/>
  <c r="C73" i="7"/>
  <c r="D44" i="7"/>
  <c r="B227" i="7"/>
  <c r="H84" i="7"/>
  <c r="M65" i="7"/>
  <c r="F23" i="7"/>
  <c r="J25" i="7"/>
  <c r="C81" i="7"/>
  <c r="D52" i="7"/>
  <c r="I27" i="7"/>
  <c r="H49" i="7"/>
  <c r="E45" i="7"/>
  <c r="B173" i="7"/>
  <c r="B97" i="7"/>
  <c r="C67" i="7"/>
  <c r="L70" i="7"/>
  <c r="M41" i="7"/>
  <c r="F52" i="7"/>
  <c r="E53" i="7"/>
  <c r="G82" i="7"/>
  <c r="J86" i="7"/>
  <c r="D68" i="7"/>
  <c r="H67" i="7"/>
  <c r="B188" i="7"/>
  <c r="B279" i="7"/>
  <c r="F36" i="7"/>
  <c r="C43" i="7"/>
  <c r="L46" i="7"/>
  <c r="F93" i="7"/>
  <c r="H75" i="7"/>
  <c r="C56" i="7"/>
  <c r="E69" i="7"/>
  <c r="F69" i="7"/>
  <c r="B192" i="7"/>
  <c r="B31" i="7"/>
  <c r="L30" i="7"/>
  <c r="J82" i="7"/>
  <c r="F65" i="7"/>
  <c r="K80" i="7"/>
  <c r="F77" i="7"/>
  <c r="E93" i="7"/>
  <c r="J74" i="7"/>
  <c r="H38" i="7"/>
  <c r="M42" i="7"/>
  <c r="B123" i="7"/>
  <c r="B98" i="7"/>
  <c r="J97" i="7"/>
  <c r="J48" i="7"/>
  <c r="G31" i="7"/>
  <c r="B165" i="7"/>
  <c r="K59" i="7"/>
  <c r="K57" i="7"/>
  <c r="L28" i="7"/>
  <c r="F57" i="7"/>
  <c r="E26" i="7"/>
  <c r="J83" i="7"/>
  <c r="B241" i="7"/>
  <c r="B76" i="7"/>
  <c r="M37" i="7"/>
  <c r="K41" i="7"/>
  <c r="C94" i="7"/>
  <c r="E23" i="7"/>
  <c r="D24" i="7"/>
  <c r="F53" i="7"/>
  <c r="M67" i="7"/>
  <c r="C39" i="7"/>
  <c r="G38" i="7"/>
  <c r="B163" i="7"/>
  <c r="K53" i="7"/>
  <c r="H60" i="7"/>
  <c r="F64" i="7"/>
  <c r="G35" i="7"/>
  <c r="M39" i="7"/>
  <c r="H73" i="7"/>
  <c r="F29" i="7"/>
  <c r="H26" i="7"/>
  <c r="B216" i="7"/>
  <c r="B68" i="7"/>
  <c r="F48" i="7"/>
  <c r="I100" i="7"/>
  <c r="K29" i="7"/>
  <c r="H36" i="7"/>
  <c r="H34" i="7"/>
  <c r="J110" i="7"/>
  <c r="C34" i="7"/>
  <c r="M55" i="7"/>
  <c r="G60" i="7"/>
  <c r="B225" i="7"/>
  <c r="B130" i="7"/>
  <c r="E82" i="7"/>
  <c r="F24" i="7"/>
  <c r="J47" i="7"/>
  <c r="K58" i="7"/>
  <c r="G68" i="7"/>
  <c r="H50" i="7"/>
  <c r="I97" i="7"/>
  <c r="C79" i="7"/>
  <c r="B77" i="7"/>
  <c r="G119" i="7"/>
  <c r="K42" i="7"/>
  <c r="E58" i="7"/>
  <c r="I60" i="7"/>
  <c r="I105" i="7"/>
  <c r="M28" i="7"/>
  <c r="H62" i="7"/>
  <c r="G84" i="7"/>
  <c r="D80" i="7"/>
  <c r="B235" i="7"/>
  <c r="B16" i="7"/>
  <c r="I44" i="7"/>
  <c r="G95" i="7"/>
  <c r="L76" i="7"/>
  <c r="E34" i="7"/>
  <c r="K30" i="7"/>
  <c r="C57" i="7"/>
  <c r="D28" i="7"/>
  <c r="M44" i="7"/>
  <c r="G49" i="7"/>
  <c r="B132" i="7"/>
  <c r="B231" i="7"/>
  <c r="G55" i="7"/>
  <c r="E59" i="7"/>
  <c r="F30" i="7"/>
  <c r="J40" i="7"/>
  <c r="I41" i="7"/>
  <c r="K70" i="7"/>
  <c r="F35" i="7"/>
  <c r="H56" i="7"/>
  <c r="L55" i="7"/>
  <c r="B296" i="7"/>
  <c r="B178" i="7"/>
  <c r="C75" i="7"/>
  <c r="D75" i="7"/>
  <c r="B153" i="7"/>
  <c r="B19" i="7"/>
  <c r="J36" i="7"/>
  <c r="M88" i="7"/>
  <c r="D71" i="7"/>
  <c r="L24" i="7"/>
  <c r="D83" i="7"/>
  <c r="C99" i="7"/>
  <c r="H80" i="7"/>
  <c r="F44" i="7"/>
  <c r="K48" i="7"/>
  <c r="B245" i="7"/>
  <c r="B222" i="7"/>
  <c r="I70" i="7"/>
  <c r="M72" i="7"/>
  <c r="K123" i="7"/>
  <c r="D47" i="7"/>
  <c r="K56" i="7"/>
  <c r="E24" i="7"/>
  <c r="L38" i="7"/>
  <c r="M85" i="7"/>
  <c r="G67" i="7"/>
  <c r="I24" i="7"/>
  <c r="C40" i="7"/>
  <c r="I36" i="7"/>
  <c r="L62" i="7"/>
  <c r="M33" i="7"/>
  <c r="K50" i="7"/>
  <c r="E55" i="7"/>
  <c r="B37" i="7"/>
  <c r="B295" i="7"/>
  <c r="C24" i="7"/>
  <c r="G26" i="7"/>
  <c r="K52" i="7"/>
  <c r="J58" i="7"/>
  <c r="E63" i="7"/>
  <c r="C35" i="7"/>
  <c r="I52" i="7"/>
  <c r="K49" i="7"/>
  <c r="B240" i="7"/>
  <c r="I7" i="10"/>
  <c r="R11" i="10"/>
  <c r="R23" i="10"/>
  <c r="F19" i="10"/>
  <c r="S19" i="10"/>
  <c r="G20" i="10" s="1"/>
  <c r="N31" i="10"/>
  <c r="L15" i="10"/>
  <c r="M31" i="10"/>
  <c r="I11" i="10"/>
  <c r="I27" i="10"/>
  <c r="L27" i="10"/>
  <c r="Q31" i="10"/>
  <c r="F11" i="10"/>
  <c r="S11" i="10"/>
  <c r="P12" i="10" s="1"/>
  <c r="E31" i="10"/>
  <c r="T7" i="10"/>
  <c r="E8" i="10" s="1"/>
  <c r="R19" i="10"/>
  <c r="G31" i="10"/>
  <c r="F27" i="10"/>
  <c r="S27" i="10"/>
  <c r="G28" i="10" s="1"/>
  <c r="F7" i="10"/>
  <c r="S7" i="10"/>
  <c r="G8" i="10" s="1"/>
  <c r="D31" i="10"/>
  <c r="O23" i="10"/>
  <c r="H31" i="10"/>
  <c r="R27" i="10"/>
  <c r="O27" i="10"/>
  <c r="M28" i="10"/>
  <c r="S23" i="10"/>
  <c r="P24" i="10" s="1"/>
  <c r="F23" i="10"/>
  <c r="S15" i="10"/>
  <c r="M16" i="10" s="1"/>
  <c r="F15" i="10"/>
  <c r="O19" i="10"/>
  <c r="T11" i="10"/>
  <c r="N12" i="10" s="1"/>
  <c r="T19" i="10"/>
  <c r="K20" i="10" s="1"/>
  <c r="K31" i="10"/>
  <c r="P31" i="10"/>
  <c r="R15" i="10"/>
  <c r="L19" i="10"/>
  <c r="O11" i="10"/>
  <c r="T15" i="10"/>
  <c r="H16" i="10" s="1"/>
  <c r="I23" i="10"/>
  <c r="I15" i="10"/>
  <c r="J31" i="10"/>
  <c r="T27" i="10"/>
  <c r="Q28" i="10" s="1"/>
  <c r="L11" i="10"/>
  <c r="T23" i="10"/>
  <c r="Q24" i="10" s="1"/>
  <c r="R7" i="10"/>
  <c r="L7" i="10"/>
  <c r="O7" i="10"/>
  <c r="P5" i="10"/>
  <c r="O17" i="10"/>
  <c r="T17" i="10"/>
  <c r="H18" i="10" s="1"/>
  <c r="J5" i="10"/>
  <c r="H13" i="10"/>
  <c r="Q13" i="10"/>
  <c r="K13" i="10"/>
  <c r="N13" i="10"/>
  <c r="F17" i="10"/>
  <c r="S17" i="10"/>
  <c r="G18" i="10" s="1"/>
  <c r="P9" i="10"/>
  <c r="M9" i="10"/>
  <c r="J9" i="10"/>
  <c r="G9" i="10"/>
  <c r="D9" i="10"/>
  <c r="P25" i="10"/>
  <c r="M25" i="10"/>
  <c r="J25" i="10"/>
  <c r="G25" i="10"/>
  <c r="D25" i="10"/>
  <c r="Q25" i="10"/>
  <c r="N25" i="10"/>
  <c r="K25" i="10"/>
  <c r="H25" i="10"/>
  <c r="E25" i="10"/>
  <c r="N21" i="10"/>
  <c r="H21" i="10"/>
  <c r="Q21" i="10"/>
  <c r="K21" i="10"/>
  <c r="E21" i="10"/>
  <c r="L17" i="10"/>
  <c r="Q9" i="10"/>
  <c r="N9" i="10"/>
  <c r="K9" i="10"/>
  <c r="H9" i="10"/>
  <c r="E9" i="10"/>
  <c r="G5" i="10"/>
  <c r="P21" i="10"/>
  <c r="J21" i="10"/>
  <c r="D21" i="10"/>
  <c r="M21" i="10"/>
  <c r="G21" i="10"/>
  <c r="N5" i="10"/>
  <c r="H5" i="10"/>
  <c r="E5" i="10"/>
  <c r="Q5" i="10"/>
  <c r="K5" i="10"/>
  <c r="M5" i="10"/>
  <c r="I17" i="10"/>
  <c r="R17" i="10"/>
  <c r="J12" i="10" l="1"/>
  <c r="M12" i="10"/>
  <c r="K8" i="10"/>
  <c r="P20" i="10"/>
  <c r="D24" i="10"/>
  <c r="D8" i="10"/>
  <c r="N20" i="10"/>
  <c r="M8" i="10"/>
  <c r="J8" i="10"/>
  <c r="O31" i="10"/>
  <c r="U11" i="10"/>
  <c r="L12" i="10" s="1"/>
  <c r="H8" i="10"/>
  <c r="G24" i="10"/>
  <c r="P8" i="10"/>
  <c r="P28" i="10"/>
  <c r="D28" i="10"/>
  <c r="E20" i="10"/>
  <c r="M24" i="10"/>
  <c r="F31" i="10"/>
  <c r="N16" i="10"/>
  <c r="J20" i="10"/>
  <c r="D20" i="10"/>
  <c r="K12" i="10"/>
  <c r="M20" i="10"/>
  <c r="G12" i="10"/>
  <c r="E24" i="10"/>
  <c r="G16" i="10"/>
  <c r="N24" i="10"/>
  <c r="K24" i="10"/>
  <c r="U15" i="10"/>
  <c r="I16" i="10" s="1"/>
  <c r="J28" i="10"/>
  <c r="U23" i="10"/>
  <c r="O24" i="10" s="1"/>
  <c r="Q12" i="10"/>
  <c r="H12" i="10"/>
  <c r="D12" i="10"/>
  <c r="N8" i="10"/>
  <c r="L31" i="10"/>
  <c r="E28" i="10"/>
  <c r="N28" i="10"/>
  <c r="H24" i="10"/>
  <c r="K28" i="10"/>
  <c r="H28" i="10"/>
  <c r="I31" i="10"/>
  <c r="U27" i="10"/>
  <c r="L28" i="10" s="1"/>
  <c r="J16" i="10"/>
  <c r="R31" i="10"/>
  <c r="E16" i="10"/>
  <c r="Q16" i="10"/>
  <c r="Q8" i="10"/>
  <c r="Q20" i="10"/>
  <c r="H20" i="10"/>
  <c r="P16" i="10"/>
  <c r="K16" i="10"/>
  <c r="D16" i="10"/>
  <c r="U19" i="10"/>
  <c r="I20" i="10" s="1"/>
  <c r="E18" i="10"/>
  <c r="P18" i="10"/>
  <c r="Q18" i="10"/>
  <c r="K18" i="10"/>
  <c r="N18" i="10"/>
  <c r="L13" i="10"/>
  <c r="M18" i="10"/>
  <c r="J18" i="10"/>
  <c r="D18" i="10"/>
  <c r="O13" i="10"/>
  <c r="R13" i="10"/>
  <c r="I13" i="10"/>
  <c r="U7" i="10"/>
  <c r="I8" i="10" s="1"/>
  <c r="O5" i="10"/>
  <c r="L9" i="10"/>
  <c r="Q29" i="10"/>
  <c r="R21" i="10"/>
  <c r="R9" i="10"/>
  <c r="T13" i="10"/>
  <c r="E14" i="10" s="1"/>
  <c r="L5" i="10"/>
  <c r="I21" i="10"/>
  <c r="I25" i="10"/>
  <c r="T5" i="10"/>
  <c r="Q6" i="10" s="1"/>
  <c r="E29" i="10"/>
  <c r="F5" i="10"/>
  <c r="T21" i="10"/>
  <c r="N22" i="10" s="1"/>
  <c r="K29" i="10"/>
  <c r="N29" i="10"/>
  <c r="L21" i="10"/>
  <c r="T9" i="10"/>
  <c r="Q10" i="10" s="1"/>
  <c r="S25" i="10"/>
  <c r="G26" i="10" s="1"/>
  <c r="F25" i="10"/>
  <c r="R25" i="10"/>
  <c r="O21" i="10"/>
  <c r="L25" i="10"/>
  <c r="R5" i="10"/>
  <c r="S5" i="10"/>
  <c r="H29" i="10"/>
  <c r="F21" i="10"/>
  <c r="S21" i="10"/>
  <c r="J24" i="10" s="1"/>
  <c r="I5" i="10"/>
  <c r="T25" i="10"/>
  <c r="K26" i="10" s="1"/>
  <c r="O25" i="10"/>
  <c r="U17" i="10"/>
  <c r="L18" i="10" s="1"/>
  <c r="J29" i="10"/>
  <c r="O9" i="10"/>
  <c r="M29" i="10"/>
  <c r="F9" i="10"/>
  <c r="S9" i="10"/>
  <c r="J10" i="10" s="1"/>
  <c r="D29" i="10"/>
  <c r="P29" i="10"/>
  <c r="S13" i="10"/>
  <c r="F13" i="10"/>
  <c r="I9" i="10"/>
  <c r="G29" i="10"/>
  <c r="F24" i="10" l="1"/>
  <c r="I28" i="10"/>
  <c r="I12" i="10"/>
  <c r="F20" i="10"/>
  <c r="R12" i="10"/>
  <c r="O12" i="10"/>
  <c r="F28" i="10"/>
  <c r="L16" i="10"/>
  <c r="L20" i="10"/>
  <c r="F16" i="10"/>
  <c r="O16" i="10"/>
  <c r="R20" i="10"/>
  <c r="R16" i="10"/>
  <c r="L24" i="10"/>
  <c r="R24" i="10"/>
  <c r="O28" i="10"/>
  <c r="O20" i="10"/>
  <c r="R28" i="10"/>
  <c r="I24" i="10"/>
  <c r="G22" i="10"/>
  <c r="J22" i="10"/>
  <c r="R18" i="10"/>
  <c r="M22" i="10"/>
  <c r="P26" i="10"/>
  <c r="M26" i="10"/>
  <c r="N14" i="10"/>
  <c r="H14" i="10"/>
  <c r="J26" i="10"/>
  <c r="U13" i="10"/>
  <c r="F14" i="10" s="1"/>
  <c r="Q26" i="10"/>
  <c r="G10" i="10"/>
  <c r="E22" i="10"/>
  <c r="H26" i="10"/>
  <c r="P10" i="10"/>
  <c r="H22" i="10"/>
  <c r="D14" i="10"/>
  <c r="M14" i="10"/>
  <c r="J14" i="10"/>
  <c r="P14" i="10"/>
  <c r="G14" i="10"/>
  <c r="J6" i="10"/>
  <c r="F18" i="10"/>
  <c r="E26" i="10"/>
  <c r="I18" i="10"/>
  <c r="O18" i="10"/>
  <c r="K10" i="10"/>
  <c r="E10" i="10"/>
  <c r="D10" i="10"/>
  <c r="M10" i="10"/>
  <c r="K22" i="10"/>
  <c r="D26" i="10"/>
  <c r="Q14" i="10"/>
  <c r="N26" i="10"/>
  <c r="P22" i="10"/>
  <c r="K14" i="10"/>
  <c r="H10" i="10"/>
  <c r="Q22" i="10"/>
  <c r="N10" i="10"/>
  <c r="D22" i="10"/>
  <c r="G6" i="10"/>
  <c r="R8" i="10"/>
  <c r="N6" i="10"/>
  <c r="K6" i="10"/>
  <c r="M6" i="10"/>
  <c r="H6" i="10"/>
  <c r="P6" i="10"/>
  <c r="F8" i="10"/>
  <c r="O8" i="10"/>
  <c r="L8" i="10"/>
  <c r="L29" i="10"/>
  <c r="E12" i="10"/>
  <c r="U5" i="10"/>
  <c r="I29" i="10"/>
  <c r="R29" i="10"/>
  <c r="U21" i="10"/>
  <c r="I22" i="10" s="1"/>
  <c r="U25" i="10"/>
  <c r="L26" i="10" s="1"/>
  <c r="T29" i="10"/>
  <c r="E32" i="10" s="1"/>
  <c r="O29" i="10"/>
  <c r="U9" i="10"/>
  <c r="I10" i="10" s="1"/>
  <c r="F29" i="10"/>
  <c r="S29" i="10"/>
  <c r="G30" i="10" s="1"/>
  <c r="R10" i="10" l="1"/>
  <c r="O26" i="10"/>
  <c r="I26" i="10"/>
  <c r="O22" i="10"/>
  <c r="L10" i="10"/>
  <c r="F26" i="10"/>
  <c r="F22" i="10"/>
  <c r="F10" i="10"/>
  <c r="L22" i="10"/>
  <c r="L14" i="10"/>
  <c r="R14" i="10"/>
  <c r="H30" i="10"/>
  <c r="K30" i="10"/>
  <c r="M30" i="10"/>
  <c r="Q30" i="10"/>
  <c r="I14" i="10"/>
  <c r="R26" i="10"/>
  <c r="O14" i="10"/>
  <c r="P30" i="10"/>
  <c r="E30" i="10"/>
  <c r="R22" i="10"/>
  <c r="J30" i="10"/>
  <c r="O10" i="10"/>
  <c r="N30" i="10"/>
  <c r="T31" i="10"/>
  <c r="S31" i="10"/>
  <c r="I6" i="10"/>
  <c r="O6" i="10"/>
  <c r="R6" i="10"/>
  <c r="L6" i="10"/>
  <c r="F12" i="10"/>
  <c r="U29" i="10"/>
  <c r="O30" i="10" s="1"/>
  <c r="I30" i="10" l="1"/>
  <c r="L30" i="10"/>
  <c r="G32" i="10"/>
  <c r="J32" i="10"/>
  <c r="M32" i="10"/>
  <c r="P32" i="10"/>
  <c r="R30" i="10"/>
  <c r="F30" i="10"/>
  <c r="H32" i="10"/>
  <c r="K32" i="10"/>
  <c r="N32" i="10"/>
  <c r="Q32" i="10"/>
  <c r="U31" i="10"/>
  <c r="I32" i="10" l="1"/>
  <c r="R32" i="10"/>
  <c r="L32" i="10"/>
  <c r="O32" i="10"/>
  <c r="F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 authorId="0" shapeId="0" xr:uid="{00000000-0006-0000-0200-000001000000}">
      <text>
        <r>
          <rPr>
            <b/>
            <sz val="11"/>
            <color indexed="81"/>
            <rFont val="ＭＳ Ｐゴシック"/>
            <family val="3"/>
            <charset val="128"/>
          </rPr>
          <t>入力規則から選んで下さい。</t>
        </r>
      </text>
    </comment>
    <comment ref="S3" authorId="0" shapeId="0" xr:uid="{00000000-0006-0000-0200-000002000000}">
      <text>
        <r>
          <rPr>
            <b/>
            <sz val="11"/>
            <color indexed="81"/>
            <rFont val="ＭＳ Ｐゴシック"/>
            <family val="3"/>
            <charset val="128"/>
          </rPr>
          <t>入力規則から選んで下さい。</t>
        </r>
      </text>
    </comment>
    <comment ref="L7" authorId="0" shapeId="0" xr:uid="{00000000-0006-0000-0200-000003000000}">
      <text>
        <r>
          <rPr>
            <b/>
            <sz val="12"/>
            <color indexed="81"/>
            <rFont val="ＭＳ Ｐゴシック"/>
            <family val="3"/>
            <charset val="128"/>
          </rPr>
          <t>入力シートから反映されますので、入力しないでください。</t>
        </r>
      </text>
    </comment>
    <comment ref="L8" authorId="0" shapeId="0" xr:uid="{00000000-0006-0000-0200-000004000000}">
      <text>
        <r>
          <rPr>
            <b/>
            <sz val="12"/>
            <color indexed="81"/>
            <rFont val="ＭＳ Ｐゴシック"/>
            <family val="3"/>
            <charset val="128"/>
          </rPr>
          <t>入力シートから反映されますので、入力しないでください。</t>
        </r>
      </text>
    </comment>
    <comment ref="J19" authorId="0" shapeId="0" xr:uid="{00000000-0006-0000-0200-000005000000}">
      <text>
        <r>
          <rPr>
            <b/>
            <sz val="12"/>
            <color indexed="81"/>
            <rFont val="ＭＳ Ｐゴシック"/>
            <family val="3"/>
            <charset val="128"/>
          </rPr>
          <t>入力シートから反映されますので、入力しないでください。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00000000-0006-0000-0300-000001000000}">
      <text>
        <r>
          <rPr>
            <b/>
            <sz val="12"/>
            <color indexed="81"/>
            <rFont val="ＭＳ Ｐゴシック"/>
            <family val="3"/>
            <charset val="128"/>
          </rPr>
          <t>入力規則から選んでください。</t>
        </r>
      </text>
    </comment>
    <comment ref="L4" authorId="0" shapeId="0" xr:uid="{00000000-0006-0000-0300-000002000000}">
      <text>
        <r>
          <rPr>
            <b/>
            <sz val="12"/>
            <color indexed="81"/>
            <rFont val="ＭＳ Ｐゴシック"/>
            <family val="3"/>
            <charset val="128"/>
          </rPr>
          <t>入力規則から選んでください。</t>
        </r>
      </text>
    </comment>
    <comment ref="I8" authorId="0" shapeId="0" xr:uid="{00000000-0006-0000-0300-000003000000}">
      <text>
        <r>
          <rPr>
            <b/>
            <sz val="12"/>
            <color indexed="81"/>
            <rFont val="ＭＳ Ｐゴシック"/>
            <family val="3"/>
            <charset val="128"/>
          </rPr>
          <t>入力シートから反映されますので、入力しないでください。</t>
        </r>
      </text>
    </comment>
    <comment ref="I9" authorId="0" shapeId="0" xr:uid="{00000000-0006-0000-0300-000004000000}">
      <text>
        <r>
          <rPr>
            <b/>
            <sz val="12"/>
            <color indexed="81"/>
            <rFont val="ＭＳ Ｐゴシック"/>
            <family val="3"/>
            <charset val="128"/>
          </rPr>
          <t>入力シートから反映されますので、入力しないでください。</t>
        </r>
      </text>
    </comment>
  </commentList>
</comments>
</file>

<file path=xl/sharedStrings.xml><?xml version="1.0" encoding="utf-8"?>
<sst xmlns="http://schemas.openxmlformats.org/spreadsheetml/2006/main" count="600" uniqueCount="261">
  <si>
    <t>Ｎｏ．</t>
    <phoneticPr fontId="2" type="Hiragana" alignment="distributed"/>
  </si>
  <si>
    <t>名前</t>
    <rPh sb="0" eb="2">
      <t>なまえ</t>
    </rPh>
    <phoneticPr fontId="2" type="Hiragana" alignment="distributed"/>
  </si>
  <si>
    <t>性別</t>
    <rPh sb="0" eb="1">
      <t>せい</t>
    </rPh>
    <rPh sb="1" eb="2">
      <t>べつ</t>
    </rPh>
    <phoneticPr fontId="2" type="Hiragana" alignment="distributed"/>
  </si>
  <si>
    <t>男・女</t>
    <rPh sb="0" eb="1">
      <t>おとこ</t>
    </rPh>
    <rPh sb="2" eb="3">
      <t>おんな</t>
    </rPh>
    <phoneticPr fontId="2" type="Hiragana" alignment="distributed"/>
  </si>
  <si>
    <t>年組</t>
    <rPh sb="0" eb="1">
      <t>ねん</t>
    </rPh>
    <rPh sb="1" eb="2">
      <t>くみ</t>
    </rPh>
    <phoneticPr fontId="2" type="Hiragana" alignment="distributed"/>
  </si>
  <si>
    <t>学校名</t>
    <rPh sb="0" eb="2">
      <t>がっこう</t>
    </rPh>
    <rPh sb="2" eb="3">
      <t>めい</t>
    </rPh>
    <phoneticPr fontId="2" type="Hiragana" alignment="distributed"/>
  </si>
  <si>
    <t>体格</t>
    <rPh sb="0" eb="2">
      <t>たいかく</t>
    </rPh>
    <phoneticPr fontId="2" type="Hiragana" alignment="distributed"/>
  </si>
  <si>
    <t>１．身長</t>
    <rPh sb="2" eb="4">
      <t>しんちょう</t>
    </rPh>
    <phoneticPr fontId="2" type="Hiragana" alignment="distributed"/>
  </si>
  <si>
    <t>ｃｍ</t>
    <phoneticPr fontId="2" type="Hiragana" alignment="distributed"/>
  </si>
  <si>
    <t>２．体重</t>
    <rPh sb="2" eb="4">
      <t>たいじゅう</t>
    </rPh>
    <phoneticPr fontId="2" type="Hiragana" alignment="distributed"/>
  </si>
  <si>
    <t>ｋｇ</t>
    <phoneticPr fontId="2" type="Hiragana" alignment="distributed"/>
  </si>
  <si>
    <t>項目</t>
    <rPh sb="0" eb="1">
      <t>こう</t>
    </rPh>
    <rPh sb="1" eb="2">
      <t>もく</t>
    </rPh>
    <phoneticPr fontId="2" type="Hiragana" alignment="distributed"/>
  </si>
  <si>
    <t>記録</t>
    <rPh sb="0" eb="1">
      <t>き</t>
    </rPh>
    <rPh sb="1" eb="2">
      <t>ろく</t>
    </rPh>
    <phoneticPr fontId="2" type="Hiragana" alignment="distributed"/>
  </si>
  <si>
    <t>得点</t>
    <rPh sb="0" eb="1">
      <t>とく</t>
    </rPh>
    <rPh sb="1" eb="2">
      <t>てん</t>
    </rPh>
    <phoneticPr fontId="2" type="Hiragana" alignment="distributed"/>
  </si>
  <si>
    <t>１．握力</t>
    <rPh sb="2" eb="4">
      <t>あくりょく</t>
    </rPh>
    <phoneticPr fontId="2" type="Hiragana" alignment="distributed"/>
  </si>
  <si>
    <t>右</t>
    <rPh sb="0" eb="1">
      <t>みぎ</t>
    </rPh>
    <phoneticPr fontId="2" type="Hiragana" alignment="distributed"/>
  </si>
  <si>
    <t>１回目</t>
    <rPh sb="1" eb="3">
      <t>かいめ</t>
    </rPh>
    <phoneticPr fontId="2" type="Hiragana" alignment="distributed"/>
  </si>
  <si>
    <t>ｋｇ</t>
    <phoneticPr fontId="2" type="Hiragana" alignment="distributed"/>
  </si>
  <si>
    <t>２回目</t>
    <rPh sb="1" eb="3">
      <t>かいめ</t>
    </rPh>
    <phoneticPr fontId="2" type="Hiragana" alignment="distributed"/>
  </si>
  <si>
    <t>左</t>
    <rPh sb="0" eb="1">
      <t>ひだり</t>
    </rPh>
    <phoneticPr fontId="2" type="Hiragana" alignment="distributed"/>
  </si>
  <si>
    <t>ｋｇ</t>
    <phoneticPr fontId="2" type="Hiragana" alignment="distributed"/>
  </si>
  <si>
    <t>平均</t>
    <rPh sb="0" eb="2">
      <t>へいきん</t>
    </rPh>
    <phoneticPr fontId="2" type="Hiragana" alignment="distributed"/>
  </si>
  <si>
    <t>２．上体起こし</t>
    <rPh sb="2" eb="4">
      <t>じょうたい</t>
    </rPh>
    <rPh sb="4" eb="5">
      <t>お</t>
    </rPh>
    <phoneticPr fontId="2" type="Hiragana" alignment="distributed"/>
  </si>
  <si>
    <t>回</t>
    <rPh sb="0" eb="1">
      <t>かい</t>
    </rPh>
    <phoneticPr fontId="2" type="Hiragana" alignment="distributed"/>
  </si>
  <si>
    <t>３．長座体前屈</t>
    <rPh sb="2" eb="4">
      <t>ちょうざ</t>
    </rPh>
    <rPh sb="4" eb="7">
      <t>たいぜんくつ</t>
    </rPh>
    <phoneticPr fontId="2" type="Hiragana" alignment="distributed"/>
  </si>
  <si>
    <t>ｃｍ</t>
    <phoneticPr fontId="2" type="Hiragana" alignment="distributed"/>
  </si>
  <si>
    <t>４．反復横とび</t>
    <rPh sb="2" eb="4">
      <t>はんぷく</t>
    </rPh>
    <rPh sb="4" eb="5">
      <t>よこ</t>
    </rPh>
    <phoneticPr fontId="2" type="Hiragana" alignment="distributed"/>
  </si>
  <si>
    <t>点</t>
    <rPh sb="0" eb="1">
      <t>てん</t>
    </rPh>
    <phoneticPr fontId="2" type="Hiragana" alignment="distributed"/>
  </si>
  <si>
    <t>５．持久走</t>
    <rPh sb="2" eb="4">
      <t>じきゅう</t>
    </rPh>
    <rPh sb="4" eb="5">
      <t>そう</t>
    </rPh>
    <phoneticPr fontId="2" type="Hiragana" alignment="distributed"/>
  </si>
  <si>
    <t>分</t>
    <rPh sb="0" eb="1">
      <t>ふん</t>
    </rPh>
    <phoneticPr fontId="2" type="Hiragana" alignment="distributed"/>
  </si>
  <si>
    <t>秒</t>
    <rPh sb="0" eb="1">
      <t>びょう</t>
    </rPh>
    <phoneticPr fontId="2" type="Hiragana" alignment="distributed"/>
  </si>
  <si>
    <t>６．20mシャトルラン</t>
    <phoneticPr fontId="2" type="Hiragana" alignment="distributed"/>
  </si>
  <si>
    <t>折り返し数</t>
    <rPh sb="0" eb="1">
      <t>お</t>
    </rPh>
    <rPh sb="2" eb="3">
      <t>かえ</t>
    </rPh>
    <rPh sb="4" eb="5">
      <t>すう</t>
    </rPh>
    <phoneticPr fontId="2" type="Hiragana" alignment="distributed"/>
  </si>
  <si>
    <t>７．50m走</t>
    <rPh sb="5" eb="6">
      <t>そう</t>
    </rPh>
    <phoneticPr fontId="2" type="Hiragana" alignment="distributed"/>
  </si>
  <si>
    <t>８．立ち幅とび</t>
    <rPh sb="2" eb="3">
      <t>た</t>
    </rPh>
    <rPh sb="4" eb="5">
      <t>はば</t>
    </rPh>
    <phoneticPr fontId="2" type="Hiragana" alignment="distributed"/>
  </si>
  <si>
    <t>ｃｍ</t>
    <phoneticPr fontId="2" type="Hiragana" alignment="distributed"/>
  </si>
  <si>
    <t>９．ハンドボール投げ</t>
    <rPh sb="8" eb="9">
      <t>な</t>
    </rPh>
    <phoneticPr fontId="2" type="Hiragana" alignment="distributed"/>
  </si>
  <si>
    <t>ｍ</t>
    <phoneticPr fontId="2" type="Hiragana" alignment="distributed"/>
  </si>
  <si>
    <t>得点合計</t>
    <rPh sb="0" eb="1">
      <t>とく</t>
    </rPh>
    <rPh sb="1" eb="2">
      <t>てん</t>
    </rPh>
    <rPh sb="2" eb="3">
      <t>ごう</t>
    </rPh>
    <rPh sb="3" eb="4">
      <t>けい</t>
    </rPh>
    <phoneticPr fontId="2" type="Hiragana" alignment="distributed"/>
  </si>
  <si>
    <t>総合評価</t>
    <rPh sb="0" eb="1">
      <t>そう</t>
    </rPh>
    <rPh sb="1" eb="2">
      <t>ごう</t>
    </rPh>
    <rPh sb="2" eb="3">
      <t>ひょう</t>
    </rPh>
    <rPh sb="3" eb="4">
      <t>か</t>
    </rPh>
    <phoneticPr fontId="2" type="Hiragana" alignment="distributed"/>
  </si>
  <si>
    <t>Ａ</t>
    <phoneticPr fontId="2" type="Hiragana" alignment="distributed"/>
  </si>
  <si>
    <t>Ｂ</t>
    <phoneticPr fontId="2" type="Hiragana" alignment="distributed"/>
  </si>
  <si>
    <t>Ｃ</t>
    <phoneticPr fontId="2" type="Hiragana" alignment="distributed"/>
  </si>
  <si>
    <t>Ｄ</t>
    <phoneticPr fontId="2" type="Hiragana" alignment="distributed"/>
  </si>
  <si>
    <t>Ｅ</t>
    <phoneticPr fontId="2" type="Hiragana" alignment="distributed"/>
  </si>
  <si>
    <t>学校名</t>
    <rPh sb="0" eb="2">
      <t>ガッコウ</t>
    </rPh>
    <rPh sb="2" eb="3">
      <t>メイ</t>
    </rPh>
    <phoneticPr fontId="2"/>
  </si>
  <si>
    <t>学校長名</t>
    <rPh sb="0" eb="2">
      <t>ガッコウ</t>
    </rPh>
    <rPh sb="2" eb="3">
      <t>チョウ</t>
    </rPh>
    <rPh sb="3" eb="4">
      <t>メイ</t>
    </rPh>
    <phoneticPr fontId="2"/>
  </si>
  <si>
    <t>群馬県教育委員会教育長　様</t>
    <rPh sb="0" eb="3">
      <t>グンマケン</t>
    </rPh>
    <rPh sb="3" eb="5">
      <t>キョウイク</t>
    </rPh>
    <rPh sb="5" eb="8">
      <t>イインカイ</t>
    </rPh>
    <rPh sb="8" eb="11">
      <t>キョウイクチョウ</t>
    </rPh>
    <rPh sb="12" eb="13">
      <t>サマ</t>
    </rPh>
    <phoneticPr fontId="2"/>
  </si>
  <si>
    <t>名</t>
    <rPh sb="0" eb="1">
      <t>メイ</t>
    </rPh>
    <phoneticPr fontId="1"/>
  </si>
  <si>
    <t>群馬県体力優良証交付申請報告書</t>
    <rPh sb="0" eb="3">
      <t>グンマケン</t>
    </rPh>
    <rPh sb="3" eb="5">
      <t>タイリョク</t>
    </rPh>
    <rPh sb="5" eb="7">
      <t>ユウリョウ</t>
    </rPh>
    <rPh sb="7" eb="8">
      <t>ショウ</t>
    </rPh>
    <rPh sb="8" eb="10">
      <t>コウフ</t>
    </rPh>
    <rPh sb="10" eb="12">
      <t>シンセイ</t>
    </rPh>
    <rPh sb="12" eb="15">
      <t>ホウコクショ</t>
    </rPh>
    <phoneticPr fontId="2"/>
  </si>
  <si>
    <t>群馬県体力優良証交付申請数について、次のとおり報告します。</t>
    <rPh sb="0" eb="3">
      <t>グンマケン</t>
    </rPh>
    <rPh sb="3" eb="5">
      <t>タイリョク</t>
    </rPh>
    <rPh sb="5" eb="7">
      <t>ユウリョウ</t>
    </rPh>
    <rPh sb="7" eb="8">
      <t>ショウ</t>
    </rPh>
    <rPh sb="8" eb="10">
      <t>コウフ</t>
    </rPh>
    <rPh sb="10" eb="12">
      <t>シンセイ</t>
    </rPh>
    <rPh sb="12" eb="13">
      <t>カズ</t>
    </rPh>
    <rPh sb="18" eb="19">
      <t>ツギ</t>
    </rPh>
    <rPh sb="23" eb="25">
      <t>ホウコク</t>
    </rPh>
    <phoneticPr fontId="2"/>
  </si>
  <si>
    <t>　　　１　体力優良証交付申請数　</t>
    <rPh sb="5" eb="7">
      <t>タイリョク</t>
    </rPh>
    <rPh sb="7" eb="10">
      <t>ユウリョウショウ</t>
    </rPh>
    <rPh sb="10" eb="12">
      <t>コウフ</t>
    </rPh>
    <rPh sb="12" eb="14">
      <t>シンセイ</t>
    </rPh>
    <rPh sb="14" eb="15">
      <t>カズ</t>
    </rPh>
    <phoneticPr fontId="1"/>
  </si>
  <si>
    <t>（様式１例）</t>
    <rPh sb="1" eb="3">
      <t>ヨウシキ</t>
    </rPh>
    <rPh sb="4" eb="5">
      <t>レイ</t>
    </rPh>
    <phoneticPr fontId="2"/>
  </si>
  <si>
    <t>群馬県体力優良証交付申請書</t>
    <rPh sb="0" eb="3">
      <t>グンマケン</t>
    </rPh>
    <rPh sb="3" eb="5">
      <t>タイリョク</t>
    </rPh>
    <rPh sb="5" eb="7">
      <t>ユウリョウ</t>
    </rPh>
    <rPh sb="7" eb="8">
      <t>ショウ</t>
    </rPh>
    <rPh sb="8" eb="10">
      <t>コウフ</t>
    </rPh>
    <rPh sb="10" eb="13">
      <t>シンセイショ</t>
    </rPh>
    <phoneticPr fontId="2"/>
  </si>
  <si>
    <t>群馬県体力優良証の交付を受けたいので、次のとおり申請します。</t>
    <rPh sb="0" eb="3">
      <t>グンマケン</t>
    </rPh>
    <rPh sb="3" eb="5">
      <t>タイリョク</t>
    </rPh>
    <rPh sb="5" eb="7">
      <t>ユウリョウ</t>
    </rPh>
    <rPh sb="7" eb="8">
      <t>ショウ</t>
    </rPh>
    <rPh sb="9" eb="11">
      <t>コウフ</t>
    </rPh>
    <rPh sb="12" eb="13">
      <t>ウ</t>
    </rPh>
    <rPh sb="19" eb="20">
      <t>ツギ</t>
    </rPh>
    <rPh sb="24" eb="26">
      <t>シンセイ</t>
    </rPh>
    <phoneticPr fontId="2"/>
  </si>
  <si>
    <t>学　年</t>
    <rPh sb="0" eb="1">
      <t>ガク</t>
    </rPh>
    <rPh sb="2" eb="3">
      <t>トシ</t>
    </rPh>
    <phoneticPr fontId="2"/>
  </si>
  <si>
    <t>記録</t>
    <rPh sb="0" eb="2">
      <t>キロク</t>
    </rPh>
    <phoneticPr fontId="2"/>
  </si>
  <si>
    <t>握力</t>
    <rPh sb="0" eb="2">
      <t>アクリョク</t>
    </rPh>
    <phoneticPr fontId="2"/>
  </si>
  <si>
    <t>50m走</t>
    <rPh sb="3" eb="4">
      <t>ソウ</t>
    </rPh>
    <phoneticPr fontId="2"/>
  </si>
  <si>
    <t>ボール投げ</t>
    <rPh sb="3" eb="4">
      <t>ナ</t>
    </rPh>
    <phoneticPr fontId="2"/>
  </si>
  <si>
    <t>段　階</t>
    <rPh sb="0" eb="1">
      <t>ダン</t>
    </rPh>
    <rPh sb="2" eb="3">
      <t>カイ</t>
    </rPh>
    <phoneticPr fontId="2"/>
  </si>
  <si>
    <t>計</t>
    <rPh sb="0" eb="1">
      <t>ケイ</t>
    </rPh>
    <phoneticPr fontId="2"/>
  </si>
  <si>
    <t>Ａ</t>
    <phoneticPr fontId="2"/>
  </si>
  <si>
    <t>Ｂ</t>
    <phoneticPr fontId="2"/>
  </si>
  <si>
    <t>Ｃ</t>
    <phoneticPr fontId="2"/>
  </si>
  <si>
    <t>Ｄ</t>
    <phoneticPr fontId="2"/>
  </si>
  <si>
    <t>Ｅ</t>
    <phoneticPr fontId="2"/>
  </si>
  <si>
    <t>男</t>
    <rPh sb="0" eb="1">
      <t>オトコ</t>
    </rPh>
    <phoneticPr fontId="2"/>
  </si>
  <si>
    <t>女</t>
    <rPh sb="0" eb="1">
      <t>オンナ</t>
    </rPh>
    <phoneticPr fontId="2"/>
  </si>
  <si>
    <t>1学年</t>
    <rPh sb="1" eb="3">
      <t>ガクネン</t>
    </rPh>
    <phoneticPr fontId="2"/>
  </si>
  <si>
    <t>2学年</t>
    <rPh sb="1" eb="3">
      <t>ガクネン</t>
    </rPh>
    <phoneticPr fontId="2"/>
  </si>
  <si>
    <t>3学年</t>
    <rPh sb="1" eb="3">
      <t>ガクネン</t>
    </rPh>
    <phoneticPr fontId="2"/>
  </si>
  <si>
    <t>新体力テスト記録用紙</t>
    <rPh sb="0" eb="1">
      <t>シン</t>
    </rPh>
    <rPh sb="1" eb="3">
      <t>タイリョク</t>
    </rPh>
    <rPh sb="6" eb="8">
      <t>キロク</t>
    </rPh>
    <rPh sb="8" eb="10">
      <t>ヨウシ</t>
    </rPh>
    <phoneticPr fontId="1"/>
  </si>
  <si>
    <t>学校名</t>
    <rPh sb="0" eb="3">
      <t>ガッコウメイ</t>
    </rPh>
    <phoneticPr fontId="1"/>
  </si>
  <si>
    <t>校長名</t>
    <rPh sb="0" eb="3">
      <t>コウチョウメイ</t>
    </rPh>
    <phoneticPr fontId="1"/>
  </si>
  <si>
    <t>年</t>
    <rPh sb="0" eb="1">
      <t>ネン</t>
    </rPh>
    <phoneticPr fontId="1"/>
  </si>
  <si>
    <t>月</t>
    <rPh sb="0" eb="1">
      <t>ツキ</t>
    </rPh>
    <phoneticPr fontId="1"/>
  </si>
  <si>
    <t>日</t>
    <rPh sb="0" eb="1">
      <t>ヒ</t>
    </rPh>
    <phoneticPr fontId="1"/>
  </si>
  <si>
    <t>群馬県児童生徒の体力・運動能力調査　入力シート</t>
    <rPh sb="0" eb="3">
      <t>グンマケン</t>
    </rPh>
    <rPh sb="3" eb="5">
      <t>ジドウ</t>
    </rPh>
    <rPh sb="5" eb="7">
      <t>セイト</t>
    </rPh>
    <rPh sb="8" eb="10">
      <t>タイリョク</t>
    </rPh>
    <rPh sb="11" eb="13">
      <t>ウンドウ</t>
    </rPh>
    <rPh sb="13" eb="15">
      <t>ノウリョク</t>
    </rPh>
    <rPh sb="15" eb="17">
      <t>チョウサ</t>
    </rPh>
    <rPh sb="18" eb="20">
      <t>ニュウリョク</t>
    </rPh>
    <phoneticPr fontId="1"/>
  </si>
  <si>
    <t>女</t>
    <rPh sb="0" eb="1">
      <t>オンナ</t>
    </rPh>
    <phoneticPr fontId="1"/>
  </si>
  <si>
    <t>計</t>
    <rPh sb="0" eb="1">
      <t>ケイ</t>
    </rPh>
    <phoneticPr fontId="1"/>
  </si>
  <si>
    <t>no</t>
  </si>
  <si>
    <t>学年</t>
  </si>
  <si>
    <t>性別</t>
  </si>
  <si>
    <t>年齢</t>
  </si>
  <si>
    <t>得点</t>
  </si>
  <si>
    <t>氏名</t>
    <rPh sb="0" eb="2">
      <t>シメイ</t>
    </rPh>
    <phoneticPr fontId="1"/>
  </si>
  <si>
    <t>月</t>
    <rPh sb="0" eb="1">
      <t>ガツ</t>
    </rPh>
    <phoneticPr fontId="1"/>
  </si>
  <si>
    <t>日</t>
    <rPh sb="0" eb="1">
      <t>ヒ</t>
    </rPh>
    <phoneticPr fontId="1"/>
  </si>
  <si>
    <t>性別</t>
    <rPh sb="0" eb="2">
      <t>セイベツ</t>
    </rPh>
    <phoneticPr fontId="2"/>
  </si>
  <si>
    <t>種目</t>
    <rPh sb="0" eb="2">
      <t>シュモク</t>
    </rPh>
    <phoneticPr fontId="2"/>
  </si>
  <si>
    <t>身長</t>
  </si>
  <si>
    <t>体重</t>
  </si>
  <si>
    <t>握力</t>
  </si>
  <si>
    <t>上体　　　起こし</t>
    <phoneticPr fontId="2"/>
  </si>
  <si>
    <t>長座　　　体前屈</t>
    <phoneticPr fontId="2"/>
  </si>
  <si>
    <t>反復　　　横とび</t>
    <phoneticPr fontId="2"/>
  </si>
  <si>
    <t>20m　　　　ｼｬﾄﾙﾗﾝ</t>
    <phoneticPr fontId="2"/>
  </si>
  <si>
    <t>50m走</t>
  </si>
  <si>
    <t>立ち　　　幅とび</t>
    <phoneticPr fontId="2"/>
  </si>
  <si>
    <t>ﾊﾝﾄﾞﾎﾞｰﾙ投げ</t>
    <phoneticPr fontId="2"/>
  </si>
  <si>
    <t>得点</t>
    <rPh sb="0" eb="2">
      <t>トクテン</t>
    </rPh>
    <phoneticPr fontId="2"/>
  </si>
  <si>
    <t>学年</t>
    <rPh sb="0" eb="2">
      <t>ガクネン</t>
    </rPh>
    <phoneticPr fontId="2"/>
  </si>
  <si>
    <t>(cm)</t>
  </si>
  <si>
    <t>(kg)</t>
  </si>
  <si>
    <t>(回)</t>
  </si>
  <si>
    <t>(点)</t>
  </si>
  <si>
    <t>(秒)</t>
  </si>
  <si>
    <t>(m)</t>
  </si>
  <si>
    <t>男子</t>
    <rPh sb="0" eb="2">
      <t>ダンシ</t>
    </rPh>
    <phoneticPr fontId="2"/>
  </si>
  <si>
    <t>段階</t>
    <rPh sb="0" eb="2">
      <t>ダンカイ</t>
    </rPh>
    <phoneticPr fontId="2"/>
  </si>
  <si>
    <t>女子</t>
    <rPh sb="0" eb="2">
      <t>ジョシ</t>
    </rPh>
    <phoneticPr fontId="2"/>
  </si>
  <si>
    <t>得点</t>
    <rPh sb="0" eb="2">
      <t>トクテン</t>
    </rPh>
    <phoneticPr fontId="1"/>
  </si>
  <si>
    <t>持久走</t>
    <rPh sb="0" eb="3">
      <t>ジキュウソウ</t>
    </rPh>
    <phoneticPr fontId="1"/>
  </si>
  <si>
    <t>(％)</t>
    <phoneticPr fontId="1"/>
  </si>
  <si>
    <t>4学年</t>
    <rPh sb="1" eb="3">
      <t>ガクネン</t>
    </rPh>
    <phoneticPr fontId="2"/>
  </si>
  <si>
    <t>上体</t>
  </si>
  <si>
    <t>長座</t>
  </si>
  <si>
    <t>反復</t>
  </si>
  <si>
    <t>シャトル</t>
  </si>
  <si>
    <t>５０ｍ</t>
  </si>
  <si>
    <t>立ち幅</t>
  </si>
  <si>
    <t>ソフト</t>
  </si>
  <si>
    <t>5学年</t>
    <rPh sb="1" eb="3">
      <t>ガクネン</t>
    </rPh>
    <phoneticPr fontId="2"/>
  </si>
  <si>
    <t>6学年</t>
    <rPh sb="1" eb="3">
      <t>ガクネン</t>
    </rPh>
    <phoneticPr fontId="2"/>
  </si>
  <si>
    <t>＜小学校＞</t>
    <rPh sb="1" eb="4">
      <t>ショウガッコウ</t>
    </rPh>
    <phoneticPr fontId="2"/>
  </si>
  <si>
    <t>組</t>
    <phoneticPr fontId="1"/>
  </si>
  <si>
    <t>判定</t>
    <phoneticPr fontId="1"/>
  </si>
  <si>
    <t>シャトル</t>
    <phoneticPr fontId="1"/>
  </si>
  <si>
    <t>50ｍ</t>
    <phoneticPr fontId="1"/>
  </si>
  <si>
    <t>立幅</t>
    <phoneticPr fontId="1"/>
  </si>
  <si>
    <t>ボール</t>
    <phoneticPr fontId="1"/>
  </si>
  <si>
    <t>＜小学校＞</t>
    <rPh sb="1" eb="2">
      <t>ショウ</t>
    </rPh>
    <rPh sb="2" eb="4">
      <t>ガッコウ</t>
    </rPh>
    <phoneticPr fontId="2"/>
  </si>
  <si>
    <t>男</t>
    <rPh sb="0" eb="1">
      <t>オトコ</t>
    </rPh>
    <phoneticPr fontId="1"/>
  </si>
  <si>
    <t>赤城太郎</t>
    <rPh sb="0" eb="2">
      <t>アカギ</t>
    </rPh>
    <rPh sb="2" eb="4">
      <t>タロウ</t>
    </rPh>
    <phoneticPr fontId="1"/>
  </si>
  <si>
    <t>○○○</t>
  </si>
  <si>
    <t>△△△</t>
  </si>
  <si>
    <t>○○市立○○小学校</t>
    <rPh sb="2" eb="4">
      <t>シリツ</t>
    </rPh>
    <rPh sb="6" eb="9">
      <t>ショウガッコウ</t>
    </rPh>
    <phoneticPr fontId="1"/>
  </si>
  <si>
    <t>Ａ</t>
    <phoneticPr fontId="2"/>
  </si>
  <si>
    <t>Ｂ</t>
    <phoneticPr fontId="2"/>
  </si>
  <si>
    <t>Ｃ</t>
    <phoneticPr fontId="2"/>
  </si>
  <si>
    <t>Ｄ</t>
    <phoneticPr fontId="2"/>
  </si>
  <si>
    <t>Ｅ</t>
    <phoneticPr fontId="2"/>
  </si>
  <si>
    <t>番号</t>
    <rPh sb="0" eb="2">
      <t>バンゴウ</t>
    </rPh>
    <phoneticPr fontId="1"/>
  </si>
  <si>
    <t>学年</t>
    <rPh sb="0" eb="2">
      <t>ガクネン</t>
    </rPh>
    <phoneticPr fontId="1"/>
  </si>
  <si>
    <t>性別</t>
    <rPh sb="0" eb="2">
      <t>セイベツ</t>
    </rPh>
    <phoneticPr fontId="1"/>
  </si>
  <si>
    <t>上体</t>
    <rPh sb="0" eb="2">
      <t>ジョウタイ</t>
    </rPh>
    <phoneticPr fontId="2"/>
  </si>
  <si>
    <t>長座</t>
    <rPh sb="0" eb="2">
      <t>チョウザ</t>
    </rPh>
    <phoneticPr fontId="2"/>
  </si>
  <si>
    <t>反復</t>
    <rPh sb="0" eb="2">
      <t>ハンプク</t>
    </rPh>
    <phoneticPr fontId="2"/>
  </si>
  <si>
    <t>ｼｬﾄﾙﾗﾝ</t>
    <phoneticPr fontId="2"/>
  </si>
  <si>
    <t>立幅とび</t>
    <rPh sb="0" eb="1">
      <t>タ</t>
    </rPh>
    <rPh sb="1" eb="2">
      <t>ハバ</t>
    </rPh>
    <phoneticPr fontId="2"/>
  </si>
  <si>
    <t>ｼｬﾄﾙﾗﾝ</t>
  </si>
  <si>
    <t>握力2</t>
  </si>
  <si>
    <t>上体3</t>
  </si>
  <si>
    <t>長座4</t>
  </si>
  <si>
    <t>反復5</t>
  </si>
  <si>
    <t>氏名</t>
    <rPh sb="0" eb="2">
      <t>シメイ</t>
    </rPh>
    <phoneticPr fontId="1"/>
  </si>
  <si>
    <t>身長</t>
    <phoneticPr fontId="1"/>
  </si>
  <si>
    <t>体重</t>
    <phoneticPr fontId="1"/>
  </si>
  <si>
    <t xml:space="preserve"> 肥満度(１８才未満)</t>
    <rPh sb="1" eb="3">
      <t>ヒマン</t>
    </rPh>
    <rPh sb="3" eb="4">
      <t>ド</t>
    </rPh>
    <rPh sb="7" eb="10">
      <t>サイミマン</t>
    </rPh>
    <phoneticPr fontId="30"/>
  </si>
  <si>
    <t>　　　肥満度＝ 〔自分の体重　（kg)　－標準体重　(kg) 〕 ／標準体重　(kg)　×１００　(％）</t>
    <rPh sb="3" eb="5">
      <t>ヒマン</t>
    </rPh>
    <rPh sb="5" eb="6">
      <t>ド</t>
    </rPh>
    <rPh sb="9" eb="11">
      <t>ジブン</t>
    </rPh>
    <rPh sb="12" eb="14">
      <t>タイジュウ</t>
    </rPh>
    <rPh sb="21" eb="23">
      <t>ヒョウジュン</t>
    </rPh>
    <rPh sb="23" eb="25">
      <t>タイジュウ</t>
    </rPh>
    <phoneticPr fontId="30"/>
  </si>
  <si>
    <t>　標準体重＝a ×身長　（cm） － b</t>
    <rPh sb="9" eb="11">
      <t>シンチョウ</t>
    </rPh>
    <phoneticPr fontId="30"/>
  </si>
  <si>
    <t>【標準体重を求める係数と計算式】</t>
    <rPh sb="6" eb="7">
      <t>モト</t>
    </rPh>
    <rPh sb="9" eb="11">
      <t>ケイスウ</t>
    </rPh>
    <rPh sb="12" eb="14">
      <t>ケイサン</t>
    </rPh>
    <rPh sb="14" eb="15">
      <t>シキ</t>
    </rPh>
    <phoneticPr fontId="30"/>
  </si>
  <si>
    <t>年齢</t>
    <rPh sb="0" eb="2">
      <t>ネンレイ</t>
    </rPh>
    <phoneticPr fontId="30"/>
  </si>
  <si>
    <t>男子</t>
    <rPh sb="0" eb="2">
      <t>ダンシ</t>
    </rPh>
    <phoneticPr fontId="30"/>
  </si>
  <si>
    <t>女子</t>
    <rPh sb="0" eb="2">
      <t>ジョシ</t>
    </rPh>
    <phoneticPr fontId="30"/>
  </si>
  <si>
    <t>a</t>
  </si>
  <si>
    <t>b</t>
  </si>
  <si>
    <t>0. 386</t>
  </si>
  <si>
    <t>23. 699</t>
  </si>
  <si>
    <t>0. 377</t>
  </si>
  <si>
    <t>22. 750</t>
  </si>
  <si>
    <t>　6（小１）</t>
    <rPh sb="3" eb="4">
      <t>ショウ</t>
    </rPh>
    <phoneticPr fontId="30"/>
  </si>
  <si>
    <t>0. 461</t>
  </si>
  <si>
    <t>32. 382</t>
  </si>
  <si>
    <t>0. 458</t>
  </si>
  <si>
    <t>32. 079</t>
  </si>
  <si>
    <t>　7（小２）</t>
  </si>
  <si>
    <t>0. 513</t>
  </si>
  <si>
    <t>38. 378</t>
  </si>
  <si>
    <t>0. 508</t>
  </si>
  <si>
    <t>38. 367</t>
  </si>
  <si>
    <t>　8（小３）</t>
  </si>
  <si>
    <t>0. 592</t>
  </si>
  <si>
    <t>48. 804</t>
  </si>
  <si>
    <t>0. 561</t>
  </si>
  <si>
    <t>45. 006</t>
  </si>
  <si>
    <t>　9（小４）</t>
  </si>
  <si>
    <t>0. 687</t>
  </si>
  <si>
    <t>61. 390</t>
  </si>
  <si>
    <t>0. 652</t>
  </si>
  <si>
    <t>56. 992</t>
  </si>
  <si>
    <t>10（小５）</t>
  </si>
  <si>
    <t>0. 752</t>
  </si>
  <si>
    <t>70. 461</t>
  </si>
  <si>
    <t>0. 730</t>
  </si>
  <si>
    <t>68. 091</t>
  </si>
  <si>
    <t>11（小６）</t>
  </si>
  <si>
    <t>0. 782</t>
  </si>
  <si>
    <t>75. 106</t>
  </si>
  <si>
    <t>0. 803</t>
  </si>
  <si>
    <t>78. 846</t>
  </si>
  <si>
    <t>12（中１）</t>
    <rPh sb="3" eb="4">
      <t>チュウ</t>
    </rPh>
    <phoneticPr fontId="30"/>
  </si>
  <si>
    <t>0. 783</t>
  </si>
  <si>
    <t>75. 642</t>
  </si>
  <si>
    <t>0. 796</t>
  </si>
  <si>
    <t>76. 934</t>
  </si>
  <si>
    <t>13（中２）</t>
  </si>
  <si>
    <t>0. 815</t>
  </si>
  <si>
    <t>81. 348</t>
  </si>
  <si>
    <t>0. 655</t>
  </si>
  <si>
    <t>54. 234</t>
  </si>
  <si>
    <t>14（中３）</t>
  </si>
  <si>
    <t>0. 832</t>
  </si>
  <si>
    <t>83. 695</t>
  </si>
  <si>
    <t>0. 594</t>
  </si>
  <si>
    <t>43. 264</t>
  </si>
  <si>
    <t>15（高１）</t>
    <rPh sb="3" eb="4">
      <t>コウ</t>
    </rPh>
    <phoneticPr fontId="30"/>
  </si>
  <si>
    <t>0. 766</t>
  </si>
  <si>
    <t>70. 989</t>
  </si>
  <si>
    <t>0. 560</t>
  </si>
  <si>
    <t>37. 002</t>
  </si>
  <si>
    <t>16（高２）</t>
  </si>
  <si>
    <t>0. 656</t>
  </si>
  <si>
    <t>51. 822</t>
  </si>
  <si>
    <t>0. 578</t>
  </si>
  <si>
    <t>39. 057</t>
  </si>
  <si>
    <t>17（高３）</t>
  </si>
  <si>
    <t>0. 672</t>
  </si>
  <si>
    <t>53. 642</t>
  </si>
  <si>
    <t>0. 598</t>
  </si>
  <si>
    <t>42. 339</t>
  </si>
  <si>
    <t xml:space="preserve">（例えば） 高１女子　１５６ｃｍ　６０ｋｇ    標準体重＝(a)0.560×156－ (b)37.002=50.358  </t>
    <rPh sb="1" eb="2">
      <t>タト</t>
    </rPh>
    <rPh sb="6" eb="7">
      <t>コウ</t>
    </rPh>
    <rPh sb="8" eb="10">
      <t>ジョシ</t>
    </rPh>
    <phoneticPr fontId="30"/>
  </si>
  <si>
    <t>肥満度＝(60－50.358) ／50.358×１００=19.1</t>
  </si>
  <si>
    <t>【判定基準】</t>
    <rPh sb="1" eb="3">
      <t>ハンテイ</t>
    </rPh>
    <rPh sb="3" eb="5">
      <t>キジュン</t>
    </rPh>
    <phoneticPr fontId="30"/>
  </si>
  <si>
    <t>肥  満  度</t>
  </si>
  <si>
    <t>判 　　定</t>
  </si>
  <si>
    <t>高度肥満</t>
    <rPh sb="0" eb="2">
      <t>コウド</t>
    </rPh>
    <rPh sb="2" eb="4">
      <t>ヒマン</t>
    </rPh>
    <phoneticPr fontId="30"/>
  </si>
  <si>
    <t>中等度肥満</t>
    <rPh sb="0" eb="2">
      <t>チュウトウ</t>
    </rPh>
    <rPh sb="2" eb="3">
      <t>ド</t>
    </rPh>
    <rPh sb="3" eb="5">
      <t>ヒマン</t>
    </rPh>
    <phoneticPr fontId="30"/>
  </si>
  <si>
    <t>軽度肥満</t>
    <rPh sb="0" eb="2">
      <t>ケイド</t>
    </rPh>
    <rPh sb="2" eb="4">
      <t>ヒマン</t>
    </rPh>
    <phoneticPr fontId="30"/>
  </si>
  <si>
    <t>正  　　常</t>
    <rPh sb="0" eb="1">
      <t>セイ</t>
    </rPh>
    <rPh sb="5" eb="6">
      <t>ツネ</t>
    </rPh>
    <phoneticPr fontId="30"/>
  </si>
  <si>
    <t>やせすぎ</t>
    <phoneticPr fontId="2"/>
  </si>
  <si>
    <t>高度のやせ</t>
    <rPh sb="0" eb="2">
      <t>コウド</t>
    </rPh>
    <phoneticPr fontId="30"/>
  </si>
  <si>
    <t>標準体重</t>
    <rPh sb="0" eb="2">
      <t>ヒョウジュン</t>
    </rPh>
    <rPh sb="2" eb="4">
      <t>タイジュウ</t>
    </rPh>
    <phoneticPr fontId="1"/>
  </si>
  <si>
    <t>肥満度</t>
    <rPh sb="2" eb="3">
      <t>ド</t>
    </rPh>
    <phoneticPr fontId="1"/>
  </si>
  <si>
    <t>肥満度数値</t>
    <rPh sb="0" eb="3">
      <t>ヒマンド</t>
    </rPh>
    <rPh sb="3" eb="5">
      <t>スウチ</t>
    </rPh>
    <phoneticPr fontId="1"/>
  </si>
  <si>
    <t>高度肥満</t>
    <rPh sb="0" eb="2">
      <t>コウド</t>
    </rPh>
    <rPh sb="2" eb="4">
      <t>ヒマン</t>
    </rPh>
    <phoneticPr fontId="1"/>
  </si>
  <si>
    <t>中等度肥満</t>
    <rPh sb="0" eb="3">
      <t>チュウトウド</t>
    </rPh>
    <rPh sb="3" eb="5">
      <t>ヒマン</t>
    </rPh>
    <phoneticPr fontId="1"/>
  </si>
  <si>
    <t>軽度肥満</t>
    <rPh sb="0" eb="2">
      <t>ケイド</t>
    </rPh>
    <rPh sb="2" eb="4">
      <t>ヒマン</t>
    </rPh>
    <phoneticPr fontId="1"/>
  </si>
  <si>
    <t>正常</t>
    <rPh sb="0" eb="2">
      <t>セイジョウ</t>
    </rPh>
    <phoneticPr fontId="1"/>
  </si>
  <si>
    <t>やせすぎ</t>
    <phoneticPr fontId="1"/>
  </si>
  <si>
    <t>高度のやせすぎ</t>
    <rPh sb="0" eb="2">
      <t>コウド</t>
    </rPh>
    <phoneticPr fontId="1"/>
  </si>
  <si>
    <t>肥満度
数値</t>
    <rPh sb="0" eb="3">
      <t>ヒマンド</t>
    </rPh>
    <rPh sb="4" eb="6">
      <t>スウチ</t>
    </rPh>
    <phoneticPr fontId="1"/>
  </si>
  <si>
    <t>○○　○○</t>
  </si>
  <si>
    <t>※ピンク色のセルに全て入力。未実施は空欄。　　　※セルが赤くなった場合は誤入力の可能性がありますので確認をお願いします。</t>
    <rPh sb="4" eb="5">
      <t>イロ</t>
    </rPh>
    <rPh sb="9" eb="10">
      <t>スベ</t>
    </rPh>
    <rPh sb="11" eb="13">
      <t>ニュウリョク</t>
    </rPh>
    <rPh sb="14" eb="17">
      <t>ミジッシ</t>
    </rPh>
    <rPh sb="18" eb="20">
      <t>クウラン</t>
    </rPh>
    <rPh sb="28" eb="29">
      <t>アカ</t>
    </rPh>
    <rPh sb="33" eb="35">
      <t>バアイ</t>
    </rPh>
    <rPh sb="36" eb="39">
      <t>ゴニュウリョク</t>
    </rPh>
    <rPh sb="40" eb="43">
      <t>カノウセイ</t>
    </rPh>
    <rPh sb="50" eb="52">
      <t>カクニン</t>
    </rPh>
    <rPh sb="54" eb="55">
      <t>ネガ</t>
    </rPh>
    <phoneticPr fontId="1"/>
  </si>
  <si>
    <t>実施種目数</t>
    <rPh sb="0" eb="2">
      <t>ジッシ</t>
    </rPh>
    <rPh sb="2" eb="4">
      <t>シュモク</t>
    </rPh>
    <rPh sb="4" eb="5">
      <t>スウ</t>
    </rPh>
    <phoneticPr fontId="1"/>
  </si>
  <si>
    <t>うち
全種目実施者</t>
    <rPh sb="3" eb="6">
      <t>ゼンシュモク</t>
    </rPh>
    <rPh sb="6" eb="8">
      <t>ジッシ</t>
    </rPh>
    <rPh sb="8" eb="9">
      <t>シャ</t>
    </rPh>
    <phoneticPr fontId="1"/>
  </si>
  <si>
    <t>学年全体</t>
    <rPh sb="0" eb="2">
      <t>ガクネン</t>
    </rPh>
    <rPh sb="2" eb="4">
      <t>ゼンタイ</t>
    </rPh>
    <phoneticPr fontId="1"/>
  </si>
  <si>
    <t>学校全体</t>
    <rPh sb="0" eb="2">
      <t>ガッコウ</t>
    </rPh>
    <rPh sb="2" eb="4">
      <t>ゼンタイ</t>
    </rPh>
    <phoneticPr fontId="1"/>
  </si>
  <si>
    <t>令和</t>
    <rPh sb="0" eb="2">
      <t>レイワ</t>
    </rPh>
    <phoneticPr fontId="1"/>
  </si>
  <si>
    <t>令和2年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</si>
</sst>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00_ "/>
    <numFmt numFmtId="177" formatCode="0.0%"/>
    <numFmt numFmtId="178" formatCode="0.0_ "/>
    <numFmt numFmtId="179" formatCode="0.0_);[Red]\(0.0\)"/>
    <numFmt numFmtId="180" formatCode="0.000_ "/>
  </numFmts>
  <fonts count="34"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22"/>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color theme="1"/>
      <name val="ＭＳ Ｐ明朝"/>
      <family val="1"/>
      <charset val="128"/>
    </font>
    <font>
      <sz val="11"/>
      <color theme="1"/>
      <name val="ＭＳ Ｐ明朝"/>
      <family val="1"/>
      <charset val="128"/>
    </font>
    <font>
      <b/>
      <sz val="12"/>
      <color theme="1"/>
      <name val="ＭＳ Ｐ明朝"/>
      <family val="1"/>
      <charset val="128"/>
    </font>
    <font>
      <sz val="12"/>
      <color theme="1"/>
      <name val="ＭＳ Ｐ明朝"/>
      <family val="1"/>
      <charset val="128"/>
    </font>
    <font>
      <sz val="11"/>
      <color theme="1"/>
      <name val="ＭＳ Ｐゴシック"/>
      <family val="3"/>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b/>
      <sz val="20"/>
      <color theme="1"/>
      <name val="ＭＳ Ｐ明朝"/>
      <family val="1"/>
      <charset val="128"/>
    </font>
    <font>
      <sz val="13"/>
      <color theme="1"/>
      <name val="ＭＳ Ｐ明朝"/>
      <family val="1"/>
      <charset val="128"/>
    </font>
    <font>
      <sz val="11"/>
      <color rgb="FFFF0000"/>
      <name val="ＭＳ Ｐゴシック"/>
      <family val="2"/>
      <scheme val="minor"/>
    </font>
    <font>
      <sz val="11"/>
      <name val="ＭＳ Ｐゴシック"/>
      <family val="3"/>
      <charset val="128"/>
    </font>
    <font>
      <b/>
      <sz val="14"/>
      <color theme="1"/>
      <name val="ＭＳ Ｐゴシック"/>
      <family val="3"/>
      <charset val="128"/>
      <scheme val="minor"/>
    </font>
    <font>
      <sz val="12"/>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b/>
      <sz val="16"/>
      <color theme="1"/>
      <name val="ＭＳ Ｐ明朝"/>
      <family val="1"/>
      <charset val="128"/>
    </font>
    <font>
      <b/>
      <sz val="12"/>
      <color indexed="81"/>
      <name val="ＭＳ Ｐゴシック"/>
      <family val="3"/>
      <charset val="128"/>
    </font>
    <font>
      <b/>
      <sz val="11"/>
      <color indexed="81"/>
      <name val="ＭＳ Ｐゴシック"/>
      <family val="3"/>
      <charset val="128"/>
    </font>
    <font>
      <sz val="16"/>
      <color theme="1"/>
      <name val="ＭＳ Ｐゴシック"/>
      <family val="2"/>
      <scheme val="minor"/>
    </font>
    <font>
      <b/>
      <sz val="18"/>
      <color theme="1"/>
      <name val="ＭＳ Ｐゴシック"/>
      <family val="3"/>
      <charset val="128"/>
      <scheme val="minor"/>
    </font>
    <font>
      <b/>
      <sz val="11"/>
      <color theme="1"/>
      <name val="ＭＳ Ｐゴシック"/>
      <family val="3"/>
      <charset val="128"/>
      <scheme val="minor"/>
    </font>
    <font>
      <sz val="20"/>
      <color indexed="8"/>
      <name val="HGP創英角ﾎﾟｯﾌﾟ体"/>
      <family val="3"/>
      <charset val="128"/>
    </font>
    <font>
      <b/>
      <sz val="12"/>
      <color theme="1"/>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indexed="45"/>
        <bgColor indexed="64"/>
      </patternFill>
    </fill>
    <fill>
      <patternFill patternType="solid">
        <fgColor rgb="FF66FFFF"/>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
      <patternFill patternType="solid">
        <fgColor rgb="FFCCFF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style="hair">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0" fillId="0" borderId="0">
      <alignment vertical="center"/>
    </xf>
    <xf numFmtId="0" fontId="18" fillId="0" borderId="0"/>
    <xf numFmtId="0" fontId="18" fillId="0" borderId="0">
      <alignment vertical="center"/>
    </xf>
  </cellStyleXfs>
  <cellXfs count="347">
    <xf numFmtId="0" fontId="0" fillId="0" borderId="0" xfId="0"/>
    <xf numFmtId="0" fontId="0" fillId="0" borderId="0" xfId="0" applyAlignment="1">
      <alignment horizontal="center" shrinkToFit="1"/>
    </xf>
    <xf numFmtId="49" fontId="4" fillId="0" borderId="0" xfId="0" applyNumberFormat="1" applyFont="1" applyAlignment="1">
      <alignment vertical="center"/>
    </xf>
    <xf numFmtId="0" fontId="5"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distributed" vertical="center"/>
    </xf>
    <xf numFmtId="0" fontId="7"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7" fillId="0" borderId="0" xfId="1" applyFont="1" applyAlignment="1">
      <alignment horizontal="center" vertical="center"/>
    </xf>
    <xf numFmtId="0" fontId="13" fillId="0" borderId="1" xfId="1" applyFont="1" applyBorder="1" applyAlignment="1">
      <alignment horizontal="center" vertical="center"/>
    </xf>
    <xf numFmtId="0" fontId="15" fillId="0" borderId="0" xfId="1" applyFont="1" applyAlignment="1">
      <alignment vertical="center"/>
    </xf>
    <xf numFmtId="0" fontId="16" fillId="0" borderId="0" xfId="1" applyFont="1" applyAlignment="1">
      <alignment vertical="center" textRotation="255"/>
    </xf>
    <xf numFmtId="0" fontId="0" fillId="3" borderId="3" xfId="0" applyFill="1" applyBorder="1" applyAlignment="1">
      <alignment horizontal="center" vertical="center"/>
    </xf>
    <xf numFmtId="0" fontId="17"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11" fillId="0" borderId="44" xfId="1" applyFont="1" applyBorder="1" applyAlignment="1">
      <alignment horizontal="center" vertical="center" wrapText="1" shrinkToFit="1"/>
    </xf>
    <xf numFmtId="0" fontId="14" fillId="0" borderId="44" xfId="1" applyFont="1" applyBorder="1" applyAlignment="1">
      <alignment horizontal="center" vertical="center" wrapText="1" shrinkToFit="1"/>
    </xf>
    <xf numFmtId="0" fontId="0" fillId="3" borderId="1" xfId="0" applyFill="1" applyBorder="1" applyAlignment="1">
      <alignment horizontal="center" vertical="center"/>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44" xfId="1" applyFont="1" applyBorder="1" applyAlignment="1">
      <alignment horizontal="center" vertical="center" shrinkToFit="1"/>
    </xf>
    <xf numFmtId="0" fontId="6" fillId="0" borderId="0" xfId="1" applyFont="1" applyAlignment="1">
      <alignment horizontal="center" vertical="center"/>
    </xf>
    <xf numFmtId="0" fontId="13" fillId="0" borderId="44" xfId="1" applyFont="1" applyBorder="1" applyAlignment="1">
      <alignment horizontal="center" vertical="center" shrinkToFit="1"/>
    </xf>
    <xf numFmtId="0" fontId="19" fillId="0" borderId="0" xfId="0" applyFont="1" applyAlignment="1">
      <alignment vertical="center"/>
    </xf>
    <xf numFmtId="0" fontId="7" fillId="0" borderId="0" xfId="1" applyFont="1" applyAlignment="1">
      <alignment horizontal="center" vertical="center"/>
    </xf>
    <xf numFmtId="0" fontId="9" fillId="0" borderId="40" xfId="1" applyFont="1" applyBorder="1" applyAlignment="1">
      <alignment horizontal="center" vertical="center"/>
    </xf>
    <xf numFmtId="0" fontId="9" fillId="0" borderId="4" xfId="1" applyFont="1" applyBorder="1" applyAlignment="1">
      <alignment horizontal="center" vertical="center"/>
    </xf>
    <xf numFmtId="0" fontId="9" fillId="0" borderId="41" xfId="1" applyFont="1" applyBorder="1" applyAlignment="1">
      <alignment horizontal="center" vertical="center"/>
    </xf>
    <xf numFmtId="0" fontId="9" fillId="0" borderId="52" xfId="1" applyFont="1" applyBorder="1" applyAlignment="1">
      <alignment horizontal="center" vertical="center"/>
    </xf>
    <xf numFmtId="0" fontId="0" fillId="4" borderId="1" xfId="0" applyFill="1" applyBorder="1" applyAlignment="1">
      <alignment horizontal="center" vertical="center" textRotation="255"/>
    </xf>
    <xf numFmtId="0" fontId="0" fillId="4" borderId="1" xfId="0" applyFill="1" applyBorder="1" applyAlignment="1">
      <alignment horizontal="center" vertical="center"/>
    </xf>
    <xf numFmtId="0" fontId="0" fillId="4" borderId="1" xfId="0" applyFill="1" applyBorder="1" applyAlignment="1">
      <alignment horizontal="center" vertical="center" wrapText="1" shrinkToFit="1"/>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0" fillId="0" borderId="0" xfId="0" applyBorder="1" applyAlignment="1">
      <alignment vertical="center"/>
    </xf>
    <xf numFmtId="0" fontId="0" fillId="4" borderId="3" xfId="0" applyFill="1" applyBorder="1" applyAlignment="1">
      <alignment horizontal="center" vertical="center"/>
    </xf>
    <xf numFmtId="0" fontId="9" fillId="0" borderId="0" xfId="1" applyFont="1" applyAlignment="1">
      <alignment horizontal="center" vertical="center"/>
    </xf>
    <xf numFmtId="0" fontId="9" fillId="0" borderId="0" xfId="1" applyFont="1" applyAlignment="1">
      <alignment vertical="center"/>
    </xf>
    <xf numFmtId="0" fontId="0" fillId="0" borderId="49" xfId="0" applyBorder="1" applyAlignment="1">
      <alignment vertical="center" wrapText="1"/>
    </xf>
    <xf numFmtId="0" fontId="0" fillId="0" borderId="46" xfId="0" applyBorder="1" applyAlignment="1">
      <alignment horizontal="center" vertical="center" wrapText="1"/>
    </xf>
    <xf numFmtId="0" fontId="18" fillId="0" borderId="48" xfId="0" applyFont="1" applyBorder="1" applyAlignment="1">
      <alignment vertical="center" wrapText="1"/>
    </xf>
    <xf numFmtId="0" fontId="8" fillId="0" borderId="0" xfId="1" applyFont="1" applyBorder="1" applyAlignment="1">
      <alignment vertical="center"/>
    </xf>
    <xf numFmtId="0" fontId="9" fillId="0" borderId="28" xfId="1" applyFont="1" applyBorder="1" applyAlignment="1">
      <alignment vertical="center"/>
    </xf>
    <xf numFmtId="0" fontId="7" fillId="0" borderId="28" xfId="1" applyFont="1" applyBorder="1" applyAlignment="1">
      <alignment horizontal="center" vertical="center"/>
    </xf>
    <xf numFmtId="0" fontId="0" fillId="0" borderId="28" xfId="0" applyBorder="1" applyAlignment="1">
      <alignment horizontal="center" vertical="center" wrapText="1"/>
    </xf>
    <xf numFmtId="0" fontId="0" fillId="0" borderId="68" xfId="0" applyBorder="1" applyAlignment="1">
      <alignment vertical="center"/>
    </xf>
    <xf numFmtId="0" fontId="0" fillId="0" borderId="69" xfId="0" applyBorder="1" applyAlignment="1">
      <alignment vertical="center"/>
    </xf>
    <xf numFmtId="0" fontId="0" fillId="0" borderId="0" xfId="0"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2"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5" borderId="0" xfId="0" applyFill="1" applyAlignment="1">
      <alignment vertical="center"/>
    </xf>
    <xf numFmtId="20" fontId="0" fillId="0" borderId="75" xfId="0" applyNumberFormat="1" applyBorder="1" applyAlignment="1">
      <alignment vertical="center"/>
    </xf>
    <xf numFmtId="20" fontId="0" fillId="0" borderId="83" xfId="0" applyNumberFormat="1" applyBorder="1" applyAlignment="1">
      <alignment vertical="center"/>
    </xf>
    <xf numFmtId="20" fontId="0" fillId="0" borderId="70" xfId="0" applyNumberFormat="1" applyBorder="1" applyAlignment="1">
      <alignment vertical="center"/>
    </xf>
    <xf numFmtId="0" fontId="7"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xf>
    <xf numFmtId="0" fontId="0" fillId="4" borderId="55" xfId="0" applyFill="1" applyBorder="1" applyAlignment="1">
      <alignment horizontal="center" vertical="center"/>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3" fillId="3" borderId="1"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2" fillId="3" borderId="2" xfId="0" applyFont="1" applyFill="1" applyBorder="1" applyAlignment="1">
      <alignment horizontal="center" vertical="center" wrapText="1" shrinkToFit="1"/>
    </xf>
    <xf numFmtId="0" fontId="0" fillId="0" borderId="96" xfId="0" applyBorder="1" applyAlignment="1">
      <alignment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179" fontId="9" fillId="0" borderId="65" xfId="1" applyNumberFormat="1" applyFont="1" applyBorder="1" applyAlignment="1">
      <alignment vertical="center"/>
    </xf>
    <xf numFmtId="179" fontId="9" fillId="0" borderId="66" xfId="1" applyNumberFormat="1" applyFont="1" applyBorder="1" applyAlignment="1">
      <alignment vertical="center"/>
    </xf>
    <xf numFmtId="179" fontId="9" fillId="0" borderId="50" xfId="1" applyNumberFormat="1" applyFont="1" applyBorder="1" applyAlignment="1">
      <alignment vertical="center"/>
    </xf>
    <xf numFmtId="179" fontId="9" fillId="0" borderId="67" xfId="1" applyNumberFormat="1" applyFont="1" applyBorder="1" applyAlignment="1">
      <alignment vertical="center"/>
    </xf>
    <xf numFmtId="179" fontId="9" fillId="0" borderId="89" xfId="1" applyNumberFormat="1" applyFont="1" applyBorder="1" applyAlignment="1">
      <alignment vertical="center"/>
    </xf>
    <xf numFmtId="179" fontId="9" fillId="0" borderId="90" xfId="1" applyNumberFormat="1" applyFont="1" applyBorder="1" applyAlignment="1">
      <alignment vertical="center"/>
    </xf>
    <xf numFmtId="179" fontId="9" fillId="0" borderId="92" xfId="1" applyNumberFormat="1" applyFont="1" applyBorder="1" applyAlignment="1">
      <alignment vertical="center"/>
    </xf>
    <xf numFmtId="179" fontId="9" fillId="0" borderId="93" xfId="1" applyNumberFormat="1" applyFont="1" applyBorder="1" applyAlignment="1">
      <alignment vertical="center"/>
    </xf>
    <xf numFmtId="0" fontId="7" fillId="0" borderId="2" xfId="1" applyFont="1" applyBorder="1" applyAlignment="1">
      <alignment horizontal="center" vertical="center"/>
    </xf>
    <xf numFmtId="0" fontId="12" fillId="0" borderId="3" xfId="1" applyFont="1" applyBorder="1" applyAlignment="1">
      <alignment horizontal="center" vertical="center" wrapText="1"/>
    </xf>
    <xf numFmtId="178" fontId="9" fillId="0" borderId="64" xfId="1" applyNumberFormat="1" applyFont="1" applyBorder="1" applyAlignment="1">
      <alignment vertical="center"/>
    </xf>
    <xf numFmtId="178" fontId="9" fillId="0" borderId="88" xfId="1" applyNumberFormat="1" applyFont="1" applyBorder="1" applyAlignment="1">
      <alignment vertical="center"/>
    </xf>
    <xf numFmtId="178" fontId="9" fillId="0" borderId="91" xfId="1" applyNumberFormat="1" applyFont="1" applyBorder="1" applyAlignment="1">
      <alignment vertical="center"/>
    </xf>
    <xf numFmtId="0" fontId="0" fillId="3" borderId="100" xfId="0" applyFill="1" applyBorder="1" applyAlignment="1">
      <alignment horizontal="center" vertical="center"/>
    </xf>
    <xf numFmtId="0" fontId="12" fillId="0" borderId="6" xfId="1" applyFont="1" applyBorder="1" applyAlignment="1">
      <alignment vertical="center" textRotation="255"/>
    </xf>
    <xf numFmtId="0" fontId="12" fillId="0" borderId="6" xfId="1" applyFont="1" applyBorder="1" applyAlignment="1">
      <alignment vertical="center" wrapText="1"/>
    </xf>
    <xf numFmtId="0" fontId="7" fillId="0" borderId="6" xfId="1" applyFont="1" applyBorder="1" applyAlignment="1">
      <alignment vertical="center" textRotation="255"/>
    </xf>
    <xf numFmtId="0" fontId="12" fillId="0" borderId="3" xfId="1" applyFont="1" applyBorder="1" applyAlignment="1">
      <alignment horizontal="center" vertical="center"/>
    </xf>
    <xf numFmtId="0" fontId="7" fillId="0" borderId="3" xfId="1" applyFont="1" applyBorder="1" applyAlignment="1">
      <alignment horizontal="center" vertical="center"/>
    </xf>
    <xf numFmtId="0" fontId="13" fillId="0" borderId="3" xfId="1" applyFont="1" applyBorder="1" applyAlignment="1">
      <alignment horizontal="center" vertical="center"/>
    </xf>
    <xf numFmtId="178" fontId="7" fillId="0" borderId="2" xfId="1" applyNumberFormat="1" applyFont="1" applyBorder="1" applyAlignment="1">
      <alignment horizontal="center" vertical="center"/>
    </xf>
    <xf numFmtId="0" fontId="19" fillId="4" borderId="0" xfId="0" applyFont="1" applyFill="1" applyBorder="1" applyAlignment="1">
      <alignment vertical="center"/>
    </xf>
    <xf numFmtId="0" fontId="0" fillId="4" borderId="0" xfId="0" applyFill="1"/>
    <xf numFmtId="0" fontId="0" fillId="4" borderId="0" xfId="0" applyFill="1" applyBorder="1" applyAlignment="1">
      <alignment vertical="center"/>
    </xf>
    <xf numFmtId="0" fontId="19" fillId="4" borderId="17" xfId="0" applyFont="1" applyFill="1" applyBorder="1" applyAlignment="1">
      <alignment vertical="center"/>
    </xf>
    <xf numFmtId="0" fontId="0" fillId="0" borderId="0" xfId="0" applyBorder="1" applyAlignment="1">
      <alignment horizontal="center" vertical="center" shrinkToFit="1"/>
    </xf>
    <xf numFmtId="0" fontId="29" fillId="0" borderId="0" xfId="0" applyFont="1" applyAlignment="1">
      <alignment vertical="center"/>
    </xf>
    <xf numFmtId="0" fontId="0" fillId="0" borderId="1" xfId="0" applyBorder="1" applyAlignment="1">
      <alignment horizontal="center" vertical="center"/>
    </xf>
    <xf numFmtId="0" fontId="31" fillId="0" borderId="0" xfId="0" applyFont="1" applyAlignment="1">
      <alignment vertical="center"/>
    </xf>
    <xf numFmtId="0" fontId="0" fillId="0" borderId="1" xfId="0" applyBorder="1" applyAlignment="1">
      <alignment horizontal="left" vertical="center"/>
    </xf>
    <xf numFmtId="180" fontId="0" fillId="3" borderId="1" xfId="0" applyNumberFormat="1" applyFill="1" applyBorder="1" applyAlignment="1">
      <alignment horizontal="center" vertical="center" shrinkToFit="1"/>
    </xf>
    <xf numFmtId="176" fontId="0" fillId="3" borderId="44" xfId="0" applyNumberFormat="1" applyFill="1" applyBorder="1" applyAlignment="1">
      <alignment horizontal="center" vertical="center" shrinkToFit="1"/>
    </xf>
    <xf numFmtId="180" fontId="9" fillId="0" borderId="65" xfId="1" applyNumberFormat="1" applyFont="1" applyBorder="1" applyAlignment="1">
      <alignment vertical="center"/>
    </xf>
    <xf numFmtId="180" fontId="9" fillId="0" borderId="50" xfId="1" applyNumberFormat="1" applyFont="1" applyBorder="1" applyAlignment="1">
      <alignment vertical="center"/>
    </xf>
    <xf numFmtId="180" fontId="9" fillId="0" borderId="89" xfId="1" applyNumberFormat="1" applyFont="1" applyBorder="1" applyAlignment="1">
      <alignment vertical="center"/>
    </xf>
    <xf numFmtId="180" fontId="9" fillId="0" borderId="92" xfId="1" applyNumberFormat="1" applyFont="1" applyBorder="1" applyAlignment="1">
      <alignment vertical="center"/>
    </xf>
    <xf numFmtId="0" fontId="7" fillId="0" borderId="2" xfId="1" applyFont="1" applyBorder="1" applyAlignment="1">
      <alignment vertical="center"/>
    </xf>
    <xf numFmtId="0" fontId="0" fillId="0" borderId="1" xfId="0" applyBorder="1" applyAlignment="1">
      <alignment horizontal="center" vertical="center"/>
    </xf>
    <xf numFmtId="0" fontId="18" fillId="3"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61" xfId="0" applyFont="1" applyFill="1" applyBorder="1" applyAlignment="1">
      <alignment horizontal="center"/>
    </xf>
    <xf numFmtId="0" fontId="18" fillId="3" borderId="62" xfId="0" applyFont="1" applyFill="1" applyBorder="1" applyAlignment="1">
      <alignment horizontal="center"/>
    </xf>
    <xf numFmtId="0" fontId="18" fillId="7" borderId="58" xfId="0" applyFont="1" applyFill="1" applyBorder="1" applyAlignment="1">
      <alignment horizontal="center" vertical="center" wrapText="1"/>
    </xf>
    <xf numFmtId="0" fontId="0" fillId="7" borderId="58" xfId="0"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2" xfId="0" applyFont="1" applyFill="1" applyBorder="1" applyAlignment="1">
      <alignment horizontal="center"/>
    </xf>
    <xf numFmtId="0" fontId="18" fillId="7" borderId="63" xfId="0" applyFont="1" applyFill="1" applyBorder="1" applyAlignment="1">
      <alignment horizontal="center"/>
    </xf>
    <xf numFmtId="0" fontId="0" fillId="4" borderId="4" xfId="0" applyFill="1" applyBorder="1" applyAlignment="1">
      <alignment horizontal="center" vertical="center" shrinkToFit="1"/>
    </xf>
    <xf numFmtId="0" fontId="21" fillId="4" borderId="1" xfId="0" applyFont="1" applyFill="1" applyBorder="1" applyAlignment="1">
      <alignment horizontal="center" vertical="center" shrinkToFit="1"/>
    </xf>
    <xf numFmtId="0" fontId="32" fillId="0" borderId="0" xfId="0" applyFont="1" applyAlignment="1">
      <alignment vertical="center"/>
    </xf>
    <xf numFmtId="0" fontId="33" fillId="0" borderId="0" xfId="0" applyFont="1" applyAlignment="1">
      <alignment vertical="center"/>
    </xf>
    <xf numFmtId="0" fontId="0" fillId="4" borderId="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179" fontId="0" fillId="4" borderId="3"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79" fontId="0" fillId="4" borderId="1" xfId="0" applyNumberForma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 applyFont="1" applyAlignment="1" applyProtection="1">
      <alignment horizontal="center" vertical="center"/>
      <protection locked="0"/>
    </xf>
    <xf numFmtId="178" fontId="0" fillId="3" borderId="1" xfId="0" applyNumberFormat="1" applyFill="1" applyBorder="1" applyAlignment="1">
      <alignment horizontal="center" vertical="center" shrinkToFit="1"/>
    </xf>
    <xf numFmtId="0" fontId="0" fillId="4" borderId="3" xfId="0" applyFill="1" applyBorder="1" applyAlignment="1" applyProtection="1">
      <alignment horizontal="center" vertical="center" shrinkToFit="1"/>
      <protection locked="0"/>
    </xf>
    <xf numFmtId="49" fontId="0" fillId="4" borderId="3"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0" fillId="4" borderId="8" xfId="0" applyFill="1" applyBorder="1"/>
    <xf numFmtId="0" fontId="7" fillId="0" borderId="0" xfId="1" applyFont="1" applyAlignment="1">
      <alignment horizontal="center" vertical="center"/>
    </xf>
    <xf numFmtId="0" fontId="0" fillId="0" borderId="0" xfId="0" applyAlignment="1">
      <alignment horizontal="center" vertical="center" shrinkToFit="1"/>
    </xf>
    <xf numFmtId="0" fontId="9" fillId="0" borderId="40" xfId="1" applyNumberFormat="1" applyFont="1" applyBorder="1" applyAlignment="1">
      <alignment horizontal="center" vertical="center"/>
    </xf>
    <xf numFmtId="0" fontId="9" fillId="0" borderId="52" xfId="1" applyNumberFormat="1" applyFont="1" applyBorder="1" applyAlignment="1">
      <alignment horizontal="center" vertical="center"/>
    </xf>
    <xf numFmtId="0" fontId="9" fillId="4" borderId="4" xfId="1" applyNumberFormat="1" applyFont="1" applyFill="1" applyBorder="1" applyAlignment="1">
      <alignment horizontal="center" vertical="center"/>
    </xf>
    <xf numFmtId="0" fontId="9" fillId="4" borderId="41" xfId="1" applyNumberFormat="1" applyFont="1" applyFill="1" applyBorder="1" applyAlignment="1">
      <alignment horizontal="center" vertical="center"/>
    </xf>
    <xf numFmtId="0" fontId="9" fillId="0" borderId="43" xfId="1" applyNumberFormat="1" applyFont="1" applyBorder="1" applyAlignment="1">
      <alignment horizontal="center" vertical="center"/>
    </xf>
    <xf numFmtId="0" fontId="9" fillId="0" borderId="51" xfId="1" applyNumberFormat="1" applyFont="1" applyBorder="1" applyAlignment="1">
      <alignment horizontal="center" vertical="center"/>
    </xf>
    <xf numFmtId="0" fontId="9" fillId="4" borderId="43" xfId="1" applyNumberFormat="1" applyFont="1" applyFill="1" applyBorder="1" applyAlignment="1">
      <alignment horizontal="center" vertical="center"/>
    </xf>
    <xf numFmtId="0" fontId="9" fillId="4" borderId="51" xfId="1" applyNumberFormat="1" applyFont="1" applyFill="1" applyBorder="1" applyAlignment="1">
      <alignment horizontal="center" vertical="center"/>
    </xf>
    <xf numFmtId="0" fontId="9" fillId="4" borderId="2" xfId="1" applyNumberFormat="1" applyFont="1" applyFill="1" applyBorder="1" applyAlignment="1">
      <alignment horizontal="center" vertical="center"/>
    </xf>
    <xf numFmtId="0" fontId="20" fillId="0" borderId="50" xfId="0" applyFont="1" applyBorder="1" applyAlignment="1">
      <alignment horizontal="center" vertical="center"/>
    </xf>
    <xf numFmtId="0" fontId="20" fillId="0" borderId="5" xfId="0" applyFont="1" applyBorder="1" applyAlignment="1">
      <alignment horizontal="center" vertical="center"/>
    </xf>
    <xf numFmtId="0" fontId="20" fillId="4" borderId="50" xfId="0" applyFont="1" applyFill="1" applyBorder="1" applyAlignment="1">
      <alignment horizontal="center" vertical="center"/>
    </xf>
    <xf numFmtId="0" fontId="20" fillId="4" borderId="5" xfId="0" applyFont="1" applyFill="1" applyBorder="1" applyAlignment="1">
      <alignment horizontal="center" vertical="center"/>
    </xf>
    <xf numFmtId="177" fontId="8" fillId="8" borderId="40" xfId="1" applyNumberFormat="1" applyFont="1" applyFill="1" applyBorder="1" applyAlignment="1">
      <alignment horizontal="center" vertical="center"/>
    </xf>
    <xf numFmtId="177" fontId="8" fillId="8" borderId="52" xfId="1" applyNumberFormat="1" applyFont="1" applyFill="1" applyBorder="1" applyAlignment="1">
      <alignment horizontal="center" vertical="center"/>
    </xf>
    <xf numFmtId="177" fontId="8" fillId="8" borderId="43" xfId="1" applyNumberFormat="1" applyFont="1" applyFill="1" applyBorder="1" applyAlignment="1">
      <alignment horizontal="center" vertical="center"/>
    </xf>
    <xf numFmtId="177" fontId="8" fillId="8" borderId="51" xfId="1" applyNumberFormat="1" applyFont="1" applyFill="1" applyBorder="1" applyAlignment="1">
      <alignment horizontal="center" vertical="center"/>
    </xf>
    <xf numFmtId="177" fontId="8" fillId="8" borderId="2" xfId="1" applyNumberFormat="1" applyFont="1" applyFill="1" applyBorder="1" applyAlignment="1">
      <alignment horizontal="center" vertical="center"/>
    </xf>
    <xf numFmtId="177" fontId="8" fillId="10" borderId="40" xfId="1" applyNumberFormat="1" applyFont="1" applyFill="1" applyBorder="1" applyAlignment="1">
      <alignment horizontal="center" vertical="center"/>
    </xf>
    <xf numFmtId="177" fontId="8" fillId="10" borderId="52" xfId="1" applyNumberFormat="1" applyFont="1" applyFill="1" applyBorder="1" applyAlignment="1">
      <alignment horizontal="center" vertical="center"/>
    </xf>
    <xf numFmtId="177" fontId="8" fillId="10" borderId="43" xfId="1" applyNumberFormat="1" applyFont="1" applyFill="1" applyBorder="1" applyAlignment="1">
      <alignment horizontal="center" vertical="center"/>
    </xf>
    <xf numFmtId="177" fontId="8" fillId="10" borderId="51" xfId="1" applyNumberFormat="1" applyFont="1" applyFill="1" applyBorder="1" applyAlignment="1">
      <alignment horizontal="center" vertical="center"/>
    </xf>
    <xf numFmtId="177" fontId="8" fillId="10" borderId="2" xfId="1" applyNumberFormat="1" applyFont="1" applyFill="1" applyBorder="1" applyAlignment="1">
      <alignment horizontal="center" vertical="center"/>
    </xf>
    <xf numFmtId="0" fontId="9" fillId="4" borderId="52" xfId="1" applyNumberFormat="1" applyFont="1" applyFill="1" applyBorder="1" applyAlignment="1">
      <alignment horizontal="center" vertical="center"/>
    </xf>
    <xf numFmtId="0" fontId="9" fillId="0" borderId="64" xfId="1" applyFont="1" applyBorder="1" applyAlignment="1">
      <alignment horizontal="center" vertical="center"/>
    </xf>
    <xf numFmtId="0" fontId="9" fillId="0" borderId="64" xfId="1" applyNumberFormat="1" applyFont="1" applyBorder="1" applyAlignment="1">
      <alignment horizontal="center" vertical="center"/>
    </xf>
    <xf numFmtId="177" fontId="8" fillId="8" borderId="64" xfId="1" applyNumberFormat="1" applyFont="1" applyFill="1" applyBorder="1" applyAlignment="1">
      <alignment horizontal="center" vertical="center"/>
    </xf>
    <xf numFmtId="177" fontId="8" fillId="10" borderId="64" xfId="1" applyNumberFormat="1" applyFont="1" applyFill="1" applyBorder="1" applyAlignment="1">
      <alignment horizontal="center" vertical="center"/>
    </xf>
    <xf numFmtId="177" fontId="8" fillId="8" borderId="101" xfId="1" applyNumberFormat="1" applyFont="1" applyFill="1" applyBorder="1" applyAlignment="1">
      <alignment horizontal="center" vertical="center"/>
    </xf>
    <xf numFmtId="177" fontId="8" fillId="10" borderId="101" xfId="1" applyNumberFormat="1" applyFont="1" applyFill="1" applyBorder="1" applyAlignment="1">
      <alignment horizontal="center" vertical="center"/>
    </xf>
    <xf numFmtId="0" fontId="9" fillId="0" borderId="101" xfId="1" applyNumberFormat="1" applyFont="1" applyBorder="1" applyAlignment="1">
      <alignment horizontal="center" vertical="center"/>
    </xf>
    <xf numFmtId="0" fontId="9" fillId="4" borderId="101" xfId="1" applyNumberFormat="1" applyFont="1" applyFill="1" applyBorder="1" applyAlignment="1">
      <alignment horizontal="center" vertical="center"/>
    </xf>
    <xf numFmtId="177" fontId="8" fillId="8" borderId="4" xfId="1" applyNumberFormat="1" applyFont="1" applyFill="1" applyBorder="1" applyAlignment="1">
      <alignment horizontal="center" vertical="center"/>
    </xf>
    <xf numFmtId="177" fontId="8" fillId="10" borderId="4" xfId="1" applyNumberFormat="1" applyFont="1" applyFill="1" applyBorder="1" applyAlignment="1">
      <alignment horizontal="center" vertical="center"/>
    </xf>
    <xf numFmtId="0" fontId="9" fillId="0" borderId="56" xfId="1" applyFont="1" applyBorder="1" applyAlignment="1">
      <alignment horizontal="center" vertical="center"/>
    </xf>
    <xf numFmtId="0" fontId="9" fillId="3" borderId="102" xfId="1" applyNumberFormat="1" applyFont="1" applyFill="1" applyBorder="1" applyAlignment="1">
      <alignment horizontal="center" vertical="center"/>
    </xf>
    <xf numFmtId="177" fontId="8" fillId="6" borderId="102" xfId="1" applyNumberFormat="1" applyFont="1" applyFill="1" applyBorder="1" applyAlignment="1">
      <alignment horizontal="center" vertical="center"/>
    </xf>
    <xf numFmtId="177" fontId="8" fillId="9" borderId="102" xfId="1" applyNumberFormat="1" applyFont="1" applyFill="1" applyBorder="1" applyAlignment="1">
      <alignment horizontal="center" vertical="center"/>
    </xf>
    <xf numFmtId="177" fontId="8" fillId="6" borderId="103" xfId="1" applyNumberFormat="1" applyFont="1" applyFill="1" applyBorder="1" applyAlignment="1">
      <alignment horizontal="center" vertical="center"/>
    </xf>
    <xf numFmtId="177" fontId="8" fillId="9" borderId="103" xfId="1" applyNumberFormat="1" applyFont="1" applyFill="1" applyBorder="1" applyAlignment="1">
      <alignment horizontal="center" vertical="center"/>
    </xf>
    <xf numFmtId="0" fontId="9" fillId="3" borderId="103" xfId="1" applyNumberFormat="1" applyFont="1" applyFill="1" applyBorder="1" applyAlignment="1">
      <alignment horizontal="center" vertical="center"/>
    </xf>
    <xf numFmtId="177" fontId="8" fillId="9" borderId="60" xfId="1" applyNumberFormat="1" applyFont="1" applyFill="1" applyBorder="1" applyAlignment="1">
      <alignment horizontal="center" vertical="center"/>
    </xf>
    <xf numFmtId="0" fontId="9" fillId="4" borderId="64" xfId="1" applyNumberFormat="1" applyFont="1" applyFill="1" applyBorder="1" applyAlignment="1">
      <alignment horizontal="center" vertical="center"/>
    </xf>
    <xf numFmtId="0" fontId="7" fillId="0" borderId="2" xfId="1" applyFon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center" vertical="center"/>
    </xf>
    <xf numFmtId="0" fontId="27" fillId="0" borderId="45"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48" xfId="0" applyFont="1" applyBorder="1" applyAlignment="1">
      <alignment horizontal="center" vertical="center" shrinkToFit="1"/>
    </xf>
    <xf numFmtId="0" fontId="0" fillId="0" borderId="85" xfId="0" applyBorder="1" applyAlignment="1">
      <alignment horizontal="center" vertical="center"/>
    </xf>
    <xf numFmtId="0" fontId="0" fillId="0" borderId="95" xfId="0" applyBorder="1" applyAlignment="1">
      <alignment horizontal="center" vertical="center"/>
    </xf>
    <xf numFmtId="0" fontId="27" fillId="0" borderId="45" xfId="0" applyFont="1" applyBorder="1" applyAlignment="1">
      <alignment horizontal="center" vertical="center"/>
    </xf>
    <xf numFmtId="0" fontId="27" fillId="0" borderId="49"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28" xfId="0" applyFont="1" applyBorder="1" applyAlignment="1">
      <alignment horizontal="center" vertical="center"/>
    </xf>
    <xf numFmtId="0" fontId="27" fillId="0" borderId="48" xfId="0" applyFont="1" applyBorder="1" applyAlignment="1">
      <alignment horizontal="center" vertical="center"/>
    </xf>
    <xf numFmtId="0" fontId="27" fillId="0" borderId="45"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0" fontId="27" fillId="0" borderId="46" xfId="0" applyFont="1" applyBorder="1" applyAlignment="1" applyProtection="1">
      <alignment horizontal="center" vertical="center" shrinkToFit="1"/>
      <protection locked="0"/>
    </xf>
    <xf numFmtId="0" fontId="27" fillId="0" borderId="47"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27" fillId="0" borderId="48" xfId="0" applyFont="1" applyBorder="1" applyAlignment="1" applyProtection="1">
      <alignment horizontal="center" vertical="center" shrinkToFit="1"/>
      <protection locked="0"/>
    </xf>
    <xf numFmtId="0" fontId="27" fillId="0" borderId="45" xfId="0" applyFont="1" applyBorder="1" applyAlignment="1" applyProtection="1">
      <alignment horizontal="center" vertical="center"/>
      <protection locked="0"/>
    </xf>
    <xf numFmtId="0" fontId="27" fillId="0" borderId="49" xfId="0" applyFont="1" applyBorder="1" applyAlignment="1" applyProtection="1">
      <alignment horizontal="center" vertical="center"/>
      <protection locked="0"/>
    </xf>
    <xf numFmtId="0" fontId="27" fillId="0" borderId="46"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9"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distributed"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distributed" vertical="center"/>
    </xf>
    <xf numFmtId="0" fontId="9" fillId="0" borderId="0" xfId="1" applyFont="1" applyAlignment="1">
      <alignment horizontal="distributed" vertical="center"/>
    </xf>
    <xf numFmtId="0" fontId="9" fillId="0" borderId="0" xfId="1" applyFont="1" applyAlignment="1">
      <alignment horizontal="center" vertical="center" shrinkToFit="1"/>
    </xf>
    <xf numFmtId="0" fontId="9" fillId="0" borderId="0" xfId="1" applyFont="1" applyAlignment="1">
      <alignment horizontal="center" vertical="center" readingOrder="1"/>
    </xf>
    <xf numFmtId="0" fontId="18" fillId="0" borderId="56" xfId="0" applyFont="1" applyBorder="1" applyAlignment="1">
      <alignment horizontal="center" vertical="center"/>
    </xf>
    <xf numFmtId="0" fontId="18" fillId="0" borderId="60" xfId="0" applyFont="1" applyBorder="1" applyAlignment="1">
      <alignment horizontal="center" vertical="center"/>
    </xf>
    <xf numFmtId="0" fontId="9" fillId="0" borderId="20" xfId="1" applyNumberFormat="1" applyFont="1" applyBorder="1" applyAlignment="1">
      <alignment horizontal="center" vertical="center"/>
    </xf>
    <xf numFmtId="0" fontId="9" fillId="0" borderId="21" xfId="1" applyNumberFormat="1" applyFont="1" applyBorder="1" applyAlignment="1">
      <alignment horizontal="center" vertical="center"/>
    </xf>
    <xf numFmtId="0" fontId="9" fillId="0" borderId="7" xfId="1" applyNumberFormat="1" applyFont="1" applyBorder="1" applyAlignment="1">
      <alignment horizontal="center" vertical="center"/>
    </xf>
    <xf numFmtId="0" fontId="9" fillId="0" borderId="11" xfId="1" applyNumberFormat="1" applyFont="1" applyBorder="1" applyAlignment="1">
      <alignment horizontal="center" vertical="center"/>
    </xf>
    <xf numFmtId="0" fontId="9" fillId="0" borderId="85" xfId="1" applyNumberFormat="1" applyFont="1" applyBorder="1" applyAlignment="1">
      <alignment horizontal="center" vertical="center" textRotation="255"/>
    </xf>
    <xf numFmtId="0" fontId="9" fillId="0" borderId="86" xfId="1" applyNumberFormat="1" applyFont="1" applyBorder="1" applyAlignment="1">
      <alignment horizontal="center" vertical="center" textRotation="255"/>
    </xf>
    <xf numFmtId="0" fontId="9" fillId="0" borderId="87" xfId="1" applyNumberFormat="1" applyFont="1" applyBorder="1" applyAlignment="1">
      <alignment horizontal="center" vertical="center" textRotation="255"/>
    </xf>
    <xf numFmtId="0" fontId="9" fillId="0" borderId="47" xfId="1" applyNumberFormat="1" applyFont="1" applyBorder="1" applyAlignment="1">
      <alignment horizontal="center" vertical="center"/>
    </xf>
    <xf numFmtId="0" fontId="9" fillId="0" borderId="48" xfId="1" applyNumberFormat="1" applyFont="1" applyBorder="1" applyAlignment="1">
      <alignment horizontal="center" vertical="center"/>
    </xf>
    <xf numFmtId="0" fontId="9" fillId="0" borderId="22" xfId="1" applyNumberFormat="1" applyFont="1" applyBorder="1" applyAlignment="1">
      <alignment horizontal="center" vertical="center" textRotation="255"/>
    </xf>
    <xf numFmtId="0" fontId="9" fillId="0" borderId="26" xfId="1" applyNumberFormat="1" applyFont="1" applyBorder="1" applyAlignment="1">
      <alignment horizontal="center" vertical="center" textRotation="255"/>
    </xf>
    <xf numFmtId="0" fontId="9" fillId="0" borderId="47" xfId="1" applyNumberFormat="1" applyFont="1" applyBorder="1" applyAlignment="1">
      <alignment horizontal="center" vertical="center" textRotation="255"/>
    </xf>
    <xf numFmtId="0" fontId="9" fillId="0" borderId="12" xfId="1" applyNumberFormat="1" applyFont="1" applyBorder="1" applyAlignment="1">
      <alignment horizontal="center" vertical="center"/>
    </xf>
    <xf numFmtId="0" fontId="9" fillId="0" borderId="15" xfId="1" applyNumberFormat="1" applyFont="1" applyBorder="1" applyAlignment="1">
      <alignment horizontal="center" vertical="center"/>
    </xf>
    <xf numFmtId="0" fontId="9" fillId="10" borderId="100" xfId="1" applyNumberFormat="1" applyFont="1" applyFill="1" applyBorder="1" applyAlignment="1">
      <alignment horizontal="center" vertical="center" wrapText="1"/>
    </xf>
    <xf numFmtId="0" fontId="9" fillId="10" borderId="3" xfId="1" applyNumberFormat="1" applyFont="1" applyFill="1" applyBorder="1" applyAlignment="1">
      <alignment horizontal="center" vertical="center"/>
    </xf>
    <xf numFmtId="0" fontId="9" fillId="8" borderId="6" xfId="1" applyNumberFormat="1" applyFont="1" applyFill="1" applyBorder="1" applyAlignment="1">
      <alignment horizontal="center" vertical="center"/>
    </xf>
    <xf numFmtId="0" fontId="9" fillId="8" borderId="3" xfId="1" applyNumberFormat="1" applyFont="1" applyFill="1" applyBorder="1" applyAlignment="1">
      <alignment horizontal="center" vertical="center"/>
    </xf>
    <xf numFmtId="0" fontId="9" fillId="2" borderId="53" xfId="1" applyNumberFormat="1" applyFont="1" applyFill="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9" fillId="2" borderId="54" xfId="1" applyNumberFormat="1" applyFont="1" applyFill="1" applyBorder="1" applyAlignment="1">
      <alignment horizontal="center" vertical="center"/>
    </xf>
    <xf numFmtId="0" fontId="24" fillId="0" borderId="0" xfId="1" applyNumberFormat="1" applyFont="1" applyBorder="1" applyAlignment="1">
      <alignment horizontal="center" vertical="center" wrapText="1"/>
    </xf>
    <xf numFmtId="0" fontId="24" fillId="0" borderId="27" xfId="1" applyNumberFormat="1" applyFont="1" applyBorder="1" applyAlignment="1">
      <alignment horizontal="center" vertical="center" wrapText="1"/>
    </xf>
    <xf numFmtId="0" fontId="24" fillId="0" borderId="17" xfId="1" applyNumberFormat="1" applyFont="1" applyBorder="1" applyAlignment="1">
      <alignment horizontal="center" vertical="center" wrapText="1"/>
    </xf>
    <xf numFmtId="0" fontId="24" fillId="0" borderId="18" xfId="1" applyNumberFormat="1" applyFont="1" applyBorder="1" applyAlignment="1">
      <alignment horizontal="center" vertical="center" wrapText="1"/>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2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9" fillId="0" borderId="42" xfId="1" applyFont="1" applyBorder="1" applyAlignment="1">
      <alignment horizontal="center" vertical="center"/>
    </xf>
    <xf numFmtId="0" fontId="9" fillId="0" borderId="94" xfId="1" applyFont="1" applyBorder="1" applyAlignment="1">
      <alignment horizontal="center" vertical="center"/>
    </xf>
    <xf numFmtId="0" fontId="9" fillId="0" borderId="27" xfId="1" applyFont="1" applyBorder="1" applyAlignment="1">
      <alignment horizontal="center" vertical="center"/>
    </xf>
    <xf numFmtId="0" fontId="9" fillId="0" borderId="44" xfId="1" applyFont="1" applyBorder="1" applyAlignment="1">
      <alignment horizontal="center" vertical="center"/>
    </xf>
    <xf numFmtId="0" fontId="9" fillId="0" borderId="18" xfId="1" applyFont="1" applyBorder="1" applyAlignment="1">
      <alignment horizontal="center" vertical="center"/>
    </xf>
    <xf numFmtId="0" fontId="9" fillId="0" borderId="6" xfId="1" applyNumberFormat="1" applyFont="1" applyBorder="1" applyAlignment="1">
      <alignment horizontal="center" vertical="center"/>
    </xf>
    <xf numFmtId="0" fontId="9" fillId="0" borderId="100" xfId="1" applyNumberFormat="1" applyFont="1" applyBorder="1" applyAlignment="1">
      <alignment horizontal="center" vertical="center"/>
    </xf>
    <xf numFmtId="0" fontId="9" fillId="0" borderId="3" xfId="1" applyNumberFormat="1" applyFont="1" applyBorder="1" applyAlignment="1">
      <alignment horizontal="center" vertical="center"/>
    </xf>
    <xf numFmtId="0" fontId="9" fillId="0" borderId="42" xfId="1" applyNumberFormat="1" applyFont="1" applyBorder="1" applyAlignment="1">
      <alignment horizontal="center" vertical="center" textRotation="255"/>
    </xf>
    <xf numFmtId="0" fontId="9" fillId="0" borderId="94" xfId="1" applyNumberFormat="1" applyFont="1" applyBorder="1" applyAlignment="1">
      <alignment horizontal="center" vertical="center" textRotation="255"/>
    </xf>
    <xf numFmtId="0" fontId="3" fillId="0" borderId="28" xfId="0" applyFont="1" applyBorder="1" applyAlignment="1">
      <alignment horizontal="center" vertical="center"/>
    </xf>
    <xf numFmtId="49" fontId="4" fillId="0" borderId="34" xfId="0" applyNumberFormat="1" applyFont="1" applyBorder="1" applyAlignment="1">
      <alignment horizontal="distributed" vertical="center" justifyLastLine="1"/>
    </xf>
    <xf numFmtId="49" fontId="4" fillId="0" borderId="35" xfId="0" applyNumberFormat="1" applyFont="1" applyBorder="1" applyAlignment="1">
      <alignment horizontal="distributed" vertical="center" justifyLastLine="1"/>
    </xf>
    <xf numFmtId="49" fontId="4" fillId="0" borderId="23" xfId="0" applyNumberFormat="1" applyFont="1" applyBorder="1" applyAlignment="1">
      <alignment vertical="center"/>
    </xf>
    <xf numFmtId="49" fontId="4" fillId="0" borderId="24" xfId="0" applyNumberFormat="1" applyFont="1" applyBorder="1" applyAlignment="1">
      <alignment vertical="center"/>
    </xf>
    <xf numFmtId="49" fontId="4" fillId="0" borderId="0" xfId="0" applyNumberFormat="1" applyFont="1" applyBorder="1" applyAlignment="1">
      <alignment vertical="center"/>
    </xf>
    <xf numFmtId="49" fontId="4" fillId="0" borderId="33" xfId="0" applyNumberFormat="1" applyFont="1" applyBorder="1" applyAlignment="1">
      <alignment vertical="center"/>
    </xf>
    <xf numFmtId="49" fontId="4" fillId="0" borderId="36" xfId="0" applyNumberFormat="1" applyFont="1" applyBorder="1" applyAlignment="1">
      <alignment horizontal="distributed" vertical="center" justifyLastLine="1"/>
    </xf>
    <xf numFmtId="49" fontId="4" fillId="0" borderId="37" xfId="0" applyNumberFormat="1" applyFont="1" applyBorder="1" applyAlignment="1">
      <alignment horizontal="distributed" vertical="center" justifyLastLine="1"/>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20"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21" xfId="0" applyNumberFormat="1" applyFont="1" applyBorder="1" applyAlignment="1">
      <alignment vertical="center"/>
    </xf>
    <xf numFmtId="49" fontId="4" fillId="0" borderId="2" xfId="0" applyNumberFormat="1" applyFont="1" applyBorder="1" applyAlignment="1">
      <alignment horizontal="right" vertical="center"/>
    </xf>
    <xf numFmtId="49" fontId="4" fillId="0" borderId="17" xfId="0" applyNumberFormat="1" applyFont="1" applyBorder="1" applyAlignment="1">
      <alignment vertical="center"/>
    </xf>
    <xf numFmtId="49" fontId="4" fillId="0" borderId="17" xfId="0" applyNumberFormat="1" applyFont="1" applyBorder="1" applyAlignment="1">
      <alignment horizontal="right" vertical="center"/>
    </xf>
    <xf numFmtId="49" fontId="4" fillId="0" borderId="18" xfId="0" applyNumberFormat="1" applyFont="1" applyBorder="1" applyAlignment="1">
      <alignment horizontal="right" vertical="center"/>
    </xf>
    <xf numFmtId="49" fontId="4" fillId="0" borderId="7" xfId="0" applyNumberFormat="1" applyFont="1" applyBorder="1" applyAlignment="1">
      <alignment horizontal="distributed" vertical="center" justifyLastLine="1"/>
    </xf>
    <xf numFmtId="49" fontId="4" fillId="0" borderId="8" xfId="0" applyNumberFormat="1" applyFont="1" applyBorder="1" applyAlignment="1">
      <alignment horizontal="distributed" vertical="center" justifyLastLine="1"/>
    </xf>
    <xf numFmtId="49" fontId="4" fillId="0" borderId="9" xfId="0" applyNumberFormat="1" applyFont="1" applyBorder="1" applyAlignment="1">
      <alignment horizontal="distributed" vertical="center" justifyLastLine="1"/>
    </xf>
    <xf numFmtId="49" fontId="4" fillId="0" borderId="10" xfId="0" applyNumberFormat="1" applyFont="1" applyBorder="1" applyAlignment="1">
      <alignment horizontal="distributed" vertical="center" justifyLastLine="1"/>
    </xf>
    <xf numFmtId="49" fontId="4" fillId="0" borderId="11" xfId="0" applyNumberFormat="1" applyFont="1" applyBorder="1" applyAlignment="1">
      <alignment horizontal="distributed" vertical="center" justifyLastLine="1"/>
    </xf>
    <xf numFmtId="49" fontId="4" fillId="0" borderId="22" xfId="0" applyNumberFormat="1" applyFont="1" applyBorder="1" applyAlignment="1">
      <alignment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16" xfId="0" applyNumberFormat="1" applyFont="1" applyBorder="1" applyAlignment="1">
      <alignment vertical="center"/>
    </xf>
    <xf numFmtId="49" fontId="4" fillId="0" borderId="18" xfId="0" applyNumberFormat="1" applyFont="1" applyBorder="1" applyAlignment="1">
      <alignmen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vertical="center"/>
    </xf>
    <xf numFmtId="49" fontId="4" fillId="0" borderId="25" xfId="0" applyNumberFormat="1" applyFont="1" applyBorder="1" applyAlignment="1">
      <alignment vertical="center"/>
    </xf>
    <xf numFmtId="49" fontId="4" fillId="0" borderId="19" xfId="0" applyNumberFormat="1" applyFont="1" applyBorder="1" applyAlignment="1">
      <alignment vertical="center"/>
    </xf>
    <xf numFmtId="49" fontId="4" fillId="0" borderId="29" xfId="0" applyNumberFormat="1" applyFont="1" applyBorder="1" applyAlignment="1">
      <alignment horizontal="distributed" vertical="center" justifyLastLine="1"/>
    </xf>
    <xf numFmtId="49" fontId="4" fillId="0" borderId="30" xfId="0" applyNumberFormat="1" applyFont="1" applyBorder="1" applyAlignment="1">
      <alignment horizontal="distributed" vertical="center" justifyLastLine="1"/>
    </xf>
    <xf numFmtId="49" fontId="4" fillId="0" borderId="31" xfId="0" applyNumberFormat="1" applyFont="1" applyBorder="1" applyAlignment="1">
      <alignment horizontal="distributed" vertical="center" justifyLastLine="1"/>
    </xf>
    <xf numFmtId="49" fontId="4" fillId="0" borderId="30" xfId="0" applyNumberFormat="1" applyFont="1" applyBorder="1" applyAlignment="1">
      <alignment vertical="center"/>
    </xf>
    <xf numFmtId="49" fontId="4" fillId="0" borderId="32" xfId="0" applyNumberFormat="1" applyFont="1" applyBorder="1" applyAlignment="1">
      <alignment vertical="center"/>
    </xf>
    <xf numFmtId="49" fontId="4" fillId="0" borderId="12" xfId="0" applyNumberFormat="1" applyFont="1" applyBorder="1" applyAlignment="1">
      <alignment horizontal="distributed" vertical="center" justifyLastLine="1"/>
    </xf>
    <xf numFmtId="49" fontId="4" fillId="0" borderId="13" xfId="0" applyNumberFormat="1" applyFont="1" applyBorder="1" applyAlignment="1">
      <alignment horizontal="distributed" vertical="center" justifyLastLine="1"/>
    </xf>
    <xf numFmtId="49" fontId="4" fillId="0" borderId="14" xfId="0" applyNumberFormat="1" applyFont="1" applyBorder="1" applyAlignment="1">
      <alignment horizontal="distributed" vertical="center" justifyLastLine="1"/>
    </xf>
    <xf numFmtId="49" fontId="4" fillId="0" borderId="39" xfId="0" applyNumberFormat="1" applyFont="1" applyBorder="1" applyAlignment="1">
      <alignment horizontal="distributed" vertical="center" justifyLastLine="1"/>
    </xf>
    <xf numFmtId="49" fontId="4" fillId="0" borderId="13" xfId="0" applyNumberFormat="1" applyFont="1" applyBorder="1" applyAlignment="1">
      <alignment vertical="center"/>
    </xf>
    <xf numFmtId="49" fontId="4" fillId="0" borderId="15"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51">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80" formatCode="0.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78" formatCode="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indexed="64"/>
        </left>
        <right style="thin">
          <color indexed="64"/>
        </right>
      </border>
    </dxf>
    <dxf>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left/>
        <right style="thin">
          <color indexed="64"/>
        </right>
        <top/>
        <bottom/>
      </border>
    </dxf>
    <dxf>
      <numFmt numFmtId="178" formatCode="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6" formatCode="0.00_ "/>
      <fill>
        <patternFill patternType="solid">
          <fgColor indexed="64"/>
          <bgColor theme="9" tint="0.79998168889431442"/>
        </patternFill>
      </fill>
      <alignment horizontal="center" vertical="center" textRotation="0" wrapText="0" indent="0" justifyLastLine="0" shrinkToFit="1" readingOrder="0"/>
      <border diagonalUp="0" diagonalDown="0">
        <left style="thin">
          <color indexed="64"/>
        </left>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right style="thin">
          <color indexed="64"/>
        </right>
        <top/>
        <bottom/>
      </border>
    </dxf>
    <dxf>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ck">
          <color indexed="64"/>
        </left>
        <right style="thin">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ck">
          <color indexed="64"/>
        </left>
        <right style="thin">
          <color indexed="64"/>
        </right>
        <top style="thin">
          <color indexed="64"/>
        </top>
        <bottom style="thin">
          <color indexed="64"/>
        </bottom>
      </border>
    </dxf>
    <dxf>
      <fill>
        <patternFill patternType="solid">
          <fgColor indexed="64"/>
          <bgColor rgb="FFFF33CC"/>
        </patternFill>
      </fill>
      <alignment horizontal="center" vertical="center" textRotation="0" wrapText="0" indent="0" justifyLastLine="0" shrinkToFit="0" readingOrder="0"/>
      <border diagonalUp="0" diagonalDown="0" outline="0">
        <left style="thin">
          <color auto="1"/>
        </left>
        <right style="thick">
          <color indexed="64"/>
        </right>
        <top/>
        <bottom/>
      </border>
    </dxf>
    <dxf>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79" formatCode="0.0_);[Red]\(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ck">
          <color rgb="FF000000"/>
        </left>
        <right style="thin">
          <color rgb="FF000000"/>
        </right>
      </border>
    </dxf>
    <dxf>
      <fill>
        <patternFill patternType="solid">
          <fgColor rgb="FF000000"/>
          <bgColor rgb="FFFDE9D9"/>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9" tint="0.79998168889431442"/>
        </patternFill>
      </fill>
      <alignment horizontal="center" vertical="center" textRotation="0" wrapText="0" indent="0" justifyLastLine="0" shrinkToFit="1" readingOrder="0"/>
      <border diagonalUp="0" diagonalDown="0" outline="0">
        <left style="thin">
          <color indexed="64"/>
        </left>
        <right style="thin">
          <color indexed="64"/>
        </right>
        <top/>
        <bottom/>
      </border>
    </dxf>
    <dxf>
      <fill>
        <patternFill>
          <bgColor rgb="FFFF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Medium9">
    <tableStyle name="テーブル スタイル 1" pivot="0" count="0" xr9:uid="{00000000-0011-0000-FFFF-FFFF00000000}"/>
  </tableStyles>
  <colors>
    <mruColors>
      <color rgb="FFCCFFCC"/>
      <color rgb="FF99FFCC"/>
      <color rgb="FFFFCCFF"/>
      <color rgb="FF0000FF"/>
      <color rgb="FFCCFFFF"/>
      <color rgb="FF66FFFF"/>
      <color rgb="FFFF33CC"/>
      <color rgb="FF00FF00"/>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8</xdr:row>
      <xdr:rowOff>114301</xdr:rowOff>
    </xdr:from>
    <xdr:to>
      <xdr:col>15</xdr:col>
      <xdr:colOff>76200</xdr:colOff>
      <xdr:row>28</xdr:row>
      <xdr:rowOff>76201</xdr:rowOff>
    </xdr:to>
    <xdr:sp macro="" textlink="">
      <xdr:nvSpPr>
        <xdr:cNvPr id="4" name="フローチャート : 代替処理 1">
          <a:extLst>
            <a:ext uri="{FF2B5EF4-FFF2-40B4-BE49-F238E27FC236}">
              <a16:creationId xmlns:a16="http://schemas.microsoft.com/office/drawing/2014/main" id="{00000000-0008-0000-0000-000004000000}"/>
            </a:ext>
          </a:extLst>
        </xdr:cNvPr>
        <xdr:cNvSpPr/>
      </xdr:nvSpPr>
      <xdr:spPr>
        <a:xfrm>
          <a:off x="561975" y="2581276"/>
          <a:ext cx="7943850" cy="3581400"/>
        </a:xfrm>
        <a:prstGeom prst="flowChartAlternate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入力例です。実際の入力は、もう１枚のシートです。</a:t>
          </a:r>
          <a:endParaRPr kumimoji="1" lang="en-US" altLang="ja-JP" sz="1800" b="1"/>
        </a:p>
        <a:p>
          <a:pPr algn="l"/>
          <a:r>
            <a:rPr kumimoji="1" lang="ja-JP" altLang="en-US" sz="1800" b="1"/>
            <a:t>ピンク色のセルに入力してください。入力されるとセルが白くなります。</a:t>
          </a:r>
          <a:endParaRPr kumimoji="1" lang="en-US" altLang="ja-JP" sz="1800" b="1"/>
        </a:p>
        <a:p>
          <a:pPr algn="l"/>
          <a:r>
            <a:rPr kumimoji="1" lang="ja-JP" altLang="en-US" sz="1800" b="1">
              <a:solidFill>
                <a:srgbClr val="0000FF"/>
              </a:solidFill>
            </a:rPr>
            <a:t>セルが赤くなった場合は、誤入力の可能性がありますので確認してください。</a:t>
          </a:r>
          <a:endParaRPr kumimoji="1" lang="en-US" altLang="ja-JP" sz="1800" b="1">
            <a:solidFill>
              <a:srgbClr val="0000FF"/>
            </a:solidFill>
          </a:endParaRPr>
        </a:p>
        <a:p>
          <a:pPr algn="l"/>
          <a:r>
            <a:rPr kumimoji="1" lang="en-US" altLang="ja-JP" sz="1800" b="1">
              <a:solidFill>
                <a:srgbClr val="0000FF"/>
              </a:solidFill>
            </a:rPr>
            <a:t>【</a:t>
          </a:r>
          <a:r>
            <a:rPr kumimoji="1" lang="ja-JP" altLang="en-US" sz="1800" b="1">
              <a:solidFill>
                <a:srgbClr val="0000FF"/>
              </a:solidFill>
            </a:rPr>
            <a:t>誤入力となるケース</a:t>
          </a:r>
          <a:r>
            <a:rPr kumimoji="1" lang="en-US" altLang="ja-JP" sz="1800" b="1">
              <a:solidFill>
                <a:srgbClr val="0000FF"/>
              </a:solidFill>
            </a:rPr>
            <a:t>】</a:t>
          </a:r>
        </a:p>
        <a:p>
          <a:pPr algn="l"/>
          <a:r>
            <a:rPr kumimoji="1" lang="ja-JP" altLang="en-US" sz="1800" b="1">
              <a:solidFill>
                <a:srgbClr val="0000FF"/>
              </a:solidFill>
            </a:rPr>
            <a:t>○</a:t>
          </a:r>
          <a:r>
            <a:rPr kumimoji="1" lang="en-US" altLang="ja-JP" sz="1800" b="1">
              <a:solidFill>
                <a:srgbClr val="0000FF"/>
              </a:solidFill>
            </a:rPr>
            <a:t>50m</a:t>
          </a:r>
          <a:r>
            <a:rPr kumimoji="1" lang="ja-JP" altLang="en-US" sz="1800" b="1">
              <a:solidFill>
                <a:srgbClr val="0000FF"/>
              </a:solidFill>
            </a:rPr>
            <a:t>走以外種目で小数点以下が入力されている。</a:t>
          </a:r>
          <a:endParaRPr kumimoji="1" lang="en-US" altLang="ja-JP" sz="1800" b="1">
            <a:solidFill>
              <a:srgbClr val="0000FF"/>
            </a:solidFill>
          </a:endParaRPr>
        </a:p>
        <a:p>
          <a:pPr algn="l"/>
          <a:r>
            <a:rPr kumimoji="1" lang="ja-JP" altLang="en-US" sz="1800" b="1">
              <a:solidFill>
                <a:srgbClr val="0000FF"/>
              </a:solidFill>
            </a:rPr>
            <a:t>　・握力はキログラム未満は四捨五入</a:t>
          </a:r>
          <a:endParaRPr kumimoji="1" lang="en-US" altLang="ja-JP" sz="1800" b="1">
            <a:solidFill>
              <a:srgbClr val="0000FF"/>
            </a:solidFill>
          </a:endParaRPr>
        </a:p>
        <a:p>
          <a:pPr algn="l"/>
          <a:r>
            <a:rPr kumimoji="1" lang="ja-JP" altLang="en-US" sz="1800" b="1">
              <a:solidFill>
                <a:srgbClr val="0000FF"/>
              </a:solidFill>
            </a:rPr>
            <a:t>　・長座、立ち幅とびは㎝未満は切り捨て</a:t>
          </a:r>
          <a:endParaRPr kumimoji="1" lang="en-US" altLang="ja-JP" sz="1800" b="1">
            <a:solidFill>
              <a:srgbClr val="0000FF"/>
            </a:solidFill>
          </a:endParaRPr>
        </a:p>
        <a:p>
          <a:pPr algn="l"/>
          <a:r>
            <a:rPr kumimoji="1" lang="ja-JP" altLang="en-US" sz="1800" b="1">
              <a:solidFill>
                <a:srgbClr val="0000FF"/>
              </a:solidFill>
            </a:rPr>
            <a:t>　・ボール投げは</a:t>
          </a:r>
          <a:r>
            <a:rPr kumimoji="1" lang="en-US" altLang="ja-JP" sz="1800" b="1">
              <a:solidFill>
                <a:srgbClr val="0000FF"/>
              </a:solidFill>
            </a:rPr>
            <a:t>m</a:t>
          </a:r>
          <a:r>
            <a:rPr kumimoji="1" lang="ja-JP" altLang="en-US" sz="1800" b="1">
              <a:solidFill>
                <a:srgbClr val="0000FF"/>
              </a:solidFill>
            </a:rPr>
            <a:t>未満は切り捨て</a:t>
          </a:r>
          <a:endParaRPr kumimoji="1" lang="en-US" altLang="ja-JP" sz="1800" b="1">
            <a:solidFill>
              <a:srgbClr val="0000FF"/>
            </a:solidFill>
          </a:endParaRPr>
        </a:p>
        <a:p>
          <a:pPr algn="l"/>
          <a:r>
            <a:rPr kumimoji="1" lang="ja-JP" altLang="en-US" sz="1800" b="1">
              <a:solidFill>
                <a:srgbClr val="0000FF"/>
              </a:solidFill>
            </a:rPr>
            <a:t>○記録に「０」が入力されている。記録に「０」が入力される可能性がある種　</a:t>
          </a:r>
          <a:endParaRPr kumimoji="1" lang="en-US" altLang="ja-JP" sz="1800" b="1">
            <a:solidFill>
              <a:srgbClr val="0000FF"/>
            </a:solidFill>
          </a:endParaRPr>
        </a:p>
        <a:p>
          <a:pPr algn="l"/>
          <a:r>
            <a:rPr kumimoji="1" lang="ja-JP" altLang="en-US" sz="1800" b="1">
              <a:solidFill>
                <a:srgbClr val="0000FF"/>
              </a:solidFill>
            </a:rPr>
            <a:t>　 目は上体起こしのみ。未実施種目は未入力にする。</a:t>
          </a:r>
          <a:endParaRPr kumimoji="1" lang="en-US" altLang="ja-JP" sz="1800" b="1">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400050" y="314325"/>
          <a:ext cx="1152525"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23" displayName="テーブル223" ref="A5:AC55" totalsRowShown="0" headerRowDxfId="136" dataDxfId="135" tableBorderDxfId="134">
  <autoFilter ref="A5:AC55" xr:uid="{00000000-0009-0000-0100-000002000000}"/>
  <sortState ref="A6:AO1005">
    <sortCondition ref="A6:A1005"/>
  </sortState>
  <tableColumns count="29">
    <tableColumn id="15" xr3:uid="{00000000-0010-0000-0000-00000F000000}" name="no" dataDxfId="133" totalsRowDxfId="132"/>
    <tableColumn id="16" xr3:uid="{00000000-0010-0000-0000-000010000000}" name="学年" dataDxfId="131" totalsRowDxfId="130"/>
    <tableColumn id="17" xr3:uid="{00000000-0010-0000-0000-000011000000}" name="組" dataDxfId="129" totalsRowDxfId="128"/>
    <tableColumn id="19" xr3:uid="{00000000-0010-0000-0000-000013000000}" name="性別" dataDxfId="127" totalsRowDxfId="126"/>
    <tableColumn id="21" xr3:uid="{00000000-0010-0000-0000-000015000000}" name="氏名" dataDxfId="125" totalsRowDxfId="124"/>
    <tableColumn id="22" xr3:uid="{00000000-0010-0000-0000-000016000000}" name="身長" dataDxfId="123" totalsRowDxfId="122"/>
    <tableColumn id="23" xr3:uid="{00000000-0010-0000-0000-000017000000}" name="体重" dataDxfId="121" totalsRowDxfId="120"/>
    <tableColumn id="4" xr3:uid="{00000000-0010-0000-0000-000004000000}" name="握力" dataDxfId="119" totalsRowDxfId="118"/>
    <tableColumn id="5" xr3:uid="{00000000-0010-0000-0000-000005000000}" name="上体" dataDxfId="117" totalsRowDxfId="116"/>
    <tableColumn id="6" xr3:uid="{00000000-0010-0000-0000-000006000000}" name="長座" dataDxfId="115" totalsRowDxfId="114"/>
    <tableColumn id="7" xr3:uid="{00000000-0010-0000-0000-000007000000}" name="反復" dataDxfId="113" totalsRowDxfId="112"/>
    <tableColumn id="9" xr3:uid="{00000000-0010-0000-0000-000009000000}" name="ｼｬﾄﾙﾗﾝ" dataDxfId="111" totalsRowDxfId="110"/>
    <tableColumn id="10" xr3:uid="{00000000-0010-0000-0000-00000A000000}" name="50m走" dataDxfId="109" totalsRowDxfId="108"/>
    <tableColumn id="11" xr3:uid="{00000000-0010-0000-0000-00000B000000}" name="立幅とび" dataDxfId="107" totalsRowDxfId="106"/>
    <tableColumn id="12" xr3:uid="{00000000-0010-0000-0000-00000C000000}" name="ボール投げ" dataDxfId="105" totalsRowDxfId="104"/>
    <tableColumn id="13" xr3:uid="{00000000-0010-0000-0000-00000D000000}" name="得点" dataDxfId="103" totalsRowDxfId="102">
      <calculatedColumnFormula>テーブル223[[#This Row],[握力2]]+テーブル223[[#This Row],[上体3]]+テーブル223[[#This Row],[長座4]]+テーブル223[[#This Row],[反復5]]+テーブル223[[#This Row],[シャトル]]+テーブル223[[#This Row],[50ｍ]]+テーブル223[[#This Row],[立幅]]+テーブル223[[#This Row],[ボール]]</calculatedColumnFormula>
    </tableColumn>
    <tableColumn id="14" xr3:uid="{00000000-0010-0000-0000-00000E000000}" name="判定" dataDxfId="101" totalsRowDxfId="100">
      <calculatedColumnFormula>IF(テーブル223[[#This Row],[得点]]=0,"",IF(テーブル223[[#This Row],[年齢]]&gt;10,LOOKUP(P6,$BE$6:$BE$10,$BB$6:$BB$10),IF(テーブル223[[#This Row],[年齢]]&gt;9,LOOKUP(P6,$BD$6:$BD$10,$BB$6:$BB$10),IF(テーブル223[[#This Row],[年齢]]&gt;8,LOOKUP(P6,$BC$6:$BC$10,$BB$6:$BB$10),IF(テーブル223[[#This Row],[年齢]]&gt;7,LOOKUP(P6,$BA$6:$BA$10,$BB$6:$BB$10),IF(テーブル223[[#This Row],[年齢]]&gt;6,LOOKUP(P6,$AZ$6:$AZ$10,$BB$6:$BB$10),LOOKUP(P6,$AY$6:$AY$10,$BB$6:$BB$10)))))))</calculatedColumnFormula>
    </tableColumn>
    <tableColumn id="18" xr3:uid="{00000000-0010-0000-0000-000012000000}" name="握力2" dataDxfId="99" totalsRowDxfId="98">
      <calculatedColumnFormula>IF(H6="",0,(IF(テーブル223[[#This Row],[性別]]="男",LOOKUP(テーブル223[[#This Row],[握力]],$AF$6:$AG$15),LOOKUP(テーブル223[[#This Row],[握力]],$AF$20:$AG$29))))</calculatedColumnFormula>
    </tableColumn>
    <tableColumn id="26" xr3:uid="{00000000-0010-0000-0000-00001A000000}" name="上体3" dataDxfId="97" totalsRowDxfId="96">
      <calculatedColumnFormula>IF(テーブル223[[#This Row],[上体]]="",0,(IF(テーブル223[[#This Row],[性別]]="男",LOOKUP(テーブル223[[#This Row],[上体]],$AH$6:$AI$15),LOOKUP(テーブル223[[#This Row],[上体]],$AH$20:$AI$29))))</calculatedColumnFormula>
    </tableColumn>
    <tableColumn id="27" xr3:uid="{00000000-0010-0000-0000-00001B000000}" name="長座4" dataDxfId="95" totalsRowDxfId="94">
      <calculatedColumnFormula>IF(テーブル223[[#This Row],[長座]]="",0,(IF(テーブル223[[#This Row],[性別]]="男",LOOKUP(テーブル223[[#This Row],[長座]],$AJ$6:$AK$15),LOOKUP(テーブル223[[#This Row],[長座]],$AJ$20:$AK$29))))</calculatedColumnFormula>
    </tableColumn>
    <tableColumn id="28" xr3:uid="{00000000-0010-0000-0000-00001C000000}" name="反復5" dataDxfId="93" totalsRowDxfId="92">
      <calculatedColumnFormula>IF(テーブル223[[#This Row],[反復]]="",0,(IF(テーブル223[[#This Row],[性別]]="男",LOOKUP(テーブル223[[#This Row],[反復]],$AL$6:$AM$15),LOOKUP(テーブル223[[#This Row],[反復]],$AL$20:$AM$29))))</calculatedColumnFormula>
    </tableColumn>
    <tableColumn id="30" xr3:uid="{00000000-0010-0000-0000-00001E000000}" name="シャトル" dataDxfId="91" totalsRowDxfId="90">
      <calculatedColumnFormula>IF(テーブル223[[#This Row],[ｼｬﾄﾙﾗﾝ]]="",0,(IF(テーブル223[[#This Row],[性別]]="男",LOOKUP(テーブル223[[#This Row],[ｼｬﾄﾙﾗﾝ]],$AP$6:$AQ$15),LOOKUP(テーブル223[[#This Row],[ｼｬﾄﾙﾗﾝ]],$AP$20:$AQ$29))))</calculatedColumnFormula>
    </tableColumn>
    <tableColumn id="31" xr3:uid="{00000000-0010-0000-0000-00001F000000}" name="50ｍ" dataDxfId="89" totalsRowDxfId="88">
      <calculatedColumnFormula>IF(テーブル223[[#This Row],[50m走]]="",0,(IF(テーブル223[[#This Row],[性別]]="男",LOOKUP(テーブル223[[#This Row],[50m走]],$AR$6:$AS$15),LOOKUP(テーブル223[[#This Row],[50m走]],$AR$20:$AS$29))))</calculatedColumnFormula>
    </tableColumn>
    <tableColumn id="32" xr3:uid="{00000000-0010-0000-0000-000020000000}" name="立幅" dataDxfId="87" totalsRowDxfId="86">
      <calculatedColumnFormula>IF(テーブル223[[#This Row],[立幅とび]]="",0,(IF(テーブル223[[#This Row],[性別]]="男",LOOKUP(テーブル223[[#This Row],[立幅とび]],$AT$6:$AU$15),LOOKUP(テーブル223[[#This Row],[立幅とび]],$AT$20:$AU$29))))</calculatedColumnFormula>
    </tableColumn>
    <tableColumn id="33" xr3:uid="{00000000-0010-0000-0000-000021000000}" name="ボール" dataDxfId="85" totalsRowDxfId="84">
      <calculatedColumnFormula>IF(テーブル223[[#This Row],[ボール投げ]]="",0,(IF(テーブル223[[#This Row],[性別]]="男",LOOKUP(テーブル223[[#This Row],[ボール投げ]],$AV$6:$AW$15),LOOKUP(テーブル223[[#This Row],[ボール投げ]],$AV$20:$AW$29))))</calculatedColumnFormula>
    </tableColumn>
    <tableColumn id="20" xr3:uid="{00000000-0010-0000-0000-000014000000}" name="年齢" dataDxfId="83" totalsRowDxfId="82">
      <calculatedColumnFormula>IF(テーブル223[[#This Row],[学年]]=1,6,IF(テーブル223[[#This Row],[学年]]=2,7,IF(テーブル223[[#This Row],[学年]]=3,8,IF(テーブル223[[#This Row],[学年]]=4,9,IF(テーブル223[[#This Row],[学年]]=5,10,IF(テーブル223[[#This Row],[学年]]=6,11," "))))))</calculatedColumnFormula>
    </tableColumn>
    <tableColumn id="24" xr3:uid="{00000000-0010-0000-0000-000018000000}" name="肥満度" dataDxfId="81" totalsRowDxfId="80">
      <calculatedColumnFormula>IF(テーブル223[[#This Row],[肥満度数値]]=0,"",LOOKUP(AC6,$AU$39:$AU$44,$AV$39:$AV$44))</calculatedColumnFormula>
    </tableColumn>
    <tableColumn id="1" xr3:uid="{00000000-0010-0000-0000-000001000000}" name="標準体重" dataDxfId="79" totalsRowDxfId="78">
      <calculatedColumnFormula>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calculatedColumnFormula>
    </tableColumn>
    <tableColumn id="2" xr3:uid="{00000000-0010-0000-0000-000002000000}" name="肥満度数値" dataDxfId="77" totalsRowDxfId="76">
      <calculatedColumnFormula>IF(テーブル223[[#This Row],[体重]]="",0,(テーブル223[[#This Row],[体重]]-テーブル223[[#This Row],[標準体重]])/テーブル223[[#This Row],[標準体重]]*100)</calculatedColumnFormula>
    </tableColumn>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テーブル22" displayName="テーブル22" ref="A5:AC505" totalsRowShown="0" headerRowDxfId="60" dataDxfId="59" tableBorderDxfId="58">
  <autoFilter ref="A5:AC505" xr:uid="{00000000-0009-0000-0100-000001000000}"/>
  <sortState ref="B6:AP1005">
    <sortCondition ref="B6:B1005"/>
    <sortCondition ref="C6:C1005"/>
  </sortState>
  <tableColumns count="29">
    <tableColumn id="15" xr3:uid="{00000000-0010-0000-0100-00000F000000}" name="no" dataDxfId="57" totalsRowDxfId="56"/>
    <tableColumn id="16" xr3:uid="{00000000-0010-0000-0100-000010000000}" name="学年" dataDxfId="55" totalsRowDxfId="54"/>
    <tableColumn id="17" xr3:uid="{00000000-0010-0000-0100-000011000000}" name="組" dataDxfId="53" totalsRowDxfId="52"/>
    <tableColumn id="19" xr3:uid="{00000000-0010-0000-0100-000013000000}" name="性別" dataDxfId="51" totalsRowDxfId="50"/>
    <tableColumn id="21" xr3:uid="{00000000-0010-0000-0100-000015000000}" name="氏名" dataDxfId="49" totalsRowDxfId="48"/>
    <tableColumn id="22" xr3:uid="{00000000-0010-0000-0100-000016000000}" name="身長" dataDxfId="47" totalsRowDxfId="46"/>
    <tableColumn id="23" xr3:uid="{00000000-0010-0000-0100-000017000000}" name="体重" dataDxfId="45" totalsRowDxfId="44"/>
    <tableColumn id="4" xr3:uid="{00000000-0010-0000-0100-000004000000}" name="握力" dataDxfId="43" totalsRowDxfId="42"/>
    <tableColumn id="5" xr3:uid="{00000000-0010-0000-0100-000005000000}" name="上体" dataDxfId="41" totalsRowDxfId="40"/>
    <tableColumn id="6" xr3:uid="{00000000-0010-0000-0100-000006000000}" name="長座" dataDxfId="39" totalsRowDxfId="38"/>
    <tableColumn id="7" xr3:uid="{00000000-0010-0000-0100-000007000000}" name="反復" dataDxfId="37" totalsRowDxfId="36"/>
    <tableColumn id="9" xr3:uid="{00000000-0010-0000-0100-000009000000}" name="ｼｬﾄﾙﾗﾝ" dataDxfId="35" totalsRowDxfId="34"/>
    <tableColumn id="10" xr3:uid="{00000000-0010-0000-0100-00000A000000}" name="50m走" dataDxfId="33" totalsRowDxfId="32"/>
    <tableColumn id="11" xr3:uid="{00000000-0010-0000-0100-00000B000000}" name="立幅とび" dataDxfId="31" totalsRowDxfId="30"/>
    <tableColumn id="12" xr3:uid="{00000000-0010-0000-0100-00000C000000}" name="ボール投げ" dataDxfId="29" totalsRowDxfId="28"/>
    <tableColumn id="13" xr3:uid="{00000000-0010-0000-0100-00000D000000}" name="得点" dataDxfId="27" totalsRowDxfId="26">
      <calculatedColumnFormula>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calculatedColumnFormula>
    </tableColumn>
    <tableColumn id="14" xr3:uid="{00000000-0010-0000-0100-00000E000000}" name="判定" dataDxfId="25" totalsRowDxfId="24">
      <calculatedColumnFormula>IF(テーブル22[[#This Row],[得点]]="","",IF(テーブル22[[#This Row],[年齢]]&gt;10,LOOKUP(P6,$BG$6:$BG$10,$BD$6:$BD$10),IF(テーブル22[[#This Row],[年齢]]&gt;9,LOOKUP(P6,$BF$6:$BF$10,$BD$6:$BD$10),IF(テーブル22[[#This Row],[年齢]]&gt;8,LOOKUP(P6,$BE$6:$BE$10,$BD$6:$BD$10),IF(テーブル22[[#This Row],[年齢]]&gt;7,LOOKUP(P6,$BC$6:$BC$10,$BD$6:$BD$10),IF(テーブル22[[#This Row],[年齢]]&gt;6,LOOKUP(P6,$BB$6:$BB$10,$BD$6:$BD$10),LOOKUP(P6,$BA$6:$BA$10,$BD$6:$BD$10)))))))</calculatedColumnFormula>
    </tableColumn>
    <tableColumn id="18" xr3:uid="{00000000-0010-0000-0100-000012000000}" name="握力2" dataDxfId="23" totalsRowDxfId="22">
      <calculatedColumnFormula>IF(H6="",0,(IF(テーブル22[[#This Row],[性別]]="男",LOOKUP(テーブル22[[#This Row],[握力]],$AH$6:$AI$15),LOOKUP(テーブル22[[#This Row],[握力]],$AH$20:$AI$29))))</calculatedColumnFormula>
    </tableColumn>
    <tableColumn id="26" xr3:uid="{00000000-0010-0000-0100-00001A000000}" name="上体3" dataDxfId="21" totalsRowDxfId="20">
      <calculatedColumnFormula>IF(テーブル22[[#This Row],[上体]]="",0,(IF(テーブル22[[#This Row],[性別]]="男",LOOKUP(テーブル22[[#This Row],[上体]],$AJ$6:$AK$15),LOOKUP(テーブル22[[#This Row],[上体]],$AJ$20:$AK$29))))</calculatedColumnFormula>
    </tableColumn>
    <tableColumn id="27" xr3:uid="{00000000-0010-0000-0100-00001B000000}" name="長座4" dataDxfId="19" totalsRowDxfId="18">
      <calculatedColumnFormula>IF(テーブル22[[#This Row],[長座]]="",0,(IF(テーブル22[[#This Row],[性別]]="男",LOOKUP(テーブル22[[#This Row],[長座]],$AL$6:$AM$15),LOOKUP(テーブル22[[#This Row],[長座]],$AL$20:$AM$29))))</calculatedColumnFormula>
    </tableColumn>
    <tableColumn id="28" xr3:uid="{00000000-0010-0000-0100-00001C000000}" name="反復5" dataDxfId="17" totalsRowDxfId="16">
      <calculatedColumnFormula>IF(テーブル22[[#This Row],[反復]]="",0,(IF(テーブル22[[#This Row],[性別]]="男",LOOKUP(テーブル22[[#This Row],[反復]],$AN$6:$AO$15),LOOKUP(テーブル22[[#This Row],[反復]],$AN$20:$AO$29))))</calculatedColumnFormula>
    </tableColumn>
    <tableColumn id="30" xr3:uid="{00000000-0010-0000-0100-00001E000000}" name="シャトル" dataDxfId="15" totalsRowDxfId="14">
      <calculatedColumnFormula>IF(テーブル22[[#This Row],[ｼｬﾄﾙﾗﾝ]]="",0,(IF(テーブル22[[#This Row],[性別]]="男",LOOKUP(テーブル22[[#This Row],[ｼｬﾄﾙﾗﾝ]],$AR$6:$AS$15),LOOKUP(テーブル22[[#This Row],[ｼｬﾄﾙﾗﾝ]],$AR$20:$AS$29))))</calculatedColumnFormula>
    </tableColumn>
    <tableColumn id="31" xr3:uid="{00000000-0010-0000-0100-00001F000000}" name="50ｍ" dataDxfId="13" totalsRowDxfId="12">
      <calculatedColumnFormula>IF(テーブル22[[#This Row],[50m走]]="",0,(IF(テーブル22[[#This Row],[性別]]="男",LOOKUP(テーブル22[[#This Row],[50m走]],$AT$6:$AU$15),LOOKUP(テーブル22[[#This Row],[50m走]],$AT$20:$AU$29))))</calculatedColumnFormula>
    </tableColumn>
    <tableColumn id="32" xr3:uid="{00000000-0010-0000-0100-000020000000}" name="立幅" dataDxfId="11" totalsRowDxfId="10">
      <calculatedColumnFormula>IF(テーブル22[[#This Row],[立幅とび]]="",0,(IF(テーブル22[[#This Row],[性別]]="男",LOOKUP(テーブル22[[#This Row],[立幅とび]],$AV$6:$AW$15),LOOKUP(テーブル22[[#This Row],[立幅とび]],$AV$20:$AW$29))))</calculatedColumnFormula>
    </tableColumn>
    <tableColumn id="33" xr3:uid="{00000000-0010-0000-0100-000021000000}" name="ボール" dataDxfId="9" totalsRowDxfId="8">
      <calculatedColumnFormula>IF(テーブル22[[#This Row],[ボール投げ]]="",0,(IF(テーブル22[[#This Row],[性別]]="男",LOOKUP(テーブル22[[#This Row],[ボール投げ]],$AX$6:$AY$15),LOOKUP(テーブル22[[#This Row],[ボール投げ]],$AX$20:$AY$29))))</calculatedColumnFormula>
    </tableColumn>
    <tableColumn id="20" xr3:uid="{00000000-0010-0000-0100-000014000000}" name="年齢" dataDxfId="7" totalsRowDxfId="6">
      <calculatedColumnFormula>IF(テーブル22[[#This Row],[学年]]=1,6,IF(テーブル22[[#This Row],[学年]]=2,7,IF(テーブル22[[#This Row],[学年]]=3,8,IF(テーブル22[[#This Row],[学年]]=4,9,IF(テーブル22[[#This Row],[学年]]=5,10,IF(テーブル22[[#This Row],[学年]]=6,11," "))))))</calculatedColumnFormula>
    </tableColumn>
    <tableColumn id="24" xr3:uid="{00000000-0010-0000-0100-000018000000}" name="肥満度" dataDxfId="5" totalsRowDxfId="4">
      <calculatedColumnFormula>IF(テーブル22[[#This Row],[肥満度数値]]="","",LOOKUP(AC6,$AW$39:$AW$44,$AX$39:$AX$44))</calculatedColumnFormula>
    </tableColumn>
    <tableColumn id="1" xr3:uid="{00000000-0010-0000-0100-000001000000}" name="標準体重" dataDxfId="3" totalsRowDxfId="2">
      <calculatedColumnFormula>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calculatedColumnFormula>
    </tableColumn>
    <tableColumn id="2" xr3:uid="{00000000-0010-0000-0100-000002000000}" name="肥満度数値" dataDxfId="1" totalsRowDxfId="0">
      <calculatedColumnFormula>IF(テーブル22[[#This Row],[体重]]="","",(テーブル22[[#This Row],[体重]]-テーブル22[[#This Row],[標準体重]])/テーブル22[[#This Row],[標準体重]]*100)</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BG55"/>
  <sheetViews>
    <sheetView showGridLines="0" showZeros="0" zoomScaleNormal="100" workbookViewId="0">
      <selection activeCell="K5" sqref="K5"/>
    </sheetView>
  </sheetViews>
  <sheetFormatPr defaultRowHeight="13" x14ac:dyDescent="0.2"/>
  <cols>
    <col min="1" max="1" width="5" customWidth="1"/>
    <col min="2" max="4" width="4.08984375" customWidth="1"/>
    <col min="5" max="5" width="17.08984375" customWidth="1"/>
    <col min="6" max="6" width="9.7265625" customWidth="1"/>
    <col min="7" max="17" width="7.36328125" customWidth="1"/>
    <col min="18" max="26" width="7.36328125" hidden="1" customWidth="1"/>
    <col min="27" max="28" width="7.36328125" customWidth="1"/>
    <col min="29" max="29" width="7.36328125" hidden="1" customWidth="1"/>
    <col min="30" max="31" width="6.7265625" hidden="1" customWidth="1"/>
    <col min="32" max="39" width="5.26953125" hidden="1" customWidth="1"/>
    <col min="40" max="40" width="7.08984375" hidden="1" customWidth="1"/>
    <col min="41" max="41" width="5.26953125" hidden="1" customWidth="1"/>
    <col min="42" max="42" width="7.7265625" hidden="1" customWidth="1"/>
    <col min="43" max="43" width="5.26953125" hidden="1" customWidth="1"/>
    <col min="44" max="44" width="5.7265625" hidden="1" customWidth="1"/>
    <col min="45" max="45" width="5.26953125" hidden="1" customWidth="1"/>
    <col min="46" max="46" width="6.90625" hidden="1" customWidth="1"/>
    <col min="47" max="47" width="5.26953125" hidden="1" customWidth="1"/>
    <col min="48" max="48" width="6.36328125" hidden="1" customWidth="1"/>
    <col min="49" max="49" width="5.26953125" hidden="1" customWidth="1"/>
    <col min="50" max="59" width="9" hidden="1" customWidth="1"/>
    <col min="60" max="68" width="9" customWidth="1"/>
  </cols>
  <sheetData>
    <row r="1" spans="1:57" ht="51.75" customHeight="1" thickBot="1" x14ac:dyDescent="0.25">
      <c r="A1" s="205" t="s">
        <v>78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33"/>
      <c r="AC1" s="33"/>
    </row>
    <row r="2" spans="1:57" ht="28.5" customHeight="1" x14ac:dyDescent="0.2">
      <c r="C2" s="206" t="s">
        <v>73</v>
      </c>
      <c r="D2" s="207"/>
      <c r="E2" s="210" t="s">
        <v>137</v>
      </c>
      <c r="F2" s="211"/>
      <c r="G2" s="211"/>
      <c r="H2" s="212"/>
      <c r="I2" s="119"/>
      <c r="J2" s="119"/>
      <c r="K2" s="216" t="s">
        <v>74</v>
      </c>
      <c r="L2" s="218" t="s">
        <v>253</v>
      </c>
      <c r="M2" s="219"/>
      <c r="N2" s="219"/>
      <c r="O2" s="219"/>
      <c r="P2" s="220"/>
      <c r="Q2" s="44"/>
      <c r="R2" s="115"/>
      <c r="S2" s="116"/>
      <c r="T2" s="116"/>
      <c r="U2" s="117"/>
      <c r="V2" s="117"/>
      <c r="W2" s="116"/>
      <c r="X2" s="116"/>
      <c r="Y2" s="116"/>
      <c r="Z2" s="116"/>
      <c r="AA2" s="116"/>
      <c r="AB2" s="116"/>
      <c r="AC2" s="116"/>
      <c r="AD2" s="116"/>
    </row>
    <row r="3" spans="1:57" ht="14.25" customHeight="1" thickBot="1" x14ac:dyDescent="0.25">
      <c r="C3" s="208"/>
      <c r="D3" s="209"/>
      <c r="E3" s="213"/>
      <c r="F3" s="214"/>
      <c r="G3" s="214"/>
      <c r="H3" s="215"/>
      <c r="I3" s="119"/>
      <c r="J3" s="119"/>
      <c r="K3" s="217"/>
      <c r="L3" s="221"/>
      <c r="M3" s="222"/>
      <c r="N3" s="222"/>
      <c r="O3" s="222"/>
      <c r="P3" s="223"/>
      <c r="Q3" s="44"/>
      <c r="R3" s="115"/>
      <c r="S3" s="116"/>
      <c r="T3" s="116"/>
      <c r="U3" s="117"/>
      <c r="V3" s="116"/>
      <c r="W3" s="116"/>
      <c r="X3" s="116"/>
      <c r="Y3" s="116"/>
      <c r="Z3" s="116"/>
      <c r="AA3" s="116"/>
      <c r="AB3" s="116"/>
      <c r="AC3" s="116"/>
      <c r="AD3" s="116"/>
    </row>
    <row r="4" spans="1:57" ht="27.75" customHeight="1" thickBot="1" x14ac:dyDescent="0.25">
      <c r="A4" s="144" t="s">
        <v>254</v>
      </c>
      <c r="E4" s="20"/>
      <c r="O4" s="118"/>
      <c r="P4" s="157"/>
      <c r="Q4" s="116"/>
      <c r="R4" s="116"/>
      <c r="S4" s="116"/>
      <c r="T4" s="116"/>
      <c r="U4" s="116"/>
      <c r="V4" s="116"/>
      <c r="W4" s="116"/>
      <c r="X4" s="116"/>
      <c r="Y4" s="116"/>
      <c r="Z4" s="116"/>
    </row>
    <row r="5" spans="1:57" ht="27.5" thickBot="1" x14ac:dyDescent="0.25">
      <c r="A5" s="83" t="s">
        <v>81</v>
      </c>
      <c r="B5" s="39" t="s">
        <v>82</v>
      </c>
      <c r="C5" s="39" t="s">
        <v>126</v>
      </c>
      <c r="D5" s="39" t="s">
        <v>83</v>
      </c>
      <c r="E5" s="40" t="s">
        <v>86</v>
      </c>
      <c r="F5" s="41" t="s">
        <v>157</v>
      </c>
      <c r="G5" s="41" t="s">
        <v>158</v>
      </c>
      <c r="H5" s="84" t="s">
        <v>57</v>
      </c>
      <c r="I5" s="84" t="s">
        <v>146</v>
      </c>
      <c r="J5" s="41" t="s">
        <v>147</v>
      </c>
      <c r="K5" s="85" t="s">
        <v>148</v>
      </c>
      <c r="L5" s="86" t="s">
        <v>151</v>
      </c>
      <c r="M5" s="41" t="s">
        <v>58</v>
      </c>
      <c r="N5" s="85" t="s">
        <v>150</v>
      </c>
      <c r="O5" s="86" t="s">
        <v>59</v>
      </c>
      <c r="P5" s="107" t="s">
        <v>112</v>
      </c>
      <c r="Q5" s="43" t="s">
        <v>127</v>
      </c>
      <c r="R5" s="87" t="s">
        <v>152</v>
      </c>
      <c r="S5" s="88" t="s">
        <v>153</v>
      </c>
      <c r="T5" s="88" t="s">
        <v>154</v>
      </c>
      <c r="U5" s="88" t="s">
        <v>155</v>
      </c>
      <c r="V5" s="88" t="s">
        <v>128</v>
      </c>
      <c r="W5" s="88" t="s">
        <v>129</v>
      </c>
      <c r="X5" s="88" t="s">
        <v>130</v>
      </c>
      <c r="Y5" s="88" t="s">
        <v>131</v>
      </c>
      <c r="Z5" s="27" t="s">
        <v>84</v>
      </c>
      <c r="AA5" s="89" t="s">
        <v>244</v>
      </c>
      <c r="AB5" s="88" t="s">
        <v>243</v>
      </c>
      <c r="AC5" s="88" t="s">
        <v>245</v>
      </c>
      <c r="AF5" s="55" t="s">
        <v>93</v>
      </c>
      <c r="AG5" s="56" t="s">
        <v>85</v>
      </c>
      <c r="AH5" s="55" t="s">
        <v>116</v>
      </c>
      <c r="AI5" s="56" t="s">
        <v>85</v>
      </c>
      <c r="AJ5" s="55" t="s">
        <v>117</v>
      </c>
      <c r="AK5" s="56" t="s">
        <v>85</v>
      </c>
      <c r="AL5" s="55" t="s">
        <v>118</v>
      </c>
      <c r="AM5" s="56" t="s">
        <v>85</v>
      </c>
      <c r="AN5" s="55" t="s">
        <v>113</v>
      </c>
      <c r="AO5" s="59" t="s">
        <v>112</v>
      </c>
      <c r="AP5" s="55" t="s">
        <v>119</v>
      </c>
      <c r="AQ5" s="56" t="s">
        <v>85</v>
      </c>
      <c r="AR5" s="55" t="s">
        <v>120</v>
      </c>
      <c r="AS5" s="56" t="s">
        <v>85</v>
      </c>
      <c r="AT5" s="55" t="s">
        <v>121</v>
      </c>
      <c r="AU5" s="56" t="s">
        <v>85</v>
      </c>
      <c r="AV5" s="55" t="s">
        <v>122</v>
      </c>
      <c r="AW5" s="56" t="s">
        <v>85</v>
      </c>
      <c r="AY5" s="58">
        <v>6</v>
      </c>
      <c r="AZ5" s="90">
        <v>7</v>
      </c>
      <c r="BA5" s="60">
        <v>8</v>
      </c>
      <c r="BB5" s="59" t="s">
        <v>110</v>
      </c>
      <c r="BC5" s="58">
        <v>9</v>
      </c>
      <c r="BD5" s="90">
        <v>10</v>
      </c>
      <c r="BE5" s="60">
        <v>11</v>
      </c>
    </row>
    <row r="6" spans="1:57" ht="14.25" customHeight="1" x14ac:dyDescent="0.2">
      <c r="A6" s="45">
        <v>1</v>
      </c>
      <c r="B6" s="145">
        <v>1</v>
      </c>
      <c r="C6" s="145">
        <v>1</v>
      </c>
      <c r="D6" s="145" t="s">
        <v>133</v>
      </c>
      <c r="E6" s="154" t="s">
        <v>134</v>
      </c>
      <c r="F6" s="145">
        <v>120.8</v>
      </c>
      <c r="G6" s="145">
        <v>20.7</v>
      </c>
      <c r="H6" s="146">
        <v>11</v>
      </c>
      <c r="I6" s="155">
        <v>13</v>
      </c>
      <c r="J6" s="145">
        <v>32</v>
      </c>
      <c r="K6" s="145">
        <v>31</v>
      </c>
      <c r="L6" s="145">
        <v>25</v>
      </c>
      <c r="M6" s="147">
        <v>10.6</v>
      </c>
      <c r="N6" s="145">
        <v>147</v>
      </c>
      <c r="O6" s="146">
        <v>9</v>
      </c>
      <c r="P6" s="27">
        <f>テーブル223[[#This Row],[握力2]]+テーブル223[[#This Row],[上体3]]+テーブル223[[#This Row],[長座4]]+テーブル223[[#This Row],[反復5]]+テーブル223[[#This Row],[シャトル]]+テーブル223[[#This Row],[50ｍ]]+テーブル223[[#This Row],[立幅]]+テーブル223[[#This Row],[ボール]]</f>
        <v>40</v>
      </c>
      <c r="Q6" s="43" t="str">
        <f>IF(テーブル223[[#This Row],[得点]]=0,"",IF(テーブル223[[#This Row],[年齢]]&gt;10,LOOKUP(P6,$BE$6:$BE$10,$BB$6:$BB$10),IF(テーブル223[[#This Row],[年齢]]&gt;9,LOOKUP(P6,$BD$6:$BD$10,$BB$6:$BB$10),IF(テーブル223[[#This Row],[年齢]]&gt;8,LOOKUP(P6,$BC$6:$BC$10,$BB$6:$BB$10),IF(テーブル223[[#This Row],[年齢]]&gt;7,LOOKUP(P6,$BA$6:$BA$10,$BB$6:$BB$10),IF(テーブル223[[#This Row],[年齢]]&gt;6,LOOKUP(P6,$AZ$6:$AZ$10,$BB$6:$BB$10),LOOKUP(P6,$AY$6:$AY$10,$BB$6:$BB$10)))))))</f>
        <v>Ａ</v>
      </c>
      <c r="R6" s="42">
        <f>IF(H6="",0,(IF(テーブル223[[#This Row],[性別]]="男",LOOKUP(テーブル223[[#This Row],[握力]],$AF$6:$AG$15),LOOKUP(テーブル223[[#This Row],[握力]],$AF$20:$AG$29))))</f>
        <v>5</v>
      </c>
      <c r="S6" s="42">
        <f>IF(テーブル223[[#This Row],[上体]]="",0,(IF(テーブル223[[#This Row],[性別]]="男",LOOKUP(テーブル223[[#This Row],[上体]],$AH$6:$AI$15),LOOKUP(テーブル223[[#This Row],[上体]],$AH$20:$AI$29))))</f>
        <v>5</v>
      </c>
      <c r="T6" s="42">
        <f>IF(テーブル223[[#This Row],[長座]]="",0,(IF(テーブル223[[#This Row],[性別]]="男",LOOKUP(テーブル223[[#This Row],[長座]],$AJ$6:$AK$15),LOOKUP(テーブル223[[#This Row],[長座]],$AJ$20:$AK$29))))</f>
        <v>6</v>
      </c>
      <c r="U6" s="42">
        <f>IF(テーブル223[[#This Row],[反復]]="",0,(IF(テーブル223[[#This Row],[性別]]="男",LOOKUP(テーブル223[[#This Row],[反復]],$AL$6:$AM$15),LOOKUP(テーブル223[[#This Row],[反復]],$AL$20:$AM$29))))</f>
        <v>5</v>
      </c>
      <c r="V6" s="42">
        <f>IF(テーブル223[[#This Row],[ｼｬﾄﾙﾗﾝ]]="",0,(IF(テーブル223[[#This Row],[性別]]="男",LOOKUP(テーブル223[[#This Row],[ｼｬﾄﾙﾗﾝ]],$AP$6:$AQ$15),LOOKUP(テーブル223[[#This Row],[ｼｬﾄﾙﾗﾝ]],$AP$20:$AQ$29))))</f>
        <v>5</v>
      </c>
      <c r="W6" s="42">
        <f>IF(テーブル223[[#This Row],[50m走]]="",0,(IF(テーブル223[[#This Row],[性別]]="男",LOOKUP(テーブル223[[#This Row],[50m走]],$AR$6:$AS$15),LOOKUP(テーブル223[[#This Row],[50m走]],$AR$20:$AS$29))))</f>
        <v>5</v>
      </c>
      <c r="X6" s="42">
        <f>IF(テーブル223[[#This Row],[立幅とび]]="",0,(IF(テーブル223[[#This Row],[性別]]="男",LOOKUP(テーブル223[[#This Row],[立幅とび]],$AT$6:$AU$15),LOOKUP(テーブル223[[#This Row],[立幅とび]],$AT$20:$AU$29))))</f>
        <v>6</v>
      </c>
      <c r="Y6" s="42">
        <f>IF(テーブル223[[#This Row],[ボール投げ]]="",0,(IF(テーブル223[[#This Row],[性別]]="男",LOOKUP(テーブル223[[#This Row],[ボール投げ]],$AV$6:$AW$15),LOOKUP(テーブル223[[#This Row],[ボール投げ]],$AV$20:$AW$29))))</f>
        <v>3</v>
      </c>
      <c r="Z6" s="19">
        <f>IF(テーブル223[[#This Row],[学年]]=1,6,IF(テーブル223[[#This Row],[学年]]=2,7,IF(テーブル223[[#This Row],[学年]]=3,8,IF(テーブル223[[#This Row],[学年]]=4,9,IF(テーブル223[[#This Row],[学年]]=5,10,IF(テーブル223[[#This Row],[学年]]=6,11," "))))))</f>
        <v>6</v>
      </c>
      <c r="AA6" s="125" t="str">
        <f>IF(テーブル223[[#This Row],[肥満度数値]]=0,"",LOOKUP(AC6,$AU$39:$AU$44,$AV$39:$AV$44))</f>
        <v>正常</v>
      </c>
      <c r="AB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23.306800000000003</v>
      </c>
      <c r="AC6" s="124">
        <f>IF(テーブル223[[#This Row],[体重]]="",0,(テーブル223[[#This Row],[体重]]-テーブル223[[#This Row],[標準体重]])/テーブル223[[#This Row],[標準体重]]*100)</f>
        <v>-11.184718622891186</v>
      </c>
      <c r="AD6" s="1" t="str">
        <f>IF(テーブル223[[#This Row],[判定]]=$BB$10,"○","")</f>
        <v>○</v>
      </c>
      <c r="AE6" s="1">
        <f>IF(AD6="","",COUNTIF($AD$6,"○"))</f>
        <v>1</v>
      </c>
      <c r="AF6" s="61">
        <v>0</v>
      </c>
      <c r="AG6" s="62">
        <v>1</v>
      </c>
      <c r="AH6" s="61">
        <v>0</v>
      </c>
      <c r="AI6" s="62">
        <v>1</v>
      </c>
      <c r="AJ6" s="61">
        <v>0</v>
      </c>
      <c r="AK6" s="62">
        <v>1</v>
      </c>
      <c r="AL6" s="61">
        <v>0</v>
      </c>
      <c r="AM6" s="62">
        <v>1</v>
      </c>
      <c r="AN6" s="79">
        <v>0</v>
      </c>
      <c r="AO6" s="64">
        <v>10</v>
      </c>
      <c r="AP6" s="61">
        <v>0</v>
      </c>
      <c r="AQ6" s="62">
        <v>1</v>
      </c>
      <c r="AR6" s="61">
        <v>0</v>
      </c>
      <c r="AS6" s="62">
        <v>10</v>
      </c>
      <c r="AT6" s="61">
        <v>0</v>
      </c>
      <c r="AU6" s="62">
        <v>1</v>
      </c>
      <c r="AV6" s="61">
        <v>0</v>
      </c>
      <c r="AW6" s="62">
        <v>1</v>
      </c>
      <c r="AX6" s="57"/>
      <c r="AY6" s="63">
        <v>0</v>
      </c>
      <c r="AZ6" s="91">
        <v>0</v>
      </c>
      <c r="BA6" s="65">
        <v>0</v>
      </c>
      <c r="BB6" s="64" t="s">
        <v>142</v>
      </c>
      <c r="BC6" s="63">
        <v>0</v>
      </c>
      <c r="BD6" s="91">
        <v>0</v>
      </c>
      <c r="BE6" s="65">
        <v>0</v>
      </c>
    </row>
    <row r="7" spans="1:57" ht="14.25" customHeight="1" x14ac:dyDescent="0.2">
      <c r="A7" s="40">
        <v>2</v>
      </c>
      <c r="B7" s="145">
        <v>1</v>
      </c>
      <c r="C7" s="148">
        <v>1</v>
      </c>
      <c r="D7" s="145" t="s">
        <v>79</v>
      </c>
      <c r="E7" s="156" t="s">
        <v>135</v>
      </c>
      <c r="F7" s="145">
        <v>117.8</v>
      </c>
      <c r="G7" s="145">
        <v>19.399999999999999</v>
      </c>
      <c r="H7" s="146">
        <v>6</v>
      </c>
      <c r="I7" s="148">
        <v>5</v>
      </c>
      <c r="J7" s="148">
        <v>24</v>
      </c>
      <c r="K7" s="145">
        <v>28</v>
      </c>
      <c r="L7" s="148">
        <v>23</v>
      </c>
      <c r="M7" s="149">
        <v>12.5</v>
      </c>
      <c r="N7" s="148">
        <v>110</v>
      </c>
      <c r="O7" s="150">
        <v>7</v>
      </c>
      <c r="P7" s="27">
        <f>テーブル223[[#This Row],[握力2]]+テーブル223[[#This Row],[上体3]]+テーブル223[[#This Row],[長座4]]+テーブル223[[#This Row],[反復5]]+テーブル223[[#This Row],[シャトル]]+テーブル223[[#This Row],[50ｍ]]+テーブル223[[#This Row],[立幅]]+テーブル223[[#This Row],[ボール]]</f>
        <v>27</v>
      </c>
      <c r="Q7" s="43" t="str">
        <f>IF(テーブル223[[#This Row],[得点]]=0,"",IF(テーブル223[[#This Row],[年齢]]&gt;10,LOOKUP(P7,$BE$6:$BE$10,$BB$6:$BB$10),IF(テーブル223[[#This Row],[年齢]]&gt;9,LOOKUP(P7,$BD$6:$BD$10,$BB$6:$BB$10),IF(テーブル223[[#This Row],[年齢]]&gt;8,LOOKUP(P7,$BC$6:$BC$10,$BB$6:$BB$10),IF(テーブル223[[#This Row],[年齢]]&gt;7,LOOKUP(P7,$BA$6:$BA$10,$BB$6:$BB$10),IF(テーブル223[[#This Row],[年齢]]&gt;6,LOOKUP(P7,$AZ$6:$AZ$10,$BB$6:$BB$10),LOOKUP(P7,$AY$6:$AY$10,$BB$6:$BB$10)))))))</f>
        <v>Ｃ</v>
      </c>
      <c r="R7" s="42">
        <f>IF(H7="",0,(IF(テーブル223[[#This Row],[性別]]="男",LOOKUP(テーブル223[[#This Row],[握力]],$AF$6:$AG$15),LOOKUP(テーブル223[[#This Row],[握力]],$AF$20:$AG$29))))</f>
        <v>2</v>
      </c>
      <c r="S7" s="42">
        <f>IF(テーブル223[[#This Row],[上体]]="",0,(IF(テーブル223[[#This Row],[性別]]="男",LOOKUP(テーブル223[[#This Row],[上体]],$AH$6:$AI$15),LOOKUP(テーブル223[[#This Row],[上体]],$AH$20:$AI$29))))</f>
        <v>2</v>
      </c>
      <c r="T7" s="42">
        <f>IF(テーブル223[[#This Row],[長座]]="",0,(IF(テーブル223[[#This Row],[性別]]="男",LOOKUP(テーブル223[[#This Row],[長座]],$AJ$6:$AK$15),LOOKUP(テーブル223[[#This Row],[長座]],$AJ$20:$AK$29))))</f>
        <v>3</v>
      </c>
      <c r="U7" s="42">
        <f>IF(テーブル223[[#This Row],[反復]]="",0,(IF(テーブル223[[#This Row],[性別]]="男",LOOKUP(テーブル223[[#This Row],[反復]],$AL$6:$AM$15),LOOKUP(テーブル223[[#This Row],[反復]],$AL$20:$AM$29))))</f>
        <v>5</v>
      </c>
      <c r="V7" s="42">
        <f>IF(テーブル223[[#This Row],[ｼｬﾄﾙﾗﾝ]]="",0,(IF(テーブル223[[#This Row],[性別]]="男",LOOKUP(テーブル223[[#This Row],[ｼｬﾄﾙﾗﾝ]],$AP$6:$AQ$15),LOOKUP(テーブル223[[#This Row],[ｼｬﾄﾙﾗﾝ]],$AP$20:$AQ$29))))</f>
        <v>5</v>
      </c>
      <c r="W7" s="42">
        <f>IF(テーブル223[[#This Row],[50m走]]="",0,(IF(テーブル223[[#This Row],[性別]]="男",LOOKUP(テーブル223[[#This Row],[50m走]],$AR$6:$AS$15),LOOKUP(テーブル223[[#This Row],[50m走]],$AR$20:$AS$29))))</f>
        <v>2</v>
      </c>
      <c r="X7" s="42">
        <f>IF(テーブル223[[#This Row],[立幅とび]]="",0,(IF(テーブル223[[#This Row],[性別]]="男",LOOKUP(テーブル223[[#This Row],[立幅とび]],$AT$6:$AU$15),LOOKUP(テーブル223[[#This Row],[立幅とび]],$AT$20:$AU$29))))</f>
        <v>4</v>
      </c>
      <c r="Y7" s="42">
        <f>IF(テーブル223[[#This Row],[ボール投げ]]="",0,(IF(テーブル223[[#This Row],[性別]]="男",LOOKUP(テーブル223[[#This Row],[ボール投げ]],$AV$6:$AW$15),LOOKUP(テーブル223[[#This Row],[ボール投げ]],$AV$20:$AW$29))))</f>
        <v>4</v>
      </c>
      <c r="Z7" s="19">
        <f>IF(テーブル223[[#This Row],[学年]]=1,6,IF(テーブル223[[#This Row],[学年]]=2,7,IF(テーブル223[[#This Row],[学年]]=3,8,IF(テーブル223[[#This Row],[学年]]=4,9,IF(テーブル223[[#This Row],[学年]]=5,10,IF(テーブル223[[#This Row],[学年]]=6,11," "))))))</f>
        <v>6</v>
      </c>
      <c r="AA7" s="125" t="str">
        <f>IF(テーブル223[[#This Row],[肥満度数値]]=0,"",LOOKUP(AC7,$AU$39:$AU$44,$AV$39:$AV$44))</f>
        <v>正常</v>
      </c>
      <c r="AB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21.873400000000004</v>
      </c>
      <c r="AC7" s="124">
        <f>IF(テーブル223[[#This Row],[体重]]="",0,(テーブル223[[#This Row],[体重]]-テーブル223[[#This Row],[標準体重]])/テーブル223[[#This Row],[標準体重]]*100)</f>
        <v>-11.307798513262705</v>
      </c>
      <c r="AD7" s="1" t="str">
        <f>IF(テーブル223[[#This Row],[判定]]=$BB$10,"○","")</f>
        <v/>
      </c>
      <c r="AE7" s="1" t="str">
        <f>IF(AD7="","",COUNTIF($AD$6:AD7,"○"))</f>
        <v/>
      </c>
      <c r="AF7" s="66">
        <v>5</v>
      </c>
      <c r="AG7" s="67">
        <v>2</v>
      </c>
      <c r="AH7" s="66">
        <v>3</v>
      </c>
      <c r="AI7" s="67">
        <v>2</v>
      </c>
      <c r="AJ7" s="66">
        <v>15</v>
      </c>
      <c r="AK7" s="67">
        <v>2</v>
      </c>
      <c r="AL7" s="66">
        <v>18</v>
      </c>
      <c r="AM7" s="67">
        <v>2</v>
      </c>
      <c r="AN7" s="77">
        <v>0.20833333333333334</v>
      </c>
      <c r="AO7" s="69">
        <v>9</v>
      </c>
      <c r="AP7" s="66">
        <v>8</v>
      </c>
      <c r="AQ7" s="67">
        <v>2</v>
      </c>
      <c r="AR7" s="66">
        <v>8.1</v>
      </c>
      <c r="AS7" s="67">
        <v>9</v>
      </c>
      <c r="AT7" s="66">
        <v>93</v>
      </c>
      <c r="AU7" s="67">
        <v>2</v>
      </c>
      <c r="AV7" s="66">
        <v>5</v>
      </c>
      <c r="AW7" s="67">
        <v>2</v>
      </c>
      <c r="AX7" s="57"/>
      <c r="AY7" s="68">
        <v>22</v>
      </c>
      <c r="AZ7" s="92">
        <v>27</v>
      </c>
      <c r="BA7" s="70">
        <v>32</v>
      </c>
      <c r="BB7" s="69" t="s">
        <v>141</v>
      </c>
      <c r="BC7" s="68">
        <v>38</v>
      </c>
      <c r="BD7" s="92">
        <v>42</v>
      </c>
      <c r="BE7" s="70">
        <v>46</v>
      </c>
    </row>
    <row r="8" spans="1:57" ht="14.25" customHeight="1" x14ac:dyDescent="0.2">
      <c r="A8" s="40">
        <v>3</v>
      </c>
      <c r="B8" s="145">
        <v>1</v>
      </c>
      <c r="C8" s="148">
        <v>2</v>
      </c>
      <c r="D8" s="145" t="s">
        <v>133</v>
      </c>
      <c r="E8" s="156" t="s">
        <v>136</v>
      </c>
      <c r="F8" s="145">
        <v>116.7</v>
      </c>
      <c r="G8" s="145">
        <v>28.3</v>
      </c>
      <c r="H8" s="146">
        <v>5</v>
      </c>
      <c r="I8" s="148">
        <v>6</v>
      </c>
      <c r="J8" s="148">
        <v>24</v>
      </c>
      <c r="K8" s="145">
        <v>27</v>
      </c>
      <c r="L8" s="148">
        <v>8</v>
      </c>
      <c r="M8" s="149">
        <v>13.7</v>
      </c>
      <c r="N8" s="148">
        <v>124</v>
      </c>
      <c r="O8" s="150">
        <v>4</v>
      </c>
      <c r="P8" s="27">
        <f>テーブル223[[#This Row],[握力2]]+テーブル223[[#This Row],[上体3]]+テーブル223[[#This Row],[長座4]]+テーブル223[[#This Row],[反復5]]+テーブル223[[#This Row],[シャトル]]+テーブル223[[#This Row],[50ｍ]]+テーブル223[[#This Row],[立幅]]+テーブル223[[#This Row],[ボール]]</f>
        <v>21</v>
      </c>
      <c r="Q8" s="43" t="str">
        <f>IF(テーブル223[[#This Row],[得点]]=0,"",IF(テーブル223[[#This Row],[年齢]]&gt;10,LOOKUP(P8,$BE$6:$BE$10,$BB$6:$BB$10),IF(テーブル223[[#This Row],[年齢]]&gt;9,LOOKUP(P8,$BD$6:$BD$10,$BB$6:$BB$10),IF(テーブル223[[#This Row],[年齢]]&gt;8,LOOKUP(P8,$BC$6:$BC$10,$BB$6:$BB$10),IF(テーブル223[[#This Row],[年齢]]&gt;7,LOOKUP(P8,$BA$6:$BA$10,$BB$6:$BB$10),IF(テーブル223[[#This Row],[年齢]]&gt;6,LOOKUP(P8,$AZ$6:$AZ$10,$BB$6:$BB$10),LOOKUP(P8,$AY$6:$AY$10,$BB$6:$BB$10)))))))</f>
        <v>Ｅ</v>
      </c>
      <c r="R8" s="42">
        <f>IF(H8="",0,(IF(テーブル223[[#This Row],[性別]]="男",LOOKUP(テーブル223[[#This Row],[握力]],$AF$6:$AG$15),LOOKUP(テーブル223[[#This Row],[握力]],$AF$20:$AG$29))))</f>
        <v>2</v>
      </c>
      <c r="S8" s="42">
        <f>IF(テーブル223[[#This Row],[上体]]="",0,(IF(テーブル223[[#This Row],[性別]]="男",LOOKUP(テーブル223[[#This Row],[上体]],$AH$6:$AI$15),LOOKUP(テーブル223[[#This Row],[上体]],$AH$20:$AI$29))))</f>
        <v>3</v>
      </c>
      <c r="T8" s="42">
        <f>IF(テーブル223[[#This Row],[長座]]="",0,(IF(テーブル223[[#This Row],[性別]]="男",LOOKUP(テーブル223[[#This Row],[長座]],$AJ$6:$AK$15),LOOKUP(テーブル223[[#This Row],[長座]],$AJ$20:$AK$29))))</f>
        <v>4</v>
      </c>
      <c r="U8" s="42">
        <f>IF(テーブル223[[#This Row],[反復]]="",0,(IF(テーブル223[[#This Row],[性別]]="男",LOOKUP(テーブル223[[#This Row],[反復]],$AL$6:$AM$15),LOOKUP(テーブル223[[#This Row],[反復]],$AL$20:$AM$29))))</f>
        <v>4</v>
      </c>
      <c r="V8" s="42">
        <f>IF(テーブル223[[#This Row],[ｼｬﾄﾙﾗﾝ]]="",0,(IF(テーブル223[[#This Row],[性別]]="男",LOOKUP(テーブル223[[#This Row],[ｼｬﾄﾙﾗﾝ]],$AP$6:$AQ$15),LOOKUP(テーブル223[[#This Row],[ｼｬﾄﾙﾗﾝ]],$AP$20:$AQ$29))))</f>
        <v>2</v>
      </c>
      <c r="W8" s="42">
        <f>IF(テーブル223[[#This Row],[50m走]]="",0,(IF(テーブル223[[#This Row],[性別]]="男",LOOKUP(テーブル223[[#This Row],[50m走]],$AR$6:$AS$15),LOOKUP(テーブル223[[#This Row],[50m走]],$AR$20:$AS$29))))</f>
        <v>1</v>
      </c>
      <c r="X8" s="42">
        <f>IF(テーブル223[[#This Row],[立幅とび]]="",0,(IF(テーブル223[[#This Row],[性別]]="男",LOOKUP(テーブル223[[#This Row],[立幅とび]],$AT$6:$AU$15),LOOKUP(テーブル223[[#This Row],[立幅とび]],$AT$20:$AU$29))))</f>
        <v>4</v>
      </c>
      <c r="Y8" s="42">
        <f>IF(テーブル223[[#This Row],[ボール投げ]]="",0,(IF(テーブル223[[#This Row],[性別]]="男",LOOKUP(テーブル223[[#This Row],[ボール投げ]],$AV$6:$AW$15),LOOKUP(テーブル223[[#This Row],[ボール投げ]],$AV$20:$AW$29))))</f>
        <v>1</v>
      </c>
      <c r="Z8" s="19">
        <f>IF(テーブル223[[#This Row],[学年]]=1,6,IF(テーブル223[[#This Row],[学年]]=2,7,IF(テーブル223[[#This Row],[学年]]=3,8,IF(テーブル223[[#This Row],[学年]]=4,9,IF(テーブル223[[#This Row],[学年]]=5,10,IF(テーブル223[[#This Row],[学年]]=6,11," "))))))</f>
        <v>6</v>
      </c>
      <c r="AA8" s="125" t="str">
        <f>IF(テーブル223[[#This Row],[肥満度数値]]=0,"",LOOKUP(AC8,$AU$39:$AU$44,$AV$39:$AV$44))</f>
        <v>中等度肥満</v>
      </c>
      <c r="AB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21.416700000000006</v>
      </c>
      <c r="AC8" s="124">
        <f>IF(テーブル223[[#This Row],[体重]]="",0,(テーブル223[[#This Row],[体重]]-テーブル223[[#This Row],[標準体重]])/テーブル223[[#This Row],[標準体重]]*100)</f>
        <v>32.139872155840969</v>
      </c>
      <c r="AD8" s="1" t="str">
        <f>IF(テーブル223[[#This Row],[判定]]=$BB$10,"○","")</f>
        <v/>
      </c>
      <c r="AE8" s="1" t="str">
        <f>IF(AD8="","",COUNTIF($AD$6:AD8,"○"))</f>
        <v/>
      </c>
      <c r="AF8" s="66">
        <v>7</v>
      </c>
      <c r="AG8" s="67">
        <v>3</v>
      </c>
      <c r="AH8" s="66">
        <v>6</v>
      </c>
      <c r="AI8" s="67">
        <v>3</v>
      </c>
      <c r="AJ8" s="66">
        <v>19</v>
      </c>
      <c r="AK8" s="67">
        <v>3</v>
      </c>
      <c r="AL8" s="66">
        <v>22</v>
      </c>
      <c r="AM8" s="67">
        <v>3</v>
      </c>
      <c r="AN8" s="77">
        <v>0.22013888888888888</v>
      </c>
      <c r="AO8" s="69">
        <v>8</v>
      </c>
      <c r="AP8" s="66">
        <v>10</v>
      </c>
      <c r="AQ8" s="67">
        <v>3</v>
      </c>
      <c r="AR8" s="66">
        <v>8.5</v>
      </c>
      <c r="AS8" s="67">
        <v>8</v>
      </c>
      <c r="AT8" s="66">
        <v>105</v>
      </c>
      <c r="AU8" s="67">
        <v>3</v>
      </c>
      <c r="AV8" s="66">
        <v>7</v>
      </c>
      <c r="AW8" s="67">
        <v>3</v>
      </c>
      <c r="AX8" s="57"/>
      <c r="AY8" s="68">
        <v>27</v>
      </c>
      <c r="AZ8" s="92">
        <v>34</v>
      </c>
      <c r="BA8" s="70">
        <v>39</v>
      </c>
      <c r="BB8" s="69" t="s">
        <v>140</v>
      </c>
      <c r="BC8" s="68">
        <v>45</v>
      </c>
      <c r="BD8" s="92">
        <v>50</v>
      </c>
      <c r="BE8" s="70">
        <v>55</v>
      </c>
    </row>
    <row r="9" spans="1:57" ht="14.25" customHeight="1" x14ac:dyDescent="0.2">
      <c r="A9" s="40">
        <v>4</v>
      </c>
      <c r="B9" s="145">
        <v>1</v>
      </c>
      <c r="C9" s="148">
        <v>2</v>
      </c>
      <c r="D9" s="145" t="s">
        <v>79</v>
      </c>
      <c r="E9" s="156" t="s">
        <v>135</v>
      </c>
      <c r="F9" s="145">
        <v>114.6</v>
      </c>
      <c r="G9" s="145">
        <v>21.1</v>
      </c>
      <c r="H9" s="146">
        <v>9</v>
      </c>
      <c r="I9" s="148">
        <v>14</v>
      </c>
      <c r="J9" s="148">
        <v>36</v>
      </c>
      <c r="K9" s="145">
        <v>29</v>
      </c>
      <c r="L9" s="148">
        <v>11</v>
      </c>
      <c r="M9" s="149">
        <v>11.2</v>
      </c>
      <c r="N9" s="148">
        <v>120</v>
      </c>
      <c r="O9" s="150">
        <v>8</v>
      </c>
      <c r="P9" s="27">
        <f>テーブル223[[#This Row],[握力2]]+テーブル223[[#This Row],[上体3]]+テーブル223[[#This Row],[長座4]]+テーブル223[[#This Row],[反復5]]+テーブル223[[#This Row],[シャトル]]+テーブル223[[#This Row],[50ｍ]]+テーブル223[[#This Row],[立幅]]+テーブル223[[#This Row],[ボール]]</f>
        <v>37</v>
      </c>
      <c r="Q9" s="43" t="str">
        <f>IF(テーブル223[[#This Row],[得点]]=0,"",IF(テーブル223[[#This Row],[年齢]]&gt;10,LOOKUP(P9,$BE$6:$BE$10,$BB$6:$BB$10),IF(テーブル223[[#This Row],[年齢]]&gt;9,LOOKUP(P9,$BD$6:$BD$10,$BB$6:$BB$10),IF(テーブル223[[#This Row],[年齢]]&gt;8,LOOKUP(P9,$BC$6:$BC$10,$BB$6:$BB$10),IF(テーブル223[[#This Row],[年齢]]&gt;7,LOOKUP(P9,$BA$6:$BA$10,$BB$6:$BB$10),IF(テーブル223[[#This Row],[年齢]]&gt;6,LOOKUP(P9,$AZ$6:$AZ$10,$BB$6:$BB$10),LOOKUP(P9,$AY$6:$AY$10,$BB$6:$BB$10)))))))</f>
        <v>Ｂ</v>
      </c>
      <c r="R9" s="42">
        <f>IF(H9="",0,(IF(テーブル223[[#This Row],[性別]]="男",LOOKUP(テーブル223[[#This Row],[握力]],$AF$6:$AG$15),LOOKUP(テーブル223[[#This Row],[握力]],$AF$20:$AG$29))))</f>
        <v>4</v>
      </c>
      <c r="S9" s="42">
        <f>IF(テーブル223[[#This Row],[上体]]="",0,(IF(テーブル223[[#This Row],[性別]]="男",LOOKUP(テーブル223[[#This Row],[上体]],$AH$6:$AI$15),LOOKUP(テーブル223[[#This Row],[上体]],$AH$20:$AI$29))))</f>
        <v>6</v>
      </c>
      <c r="T9" s="42">
        <f>IF(テーブル223[[#This Row],[長座]]="",0,(IF(テーブル223[[#This Row],[性別]]="男",LOOKUP(テーブル223[[#This Row],[長座]],$AJ$6:$AK$15),LOOKUP(テーブル223[[#This Row],[長座]],$AJ$20:$AK$29))))</f>
        <v>6</v>
      </c>
      <c r="U9" s="42">
        <f>IF(テーブル223[[#This Row],[反復]]="",0,(IF(テーブル223[[#This Row],[性別]]="男",LOOKUP(テーブル223[[#This Row],[反復]],$AL$6:$AM$15),LOOKUP(テーブル223[[#This Row],[反復]],$AL$20:$AM$29))))</f>
        <v>5</v>
      </c>
      <c r="V9" s="42">
        <f>IF(テーブル223[[#This Row],[ｼｬﾄﾙﾗﾝ]]="",0,(IF(テーブル223[[#This Row],[性別]]="男",LOOKUP(テーブル223[[#This Row],[ｼｬﾄﾙﾗﾝ]],$AP$6:$AQ$15),LOOKUP(テーブル223[[#This Row],[ｼｬﾄﾙﾗﾝ]],$AP$20:$AQ$29))))</f>
        <v>3</v>
      </c>
      <c r="W9" s="42">
        <f>IF(テーブル223[[#This Row],[50m走]]="",0,(IF(テーブル223[[#This Row],[性別]]="男",LOOKUP(テーブル223[[#This Row],[50m走]],$AR$6:$AS$15),LOOKUP(テーブル223[[#This Row],[50m走]],$AR$20:$AS$29))))</f>
        <v>4</v>
      </c>
      <c r="X9" s="42">
        <f>IF(テーブル223[[#This Row],[立幅とび]]="",0,(IF(テーブル223[[#This Row],[性別]]="男",LOOKUP(テーブル223[[#This Row],[立幅とび]],$AT$6:$AU$15),LOOKUP(テーブル223[[#This Row],[立幅とび]],$AT$20:$AU$29))))</f>
        <v>4</v>
      </c>
      <c r="Y9" s="42">
        <f>IF(テーブル223[[#This Row],[ボール投げ]]="",0,(IF(テーブル223[[#This Row],[性別]]="男",LOOKUP(テーブル223[[#This Row],[ボール投げ]],$AV$6:$AW$15),LOOKUP(テーブル223[[#This Row],[ボール投げ]],$AV$20:$AW$29))))</f>
        <v>5</v>
      </c>
      <c r="Z9" s="19">
        <f>IF(テーブル223[[#This Row],[学年]]=1,6,IF(テーブル223[[#This Row],[学年]]=2,7,IF(テーブル223[[#This Row],[学年]]=3,8,IF(テーブル223[[#This Row],[学年]]=4,9,IF(テーブル223[[#This Row],[学年]]=5,10,IF(テーブル223[[#This Row],[学年]]=6,11," "))))))</f>
        <v>6</v>
      </c>
      <c r="AA9" s="125" t="str">
        <f>IF(テーブル223[[#This Row],[肥満度数値]]=0,"",LOOKUP(AC9,$AU$39:$AU$44,$AV$39:$AV$44))</f>
        <v>正常</v>
      </c>
      <c r="AB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20.407800000000002</v>
      </c>
      <c r="AC9" s="124">
        <f>IF(テーブル223[[#This Row],[体重]]="",0,(テーブル223[[#This Row],[体重]]-テーブル223[[#This Row],[標準体重]])/テーブル223[[#This Row],[標準体重]]*100)</f>
        <v>3.3918403747586687</v>
      </c>
      <c r="AD9" s="1" t="str">
        <f>IF(テーブル223[[#This Row],[判定]]=$BB$10,"○","")</f>
        <v/>
      </c>
      <c r="AE9" s="1" t="str">
        <f>IF(AD9="","",COUNTIF($AD$6:AD9,"○"))</f>
        <v/>
      </c>
      <c r="AF9" s="66">
        <v>9</v>
      </c>
      <c r="AG9" s="67">
        <v>4</v>
      </c>
      <c r="AH9" s="66">
        <v>9</v>
      </c>
      <c r="AI9" s="67">
        <v>4</v>
      </c>
      <c r="AJ9" s="66">
        <v>23</v>
      </c>
      <c r="AK9" s="67">
        <v>4</v>
      </c>
      <c r="AL9" s="66">
        <v>26</v>
      </c>
      <c r="AM9" s="67">
        <v>4</v>
      </c>
      <c r="AN9" s="77">
        <v>0.23194444444444443</v>
      </c>
      <c r="AO9" s="69">
        <v>7</v>
      </c>
      <c r="AP9" s="66">
        <v>15</v>
      </c>
      <c r="AQ9" s="67">
        <v>4</v>
      </c>
      <c r="AR9" s="66">
        <v>8.9</v>
      </c>
      <c r="AS9" s="67">
        <v>7</v>
      </c>
      <c r="AT9" s="66">
        <v>117</v>
      </c>
      <c r="AU9" s="67">
        <v>4</v>
      </c>
      <c r="AV9" s="66">
        <v>10</v>
      </c>
      <c r="AW9" s="67">
        <v>4</v>
      </c>
      <c r="AX9" s="57"/>
      <c r="AY9" s="68">
        <v>33</v>
      </c>
      <c r="AZ9" s="92">
        <v>41</v>
      </c>
      <c r="BA9" s="70">
        <v>46</v>
      </c>
      <c r="BB9" s="69" t="s">
        <v>139</v>
      </c>
      <c r="BC9" s="68">
        <v>52</v>
      </c>
      <c r="BD9" s="92">
        <v>58</v>
      </c>
      <c r="BE9" s="70">
        <v>63</v>
      </c>
    </row>
    <row r="10" spans="1:57" ht="14.25" customHeight="1" thickBot="1" x14ac:dyDescent="0.25">
      <c r="A10" s="40">
        <v>5</v>
      </c>
      <c r="B10" s="145">
        <v>1</v>
      </c>
      <c r="C10" s="148">
        <v>3</v>
      </c>
      <c r="D10" s="145" t="s">
        <v>133</v>
      </c>
      <c r="E10" s="156" t="s">
        <v>136</v>
      </c>
      <c r="F10" s="145">
        <v>116.8</v>
      </c>
      <c r="G10" s="145">
        <v>16.7</v>
      </c>
      <c r="H10" s="146">
        <v>6</v>
      </c>
      <c r="I10" s="148">
        <v>13</v>
      </c>
      <c r="J10" s="148">
        <v>39</v>
      </c>
      <c r="K10" s="145">
        <v>30</v>
      </c>
      <c r="L10" s="148">
        <v>7</v>
      </c>
      <c r="M10" s="149">
        <v>10.9</v>
      </c>
      <c r="N10" s="148">
        <v>110</v>
      </c>
      <c r="O10" s="150">
        <v>3</v>
      </c>
      <c r="P10" s="27">
        <f>テーブル223[[#This Row],[握力2]]+テーブル223[[#This Row],[上体3]]+テーブル223[[#This Row],[長座4]]+テーブル223[[#This Row],[反復5]]+テーブル223[[#This Row],[シャトル]]+テーブル223[[#This Row],[50ｍ]]+テーブル223[[#This Row],[立幅]]+テーブル223[[#This Row],[ボール]]</f>
        <v>29</v>
      </c>
      <c r="Q10" s="43" t="str">
        <f>IF(テーブル223[[#This Row],[得点]]=0,"",IF(テーブル223[[#This Row],[年齢]]&gt;10,LOOKUP(P10,$BE$6:$BE$10,$BB$6:$BB$10),IF(テーブル223[[#This Row],[年齢]]&gt;9,LOOKUP(P10,$BD$6:$BD$10,$BB$6:$BB$10),IF(テーブル223[[#This Row],[年齢]]&gt;8,LOOKUP(P10,$BC$6:$BC$10,$BB$6:$BB$10),IF(テーブル223[[#This Row],[年齢]]&gt;7,LOOKUP(P10,$BA$6:$BA$10,$BB$6:$BB$10),IF(テーブル223[[#This Row],[年齢]]&gt;6,LOOKUP(P10,$AZ$6:$AZ$10,$BB$6:$BB$10),LOOKUP(P10,$AY$6:$AY$10,$BB$6:$BB$10)))))))</f>
        <v>Ｃ</v>
      </c>
      <c r="R10" s="42">
        <f>IF(H10="",0,(IF(テーブル223[[#This Row],[性別]]="男",LOOKUP(テーブル223[[#This Row],[握力]],$AF$6:$AG$15),LOOKUP(テーブル223[[#This Row],[握力]],$AF$20:$AG$29))))</f>
        <v>2</v>
      </c>
      <c r="S10" s="42">
        <f>IF(テーブル223[[#This Row],[上体]]="",0,(IF(テーブル223[[#This Row],[性別]]="男",LOOKUP(テーブル223[[#This Row],[上体]],$AH$6:$AI$15),LOOKUP(テーブル223[[#This Row],[上体]],$AH$20:$AI$29))))</f>
        <v>5</v>
      </c>
      <c r="T10" s="42">
        <f>IF(テーブル223[[#This Row],[長座]]="",0,(IF(テーブル223[[#This Row],[性別]]="男",LOOKUP(テーブル223[[#This Row],[長座]],$AJ$6:$AK$15),LOOKUP(テーブル223[[#This Row],[長座]],$AJ$20:$AK$29))))</f>
        <v>8</v>
      </c>
      <c r="U10" s="42">
        <f>IF(テーブル223[[#This Row],[反復]]="",0,(IF(テーブル223[[#This Row],[性別]]="男",LOOKUP(テーブル223[[#This Row],[反復]],$AL$6:$AM$15),LOOKUP(テーブル223[[#This Row],[反復]],$AL$20:$AM$29))))</f>
        <v>5</v>
      </c>
      <c r="V10" s="42">
        <f>IF(テーブル223[[#This Row],[ｼｬﾄﾙﾗﾝ]]="",0,(IF(テーブル223[[#This Row],[性別]]="男",LOOKUP(テーブル223[[#This Row],[ｼｬﾄﾙﾗﾝ]],$AP$6:$AQ$15),LOOKUP(テーブル223[[#This Row],[ｼｬﾄﾙﾗﾝ]],$AP$20:$AQ$29))))</f>
        <v>1</v>
      </c>
      <c r="W10" s="42">
        <f>IF(テーブル223[[#This Row],[50m走]]="",0,(IF(テーブル223[[#This Row],[性別]]="男",LOOKUP(テーブル223[[#This Row],[50m走]],$AR$6:$AS$15),LOOKUP(テーブル223[[#This Row],[50m走]],$AR$20:$AS$29))))</f>
        <v>4</v>
      </c>
      <c r="X10" s="42">
        <f>IF(テーブル223[[#This Row],[立幅とび]]="",0,(IF(テーブル223[[#This Row],[性別]]="男",LOOKUP(テーブル223[[#This Row],[立幅とび]],$AT$6:$AU$15),LOOKUP(テーブル223[[#This Row],[立幅とび]],$AT$20:$AU$29))))</f>
        <v>3</v>
      </c>
      <c r="Y10" s="42">
        <f>IF(テーブル223[[#This Row],[ボール投げ]]="",0,(IF(テーブル223[[#This Row],[性別]]="男",LOOKUP(テーブル223[[#This Row],[ボール投げ]],$AV$6:$AW$15),LOOKUP(テーブル223[[#This Row],[ボール投げ]],$AV$20:$AW$29))))</f>
        <v>1</v>
      </c>
      <c r="Z10" s="19">
        <f>IF(テーブル223[[#This Row],[学年]]=1,6,IF(テーブル223[[#This Row],[学年]]=2,7,IF(テーブル223[[#This Row],[学年]]=3,8,IF(テーブル223[[#This Row],[学年]]=4,9,IF(テーブル223[[#This Row],[学年]]=5,10,IF(テーブル223[[#This Row],[学年]]=6,11," "))))))</f>
        <v>6</v>
      </c>
      <c r="AA10" s="125" t="str">
        <f>IF(テーブル223[[#This Row],[肥満度数値]]=0,"",LOOKUP(AC10,$AU$39:$AU$44,$AV$39:$AV$44))</f>
        <v>やせすぎ</v>
      </c>
      <c r="AB1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21.462800000000001</v>
      </c>
      <c r="AC10" s="124">
        <f>IF(テーブル223[[#This Row],[体重]]="",0,(テーブル223[[#This Row],[体重]]-テーブル223[[#This Row],[標準体重]])/テーブル223[[#This Row],[標準体重]]*100)</f>
        <v>-22.190953650036349</v>
      </c>
      <c r="AD10" s="1" t="str">
        <f>IF(テーブル223[[#This Row],[判定]]=$BB$10,"○","")</f>
        <v/>
      </c>
      <c r="AE10" s="1" t="str">
        <f>IF(AD10="","",COUNTIF($AD$6:AD10,"○"))</f>
        <v/>
      </c>
      <c r="AF10" s="66">
        <v>11</v>
      </c>
      <c r="AG10" s="67">
        <v>5</v>
      </c>
      <c r="AH10" s="66">
        <v>12</v>
      </c>
      <c r="AI10" s="67">
        <v>5</v>
      </c>
      <c r="AJ10" s="66">
        <v>27</v>
      </c>
      <c r="AK10" s="67">
        <v>5</v>
      </c>
      <c r="AL10" s="66">
        <v>30</v>
      </c>
      <c r="AM10" s="67">
        <v>5</v>
      </c>
      <c r="AN10" s="77">
        <v>0.24722222222222223</v>
      </c>
      <c r="AO10" s="69">
        <v>6</v>
      </c>
      <c r="AP10" s="66">
        <v>23</v>
      </c>
      <c r="AQ10" s="67">
        <v>5</v>
      </c>
      <c r="AR10" s="66">
        <v>9.4</v>
      </c>
      <c r="AS10" s="67">
        <v>6</v>
      </c>
      <c r="AT10" s="66">
        <v>130</v>
      </c>
      <c r="AU10" s="67">
        <v>5</v>
      </c>
      <c r="AV10" s="66">
        <v>13</v>
      </c>
      <c r="AW10" s="67">
        <v>5</v>
      </c>
      <c r="AX10" s="57"/>
      <c r="AY10" s="71">
        <v>39</v>
      </c>
      <c r="AZ10" s="93">
        <v>47</v>
      </c>
      <c r="BA10" s="73">
        <v>53</v>
      </c>
      <c r="BB10" s="72" t="s">
        <v>138</v>
      </c>
      <c r="BC10" s="71">
        <v>59</v>
      </c>
      <c r="BD10" s="93">
        <v>65</v>
      </c>
      <c r="BE10" s="73">
        <v>71</v>
      </c>
    </row>
    <row r="11" spans="1:57" ht="14.25" customHeight="1" x14ac:dyDescent="0.2">
      <c r="A11" s="40">
        <v>6</v>
      </c>
      <c r="B11" s="145">
        <v>1</v>
      </c>
      <c r="C11" s="148">
        <v>3</v>
      </c>
      <c r="D11" s="145" t="s">
        <v>79</v>
      </c>
      <c r="E11" s="156" t="s">
        <v>135</v>
      </c>
      <c r="F11" s="145">
        <v>114.5</v>
      </c>
      <c r="G11" s="145">
        <v>21.8</v>
      </c>
      <c r="H11" s="146">
        <v>7</v>
      </c>
      <c r="I11" s="148">
        <v>18</v>
      </c>
      <c r="J11" s="148">
        <v>32</v>
      </c>
      <c r="K11" s="145">
        <v>28</v>
      </c>
      <c r="L11" s="148">
        <v>9</v>
      </c>
      <c r="M11" s="149">
        <v>10.199999999999999</v>
      </c>
      <c r="N11" s="148">
        <v>115</v>
      </c>
      <c r="O11" s="150">
        <v>6</v>
      </c>
      <c r="P11" s="27">
        <f>テーブル223[[#This Row],[握力2]]+テーブル223[[#This Row],[上体3]]+テーブル223[[#This Row],[長座4]]+テーブル223[[#This Row],[反復5]]+テーブル223[[#This Row],[シャトル]]+テーブル223[[#This Row],[50ｍ]]+テーブル223[[#This Row],[立幅]]+テーブル223[[#This Row],[ボール]]</f>
        <v>37</v>
      </c>
      <c r="Q11" s="43" t="str">
        <f>IF(テーブル223[[#This Row],[得点]]=0,"",IF(テーブル223[[#This Row],[年齢]]&gt;10,LOOKUP(P11,$BE$6:$BE$10,$BB$6:$BB$10),IF(テーブル223[[#This Row],[年齢]]&gt;9,LOOKUP(P11,$BD$6:$BD$10,$BB$6:$BB$10),IF(テーブル223[[#This Row],[年齢]]&gt;8,LOOKUP(P11,$BC$6:$BC$10,$BB$6:$BB$10),IF(テーブル223[[#This Row],[年齢]]&gt;7,LOOKUP(P11,$BA$6:$BA$10,$BB$6:$BB$10),IF(テーブル223[[#This Row],[年齢]]&gt;6,LOOKUP(P11,$AZ$6:$AZ$10,$BB$6:$BB$10),LOOKUP(P11,$AY$6:$AY$10,$BB$6:$BB$10)))))))</f>
        <v>Ｂ</v>
      </c>
      <c r="R11" s="42">
        <f>IF(H11="",0,(IF(テーブル223[[#This Row],[性別]]="男",LOOKUP(テーブル223[[#This Row],[握力]],$AF$6:$AG$15),LOOKUP(テーブル223[[#This Row],[握力]],$AF$20:$AG$29))))</f>
        <v>3</v>
      </c>
      <c r="S11" s="42">
        <f>IF(テーブル223[[#This Row],[上体]]="",0,(IF(テーブル223[[#This Row],[性別]]="男",LOOKUP(テーブル223[[#This Row],[上体]],$AH$6:$AI$15),LOOKUP(テーブル223[[#This Row],[上体]],$AH$20:$AI$29))))</f>
        <v>8</v>
      </c>
      <c r="T11" s="42">
        <f>IF(テーブル223[[#This Row],[長座]]="",0,(IF(テーブル223[[#This Row],[性別]]="男",LOOKUP(テーブル223[[#This Row],[長座]],$AJ$6:$AK$15),LOOKUP(テーブル223[[#This Row],[長座]],$AJ$20:$AK$29))))</f>
        <v>5</v>
      </c>
      <c r="U11" s="42">
        <f>IF(テーブル223[[#This Row],[反復]]="",0,(IF(テーブル223[[#This Row],[性別]]="男",LOOKUP(テーブル223[[#This Row],[反復]],$AL$6:$AM$15),LOOKUP(テーブル223[[#This Row],[反復]],$AL$20:$AM$29))))</f>
        <v>5</v>
      </c>
      <c r="V11" s="42">
        <f>IF(テーブル223[[#This Row],[ｼｬﾄﾙﾗﾝ]]="",0,(IF(テーブル223[[#This Row],[性別]]="男",LOOKUP(テーブル223[[#This Row],[ｼｬﾄﾙﾗﾝ]],$AP$6:$AQ$15),LOOKUP(テーブル223[[#This Row],[ｼｬﾄﾙﾗﾝ]],$AP$20:$AQ$29))))</f>
        <v>2</v>
      </c>
      <c r="W11" s="42">
        <f>IF(テーブル223[[#This Row],[50m走]]="",0,(IF(テーブル223[[#This Row],[性別]]="男",LOOKUP(テーブル223[[#This Row],[50m走]],$AR$6:$AS$15),LOOKUP(テーブル223[[#This Row],[50m走]],$AR$20:$AS$29))))</f>
        <v>6</v>
      </c>
      <c r="X11" s="42">
        <f>IF(テーブル223[[#This Row],[立幅とび]]="",0,(IF(テーブル223[[#This Row],[性別]]="男",LOOKUP(テーブル223[[#This Row],[立幅とび]],$AT$6:$AU$15),LOOKUP(テーブル223[[#This Row],[立幅とび]],$AT$20:$AU$29))))</f>
        <v>4</v>
      </c>
      <c r="Y11" s="42">
        <f>IF(テーブル223[[#This Row],[ボール投げ]]="",0,(IF(テーブル223[[#This Row],[性別]]="男",LOOKUP(テーブル223[[#This Row],[ボール投げ]],$AV$6:$AW$15),LOOKUP(テーブル223[[#This Row],[ボール投げ]],$AV$20:$AW$29))))</f>
        <v>4</v>
      </c>
      <c r="Z11" s="19">
        <f>IF(テーブル223[[#This Row],[学年]]=1,6,IF(テーブル223[[#This Row],[学年]]=2,7,IF(テーブル223[[#This Row],[学年]]=3,8,IF(テーブル223[[#This Row],[学年]]=4,9,IF(テーブル223[[#This Row],[学年]]=5,10,IF(テーブル223[[#This Row],[学年]]=6,11," "))))))</f>
        <v>6</v>
      </c>
      <c r="AA11" s="125" t="str">
        <f>IF(テーブル223[[#This Row],[肥満度数値]]=0,"",LOOKUP(AC11,$AU$39:$AU$44,$AV$39:$AV$44))</f>
        <v>正常</v>
      </c>
      <c r="AB1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20.362000000000002</v>
      </c>
      <c r="AC11" s="124">
        <f>IF(テーブル223[[#This Row],[体重]]="",0,(テーブル223[[#This Row],[体重]]-テーブル223[[#This Row],[標準体重]])/テーブル223[[#This Row],[標準体重]]*100)</f>
        <v>7.0621746390334872</v>
      </c>
      <c r="AD11" s="1" t="str">
        <f>IF(テーブル223[[#This Row],[判定]]=$BB$10,"○","")</f>
        <v/>
      </c>
      <c r="AE11" s="1" t="str">
        <f>IF(AD11="","",COUNTIF($AD$6:AD11,"○"))</f>
        <v/>
      </c>
      <c r="AF11" s="66">
        <v>14</v>
      </c>
      <c r="AG11" s="67">
        <v>6</v>
      </c>
      <c r="AH11" s="66">
        <v>15</v>
      </c>
      <c r="AI11" s="67">
        <v>6</v>
      </c>
      <c r="AJ11" s="66">
        <v>30</v>
      </c>
      <c r="AK11" s="67">
        <v>6</v>
      </c>
      <c r="AL11" s="66">
        <v>34</v>
      </c>
      <c r="AM11" s="67">
        <v>6</v>
      </c>
      <c r="AN11" s="77">
        <v>0.26597222222222222</v>
      </c>
      <c r="AO11" s="69">
        <v>5</v>
      </c>
      <c r="AP11" s="66">
        <v>33</v>
      </c>
      <c r="AQ11" s="67">
        <v>6</v>
      </c>
      <c r="AR11" s="66">
        <v>10</v>
      </c>
      <c r="AS11" s="67">
        <v>5</v>
      </c>
      <c r="AT11" s="66">
        <v>143</v>
      </c>
      <c r="AU11" s="67">
        <v>6</v>
      </c>
      <c r="AV11" s="66">
        <v>18</v>
      </c>
      <c r="AW11" s="67">
        <v>6</v>
      </c>
      <c r="AX11" s="57"/>
      <c r="AY11" s="57"/>
      <c r="AZ11" s="57"/>
      <c r="BA11" s="57"/>
      <c r="BB11" s="57"/>
      <c r="BC11" s="57"/>
      <c r="BD11" s="57"/>
      <c r="BE11" s="57"/>
    </row>
    <row r="12" spans="1:57" ht="14.25" customHeight="1" x14ac:dyDescent="0.2">
      <c r="A12" s="40">
        <v>7</v>
      </c>
      <c r="B12" s="145">
        <v>2</v>
      </c>
      <c r="C12" s="148">
        <v>1</v>
      </c>
      <c r="D12" s="145" t="s">
        <v>133</v>
      </c>
      <c r="E12" s="156" t="s">
        <v>136</v>
      </c>
      <c r="F12" s="145">
        <v>115.5</v>
      </c>
      <c r="G12" s="145">
        <v>19.8</v>
      </c>
      <c r="H12" s="146">
        <v>9</v>
      </c>
      <c r="I12" s="148">
        <v>21</v>
      </c>
      <c r="J12" s="148">
        <v>22</v>
      </c>
      <c r="K12" s="145">
        <v>32</v>
      </c>
      <c r="L12" s="148">
        <v>27</v>
      </c>
      <c r="M12" s="149">
        <v>10.1</v>
      </c>
      <c r="N12" s="148">
        <v>135</v>
      </c>
      <c r="O12" s="150">
        <v>21</v>
      </c>
      <c r="P12" s="27">
        <f>テーブル223[[#This Row],[握力2]]+テーブル223[[#This Row],[上体3]]+テーブル223[[#This Row],[長座4]]+テーブル223[[#This Row],[反復5]]+テーブル223[[#This Row],[シャトル]]+テーブル223[[#This Row],[50ｍ]]+テーブル223[[#This Row],[立幅]]+テーブル223[[#This Row],[ボール]]</f>
        <v>41</v>
      </c>
      <c r="Q12" s="43" t="str">
        <f>IF(テーブル223[[#This Row],[得点]]=0,"",IF(テーブル223[[#This Row],[年齢]]&gt;10,LOOKUP(P12,$BE$6:$BE$10,$BB$6:$BB$10),IF(テーブル223[[#This Row],[年齢]]&gt;9,LOOKUP(P12,$BD$6:$BD$10,$BB$6:$BB$10),IF(テーブル223[[#This Row],[年齢]]&gt;8,LOOKUP(P12,$BC$6:$BC$10,$BB$6:$BB$10),IF(テーブル223[[#This Row],[年齢]]&gt;7,LOOKUP(P12,$BA$6:$BA$10,$BB$6:$BB$10),IF(テーブル223[[#This Row],[年齢]]&gt;6,LOOKUP(P12,$AZ$6:$AZ$10,$BB$6:$BB$10),LOOKUP(P12,$AY$6:$AY$10,$BB$6:$BB$10)))))))</f>
        <v>Ｂ</v>
      </c>
      <c r="R12" s="42">
        <f>IF(H12="",0,(IF(テーブル223[[#This Row],[性別]]="男",LOOKUP(テーブル223[[#This Row],[握力]],$AF$6:$AG$15),LOOKUP(テーブル223[[#This Row],[握力]],$AF$20:$AG$29))))</f>
        <v>4</v>
      </c>
      <c r="S12" s="42">
        <f>IF(テーブル223[[#This Row],[上体]]="",0,(IF(テーブル223[[#This Row],[性別]]="男",LOOKUP(テーブル223[[#This Row],[上体]],$AH$6:$AI$15),LOOKUP(テーブル223[[#This Row],[上体]],$AH$20:$AI$29))))</f>
        <v>8</v>
      </c>
      <c r="T12" s="42">
        <f>IF(テーブル223[[#This Row],[長座]]="",0,(IF(テーブル223[[#This Row],[性別]]="男",LOOKUP(テーブル223[[#This Row],[長座]],$AJ$6:$AK$15),LOOKUP(テーブル223[[#This Row],[長座]],$AJ$20:$AK$29))))</f>
        <v>3</v>
      </c>
      <c r="U12" s="42">
        <f>IF(テーブル223[[#This Row],[反復]]="",0,(IF(テーブル223[[#This Row],[性別]]="男",LOOKUP(テーブル223[[#This Row],[反復]],$AL$6:$AM$15),LOOKUP(テーブル223[[#This Row],[反復]],$AL$20:$AM$29))))</f>
        <v>5</v>
      </c>
      <c r="V12" s="42">
        <f>IF(テーブル223[[#This Row],[ｼｬﾄﾙﾗﾝ]]="",0,(IF(テーブル223[[#This Row],[性別]]="男",LOOKUP(テーブル223[[#This Row],[ｼｬﾄﾙﾗﾝ]],$AP$6:$AQ$15),LOOKUP(テーブル223[[#This Row],[ｼｬﾄﾙﾗﾝ]],$AP$20:$AQ$29))))</f>
        <v>5</v>
      </c>
      <c r="W12" s="42">
        <f>IF(テーブル223[[#This Row],[50m走]]="",0,(IF(テーブル223[[#This Row],[性別]]="男",LOOKUP(テーブル223[[#This Row],[50m走]],$AR$6:$AS$15),LOOKUP(テーブル223[[#This Row],[50m走]],$AR$20:$AS$29))))</f>
        <v>5</v>
      </c>
      <c r="X12" s="42">
        <f>IF(テーブル223[[#This Row],[立幅とび]]="",0,(IF(テーブル223[[#This Row],[性別]]="男",LOOKUP(テーブル223[[#This Row],[立幅とび]],$AT$6:$AU$15),LOOKUP(テーブル223[[#This Row],[立幅とび]],$AT$20:$AU$29))))</f>
        <v>5</v>
      </c>
      <c r="Y12" s="42">
        <f>IF(テーブル223[[#This Row],[ボール投げ]]="",0,(IF(テーブル223[[#This Row],[性別]]="男",LOOKUP(テーブル223[[#This Row],[ボール投げ]],$AV$6:$AW$15),LOOKUP(テーブル223[[#This Row],[ボール投げ]],$AV$20:$AW$29))))</f>
        <v>6</v>
      </c>
      <c r="Z12" s="19">
        <f>IF(テーブル223[[#This Row],[学年]]=1,6,IF(テーブル223[[#This Row],[学年]]=2,7,IF(テーブル223[[#This Row],[学年]]=3,8,IF(テーブル223[[#This Row],[学年]]=4,9,IF(テーブル223[[#This Row],[学年]]=5,10,IF(テーブル223[[#This Row],[学年]]=6,11," "))))))</f>
        <v>7</v>
      </c>
      <c r="AA12" s="125" t="str">
        <f>IF(テーブル223[[#This Row],[肥満度数値]]=0,"",LOOKUP(AC12,$AU$39:$AU$44,$AV$39:$AV$44))</f>
        <v>正常</v>
      </c>
      <c r="AB1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20.8735</v>
      </c>
      <c r="AC12" s="124">
        <f>IF(テーブル223[[#This Row],[体重]]="",0,(テーブル223[[#This Row],[体重]]-テーブル223[[#This Row],[標準体重]])/テーブル223[[#This Row],[標準体重]]*100)</f>
        <v>-5.1428845186480432</v>
      </c>
      <c r="AD12" s="1" t="str">
        <f>IF(テーブル223[[#This Row],[判定]]=$BB$10,"○","")</f>
        <v/>
      </c>
      <c r="AE12" s="1" t="str">
        <f>IF(AD12="","",COUNTIF($AD$6:AD12,"○"))</f>
        <v/>
      </c>
      <c r="AF12" s="66">
        <v>17</v>
      </c>
      <c r="AG12" s="67">
        <v>7</v>
      </c>
      <c r="AH12" s="66">
        <v>18</v>
      </c>
      <c r="AI12" s="67">
        <v>7</v>
      </c>
      <c r="AJ12" s="66">
        <v>34</v>
      </c>
      <c r="AK12" s="67">
        <v>7</v>
      </c>
      <c r="AL12" s="66">
        <v>38</v>
      </c>
      <c r="AM12" s="67">
        <v>7</v>
      </c>
      <c r="AN12" s="77">
        <v>0.28541666666666665</v>
      </c>
      <c r="AO12" s="69">
        <v>4</v>
      </c>
      <c r="AP12" s="66">
        <v>45</v>
      </c>
      <c r="AQ12" s="67">
        <v>7</v>
      </c>
      <c r="AR12" s="66">
        <v>10.7</v>
      </c>
      <c r="AS12" s="67">
        <v>4</v>
      </c>
      <c r="AT12" s="66">
        <v>156</v>
      </c>
      <c r="AU12" s="67">
        <v>7</v>
      </c>
      <c r="AV12" s="66">
        <v>24</v>
      </c>
      <c r="AW12" s="67">
        <v>7</v>
      </c>
      <c r="AX12" s="57"/>
      <c r="AY12" s="57"/>
      <c r="AZ12" s="57"/>
      <c r="BA12" s="57"/>
      <c r="BB12" s="57"/>
      <c r="BC12" s="57"/>
      <c r="BD12" s="57"/>
      <c r="BE12" s="57"/>
    </row>
    <row r="13" spans="1:57" ht="14.25" customHeight="1" x14ac:dyDescent="0.2">
      <c r="A13" s="40">
        <v>8</v>
      </c>
      <c r="B13" s="145">
        <v>2</v>
      </c>
      <c r="C13" s="148">
        <v>1</v>
      </c>
      <c r="D13" s="145" t="s">
        <v>79</v>
      </c>
      <c r="E13" s="156" t="s">
        <v>135</v>
      </c>
      <c r="F13" s="145">
        <v>116.2</v>
      </c>
      <c r="G13" s="145">
        <v>23.4</v>
      </c>
      <c r="H13" s="146">
        <v>11</v>
      </c>
      <c r="I13" s="148">
        <v>19</v>
      </c>
      <c r="J13" s="148">
        <v>34</v>
      </c>
      <c r="K13" s="145">
        <v>31</v>
      </c>
      <c r="L13" s="148">
        <v>12</v>
      </c>
      <c r="M13" s="149">
        <v>10.1</v>
      </c>
      <c r="N13" s="148">
        <v>145</v>
      </c>
      <c r="O13" s="150">
        <v>20</v>
      </c>
      <c r="P13" s="27">
        <f>テーブル223[[#This Row],[握力2]]+テーブル223[[#This Row],[上体3]]+テーブル223[[#This Row],[長座4]]+テーブル223[[#This Row],[反復5]]+テーブル223[[#This Row],[シャトル]]+テーブル223[[#This Row],[50ｍ]]+テーブル223[[#This Row],[立幅]]+テーブル223[[#This Row],[ボール]]</f>
        <v>47</v>
      </c>
      <c r="Q13" s="43" t="str">
        <f>IF(テーブル223[[#This Row],[得点]]=0,"",IF(テーブル223[[#This Row],[年齢]]&gt;10,LOOKUP(P13,$BE$6:$BE$10,$BB$6:$BB$10),IF(テーブル223[[#This Row],[年齢]]&gt;9,LOOKUP(P13,$BD$6:$BD$10,$BB$6:$BB$10),IF(テーブル223[[#This Row],[年齢]]&gt;8,LOOKUP(P13,$BC$6:$BC$10,$BB$6:$BB$10),IF(テーブル223[[#This Row],[年齢]]&gt;7,LOOKUP(P13,$BA$6:$BA$10,$BB$6:$BB$10),IF(テーブル223[[#This Row],[年齢]]&gt;6,LOOKUP(P13,$AZ$6:$AZ$10,$BB$6:$BB$10),LOOKUP(P13,$AY$6:$AY$10,$BB$6:$BB$10)))))))</f>
        <v>Ａ</v>
      </c>
      <c r="R13" s="42">
        <f>IF(H13="",0,(IF(テーブル223[[#This Row],[性別]]="男",LOOKUP(テーブル223[[#This Row],[握力]],$AF$6:$AG$15),LOOKUP(テーブル223[[#This Row],[握力]],$AF$20:$AG$29))))</f>
        <v>5</v>
      </c>
      <c r="S13" s="42">
        <f>IF(テーブル223[[#This Row],[上体]]="",0,(IF(テーブル223[[#This Row],[性別]]="男",LOOKUP(テーブル223[[#This Row],[上体]],$AH$6:$AI$15),LOOKUP(テーブル223[[#This Row],[上体]],$AH$20:$AI$29))))</f>
        <v>8</v>
      </c>
      <c r="T13" s="42">
        <f>IF(テーブル223[[#This Row],[長座]]="",0,(IF(テーブル223[[#This Row],[性別]]="男",LOOKUP(テーブル223[[#This Row],[長座]],$AJ$6:$AK$15),LOOKUP(テーブル223[[#This Row],[長座]],$AJ$20:$AK$29))))</f>
        <v>6</v>
      </c>
      <c r="U13" s="42">
        <f>IF(テーブル223[[#This Row],[反復]]="",0,(IF(テーブル223[[#This Row],[性別]]="男",LOOKUP(テーブル223[[#This Row],[反復]],$AL$6:$AM$15),LOOKUP(テーブル223[[#This Row],[反復]],$AL$20:$AM$29))))</f>
        <v>5</v>
      </c>
      <c r="V13" s="42">
        <f>IF(テーブル223[[#This Row],[ｼｬﾄﾙﾗﾝ]]="",0,(IF(テーブル223[[#This Row],[性別]]="男",LOOKUP(テーブル223[[#This Row],[ｼｬﾄﾙﾗﾝ]],$AP$6:$AQ$15),LOOKUP(テーブル223[[#This Row],[ｼｬﾄﾙﾗﾝ]],$AP$20:$AQ$29))))</f>
        <v>3</v>
      </c>
      <c r="W13" s="42">
        <f>IF(テーブル223[[#This Row],[50m走]]="",0,(IF(テーブル223[[#This Row],[性別]]="男",LOOKUP(テーブル223[[#This Row],[50m走]],$AR$6:$AS$15),LOOKUP(テーブル223[[#This Row],[50m走]],$AR$20:$AS$29))))</f>
        <v>6</v>
      </c>
      <c r="X13" s="42">
        <f>IF(テーブル223[[#This Row],[立幅とび]]="",0,(IF(テーブル223[[#This Row],[性別]]="男",LOOKUP(テーブル223[[#This Row],[立幅とび]],$AT$6:$AU$15),LOOKUP(テーブル223[[#This Row],[立幅とび]],$AT$20:$AU$29))))</f>
        <v>6</v>
      </c>
      <c r="Y13" s="42">
        <f>IF(テーブル223[[#This Row],[ボール投げ]]="",0,(IF(テーブル223[[#This Row],[性別]]="男",LOOKUP(テーブル223[[#This Row],[ボール投げ]],$AV$6:$AW$15),LOOKUP(テーブル223[[#This Row],[ボール投げ]],$AV$20:$AW$29))))</f>
        <v>8</v>
      </c>
      <c r="Z13" s="19">
        <f>IF(テーブル223[[#This Row],[学年]]=1,6,IF(テーブル223[[#This Row],[学年]]=2,7,IF(テーブル223[[#This Row],[学年]]=3,8,IF(テーブル223[[#This Row],[学年]]=4,9,IF(テーブル223[[#This Row],[学年]]=5,10,IF(テーブル223[[#This Row],[学年]]=6,11," "))))))</f>
        <v>7</v>
      </c>
      <c r="AA13" s="125" t="str">
        <f>IF(テーブル223[[#This Row],[肥満度数値]]=0,"",LOOKUP(AC13,$AU$39:$AU$44,$AV$39:$AV$44))</f>
        <v>正常</v>
      </c>
      <c r="AB1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20.662600000000005</v>
      </c>
      <c r="AC13" s="124">
        <f>IF(テーブル223[[#This Row],[体重]]="",0,(テーブル223[[#This Row],[体重]]-テーブル223[[#This Row],[標準体重]])/テーブル223[[#This Row],[標準体重]]*100)</f>
        <v>13.248090753341755</v>
      </c>
      <c r="AD13" s="1" t="str">
        <f>IF(テーブル223[[#This Row],[判定]]=$BB$10,"○","")</f>
        <v>○</v>
      </c>
      <c r="AE13" s="1">
        <f>IF(AD13="","",COUNTIF($AD$6:AD13,"○"))</f>
        <v>2</v>
      </c>
      <c r="AF13" s="66">
        <v>20</v>
      </c>
      <c r="AG13" s="67">
        <v>8</v>
      </c>
      <c r="AH13" s="66">
        <v>20</v>
      </c>
      <c r="AI13" s="67">
        <v>8</v>
      </c>
      <c r="AJ13" s="66">
        <v>38</v>
      </c>
      <c r="AK13" s="67">
        <v>8</v>
      </c>
      <c r="AL13" s="66">
        <v>42</v>
      </c>
      <c r="AM13" s="67">
        <v>8</v>
      </c>
      <c r="AN13" s="77">
        <v>0.31319444444444444</v>
      </c>
      <c r="AO13" s="69">
        <v>3</v>
      </c>
      <c r="AP13" s="66">
        <v>57</v>
      </c>
      <c r="AQ13" s="67">
        <v>8</v>
      </c>
      <c r="AR13" s="66">
        <v>11.5</v>
      </c>
      <c r="AS13" s="67">
        <v>3</v>
      </c>
      <c r="AT13" s="66">
        <v>168</v>
      </c>
      <c r="AU13" s="67">
        <v>8</v>
      </c>
      <c r="AV13" s="66">
        <v>30</v>
      </c>
      <c r="AW13" s="67">
        <v>8</v>
      </c>
      <c r="AX13" s="57"/>
      <c r="AY13" s="57"/>
      <c r="AZ13" s="57"/>
      <c r="BA13" s="57"/>
      <c r="BB13" s="57"/>
      <c r="BC13" s="57"/>
      <c r="BD13" s="57"/>
      <c r="BE13" s="57"/>
    </row>
    <row r="14" spans="1:57" ht="14.25" customHeight="1" x14ac:dyDescent="0.2">
      <c r="A14" s="40">
        <v>9</v>
      </c>
      <c r="B14" s="145">
        <v>2</v>
      </c>
      <c r="C14" s="148">
        <v>2</v>
      </c>
      <c r="D14" s="145" t="s">
        <v>133</v>
      </c>
      <c r="E14" s="156" t="s">
        <v>136</v>
      </c>
      <c r="F14" s="145">
        <v>123.2</v>
      </c>
      <c r="G14" s="145">
        <v>20.8</v>
      </c>
      <c r="H14" s="146">
        <v>9</v>
      </c>
      <c r="I14" s="148">
        <v>18</v>
      </c>
      <c r="J14" s="148">
        <v>40</v>
      </c>
      <c r="K14" s="145">
        <v>24</v>
      </c>
      <c r="L14" s="148">
        <v>12</v>
      </c>
      <c r="M14" s="149">
        <v>11.7</v>
      </c>
      <c r="N14" s="148">
        <v>125</v>
      </c>
      <c r="O14" s="150">
        <v>13</v>
      </c>
      <c r="P14" s="27">
        <f>テーブル223[[#This Row],[握力2]]+テーブル223[[#This Row],[上体3]]+テーブル223[[#This Row],[長座4]]+テーブル223[[#This Row],[反復5]]+テーブル223[[#This Row],[シャトル]]+テーブル223[[#This Row],[50ｍ]]+テーブル223[[#This Row],[立幅]]+テーブル223[[#This Row],[ボール]]</f>
        <v>37</v>
      </c>
      <c r="Q14" s="43" t="str">
        <f>IF(テーブル223[[#This Row],[得点]]=0,"",IF(テーブル223[[#This Row],[年齢]]&gt;10,LOOKUP(P14,$BE$6:$BE$10,$BB$6:$BB$10),IF(テーブル223[[#This Row],[年齢]]&gt;9,LOOKUP(P14,$BD$6:$BD$10,$BB$6:$BB$10),IF(テーブル223[[#This Row],[年齢]]&gt;8,LOOKUP(P14,$BC$6:$BC$10,$BB$6:$BB$10),IF(テーブル223[[#This Row],[年齢]]&gt;7,LOOKUP(P14,$BA$6:$BA$10,$BB$6:$BB$10),IF(テーブル223[[#This Row],[年齢]]&gt;6,LOOKUP(P14,$AZ$6:$AZ$10,$BB$6:$BB$10),LOOKUP(P14,$AY$6:$AY$10,$BB$6:$BB$10)))))))</f>
        <v>Ｃ</v>
      </c>
      <c r="R14" s="42">
        <f>IF(H14="",0,(IF(テーブル223[[#This Row],[性別]]="男",LOOKUP(テーブル223[[#This Row],[握力]],$AF$6:$AG$15),LOOKUP(テーブル223[[#This Row],[握力]],$AF$20:$AG$29))))</f>
        <v>4</v>
      </c>
      <c r="S14" s="42">
        <f>IF(テーブル223[[#This Row],[上体]]="",0,(IF(テーブル223[[#This Row],[性別]]="男",LOOKUP(テーブル223[[#This Row],[上体]],$AH$6:$AI$15),LOOKUP(テーブル223[[#This Row],[上体]],$AH$20:$AI$29))))</f>
        <v>7</v>
      </c>
      <c r="T14" s="42">
        <f>IF(テーブル223[[#This Row],[長座]]="",0,(IF(テーブル223[[#This Row],[性別]]="男",LOOKUP(テーブル223[[#This Row],[長座]],$AJ$6:$AK$15),LOOKUP(テーブル223[[#This Row],[長座]],$AJ$20:$AK$29))))</f>
        <v>8</v>
      </c>
      <c r="U14" s="42">
        <f>IF(テーブル223[[#This Row],[反復]]="",0,(IF(テーブル223[[#This Row],[性別]]="男",LOOKUP(テーブル223[[#This Row],[反復]],$AL$6:$AM$15),LOOKUP(テーブル223[[#This Row],[反復]],$AL$20:$AM$29))))</f>
        <v>3</v>
      </c>
      <c r="V14" s="42">
        <f>IF(テーブル223[[#This Row],[ｼｬﾄﾙﾗﾝ]]="",0,(IF(テーブル223[[#This Row],[性別]]="男",LOOKUP(テーブル223[[#This Row],[ｼｬﾄﾙﾗﾝ]],$AP$6:$AQ$15),LOOKUP(テーブル223[[#This Row],[ｼｬﾄﾙﾗﾝ]],$AP$20:$AQ$29))))</f>
        <v>3</v>
      </c>
      <c r="W14" s="42">
        <f>IF(テーブル223[[#This Row],[50m走]]="",0,(IF(テーブル223[[#This Row],[性別]]="男",LOOKUP(テーブル223[[#This Row],[50m走]],$AR$6:$AS$15),LOOKUP(テーブル223[[#This Row],[50m走]],$AR$20:$AS$29))))</f>
        <v>3</v>
      </c>
      <c r="X14" s="42">
        <f>IF(テーブル223[[#This Row],[立幅とび]]="",0,(IF(テーブル223[[#This Row],[性別]]="男",LOOKUP(テーブル223[[#This Row],[立幅とび]],$AT$6:$AU$15),LOOKUP(テーブル223[[#This Row],[立幅とび]],$AT$20:$AU$29))))</f>
        <v>4</v>
      </c>
      <c r="Y14" s="42">
        <f>IF(テーブル223[[#This Row],[ボール投げ]]="",0,(IF(テーブル223[[#This Row],[性別]]="男",LOOKUP(テーブル223[[#This Row],[ボール投げ]],$AV$6:$AW$15),LOOKUP(テーブル223[[#This Row],[ボール投げ]],$AV$20:$AW$29))))</f>
        <v>5</v>
      </c>
      <c r="Z14" s="19">
        <f>IF(テーブル223[[#This Row],[学年]]=1,6,IF(テーブル223[[#This Row],[学年]]=2,7,IF(テーブル223[[#This Row],[学年]]=3,8,IF(テーブル223[[#This Row],[学年]]=4,9,IF(テーブル223[[#This Row],[学年]]=5,10,IF(テーブル223[[#This Row],[学年]]=6,11," "))))))</f>
        <v>7</v>
      </c>
      <c r="AA14" s="125" t="str">
        <f>IF(テーブル223[[#This Row],[肥満度数値]]=0,"",LOOKUP(AC14,$AU$39:$AU$44,$AV$39:$AV$44))</f>
        <v>正常</v>
      </c>
      <c r="AB1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24.823600000000006</v>
      </c>
      <c r="AC14" s="124">
        <f>IF(テーブル223[[#This Row],[体重]]="",0,(テーブル223[[#This Row],[体重]]-テーブル223[[#This Row],[標準体重]])/テーブル223[[#This Row],[標準体重]]*100)</f>
        <v>-16.208769074590325</v>
      </c>
      <c r="AD14" s="1" t="str">
        <f>IF(テーブル223[[#This Row],[判定]]=$BB$10,"○","")</f>
        <v/>
      </c>
      <c r="AE14" s="1" t="str">
        <f>IF(AD14="","",COUNTIF($AD$6:AD14,"○"))</f>
        <v/>
      </c>
      <c r="AF14" s="66">
        <v>23</v>
      </c>
      <c r="AG14" s="67">
        <v>9</v>
      </c>
      <c r="AH14" s="66">
        <v>23</v>
      </c>
      <c r="AI14" s="67">
        <v>9</v>
      </c>
      <c r="AJ14" s="66">
        <v>43</v>
      </c>
      <c r="AK14" s="67">
        <v>9</v>
      </c>
      <c r="AL14" s="66">
        <v>46</v>
      </c>
      <c r="AM14" s="67">
        <v>9</v>
      </c>
      <c r="AN14" s="77">
        <v>0.34722222222222227</v>
      </c>
      <c r="AO14" s="69">
        <v>2</v>
      </c>
      <c r="AP14" s="66">
        <v>69</v>
      </c>
      <c r="AQ14" s="67">
        <v>9</v>
      </c>
      <c r="AR14" s="66">
        <v>12.3</v>
      </c>
      <c r="AS14" s="67">
        <v>2</v>
      </c>
      <c r="AT14" s="66">
        <v>180</v>
      </c>
      <c r="AU14" s="67">
        <v>9</v>
      </c>
      <c r="AV14" s="66">
        <v>35</v>
      </c>
      <c r="AW14" s="67">
        <v>9</v>
      </c>
      <c r="AX14" s="57"/>
      <c r="AY14" s="57"/>
      <c r="AZ14" s="57"/>
      <c r="BA14" s="57"/>
      <c r="BB14" s="57"/>
      <c r="BC14" s="57"/>
      <c r="BD14" s="57"/>
      <c r="BE14" s="57"/>
    </row>
    <row r="15" spans="1:57" ht="14.25" customHeight="1" thickBot="1" x14ac:dyDescent="0.25">
      <c r="A15" s="40">
        <v>10</v>
      </c>
      <c r="B15" s="145">
        <v>2</v>
      </c>
      <c r="C15" s="148">
        <v>2</v>
      </c>
      <c r="D15" s="145" t="s">
        <v>79</v>
      </c>
      <c r="E15" s="156" t="s">
        <v>135</v>
      </c>
      <c r="F15" s="145">
        <v>118.6</v>
      </c>
      <c r="G15" s="145">
        <v>20</v>
      </c>
      <c r="H15" s="146">
        <v>9</v>
      </c>
      <c r="I15" s="148">
        <v>11</v>
      </c>
      <c r="J15" s="148">
        <v>27</v>
      </c>
      <c r="K15" s="145">
        <v>23</v>
      </c>
      <c r="L15" s="148">
        <v>13</v>
      </c>
      <c r="M15" s="149">
        <v>12.2</v>
      </c>
      <c r="N15" s="148">
        <v>105</v>
      </c>
      <c r="O15" s="150">
        <v>3</v>
      </c>
      <c r="P15" s="27">
        <f>テーブル223[[#This Row],[握力2]]+テーブル223[[#This Row],[上体3]]+テーブル223[[#This Row],[長座4]]+テーブル223[[#This Row],[反復5]]+テーブル223[[#This Row],[シャトル]]+テーブル223[[#This Row],[50ｍ]]+テーブル223[[#This Row],[立幅]]+テーブル223[[#This Row],[ボール]]</f>
        <v>25</v>
      </c>
      <c r="Q15" s="43" t="str">
        <f>IF(テーブル223[[#This Row],[得点]]=0,"",IF(テーブル223[[#This Row],[年齢]]&gt;10,LOOKUP(P15,$BE$6:$BE$10,$BB$6:$BB$10),IF(テーブル223[[#This Row],[年齢]]&gt;9,LOOKUP(P15,$BD$6:$BD$10,$BB$6:$BB$10),IF(テーブル223[[#This Row],[年齢]]&gt;8,LOOKUP(P15,$BC$6:$BC$10,$BB$6:$BB$10),IF(テーブル223[[#This Row],[年齢]]&gt;7,LOOKUP(P15,$BA$6:$BA$10,$BB$6:$BB$10),IF(テーブル223[[#This Row],[年齢]]&gt;6,LOOKUP(P15,$AZ$6:$AZ$10,$BB$6:$BB$10),LOOKUP(P15,$AY$6:$AY$10,$BB$6:$BB$10)))))))</f>
        <v>Ｅ</v>
      </c>
      <c r="R15" s="42">
        <f>IF(H15="",0,(IF(テーブル223[[#This Row],[性別]]="男",LOOKUP(テーブル223[[#This Row],[握力]],$AF$6:$AG$15),LOOKUP(テーブル223[[#This Row],[握力]],$AF$20:$AG$29))))</f>
        <v>4</v>
      </c>
      <c r="S15" s="42">
        <f>IF(テーブル223[[#This Row],[上体]]="",0,(IF(テーブル223[[#This Row],[性別]]="男",LOOKUP(テーブル223[[#This Row],[上体]],$AH$6:$AI$15),LOOKUP(テーブル223[[#This Row],[上体]],$AH$20:$AI$29))))</f>
        <v>4</v>
      </c>
      <c r="T15" s="42">
        <f>IF(テーブル223[[#This Row],[長座]]="",0,(IF(テーブル223[[#This Row],[性別]]="男",LOOKUP(テーブル223[[#This Row],[長座]],$AJ$6:$AK$15),LOOKUP(テーブル223[[#This Row],[長座]],$AJ$20:$AK$29))))</f>
        <v>4</v>
      </c>
      <c r="U15" s="42">
        <f>IF(テーブル223[[#This Row],[反復]]="",0,(IF(テーブル223[[#This Row],[性別]]="男",LOOKUP(テーブル223[[#This Row],[反復]],$AL$6:$AM$15),LOOKUP(テーブル223[[#This Row],[反復]],$AL$20:$AM$29))))</f>
        <v>3</v>
      </c>
      <c r="V15" s="42">
        <f>IF(テーブル223[[#This Row],[ｼｬﾄﾙﾗﾝ]]="",0,(IF(テーブル223[[#This Row],[性別]]="男",LOOKUP(テーブル223[[#This Row],[ｼｬﾄﾙﾗﾝ]],$AP$6:$AQ$15),LOOKUP(テーブル223[[#This Row],[ｼｬﾄﾙﾗﾝ]],$AP$20:$AQ$29))))</f>
        <v>3</v>
      </c>
      <c r="W15" s="42">
        <f>IF(テーブル223[[#This Row],[50m走]]="",0,(IF(テーブル223[[#This Row],[性別]]="男",LOOKUP(テーブル223[[#This Row],[50m走]],$AR$6:$AS$15),LOOKUP(テーブル223[[#This Row],[50m走]],$AR$20:$AS$29))))</f>
        <v>3</v>
      </c>
      <c r="X15" s="42">
        <f>IF(テーブル223[[#This Row],[立幅とび]]="",0,(IF(テーブル223[[#This Row],[性別]]="男",LOOKUP(テーブル223[[#This Row],[立幅とび]],$AT$6:$AU$15),LOOKUP(テーブル223[[#This Row],[立幅とび]],$AT$20:$AU$29))))</f>
        <v>3</v>
      </c>
      <c r="Y15" s="42">
        <f>IF(テーブル223[[#This Row],[ボール投げ]]="",0,(IF(テーブル223[[#This Row],[性別]]="男",LOOKUP(テーブル223[[#This Row],[ボール投げ]],$AV$6:$AW$15),LOOKUP(テーブル223[[#This Row],[ボール投げ]],$AV$20:$AW$29))))</f>
        <v>1</v>
      </c>
      <c r="Z15" s="19">
        <f>IF(テーブル223[[#This Row],[学年]]=1,6,IF(テーブル223[[#This Row],[学年]]=2,7,IF(テーブル223[[#This Row],[学年]]=3,8,IF(テーブル223[[#This Row],[学年]]=4,9,IF(テーブル223[[#This Row],[学年]]=5,10,IF(テーブル223[[#This Row],[学年]]=6,11," "))))))</f>
        <v>7</v>
      </c>
      <c r="AA15" s="125" t="str">
        <f>IF(テーブル223[[#This Row],[肥満度数値]]=0,"",LOOKUP(AC15,$AU$39:$AU$44,$AV$39:$AV$44))</f>
        <v>正常</v>
      </c>
      <c r="AB1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21.881799999999998</v>
      </c>
      <c r="AC15" s="124">
        <f>IF(テーブル223[[#This Row],[体重]]="",0,(テーブル223[[#This Row],[体重]]-テーブル223[[#This Row],[標準体重]])/テーブル223[[#This Row],[標準体重]]*100)</f>
        <v>-8.5998409637232687</v>
      </c>
      <c r="AD15" s="1" t="str">
        <f>IF(テーブル223[[#This Row],[判定]]=$BB$10,"○","")</f>
        <v/>
      </c>
      <c r="AE15" s="1" t="str">
        <f>IF(AD15="","",COUNTIF($AD$6:AD15,"○"))</f>
        <v/>
      </c>
      <c r="AF15" s="74">
        <v>26</v>
      </c>
      <c r="AG15" s="75">
        <v>10</v>
      </c>
      <c r="AH15" s="74">
        <v>26</v>
      </c>
      <c r="AI15" s="75">
        <v>10</v>
      </c>
      <c r="AJ15" s="74">
        <v>49</v>
      </c>
      <c r="AK15" s="75">
        <v>10</v>
      </c>
      <c r="AL15" s="74">
        <v>50</v>
      </c>
      <c r="AM15" s="75">
        <v>10</v>
      </c>
      <c r="AN15" s="78">
        <v>0.38958333333333334</v>
      </c>
      <c r="AO15" s="72">
        <v>1</v>
      </c>
      <c r="AP15" s="74">
        <v>80</v>
      </c>
      <c r="AQ15" s="75">
        <v>10</v>
      </c>
      <c r="AR15" s="74">
        <v>13.1</v>
      </c>
      <c r="AS15" s="75">
        <v>1</v>
      </c>
      <c r="AT15" s="74">
        <v>192</v>
      </c>
      <c r="AU15" s="75">
        <v>10</v>
      </c>
      <c r="AV15" s="74">
        <v>40</v>
      </c>
      <c r="AW15" s="75">
        <v>10</v>
      </c>
      <c r="AX15" s="57"/>
      <c r="AY15" s="57"/>
      <c r="AZ15" s="57"/>
      <c r="BA15" s="57"/>
      <c r="BB15" s="57"/>
      <c r="BC15" s="57"/>
      <c r="BD15" s="57"/>
      <c r="BE15" s="57"/>
    </row>
    <row r="16" spans="1:57" ht="14.25" customHeight="1" x14ac:dyDescent="0.2">
      <c r="A16" s="40">
        <v>11</v>
      </c>
      <c r="B16" s="145">
        <v>2</v>
      </c>
      <c r="C16" s="148">
        <v>3</v>
      </c>
      <c r="D16" s="145" t="s">
        <v>133</v>
      </c>
      <c r="E16" s="156" t="s">
        <v>136</v>
      </c>
      <c r="F16" s="145">
        <v>121</v>
      </c>
      <c r="G16" s="145">
        <v>21.2</v>
      </c>
      <c r="H16" s="146">
        <v>7</v>
      </c>
      <c r="I16" s="148">
        <v>15</v>
      </c>
      <c r="J16" s="148">
        <v>26</v>
      </c>
      <c r="K16" s="145">
        <v>25</v>
      </c>
      <c r="L16" s="148">
        <v>18</v>
      </c>
      <c r="M16" s="149">
        <v>11.8</v>
      </c>
      <c r="N16" s="148">
        <v>120</v>
      </c>
      <c r="O16" s="150">
        <v>6</v>
      </c>
      <c r="P16" s="27">
        <f>テーブル223[[#This Row],[握力2]]+テーブル223[[#This Row],[上体3]]+テーブル223[[#This Row],[長座4]]+テーブル223[[#This Row],[反復5]]+テーブル223[[#This Row],[シャトル]]+テーブル223[[#This Row],[50ｍ]]+テーブル223[[#This Row],[立幅]]+テーブル223[[#This Row],[ボール]]</f>
        <v>29</v>
      </c>
      <c r="Q16" s="43" t="str">
        <f>IF(テーブル223[[#This Row],[得点]]=0,"",IF(テーブル223[[#This Row],[年齢]]&gt;10,LOOKUP(P16,$BE$6:$BE$10,$BB$6:$BB$10),IF(テーブル223[[#This Row],[年齢]]&gt;9,LOOKUP(P16,$BD$6:$BD$10,$BB$6:$BB$10),IF(テーブル223[[#This Row],[年齢]]&gt;8,LOOKUP(P16,$BC$6:$BC$10,$BB$6:$BB$10),IF(テーブル223[[#This Row],[年齢]]&gt;7,LOOKUP(P16,$BA$6:$BA$10,$BB$6:$BB$10),IF(テーブル223[[#This Row],[年齢]]&gt;6,LOOKUP(P16,$AZ$6:$AZ$10,$BB$6:$BB$10),LOOKUP(P16,$AY$6:$AY$10,$BB$6:$BB$10)))))))</f>
        <v>Ｄ</v>
      </c>
      <c r="R16" s="42">
        <f>IF(H16="",0,(IF(テーブル223[[#This Row],[性別]]="男",LOOKUP(テーブル223[[#This Row],[握力]],$AF$6:$AG$15),LOOKUP(テーブル223[[#This Row],[握力]],$AF$20:$AG$29))))</f>
        <v>3</v>
      </c>
      <c r="S16" s="42">
        <f>IF(テーブル223[[#This Row],[上体]]="",0,(IF(テーブル223[[#This Row],[性別]]="男",LOOKUP(テーブル223[[#This Row],[上体]],$AH$6:$AI$15),LOOKUP(テーブル223[[#This Row],[上体]],$AH$20:$AI$29))))</f>
        <v>6</v>
      </c>
      <c r="T16" s="42">
        <f>IF(テーブル223[[#This Row],[長座]]="",0,(IF(テーブル223[[#This Row],[性別]]="男",LOOKUP(テーブル223[[#This Row],[長座]],$AJ$6:$AK$15),LOOKUP(テーブル223[[#This Row],[長座]],$AJ$20:$AK$29))))</f>
        <v>4</v>
      </c>
      <c r="U16" s="42">
        <f>IF(テーブル223[[#This Row],[反復]]="",0,(IF(テーブル223[[#This Row],[性別]]="男",LOOKUP(テーブル223[[#This Row],[反復]],$AL$6:$AM$15),LOOKUP(テーブル223[[#This Row],[反復]],$AL$20:$AM$29))))</f>
        <v>3</v>
      </c>
      <c r="V16" s="42">
        <f>IF(テーブル223[[#This Row],[ｼｬﾄﾙﾗﾝ]]="",0,(IF(テーブル223[[#This Row],[性別]]="男",LOOKUP(テーブル223[[#This Row],[ｼｬﾄﾙﾗﾝ]],$AP$6:$AQ$15),LOOKUP(テーブル223[[#This Row],[ｼｬﾄﾙﾗﾝ]],$AP$20:$AQ$29))))</f>
        <v>4</v>
      </c>
      <c r="W16" s="42">
        <f>IF(テーブル223[[#This Row],[50m走]]="",0,(IF(テーブル223[[#This Row],[性別]]="男",LOOKUP(テーブル223[[#This Row],[50m走]],$AR$6:$AS$15),LOOKUP(テーブル223[[#This Row],[50m走]],$AR$20:$AS$29))))</f>
        <v>3</v>
      </c>
      <c r="X16" s="42">
        <f>IF(テーブル223[[#This Row],[立幅とび]]="",0,(IF(テーブル223[[#This Row],[性別]]="男",LOOKUP(テーブル223[[#This Row],[立幅とび]],$AT$6:$AU$15),LOOKUP(テーブル223[[#This Row],[立幅とび]],$AT$20:$AU$29))))</f>
        <v>4</v>
      </c>
      <c r="Y16" s="42">
        <f>IF(テーブル223[[#This Row],[ボール投げ]]="",0,(IF(テーブル223[[#This Row],[性別]]="男",LOOKUP(テーブル223[[#This Row],[ボール投げ]],$AV$6:$AW$15),LOOKUP(テーブル223[[#This Row],[ボール投げ]],$AV$20:$AW$29))))</f>
        <v>2</v>
      </c>
      <c r="Z16" s="19">
        <f>IF(テーブル223[[#This Row],[学年]]=1,6,IF(テーブル223[[#This Row],[学年]]=2,7,IF(テーブル223[[#This Row],[学年]]=3,8,IF(テーブル223[[#This Row],[学年]]=4,9,IF(テーブル223[[#This Row],[学年]]=5,10,IF(テーブル223[[#This Row],[学年]]=6,11," "))))))</f>
        <v>7</v>
      </c>
      <c r="AA16" s="125" t="str">
        <f>IF(テーブル223[[#This Row],[肥満度数値]]=0,"",LOOKUP(AC16,$AU$39:$AU$44,$AV$39:$AV$44))</f>
        <v>正常</v>
      </c>
      <c r="AB1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23.695</v>
      </c>
      <c r="AC16" s="124">
        <f>IF(テーブル223[[#This Row],[体重]]="",0,(テーブル223[[#This Row],[体重]]-テーブル223[[#This Row],[標準体重]])/テーブル223[[#This Row],[標準体重]]*100)</f>
        <v>-10.529647604979958</v>
      </c>
      <c r="AD16" s="1" t="str">
        <f>IF(テーブル223[[#This Row],[判定]]=$BB$10,"○","")</f>
        <v/>
      </c>
      <c r="AE16" s="1" t="str">
        <f>IF(AD16="","",COUNTIF($AD$6:AD16,"○"))</f>
        <v/>
      </c>
      <c r="AF16" s="57"/>
      <c r="AG16" s="57"/>
      <c r="AH16" s="57"/>
      <c r="AI16" s="57"/>
      <c r="AJ16" s="57"/>
      <c r="AK16" s="57"/>
      <c r="AL16" s="57"/>
      <c r="AM16" s="57"/>
      <c r="AN16" s="57"/>
      <c r="AO16" s="57"/>
      <c r="AP16" s="57"/>
      <c r="AQ16" s="57"/>
      <c r="AR16" s="57"/>
      <c r="AS16" s="57"/>
      <c r="AT16" s="57"/>
      <c r="AU16" s="57"/>
      <c r="AV16" s="57"/>
      <c r="AW16" s="57"/>
      <c r="AX16" s="57"/>
      <c r="AY16" s="120" t="s">
        <v>159</v>
      </c>
      <c r="AZ16" s="57"/>
      <c r="BA16" s="57"/>
      <c r="BB16" s="57"/>
      <c r="BC16" s="57"/>
      <c r="BD16" s="57"/>
      <c r="BE16" s="57"/>
    </row>
    <row r="17" spans="1:57" ht="14.25" customHeight="1" x14ac:dyDescent="0.2">
      <c r="A17" s="40">
        <v>12</v>
      </c>
      <c r="B17" s="145">
        <v>2</v>
      </c>
      <c r="C17" s="148">
        <v>3</v>
      </c>
      <c r="D17" s="145" t="s">
        <v>79</v>
      </c>
      <c r="E17" s="156" t="s">
        <v>135</v>
      </c>
      <c r="F17" s="145">
        <v>129.6</v>
      </c>
      <c r="G17" s="145">
        <v>32.4</v>
      </c>
      <c r="H17" s="146">
        <v>11</v>
      </c>
      <c r="I17" s="148">
        <v>17</v>
      </c>
      <c r="J17" s="148">
        <v>39</v>
      </c>
      <c r="K17" s="145">
        <v>35</v>
      </c>
      <c r="L17" s="148">
        <v>47</v>
      </c>
      <c r="M17" s="149">
        <v>11.6</v>
      </c>
      <c r="N17" s="148">
        <v>130</v>
      </c>
      <c r="O17" s="150">
        <v>9</v>
      </c>
      <c r="P17" s="27">
        <f>テーブル223[[#This Row],[握力2]]+テーブル223[[#This Row],[上体3]]+テーブル223[[#This Row],[長座4]]+テーブル223[[#This Row],[反復5]]+テーブル223[[#This Row],[シャトル]]+テーブル223[[#This Row],[50ｍ]]+テーブル223[[#This Row],[立幅]]+テーブル223[[#This Row],[ボール]]</f>
        <v>47</v>
      </c>
      <c r="Q17" s="43" t="str">
        <f>IF(テーブル223[[#This Row],[得点]]=0,"",IF(テーブル223[[#This Row],[年齢]]&gt;10,LOOKUP(P17,$BE$6:$BE$10,$BB$6:$BB$10),IF(テーブル223[[#This Row],[年齢]]&gt;9,LOOKUP(P17,$BD$6:$BD$10,$BB$6:$BB$10),IF(テーブル223[[#This Row],[年齢]]&gt;8,LOOKUP(P17,$BC$6:$BC$10,$BB$6:$BB$10),IF(テーブル223[[#This Row],[年齢]]&gt;7,LOOKUP(P17,$BA$6:$BA$10,$BB$6:$BB$10),IF(テーブル223[[#This Row],[年齢]]&gt;6,LOOKUP(P17,$AZ$6:$AZ$10,$BB$6:$BB$10),LOOKUP(P17,$AY$6:$AY$10,$BB$6:$BB$10)))))))</f>
        <v>Ａ</v>
      </c>
      <c r="R17" s="42">
        <f>IF(H17="",0,(IF(テーブル223[[#This Row],[性別]]="男",LOOKUP(テーブル223[[#This Row],[握力]],$AF$6:$AG$15),LOOKUP(テーブル223[[#This Row],[握力]],$AF$20:$AG$29))))</f>
        <v>5</v>
      </c>
      <c r="S17" s="42">
        <f>IF(テーブル223[[#This Row],[上体]]="",0,(IF(テーブル223[[#This Row],[性別]]="男",LOOKUP(テーブル223[[#This Row],[上体]],$AH$6:$AI$15),LOOKUP(テーブル223[[#This Row],[上体]],$AH$20:$AI$29))))</f>
        <v>7</v>
      </c>
      <c r="T17" s="42">
        <f>IF(テーブル223[[#This Row],[長座]]="",0,(IF(テーブル223[[#This Row],[性別]]="男",LOOKUP(テーブル223[[#This Row],[長座]],$AJ$6:$AK$15),LOOKUP(テーブル223[[#This Row],[長座]],$AJ$20:$AK$29))))</f>
        <v>7</v>
      </c>
      <c r="U17" s="42">
        <f>IF(テーブル223[[#This Row],[反復]]="",0,(IF(テーブル223[[#This Row],[性別]]="男",LOOKUP(テーブル223[[#This Row],[反復]],$AL$6:$AM$15),LOOKUP(テーブル223[[#This Row],[反復]],$AL$20:$AM$29))))</f>
        <v>6</v>
      </c>
      <c r="V17" s="42">
        <f>IF(テーブル223[[#This Row],[ｼｬﾄﾙﾗﾝ]]="",0,(IF(テーブル223[[#This Row],[性別]]="男",LOOKUP(テーブル223[[#This Row],[ｼｬﾄﾙﾗﾝ]],$AP$6:$AQ$15),LOOKUP(テーブル223[[#This Row],[ｼｬﾄﾙﾗﾝ]],$AP$20:$AQ$29))))</f>
        <v>8</v>
      </c>
      <c r="W17" s="42">
        <f>IF(テーブル223[[#This Row],[50m走]]="",0,(IF(テーブル223[[#This Row],[性別]]="男",LOOKUP(テーブル223[[#This Row],[50m走]],$AR$6:$AS$15),LOOKUP(テーブル223[[#This Row],[50m走]],$AR$20:$AS$29))))</f>
        <v>4</v>
      </c>
      <c r="X17" s="42">
        <f>IF(テーブル223[[#This Row],[立幅とび]]="",0,(IF(テーブル223[[#This Row],[性別]]="男",LOOKUP(テーブル223[[#This Row],[立幅とび]],$AT$6:$AU$15),LOOKUP(テーブル223[[#This Row],[立幅とび]],$AT$20:$AU$29))))</f>
        <v>5</v>
      </c>
      <c r="Y17" s="42">
        <f>IF(テーブル223[[#This Row],[ボール投げ]]="",0,(IF(テーブル223[[#This Row],[性別]]="男",LOOKUP(テーブル223[[#This Row],[ボール投げ]],$AV$6:$AW$15),LOOKUP(テーブル223[[#This Row],[ボール投げ]],$AV$20:$AW$29))))</f>
        <v>5</v>
      </c>
      <c r="Z17" s="19">
        <f>IF(テーブル223[[#This Row],[学年]]=1,6,IF(テーブル223[[#This Row],[学年]]=2,7,IF(テーブル223[[#This Row],[学年]]=3,8,IF(テーブル223[[#This Row],[学年]]=4,9,IF(テーブル223[[#This Row],[学年]]=5,10,IF(テーブル223[[#This Row],[学年]]=6,11," "))))))</f>
        <v>7</v>
      </c>
      <c r="AA17" s="125" t="str">
        <f>IF(テーブル223[[#This Row],[肥満度数値]]=0,"",LOOKUP(AC17,$AU$39:$AU$44,$AV$39:$AV$44))</f>
        <v>正常</v>
      </c>
      <c r="AB1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27.469799999999999</v>
      </c>
      <c r="AC17" s="124">
        <f>IF(テーブル223[[#This Row],[体重]]="",0,(テーブル223[[#This Row],[体重]]-テーブル223[[#This Row],[標準体重]])/テーブル223[[#This Row],[標準体重]]*100)</f>
        <v>17.947709848633771</v>
      </c>
      <c r="AD17" s="1" t="str">
        <f>IF(テーブル223[[#This Row],[判定]]=$BB$10,"○","")</f>
        <v>○</v>
      </c>
      <c r="AE17" s="1">
        <f>IF(AD17="","",COUNTIF($AD$6:AD17,"○"))</f>
        <v>3</v>
      </c>
      <c r="AF17" s="57"/>
      <c r="AG17" s="57"/>
      <c r="AH17" s="57"/>
      <c r="AI17" s="57"/>
      <c r="AJ17" s="57"/>
      <c r="AK17" s="57"/>
      <c r="AL17" s="57"/>
      <c r="AM17" s="57"/>
      <c r="AN17" s="57"/>
      <c r="AO17" s="57"/>
      <c r="AP17" s="57"/>
      <c r="AQ17" s="57"/>
      <c r="AR17" s="57"/>
      <c r="AS17" s="57"/>
      <c r="AT17" s="57"/>
      <c r="AU17" s="57"/>
      <c r="AV17" s="57"/>
      <c r="AW17" s="57"/>
      <c r="AX17" s="57"/>
      <c r="AY17" s="120" t="s">
        <v>160</v>
      </c>
      <c r="AZ17" s="57"/>
      <c r="BA17" s="57"/>
      <c r="BB17" s="57"/>
      <c r="BC17" s="57"/>
      <c r="BD17" s="57"/>
      <c r="BE17" s="57"/>
    </row>
    <row r="18" spans="1:57" ht="14.25" customHeight="1" thickBot="1" x14ac:dyDescent="0.25">
      <c r="A18" s="40">
        <v>13</v>
      </c>
      <c r="B18" s="145">
        <v>3</v>
      </c>
      <c r="C18" s="148">
        <v>1</v>
      </c>
      <c r="D18" s="145" t="s">
        <v>133</v>
      </c>
      <c r="E18" s="156" t="s">
        <v>136</v>
      </c>
      <c r="F18" s="145">
        <v>119.5</v>
      </c>
      <c r="G18" s="145">
        <v>24.6</v>
      </c>
      <c r="H18" s="146">
        <v>11</v>
      </c>
      <c r="I18" s="148">
        <v>22</v>
      </c>
      <c r="J18" s="148">
        <v>27</v>
      </c>
      <c r="K18" s="145">
        <v>26</v>
      </c>
      <c r="L18" s="148">
        <v>37</v>
      </c>
      <c r="M18" s="149">
        <v>10.5</v>
      </c>
      <c r="N18" s="148">
        <v>142</v>
      </c>
      <c r="O18" s="150">
        <v>13</v>
      </c>
      <c r="P18" s="27">
        <f>テーブル223[[#This Row],[握力2]]+テーブル223[[#This Row],[上体3]]+テーブル223[[#This Row],[長座4]]+テーブル223[[#This Row],[反復5]]+テーブル223[[#This Row],[シャトル]]+テーブル223[[#This Row],[50ｍ]]+テーブル223[[#This Row],[立幅]]+テーブル223[[#This Row],[ボール]]</f>
        <v>43</v>
      </c>
      <c r="Q18" s="43" t="str">
        <f>IF(テーブル223[[#This Row],[得点]]=0,"",IF(テーブル223[[#This Row],[年齢]]&gt;10,LOOKUP(P18,$BE$6:$BE$10,$BB$6:$BB$10),IF(テーブル223[[#This Row],[年齢]]&gt;9,LOOKUP(P18,$BD$6:$BD$10,$BB$6:$BB$10),IF(テーブル223[[#This Row],[年齢]]&gt;8,LOOKUP(P18,$BC$6:$BC$10,$BB$6:$BB$10),IF(テーブル223[[#This Row],[年齢]]&gt;7,LOOKUP(P18,$BA$6:$BA$10,$BB$6:$BB$10),IF(テーブル223[[#This Row],[年齢]]&gt;6,LOOKUP(P18,$AZ$6:$AZ$10,$BB$6:$BB$10),LOOKUP(P18,$AY$6:$AY$10,$BB$6:$BB$10)))))))</f>
        <v>Ｃ</v>
      </c>
      <c r="R18" s="42">
        <f>IF(H18="",0,(IF(テーブル223[[#This Row],[性別]]="男",LOOKUP(テーブル223[[#This Row],[握力]],$AF$6:$AG$15),LOOKUP(テーブル223[[#This Row],[握力]],$AF$20:$AG$29))))</f>
        <v>5</v>
      </c>
      <c r="S18" s="42">
        <f>IF(テーブル223[[#This Row],[上体]]="",0,(IF(テーブル223[[#This Row],[性別]]="男",LOOKUP(テーブル223[[#This Row],[上体]],$AH$6:$AI$15),LOOKUP(テーブル223[[#This Row],[上体]],$AH$20:$AI$29))))</f>
        <v>8</v>
      </c>
      <c r="T18" s="42">
        <f>IF(テーブル223[[#This Row],[長座]]="",0,(IF(テーブル223[[#This Row],[性別]]="男",LOOKUP(テーブル223[[#This Row],[長座]],$AJ$6:$AK$15),LOOKUP(テーブル223[[#This Row],[長座]],$AJ$20:$AK$29))))</f>
        <v>5</v>
      </c>
      <c r="U18" s="42">
        <f>IF(テーブル223[[#This Row],[反復]]="",0,(IF(テーブル223[[#This Row],[性別]]="男",LOOKUP(テーブル223[[#This Row],[反復]],$AL$6:$AM$15),LOOKUP(テーブル223[[#This Row],[反復]],$AL$20:$AM$29))))</f>
        <v>4</v>
      </c>
      <c r="V18" s="42">
        <f>IF(テーブル223[[#This Row],[ｼｬﾄﾙﾗﾝ]]="",0,(IF(テーブル223[[#This Row],[性別]]="男",LOOKUP(テーブル223[[#This Row],[ｼｬﾄﾙﾗﾝ]],$AP$6:$AQ$15),LOOKUP(テーブル223[[#This Row],[ｼｬﾄﾙﾗﾝ]],$AP$20:$AQ$29))))</f>
        <v>6</v>
      </c>
      <c r="W18" s="42">
        <f>IF(テーブル223[[#This Row],[50m走]]="",0,(IF(テーブル223[[#This Row],[性別]]="男",LOOKUP(テーブル223[[#This Row],[50m走]],$AR$6:$AS$15),LOOKUP(テーブル223[[#This Row],[50m走]],$AR$20:$AS$29))))</f>
        <v>5</v>
      </c>
      <c r="X18" s="42">
        <f>IF(テーブル223[[#This Row],[立幅とび]]="",0,(IF(テーブル223[[#This Row],[性別]]="男",LOOKUP(テーブル223[[#This Row],[立幅とび]],$AT$6:$AU$15),LOOKUP(テーブル223[[#This Row],[立幅とび]],$AT$20:$AU$29))))</f>
        <v>5</v>
      </c>
      <c r="Y18" s="42">
        <f>IF(テーブル223[[#This Row],[ボール投げ]]="",0,(IF(テーブル223[[#This Row],[性別]]="男",LOOKUP(テーブル223[[#This Row],[ボール投げ]],$AV$6:$AW$15),LOOKUP(テーブル223[[#This Row],[ボール投げ]],$AV$20:$AW$29))))</f>
        <v>5</v>
      </c>
      <c r="Z18" s="19">
        <f>IF(テーブル223[[#This Row],[学年]]=1,6,IF(テーブル223[[#This Row],[学年]]=2,7,IF(テーブル223[[#This Row],[学年]]=3,8,IF(テーブル223[[#This Row],[学年]]=4,9,IF(テーブル223[[#This Row],[学年]]=5,10,IF(テーブル223[[#This Row],[学年]]=6,11," "))))))</f>
        <v>8</v>
      </c>
      <c r="AA18" s="125" t="str">
        <f>IF(テーブル223[[#This Row],[肥満度数値]]=0,"",LOOKUP(AC18,$AU$39:$AU$44,$AV$39:$AV$44))</f>
        <v>正常</v>
      </c>
      <c r="AB1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21.939999999999998</v>
      </c>
      <c r="AC18" s="124">
        <f>IF(テーブル223[[#This Row],[体重]]="",0,(テーブル223[[#This Row],[体重]]-テーブル223[[#This Row],[標準体重]])/テーブル223[[#This Row],[標準体重]]*100)</f>
        <v>12.123974475843227</v>
      </c>
      <c r="AD18" s="1" t="str">
        <f>IF(テーブル223[[#This Row],[判定]]=$BB$10,"○","")</f>
        <v/>
      </c>
      <c r="AE18" s="1" t="str">
        <f>IF(AD18="","",COUNTIF($AD$6:AD18,"○"))</f>
        <v/>
      </c>
      <c r="AF18" s="76" t="s">
        <v>111</v>
      </c>
      <c r="AG18" s="57"/>
      <c r="AH18" s="57"/>
      <c r="AI18" s="57"/>
      <c r="AJ18" s="57"/>
      <c r="AK18" s="57"/>
      <c r="AL18" s="57"/>
      <c r="AM18" s="57"/>
      <c r="AN18" s="57"/>
      <c r="AO18" s="57"/>
      <c r="AP18" s="57"/>
      <c r="AQ18" s="57"/>
      <c r="AR18" s="57"/>
      <c r="AS18" s="57"/>
      <c r="AT18" s="57"/>
      <c r="AU18" s="57"/>
      <c r="AV18" s="57"/>
      <c r="AW18" s="57"/>
      <c r="AX18" s="57"/>
      <c r="AY18" s="57"/>
      <c r="AZ18" s="57"/>
      <c r="BA18" s="120" t="s">
        <v>161</v>
      </c>
      <c r="BB18" s="57"/>
      <c r="BC18" s="57"/>
      <c r="BD18" s="57"/>
      <c r="BE18" s="57"/>
    </row>
    <row r="19" spans="1:57" ht="14.25" customHeight="1" thickBot="1" x14ac:dyDescent="0.25">
      <c r="A19" s="40">
        <v>14</v>
      </c>
      <c r="B19" s="145">
        <v>3</v>
      </c>
      <c r="C19" s="148">
        <v>1</v>
      </c>
      <c r="D19" s="145" t="s">
        <v>79</v>
      </c>
      <c r="E19" s="156" t="s">
        <v>135</v>
      </c>
      <c r="F19" s="145">
        <v>132.5</v>
      </c>
      <c r="G19" s="145">
        <v>28.2</v>
      </c>
      <c r="H19" s="146">
        <v>12</v>
      </c>
      <c r="I19" s="148">
        <v>17</v>
      </c>
      <c r="J19" s="148">
        <v>29</v>
      </c>
      <c r="K19" s="145">
        <v>22</v>
      </c>
      <c r="L19" s="148">
        <v>24</v>
      </c>
      <c r="M19" s="149">
        <v>10.6</v>
      </c>
      <c r="N19" s="148">
        <v>155</v>
      </c>
      <c r="O19" s="150">
        <v>15</v>
      </c>
      <c r="P19" s="27">
        <f>テーブル223[[#This Row],[握力2]]+テーブル223[[#This Row],[上体3]]+テーブル223[[#This Row],[長座4]]+テーブル223[[#This Row],[反復5]]+テーブル223[[#This Row],[シャトル]]+テーブル223[[#This Row],[50ｍ]]+テーブル223[[#This Row],[立幅]]+テーブル223[[#This Row],[ボール]]</f>
        <v>44</v>
      </c>
      <c r="Q19" s="43" t="str">
        <f>IF(テーブル223[[#This Row],[得点]]=0,"",IF(テーブル223[[#This Row],[年齢]]&gt;10,LOOKUP(P19,$BE$6:$BE$10,$BB$6:$BB$10),IF(テーブル223[[#This Row],[年齢]]&gt;9,LOOKUP(P19,$BD$6:$BD$10,$BB$6:$BB$10),IF(テーブル223[[#This Row],[年齢]]&gt;8,LOOKUP(P19,$BC$6:$BC$10,$BB$6:$BB$10),IF(テーブル223[[#This Row],[年齢]]&gt;7,LOOKUP(P19,$BA$6:$BA$10,$BB$6:$BB$10),IF(テーブル223[[#This Row],[年齢]]&gt;6,LOOKUP(P19,$AZ$6:$AZ$10,$BB$6:$BB$10),LOOKUP(P19,$AY$6:$AY$10,$BB$6:$BB$10)))))))</f>
        <v>Ｃ</v>
      </c>
      <c r="R19" s="42">
        <f>IF(H19="",0,(IF(テーブル223[[#This Row],[性別]]="男",LOOKUP(テーブル223[[#This Row],[握力]],$AF$6:$AG$15),LOOKUP(テーブル223[[#This Row],[握力]],$AF$20:$AG$29))))</f>
        <v>5</v>
      </c>
      <c r="S19" s="42">
        <f>IF(テーブル223[[#This Row],[上体]]="",0,(IF(テーブル223[[#This Row],[性別]]="男",LOOKUP(テーブル223[[#This Row],[上体]],$AH$6:$AI$15),LOOKUP(テーブル223[[#This Row],[上体]],$AH$20:$AI$29))))</f>
        <v>7</v>
      </c>
      <c r="T19" s="42">
        <f>IF(テーブル223[[#This Row],[長座]]="",0,(IF(テーブル223[[#This Row],[性別]]="男",LOOKUP(テーブル223[[#This Row],[長座]],$AJ$6:$AK$15),LOOKUP(テーブル223[[#This Row],[長座]],$AJ$20:$AK$29))))</f>
        <v>5</v>
      </c>
      <c r="U19" s="42">
        <f>IF(テーブル223[[#This Row],[反復]]="",0,(IF(テーブル223[[#This Row],[性別]]="男",LOOKUP(テーブル223[[#This Row],[反復]],$AL$6:$AM$15),LOOKUP(テーブル223[[#This Row],[反復]],$AL$20:$AM$29))))</f>
        <v>3</v>
      </c>
      <c r="V19" s="42">
        <f>IF(テーブル223[[#This Row],[ｼｬﾄﾙﾗﾝ]]="",0,(IF(テーブル223[[#This Row],[性別]]="男",LOOKUP(テーブル223[[#This Row],[ｼｬﾄﾙﾗﾝ]],$AP$6:$AQ$15),LOOKUP(テーブル223[[#This Row],[ｼｬﾄﾙﾗﾝ]],$AP$20:$AQ$29))))</f>
        <v>5</v>
      </c>
      <c r="W19" s="42">
        <f>IF(テーブル223[[#This Row],[50m走]]="",0,(IF(テーブル223[[#This Row],[性別]]="男",LOOKUP(テーブル223[[#This Row],[50m走]],$AR$6:$AS$15),LOOKUP(テーブル223[[#This Row],[50m走]],$AR$20:$AS$29))))</f>
        <v>5</v>
      </c>
      <c r="X19" s="42">
        <f>IF(テーブル223[[#This Row],[立幅とび]]="",0,(IF(テーブル223[[#This Row],[性別]]="男",LOOKUP(テーブル223[[#This Row],[立幅とび]],$AT$6:$AU$15),LOOKUP(テーブル223[[#This Row],[立幅とび]],$AT$20:$AU$29))))</f>
        <v>7</v>
      </c>
      <c r="Y19" s="42">
        <f>IF(テーブル223[[#This Row],[ボール投げ]]="",0,(IF(テーブル223[[#This Row],[性別]]="男",LOOKUP(テーブル223[[#This Row],[ボール投げ]],$AV$6:$AW$15),LOOKUP(テーブル223[[#This Row],[ボール投げ]],$AV$20:$AW$29))))</f>
        <v>7</v>
      </c>
      <c r="Z19" s="19">
        <f>IF(テーブル223[[#This Row],[学年]]=1,6,IF(テーブル223[[#This Row],[学年]]=2,7,IF(テーブル223[[#This Row],[学年]]=3,8,IF(テーブル223[[#This Row],[学年]]=4,9,IF(テーブル223[[#This Row],[学年]]=5,10,IF(テーブル223[[#This Row],[学年]]=6,11," "))))))</f>
        <v>8</v>
      </c>
      <c r="AA19" s="125" t="str">
        <f>IF(テーブル223[[#This Row],[肥満度数値]]=0,"",LOOKUP(AC19,$AU$39:$AU$44,$AV$39:$AV$44))</f>
        <v>正常</v>
      </c>
      <c r="AB1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29.32650000000001</v>
      </c>
      <c r="AC19" s="124">
        <f>IF(テーブル223[[#This Row],[体重]]="",0,(テーブル223[[#This Row],[体重]]-テーブル223[[#This Row],[標準体重]])/テーブル223[[#This Row],[標準体重]]*100)</f>
        <v>-3.8412357424173029</v>
      </c>
      <c r="AD19" s="1" t="str">
        <f>IF(テーブル223[[#This Row],[判定]]=$BB$10,"○","")</f>
        <v/>
      </c>
      <c r="AE19" s="1" t="str">
        <f>IF(AD19="","",COUNTIF($AD$6:AD19,"○"))</f>
        <v/>
      </c>
      <c r="AF19" s="55" t="s">
        <v>93</v>
      </c>
      <c r="AG19" s="56" t="s">
        <v>85</v>
      </c>
      <c r="AH19" s="55" t="s">
        <v>116</v>
      </c>
      <c r="AI19" s="56" t="s">
        <v>85</v>
      </c>
      <c r="AJ19" s="55" t="s">
        <v>117</v>
      </c>
      <c r="AK19" s="56" t="s">
        <v>85</v>
      </c>
      <c r="AL19" s="55" t="s">
        <v>118</v>
      </c>
      <c r="AM19" s="56" t="s">
        <v>85</v>
      </c>
      <c r="AN19" s="55" t="s">
        <v>113</v>
      </c>
      <c r="AO19" s="59" t="s">
        <v>112</v>
      </c>
      <c r="AP19" s="55" t="s">
        <v>119</v>
      </c>
      <c r="AQ19" s="56" t="s">
        <v>85</v>
      </c>
      <c r="AR19" s="55" t="s">
        <v>120</v>
      </c>
      <c r="AS19" s="56" t="s">
        <v>85</v>
      </c>
      <c r="AT19" s="55" t="s">
        <v>121</v>
      </c>
      <c r="AU19" s="56" t="s">
        <v>85</v>
      </c>
      <c r="AV19" s="55" t="s">
        <v>122</v>
      </c>
      <c r="AW19" s="56" t="s">
        <v>85</v>
      </c>
      <c r="AX19" s="57"/>
      <c r="AY19" s="120" t="s">
        <v>162</v>
      </c>
      <c r="AZ19" s="57"/>
      <c r="BA19" s="57"/>
      <c r="BB19" s="57"/>
      <c r="BC19" s="57"/>
      <c r="BD19" s="57"/>
      <c r="BE19" s="57"/>
    </row>
    <row r="20" spans="1:57" ht="14.25" customHeight="1" x14ac:dyDescent="0.2">
      <c r="A20" s="40">
        <v>15</v>
      </c>
      <c r="B20" s="145">
        <v>3</v>
      </c>
      <c r="C20" s="148">
        <v>2</v>
      </c>
      <c r="D20" s="145" t="s">
        <v>133</v>
      </c>
      <c r="E20" s="156" t="s">
        <v>136</v>
      </c>
      <c r="F20" s="145">
        <v>125.5</v>
      </c>
      <c r="G20" s="145">
        <v>28.9</v>
      </c>
      <c r="H20" s="146">
        <v>12</v>
      </c>
      <c r="I20" s="148">
        <v>24</v>
      </c>
      <c r="J20" s="148">
        <v>32</v>
      </c>
      <c r="K20" s="145">
        <v>29</v>
      </c>
      <c r="L20" s="148">
        <v>28</v>
      </c>
      <c r="M20" s="149">
        <v>10.7</v>
      </c>
      <c r="N20" s="148">
        <v>145</v>
      </c>
      <c r="O20" s="150">
        <v>19</v>
      </c>
      <c r="P20" s="27">
        <f>テーブル223[[#This Row],[握力2]]+テーブル223[[#This Row],[上体3]]+テーブル223[[#This Row],[長座4]]+テーブル223[[#This Row],[反復5]]+テーブル223[[#This Row],[シャトル]]+テーブル223[[#This Row],[50ｍ]]+テーブル223[[#This Row],[立幅]]+テーブル223[[#This Row],[ボール]]</f>
        <v>45</v>
      </c>
      <c r="Q20" s="43" t="str">
        <f>IF(テーブル223[[#This Row],[得点]]=0,"",IF(テーブル223[[#This Row],[年齢]]&gt;10,LOOKUP(P20,$BE$6:$BE$10,$BB$6:$BB$10),IF(テーブル223[[#This Row],[年齢]]&gt;9,LOOKUP(P20,$BD$6:$BD$10,$BB$6:$BB$10),IF(テーブル223[[#This Row],[年齢]]&gt;8,LOOKUP(P20,$BC$6:$BC$10,$BB$6:$BB$10),IF(テーブル223[[#This Row],[年齢]]&gt;7,LOOKUP(P20,$BA$6:$BA$10,$BB$6:$BB$10),IF(テーブル223[[#This Row],[年齢]]&gt;6,LOOKUP(P20,$AZ$6:$AZ$10,$BB$6:$BB$10),LOOKUP(P20,$AY$6:$AY$10,$BB$6:$BB$10)))))))</f>
        <v>Ｃ</v>
      </c>
      <c r="R20" s="42">
        <f>IF(H20="",0,(IF(テーブル223[[#This Row],[性別]]="男",LOOKUP(テーブル223[[#This Row],[握力]],$AF$6:$AG$15),LOOKUP(テーブル223[[#This Row],[握力]],$AF$20:$AG$29))))</f>
        <v>5</v>
      </c>
      <c r="S20" s="42">
        <f>IF(テーブル223[[#This Row],[上体]]="",0,(IF(テーブル223[[#This Row],[性別]]="男",LOOKUP(テーブル223[[#This Row],[上体]],$AH$6:$AI$15),LOOKUP(テーブル223[[#This Row],[上体]],$AH$20:$AI$29))))</f>
        <v>9</v>
      </c>
      <c r="T20" s="42">
        <f>IF(テーブル223[[#This Row],[長座]]="",0,(IF(テーブル223[[#This Row],[性別]]="男",LOOKUP(テーブル223[[#This Row],[長座]],$AJ$6:$AK$15),LOOKUP(テーブル223[[#This Row],[長座]],$AJ$20:$AK$29))))</f>
        <v>6</v>
      </c>
      <c r="U20" s="42">
        <f>IF(テーブル223[[#This Row],[反復]]="",0,(IF(テーブル223[[#This Row],[性別]]="男",LOOKUP(テーブル223[[#This Row],[反復]],$AL$6:$AM$15),LOOKUP(テーブル223[[#This Row],[反復]],$AL$20:$AM$29))))</f>
        <v>4</v>
      </c>
      <c r="V20" s="42">
        <f>IF(テーブル223[[#This Row],[ｼｬﾄﾙﾗﾝ]]="",0,(IF(テーブル223[[#This Row],[性別]]="男",LOOKUP(テーブル223[[#This Row],[ｼｬﾄﾙﾗﾝ]],$AP$6:$AQ$15),LOOKUP(テーブル223[[#This Row],[ｼｬﾄﾙﾗﾝ]],$AP$20:$AQ$29))))</f>
        <v>5</v>
      </c>
      <c r="W20" s="42">
        <f>IF(テーブル223[[#This Row],[50m走]]="",0,(IF(テーブル223[[#This Row],[性別]]="男",LOOKUP(テーブル223[[#This Row],[50m走]],$AR$6:$AS$15),LOOKUP(テーブル223[[#This Row],[50m走]],$AR$20:$AS$29))))</f>
        <v>4</v>
      </c>
      <c r="X20" s="42">
        <f>IF(テーブル223[[#This Row],[立幅とび]]="",0,(IF(テーブル223[[#This Row],[性別]]="男",LOOKUP(テーブル223[[#This Row],[立幅とび]],$AT$6:$AU$15),LOOKUP(テーブル223[[#This Row],[立幅とび]],$AT$20:$AU$29))))</f>
        <v>6</v>
      </c>
      <c r="Y20" s="42">
        <f>IF(テーブル223[[#This Row],[ボール投げ]]="",0,(IF(テーブル223[[#This Row],[性別]]="男",LOOKUP(テーブル223[[#This Row],[ボール投げ]],$AV$6:$AW$15),LOOKUP(テーブル223[[#This Row],[ボール投げ]],$AV$20:$AW$29))))</f>
        <v>6</v>
      </c>
      <c r="Z20" s="19">
        <f>IF(テーブル223[[#This Row],[学年]]=1,6,IF(テーブル223[[#This Row],[学年]]=2,7,IF(テーブル223[[#This Row],[学年]]=3,8,IF(テーブル223[[#This Row],[学年]]=4,9,IF(テーブル223[[#This Row],[学年]]=5,10,IF(テーブル223[[#This Row],[学年]]=6,11," "))))))</f>
        <v>8</v>
      </c>
      <c r="AA20" s="125" t="str">
        <f>IF(テーブル223[[#This Row],[肥満度数値]]=0,"",LOOKUP(AC20,$AU$39:$AU$44,$AV$39:$AV$44))</f>
        <v>正常</v>
      </c>
      <c r="AB2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25.49199999999999</v>
      </c>
      <c r="AC20" s="124">
        <f>IF(テーブル223[[#This Row],[体重]]="",0,(テーブル223[[#This Row],[体重]]-テーブル223[[#This Row],[標準体重]])/テーブル223[[#This Row],[標準体重]]*100)</f>
        <v>13.368900047073629</v>
      </c>
      <c r="AD20" s="1" t="str">
        <f>IF(テーブル223[[#This Row],[判定]]=$BB$10,"○","")</f>
        <v/>
      </c>
      <c r="AE20" s="1" t="str">
        <f>IF(AD20="","",COUNTIF($AD$6:AD20,"○"))</f>
        <v/>
      </c>
      <c r="AF20" s="61">
        <v>0</v>
      </c>
      <c r="AG20" s="62">
        <v>1</v>
      </c>
      <c r="AH20" s="61">
        <v>0</v>
      </c>
      <c r="AI20" s="62">
        <v>1</v>
      </c>
      <c r="AJ20" s="61">
        <v>0</v>
      </c>
      <c r="AK20" s="62">
        <v>1</v>
      </c>
      <c r="AL20" s="61">
        <v>0</v>
      </c>
      <c r="AM20" s="62">
        <v>1</v>
      </c>
      <c r="AN20" s="79">
        <v>0</v>
      </c>
      <c r="AO20" s="64">
        <v>10</v>
      </c>
      <c r="AP20" s="61">
        <v>0</v>
      </c>
      <c r="AQ20" s="62">
        <v>1</v>
      </c>
      <c r="AR20" s="61">
        <v>0</v>
      </c>
      <c r="AS20" s="62">
        <v>10</v>
      </c>
      <c r="AT20" s="61">
        <v>0</v>
      </c>
      <c r="AU20" s="62">
        <v>1</v>
      </c>
      <c r="AV20" s="61">
        <v>0</v>
      </c>
      <c r="AW20" s="62">
        <v>1</v>
      </c>
      <c r="AX20" s="57"/>
      <c r="AY20" s="204" t="s">
        <v>163</v>
      </c>
      <c r="AZ20" s="204" t="s">
        <v>164</v>
      </c>
      <c r="BA20" s="204"/>
      <c r="BB20" s="204" t="s">
        <v>165</v>
      </c>
      <c r="BC20" s="204"/>
      <c r="BD20" s="57"/>
      <c r="BE20" s="57"/>
    </row>
    <row r="21" spans="1:57" ht="14.25" customHeight="1" x14ac:dyDescent="0.2">
      <c r="A21" s="40">
        <v>16</v>
      </c>
      <c r="B21" s="145">
        <v>3</v>
      </c>
      <c r="C21" s="148">
        <v>2</v>
      </c>
      <c r="D21" s="145" t="s">
        <v>79</v>
      </c>
      <c r="E21" s="156" t="s">
        <v>135</v>
      </c>
      <c r="F21" s="145">
        <v>127.8</v>
      </c>
      <c r="G21" s="145">
        <v>24</v>
      </c>
      <c r="H21" s="146">
        <v>10</v>
      </c>
      <c r="I21" s="148">
        <v>15</v>
      </c>
      <c r="J21" s="148">
        <v>37</v>
      </c>
      <c r="K21" s="145">
        <v>30</v>
      </c>
      <c r="L21" s="148">
        <v>19</v>
      </c>
      <c r="M21" s="149">
        <v>10.6</v>
      </c>
      <c r="N21" s="148">
        <v>140</v>
      </c>
      <c r="O21" s="150">
        <v>9</v>
      </c>
      <c r="P21" s="27">
        <f>テーブル223[[#This Row],[握力2]]+テーブル223[[#This Row],[上体3]]+テーブル223[[#This Row],[長座4]]+テーブル223[[#This Row],[反復5]]+テーブル223[[#This Row],[シャトル]]+テーブル223[[#This Row],[50ｍ]]+テーブル223[[#This Row],[立幅]]+テーブル223[[#This Row],[ボール]]</f>
        <v>43</v>
      </c>
      <c r="Q21" s="43" t="str">
        <f>IF(テーブル223[[#This Row],[得点]]=0,"",IF(テーブル223[[#This Row],[年齢]]&gt;10,LOOKUP(P21,$BE$6:$BE$10,$BB$6:$BB$10),IF(テーブル223[[#This Row],[年齢]]&gt;9,LOOKUP(P21,$BD$6:$BD$10,$BB$6:$BB$10),IF(テーブル223[[#This Row],[年齢]]&gt;8,LOOKUP(P21,$BC$6:$BC$10,$BB$6:$BB$10),IF(テーブル223[[#This Row],[年齢]]&gt;7,LOOKUP(P21,$BA$6:$BA$10,$BB$6:$BB$10),IF(テーブル223[[#This Row],[年齢]]&gt;6,LOOKUP(P21,$AZ$6:$AZ$10,$BB$6:$BB$10),LOOKUP(P21,$AY$6:$AY$10,$BB$6:$BB$10)))))))</f>
        <v>Ｃ</v>
      </c>
      <c r="R21" s="42">
        <f>IF(H21="",0,(IF(テーブル223[[#This Row],[性別]]="男",LOOKUP(テーブル223[[#This Row],[握力]],$AF$6:$AG$15),LOOKUP(テーブル223[[#This Row],[握力]],$AF$20:$AG$29))))</f>
        <v>4</v>
      </c>
      <c r="S21" s="42">
        <f>IF(テーブル223[[#This Row],[上体]]="",0,(IF(テーブル223[[#This Row],[性別]]="男",LOOKUP(テーブル223[[#This Row],[上体]],$AH$6:$AI$15),LOOKUP(テーブル223[[#This Row],[上体]],$AH$20:$AI$29))))</f>
        <v>6</v>
      </c>
      <c r="T21" s="42">
        <f>IF(テーブル223[[#This Row],[長座]]="",0,(IF(テーブル223[[#This Row],[性別]]="男",LOOKUP(テーブル223[[#This Row],[長座]],$AJ$6:$AK$15),LOOKUP(テーブル223[[#This Row],[長座]],$AJ$20:$AK$29))))</f>
        <v>7</v>
      </c>
      <c r="U21" s="42">
        <f>IF(テーブル223[[#This Row],[反復]]="",0,(IF(テーブル223[[#This Row],[性別]]="男",LOOKUP(テーブル223[[#This Row],[反復]],$AL$6:$AM$15),LOOKUP(テーブル223[[#This Row],[反復]],$AL$20:$AM$29))))</f>
        <v>5</v>
      </c>
      <c r="V21" s="42">
        <f>IF(テーブル223[[#This Row],[ｼｬﾄﾙﾗﾝ]]="",0,(IF(テーブル223[[#This Row],[性別]]="男",LOOKUP(テーブル223[[#This Row],[ｼｬﾄﾙﾗﾝ]],$AP$6:$AQ$15),LOOKUP(テーブル223[[#This Row],[ｼｬﾄﾙﾗﾝ]],$AP$20:$AQ$29))))</f>
        <v>5</v>
      </c>
      <c r="W21" s="42">
        <f>IF(テーブル223[[#This Row],[50m走]]="",0,(IF(テーブル223[[#This Row],[性別]]="男",LOOKUP(テーブル223[[#This Row],[50m走]],$AR$6:$AS$15),LOOKUP(テーブル223[[#This Row],[50m走]],$AR$20:$AS$29))))</f>
        <v>5</v>
      </c>
      <c r="X21" s="42">
        <f>IF(テーブル223[[#This Row],[立幅とび]]="",0,(IF(テーブル223[[#This Row],[性別]]="男",LOOKUP(テーブル223[[#This Row],[立幅とび]],$AT$6:$AU$15),LOOKUP(テーブル223[[#This Row],[立幅とび]],$AT$20:$AU$29))))</f>
        <v>6</v>
      </c>
      <c r="Y21" s="42">
        <f>IF(テーブル223[[#This Row],[ボール投げ]]="",0,(IF(テーブル223[[#This Row],[性別]]="男",LOOKUP(テーブル223[[#This Row],[ボール投げ]],$AV$6:$AW$15),LOOKUP(テーブル223[[#This Row],[ボール投げ]],$AV$20:$AW$29))))</f>
        <v>5</v>
      </c>
      <c r="Z21" s="19">
        <f>IF(テーブル223[[#This Row],[学年]]=1,6,IF(テーブル223[[#This Row],[学年]]=2,7,IF(テーブル223[[#This Row],[学年]]=3,8,IF(テーブル223[[#This Row],[学年]]=4,9,IF(テーブル223[[#This Row],[学年]]=5,10,IF(テーブル223[[#This Row],[学年]]=6,11," "))))))</f>
        <v>8</v>
      </c>
      <c r="AA21" s="125" t="str">
        <f>IF(テーブル223[[#This Row],[肥満度数値]]=0,"",LOOKUP(AC21,$AU$39:$AU$44,$AV$39:$AV$44))</f>
        <v>正常</v>
      </c>
      <c r="AB2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26.689800000000005</v>
      </c>
      <c r="AC21" s="124">
        <f>IF(テーブル223[[#This Row],[体重]]="",0,(テーブル223[[#This Row],[体重]]-テーブル223[[#This Row],[標準体重]])/テーブル223[[#This Row],[標準体重]]*100)</f>
        <v>-10.078007328642419</v>
      </c>
      <c r="AD21" s="1" t="str">
        <f>IF(テーブル223[[#This Row],[判定]]=$BB$10,"○","")</f>
        <v/>
      </c>
      <c r="AE21" s="1" t="str">
        <f>IF(AD21="","",COUNTIF($AD$6:AD21,"○"))</f>
        <v/>
      </c>
      <c r="AF21" s="66">
        <v>4</v>
      </c>
      <c r="AG21" s="67">
        <v>2</v>
      </c>
      <c r="AH21" s="66">
        <v>3</v>
      </c>
      <c r="AI21" s="67">
        <v>2</v>
      </c>
      <c r="AJ21" s="66">
        <v>18</v>
      </c>
      <c r="AK21" s="67">
        <v>2</v>
      </c>
      <c r="AL21" s="66">
        <v>17</v>
      </c>
      <c r="AM21" s="67">
        <v>2</v>
      </c>
      <c r="AN21" s="77">
        <v>0.15972222222222224</v>
      </c>
      <c r="AO21" s="69">
        <v>9</v>
      </c>
      <c r="AP21" s="66">
        <v>8</v>
      </c>
      <c r="AQ21" s="67">
        <v>2</v>
      </c>
      <c r="AR21" s="66">
        <v>8.4</v>
      </c>
      <c r="AS21" s="67">
        <v>9</v>
      </c>
      <c r="AT21" s="66">
        <v>85</v>
      </c>
      <c r="AU21" s="67">
        <v>2</v>
      </c>
      <c r="AV21" s="66">
        <v>4</v>
      </c>
      <c r="AW21" s="67">
        <v>2</v>
      </c>
      <c r="AX21" s="57"/>
      <c r="AY21" s="204"/>
      <c r="AZ21" s="131" t="s">
        <v>166</v>
      </c>
      <c r="BA21" s="131" t="s">
        <v>167</v>
      </c>
      <c r="BB21" s="131" t="s">
        <v>166</v>
      </c>
      <c r="BC21" s="131" t="s">
        <v>167</v>
      </c>
      <c r="BD21" s="57"/>
      <c r="BE21" s="57"/>
    </row>
    <row r="22" spans="1:57" ht="14.25" customHeight="1" x14ac:dyDescent="0.2">
      <c r="A22" s="40">
        <v>17</v>
      </c>
      <c r="B22" s="145">
        <v>3</v>
      </c>
      <c r="C22" s="148">
        <v>3</v>
      </c>
      <c r="D22" s="145" t="s">
        <v>133</v>
      </c>
      <c r="E22" s="156" t="s">
        <v>136</v>
      </c>
      <c r="F22" s="145">
        <v>132.5</v>
      </c>
      <c r="G22" s="145">
        <v>25.6</v>
      </c>
      <c r="H22" s="146">
        <v>8</v>
      </c>
      <c r="I22" s="148">
        <v>15</v>
      </c>
      <c r="J22" s="148">
        <v>29</v>
      </c>
      <c r="K22" s="145">
        <v>25</v>
      </c>
      <c r="L22" s="148">
        <v>8</v>
      </c>
      <c r="M22" s="149">
        <v>13.4</v>
      </c>
      <c r="N22" s="148">
        <v>100</v>
      </c>
      <c r="O22" s="150">
        <v>5</v>
      </c>
      <c r="P22" s="27">
        <f>テーブル223[[#This Row],[握力2]]+テーブル223[[#This Row],[上体3]]+テーブル223[[#This Row],[長座4]]+テーブル223[[#This Row],[反復5]]+テーブル223[[#This Row],[シャトル]]+テーブル223[[#This Row],[50ｍ]]+テーブル223[[#This Row],[立幅]]+テーブル223[[#This Row],[ボール]]</f>
        <v>24</v>
      </c>
      <c r="Q22" s="43" t="str">
        <f>IF(テーブル223[[#This Row],[得点]]=0,"",IF(テーブル223[[#This Row],[年齢]]&gt;10,LOOKUP(P22,$BE$6:$BE$10,$BB$6:$BB$10),IF(テーブル223[[#This Row],[年齢]]&gt;9,LOOKUP(P22,$BD$6:$BD$10,$BB$6:$BB$10),IF(テーブル223[[#This Row],[年齢]]&gt;8,LOOKUP(P22,$BC$6:$BC$10,$BB$6:$BB$10),IF(テーブル223[[#This Row],[年齢]]&gt;7,LOOKUP(P22,$BA$6:$BA$10,$BB$6:$BB$10),IF(テーブル223[[#This Row],[年齢]]&gt;6,LOOKUP(P22,$AZ$6:$AZ$10,$BB$6:$BB$10),LOOKUP(P22,$AY$6:$AY$10,$BB$6:$BB$10)))))))</f>
        <v>Ｅ</v>
      </c>
      <c r="R22" s="42">
        <f>IF(H22="",0,(IF(テーブル223[[#This Row],[性別]]="男",LOOKUP(テーブル223[[#This Row],[握力]],$AF$6:$AG$15),LOOKUP(テーブル223[[#This Row],[握力]],$AF$20:$AG$29))))</f>
        <v>3</v>
      </c>
      <c r="S22" s="42">
        <f>IF(テーブル223[[#This Row],[上体]]="",0,(IF(テーブル223[[#This Row],[性別]]="男",LOOKUP(テーブル223[[#This Row],[上体]],$AH$6:$AI$15),LOOKUP(テーブル223[[#This Row],[上体]],$AH$20:$AI$29))))</f>
        <v>6</v>
      </c>
      <c r="T22" s="42">
        <f>IF(テーブル223[[#This Row],[長座]]="",0,(IF(テーブル223[[#This Row],[性別]]="男",LOOKUP(テーブル223[[#This Row],[長座]],$AJ$6:$AK$15),LOOKUP(テーブル223[[#This Row],[長座]],$AJ$20:$AK$29))))</f>
        <v>5</v>
      </c>
      <c r="U22" s="42">
        <f>IF(テーブル223[[#This Row],[反復]]="",0,(IF(テーブル223[[#This Row],[性別]]="男",LOOKUP(テーブル223[[#This Row],[反復]],$AL$6:$AM$15),LOOKUP(テーブル223[[#This Row],[反復]],$AL$20:$AM$29))))</f>
        <v>3</v>
      </c>
      <c r="V22" s="42">
        <f>IF(テーブル223[[#This Row],[ｼｬﾄﾙﾗﾝ]]="",0,(IF(テーブル223[[#This Row],[性別]]="男",LOOKUP(テーブル223[[#This Row],[ｼｬﾄﾙﾗﾝ]],$AP$6:$AQ$15),LOOKUP(テーブル223[[#This Row],[ｼｬﾄﾙﾗﾝ]],$AP$20:$AQ$29))))</f>
        <v>2</v>
      </c>
      <c r="W22" s="42">
        <f>IF(テーブル223[[#This Row],[50m走]]="",0,(IF(テーブル223[[#This Row],[性別]]="男",LOOKUP(テーブル223[[#This Row],[50m走]],$AR$6:$AS$15),LOOKUP(テーブル223[[#This Row],[50m走]],$AR$20:$AS$29))))</f>
        <v>1</v>
      </c>
      <c r="X22" s="42">
        <f>IF(テーブル223[[#This Row],[立幅とび]]="",0,(IF(テーブル223[[#This Row],[性別]]="男",LOOKUP(テーブル223[[#This Row],[立幅とび]],$AT$6:$AU$15),LOOKUP(テーブル223[[#This Row],[立幅とび]],$AT$20:$AU$29))))</f>
        <v>2</v>
      </c>
      <c r="Y22" s="42">
        <f>IF(テーブル223[[#This Row],[ボール投げ]]="",0,(IF(テーブル223[[#This Row],[性別]]="男",LOOKUP(テーブル223[[#This Row],[ボール投げ]],$AV$6:$AW$15),LOOKUP(テーブル223[[#This Row],[ボール投げ]],$AV$20:$AW$29))))</f>
        <v>2</v>
      </c>
      <c r="Z22" s="19">
        <f>IF(テーブル223[[#This Row],[学年]]=1,6,IF(テーブル223[[#This Row],[学年]]=2,7,IF(テーブル223[[#This Row],[学年]]=3,8,IF(テーブル223[[#This Row],[学年]]=4,9,IF(テーブル223[[#This Row],[学年]]=5,10,IF(テーブル223[[#This Row],[学年]]=6,11," "))))))</f>
        <v>8</v>
      </c>
      <c r="AA22" s="125" t="str">
        <f>IF(テーブル223[[#This Row],[肥満度数値]]=0,"",LOOKUP(AC22,$AU$39:$AU$44,$AV$39:$AV$44))</f>
        <v>正常</v>
      </c>
      <c r="AB2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29.635999999999996</v>
      </c>
      <c r="AC22" s="124">
        <f>IF(テーブル223[[#This Row],[体重]]="",0,(テーブル223[[#This Row],[体重]]-テーブル223[[#This Row],[標準体重]])/テーブル223[[#This Row],[標準体重]]*100)</f>
        <v>-13.618572007018473</v>
      </c>
      <c r="AD22" s="1" t="str">
        <f>IF(テーブル223[[#This Row],[判定]]=$BB$10,"○","")</f>
        <v/>
      </c>
      <c r="AE22" s="1" t="str">
        <f>IF(AD22="","",COUNTIF($AD$6:AD22,"○"))</f>
        <v/>
      </c>
      <c r="AF22" s="66">
        <v>7</v>
      </c>
      <c r="AG22" s="67">
        <v>3</v>
      </c>
      <c r="AH22" s="66">
        <v>6</v>
      </c>
      <c r="AI22" s="67">
        <v>3</v>
      </c>
      <c r="AJ22" s="66">
        <v>21</v>
      </c>
      <c r="AK22" s="67">
        <v>3</v>
      </c>
      <c r="AL22" s="66">
        <v>21</v>
      </c>
      <c r="AM22" s="67">
        <v>3</v>
      </c>
      <c r="AN22" s="77">
        <v>0.16874999999999998</v>
      </c>
      <c r="AO22" s="69">
        <v>8</v>
      </c>
      <c r="AP22" s="66">
        <v>10</v>
      </c>
      <c r="AQ22" s="67">
        <v>3</v>
      </c>
      <c r="AR22" s="66">
        <v>8.8000000000000007</v>
      </c>
      <c r="AS22" s="67">
        <v>8</v>
      </c>
      <c r="AT22" s="66">
        <v>98</v>
      </c>
      <c r="AU22" s="67">
        <v>3</v>
      </c>
      <c r="AV22" s="66">
        <v>5</v>
      </c>
      <c r="AW22" s="67">
        <v>3</v>
      </c>
      <c r="AX22" s="57"/>
      <c r="AY22" s="131">
        <v>5</v>
      </c>
      <c r="AZ22" s="131" t="s">
        <v>168</v>
      </c>
      <c r="BA22" s="131" t="s">
        <v>169</v>
      </c>
      <c r="BB22" s="131" t="s">
        <v>170</v>
      </c>
      <c r="BC22" s="131" t="s">
        <v>171</v>
      </c>
      <c r="BD22" s="57"/>
      <c r="BE22" s="57"/>
    </row>
    <row r="23" spans="1:57" ht="14.25" customHeight="1" x14ac:dyDescent="0.2">
      <c r="A23" s="40">
        <v>18</v>
      </c>
      <c r="B23" s="145">
        <v>3</v>
      </c>
      <c r="C23" s="148">
        <v>3</v>
      </c>
      <c r="D23" s="145" t="s">
        <v>79</v>
      </c>
      <c r="E23" s="156" t="s">
        <v>135</v>
      </c>
      <c r="F23" s="145">
        <v>139.6</v>
      </c>
      <c r="G23" s="145">
        <v>34.200000000000003</v>
      </c>
      <c r="H23" s="146">
        <v>14</v>
      </c>
      <c r="I23" s="148">
        <v>30</v>
      </c>
      <c r="J23" s="148">
        <v>38</v>
      </c>
      <c r="K23" s="145">
        <v>26</v>
      </c>
      <c r="L23" s="148">
        <v>15</v>
      </c>
      <c r="M23" s="149">
        <v>10.5</v>
      </c>
      <c r="N23" s="148">
        <v>145</v>
      </c>
      <c r="O23" s="150">
        <v>12</v>
      </c>
      <c r="P23" s="27">
        <f>テーブル223[[#This Row],[握力2]]+テーブル223[[#This Row],[上体3]]+テーブル223[[#This Row],[長座4]]+テーブル223[[#This Row],[反復5]]+テーブル223[[#This Row],[シャトル]]+テーブル223[[#This Row],[50ｍ]]+テーブル223[[#This Row],[立幅]]+テーブル223[[#This Row],[ボール]]</f>
        <v>48</v>
      </c>
      <c r="Q23" s="43" t="str">
        <f>IF(テーブル223[[#This Row],[得点]]=0,"",IF(テーブル223[[#This Row],[年齢]]&gt;10,LOOKUP(P23,$BE$6:$BE$10,$BB$6:$BB$10),IF(テーブル223[[#This Row],[年齢]]&gt;9,LOOKUP(P23,$BD$6:$BD$10,$BB$6:$BB$10),IF(テーブル223[[#This Row],[年齢]]&gt;8,LOOKUP(P23,$BC$6:$BC$10,$BB$6:$BB$10),IF(テーブル223[[#This Row],[年齢]]&gt;7,LOOKUP(P23,$BA$6:$BA$10,$BB$6:$BB$10),IF(テーブル223[[#This Row],[年齢]]&gt;6,LOOKUP(P23,$AZ$6:$AZ$10,$BB$6:$BB$10),LOOKUP(P23,$AY$6:$AY$10,$BB$6:$BB$10)))))))</f>
        <v>Ｂ</v>
      </c>
      <c r="R23" s="42">
        <f>IF(H23="",0,(IF(テーブル223[[#This Row],[性別]]="男",LOOKUP(テーブル223[[#This Row],[握力]],$AF$6:$AG$15),LOOKUP(テーブル223[[#This Row],[握力]],$AF$20:$AG$29))))</f>
        <v>6</v>
      </c>
      <c r="S23" s="42">
        <f>IF(テーブル223[[#This Row],[上体]]="",0,(IF(テーブル223[[#This Row],[性別]]="男",LOOKUP(テーブル223[[#This Row],[上体]],$AH$6:$AI$15),LOOKUP(テーブル223[[#This Row],[上体]],$AH$20:$AI$29))))</f>
        <v>10</v>
      </c>
      <c r="T23" s="42">
        <f>IF(テーブル223[[#This Row],[長座]]="",0,(IF(テーブル223[[#This Row],[性別]]="男",LOOKUP(テーブル223[[#This Row],[長座]],$AJ$6:$AK$15),LOOKUP(テーブル223[[#This Row],[長座]],$AJ$20:$AK$29))))</f>
        <v>7</v>
      </c>
      <c r="U23" s="42">
        <f>IF(テーブル223[[#This Row],[反復]]="",0,(IF(テーブル223[[#This Row],[性別]]="男",LOOKUP(テーブル223[[#This Row],[反復]],$AL$6:$AM$15),LOOKUP(テーブル223[[#This Row],[反復]],$AL$20:$AM$29))))</f>
        <v>4</v>
      </c>
      <c r="V23" s="42">
        <f>IF(テーブル223[[#This Row],[ｼｬﾄﾙﾗﾝ]]="",0,(IF(テーブル223[[#This Row],[性別]]="男",LOOKUP(テーブル223[[#This Row],[ｼｬﾄﾙﾗﾝ]],$AP$6:$AQ$15),LOOKUP(テーブル223[[#This Row],[ｼｬﾄﾙﾗﾝ]],$AP$20:$AQ$29))))</f>
        <v>4</v>
      </c>
      <c r="W23" s="42">
        <f>IF(テーブル223[[#This Row],[50m走]]="",0,(IF(テーブル223[[#This Row],[性別]]="男",LOOKUP(テーブル223[[#This Row],[50m走]],$AR$6:$AS$15),LOOKUP(テーブル223[[#This Row],[50m走]],$AR$20:$AS$29))))</f>
        <v>5</v>
      </c>
      <c r="X23" s="42">
        <f>IF(テーブル223[[#This Row],[立幅とび]]="",0,(IF(テーブル223[[#This Row],[性別]]="男",LOOKUP(テーブル223[[#This Row],[立幅とび]],$AT$6:$AU$15),LOOKUP(テーブル223[[#This Row],[立幅とび]],$AT$20:$AU$29))))</f>
        <v>6</v>
      </c>
      <c r="Y23" s="42">
        <f>IF(テーブル223[[#This Row],[ボール投げ]]="",0,(IF(テーブル223[[#This Row],[性別]]="男",LOOKUP(テーブル223[[#This Row],[ボール投げ]],$AV$6:$AW$15),LOOKUP(テーブル223[[#This Row],[ボール投げ]],$AV$20:$AW$29))))</f>
        <v>6</v>
      </c>
      <c r="Z23" s="19">
        <f>IF(テーブル223[[#This Row],[学年]]=1,6,IF(テーブル223[[#This Row],[学年]]=2,7,IF(テーブル223[[#This Row],[学年]]=3,8,IF(テーブル223[[#This Row],[学年]]=4,9,IF(テーブル223[[#This Row],[学年]]=5,10,IF(テーブル223[[#This Row],[学年]]=6,11," "))))))</f>
        <v>8</v>
      </c>
      <c r="AA23" s="125" t="str">
        <f>IF(テーブル223[[#This Row],[肥満度数値]]=0,"",LOOKUP(AC23,$AU$39:$AU$44,$AV$39:$AV$44))</f>
        <v>正常</v>
      </c>
      <c r="AB2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33.309600000000003</v>
      </c>
      <c r="AC23" s="124">
        <f>IF(テーブル223[[#This Row],[体重]]="",0,(テーブル223[[#This Row],[体重]]-テーブル223[[#This Row],[標準体重]])/テーブル223[[#This Row],[標準体重]]*100)</f>
        <v>2.6731032495136522</v>
      </c>
      <c r="AD23" s="1" t="str">
        <f>IF(テーブル223[[#This Row],[判定]]=$BB$10,"○","")</f>
        <v/>
      </c>
      <c r="AE23" s="1" t="str">
        <f>IF(AD23="","",COUNTIF($AD$6:AD23,"○"))</f>
        <v/>
      </c>
      <c r="AF23" s="66">
        <v>9</v>
      </c>
      <c r="AG23" s="67">
        <v>4</v>
      </c>
      <c r="AH23" s="66">
        <v>9</v>
      </c>
      <c r="AI23" s="67">
        <v>4</v>
      </c>
      <c r="AJ23" s="66">
        <v>25</v>
      </c>
      <c r="AK23" s="67">
        <v>4</v>
      </c>
      <c r="AL23" s="66">
        <v>25</v>
      </c>
      <c r="AM23" s="67">
        <v>4</v>
      </c>
      <c r="AN23" s="77">
        <v>0.18055555555555555</v>
      </c>
      <c r="AO23" s="69">
        <v>7</v>
      </c>
      <c r="AP23" s="66">
        <v>14</v>
      </c>
      <c r="AQ23" s="67">
        <v>4</v>
      </c>
      <c r="AR23" s="66">
        <v>9.1999999999999993</v>
      </c>
      <c r="AS23" s="67">
        <v>7</v>
      </c>
      <c r="AT23" s="66">
        <v>109</v>
      </c>
      <c r="AU23" s="67">
        <v>4</v>
      </c>
      <c r="AV23" s="66">
        <v>6</v>
      </c>
      <c r="AW23" s="67">
        <v>4</v>
      </c>
      <c r="AX23" s="57"/>
      <c r="AY23" s="131" t="s">
        <v>172</v>
      </c>
      <c r="AZ23" s="131" t="s">
        <v>173</v>
      </c>
      <c r="BA23" s="131" t="s">
        <v>174</v>
      </c>
      <c r="BB23" s="131" t="s">
        <v>175</v>
      </c>
      <c r="BC23" s="131" t="s">
        <v>176</v>
      </c>
      <c r="BD23" s="57"/>
      <c r="BE23" s="57"/>
    </row>
    <row r="24" spans="1:57" ht="14.25" customHeight="1" x14ac:dyDescent="0.2">
      <c r="A24" s="40">
        <v>19</v>
      </c>
      <c r="B24" s="145">
        <v>4</v>
      </c>
      <c r="C24" s="148">
        <v>1</v>
      </c>
      <c r="D24" s="145" t="s">
        <v>133</v>
      </c>
      <c r="E24" s="156" t="s">
        <v>136</v>
      </c>
      <c r="F24" s="145">
        <v>133.9</v>
      </c>
      <c r="G24" s="145">
        <v>28.8</v>
      </c>
      <c r="H24" s="146">
        <v>16</v>
      </c>
      <c r="I24" s="148">
        <v>24</v>
      </c>
      <c r="J24" s="148">
        <v>28</v>
      </c>
      <c r="K24" s="145">
        <v>38</v>
      </c>
      <c r="L24" s="148">
        <v>35</v>
      </c>
      <c r="M24" s="149">
        <v>8.9</v>
      </c>
      <c r="N24" s="148">
        <v>140</v>
      </c>
      <c r="O24" s="150">
        <v>34</v>
      </c>
      <c r="P24" s="27">
        <f>テーブル223[[#This Row],[握力2]]+テーブル223[[#This Row],[上体3]]+テーブル223[[#This Row],[長座4]]+テーブル223[[#This Row],[反復5]]+テーブル223[[#This Row],[シャトル]]+テーブル223[[#This Row],[50ｍ]]+テーブル223[[#This Row],[立幅]]+テーブル223[[#This Row],[ボール]]</f>
        <v>53</v>
      </c>
      <c r="Q24" s="43" t="str">
        <f>IF(テーブル223[[#This Row],[得点]]=0,"",IF(テーブル223[[#This Row],[年齢]]&gt;10,LOOKUP(P24,$BE$6:$BE$10,$BB$6:$BB$10),IF(テーブル223[[#This Row],[年齢]]&gt;9,LOOKUP(P24,$BD$6:$BD$10,$BB$6:$BB$10),IF(テーブル223[[#This Row],[年齢]]&gt;8,LOOKUP(P24,$BC$6:$BC$10,$BB$6:$BB$10),IF(テーブル223[[#This Row],[年齢]]&gt;7,LOOKUP(P24,$BA$6:$BA$10,$BB$6:$BB$10),IF(テーブル223[[#This Row],[年齢]]&gt;6,LOOKUP(P24,$AZ$6:$AZ$10,$BB$6:$BB$10),LOOKUP(P24,$AY$6:$AY$10,$BB$6:$BB$10)))))))</f>
        <v>Ｂ</v>
      </c>
      <c r="R24" s="42">
        <f>IF(H24="",0,(IF(テーブル223[[#This Row],[性別]]="男",LOOKUP(テーブル223[[#This Row],[握力]],$AF$6:$AG$15),LOOKUP(テーブル223[[#This Row],[握力]],$AF$20:$AG$29))))</f>
        <v>6</v>
      </c>
      <c r="S24" s="42">
        <f>IF(テーブル223[[#This Row],[上体]]="",0,(IF(テーブル223[[#This Row],[性別]]="男",LOOKUP(テーブル223[[#This Row],[上体]],$AH$6:$AI$15),LOOKUP(テーブル223[[#This Row],[上体]],$AH$20:$AI$29))))</f>
        <v>9</v>
      </c>
      <c r="T24" s="42">
        <f>IF(テーブル223[[#This Row],[長座]]="",0,(IF(テーブル223[[#This Row],[性別]]="男",LOOKUP(テーブル223[[#This Row],[長座]],$AJ$6:$AK$15),LOOKUP(テーブル223[[#This Row],[長座]],$AJ$20:$AK$29))))</f>
        <v>5</v>
      </c>
      <c r="U24" s="42">
        <f>IF(テーブル223[[#This Row],[反復]]="",0,(IF(テーブル223[[#This Row],[性別]]="男",LOOKUP(テーブル223[[#This Row],[反復]],$AL$6:$AM$15),LOOKUP(テーブル223[[#This Row],[反復]],$AL$20:$AM$29))))</f>
        <v>7</v>
      </c>
      <c r="V24" s="42">
        <f>IF(テーブル223[[#This Row],[ｼｬﾄﾙﾗﾝ]]="",0,(IF(テーブル223[[#This Row],[性別]]="男",LOOKUP(テーブル223[[#This Row],[ｼｬﾄﾙﾗﾝ]],$AP$6:$AQ$15),LOOKUP(テーブル223[[#This Row],[ｼｬﾄﾙﾗﾝ]],$AP$20:$AQ$29))))</f>
        <v>6</v>
      </c>
      <c r="W24" s="42">
        <f>IF(テーブル223[[#This Row],[50m走]]="",0,(IF(テーブル223[[#This Row],[性別]]="男",LOOKUP(テーブル223[[#This Row],[50m走]],$AR$6:$AS$15),LOOKUP(テーブル223[[#This Row],[50m走]],$AR$20:$AS$29))))</f>
        <v>7</v>
      </c>
      <c r="X24" s="42">
        <f>IF(テーブル223[[#This Row],[立幅とび]]="",0,(IF(テーブル223[[#This Row],[性別]]="男",LOOKUP(テーブル223[[#This Row],[立幅とび]],$AT$6:$AU$15),LOOKUP(テーブル223[[#This Row],[立幅とび]],$AT$20:$AU$29))))</f>
        <v>5</v>
      </c>
      <c r="Y24" s="42">
        <f>IF(テーブル223[[#This Row],[ボール投げ]]="",0,(IF(テーブル223[[#This Row],[性別]]="男",LOOKUP(テーブル223[[#This Row],[ボール投げ]],$AV$6:$AW$15),LOOKUP(テーブル223[[#This Row],[ボール投げ]],$AV$20:$AW$29))))</f>
        <v>8</v>
      </c>
      <c r="Z24" s="19">
        <f>IF(テーブル223[[#This Row],[学年]]=1,6,IF(テーブル223[[#This Row],[学年]]=2,7,IF(テーブル223[[#This Row],[学年]]=3,8,IF(テーブル223[[#This Row],[学年]]=4,9,IF(テーブル223[[#This Row],[学年]]=5,10,IF(テーブル223[[#This Row],[学年]]=6,11," "))))))</f>
        <v>9</v>
      </c>
      <c r="AA24" s="125" t="str">
        <f>IF(テーブル223[[#This Row],[肥満度数値]]=0,"",LOOKUP(AC24,$AU$39:$AU$44,$AV$39:$AV$44))</f>
        <v>正常</v>
      </c>
      <c r="AB2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30.599300000000014</v>
      </c>
      <c r="AC24" s="124">
        <f>IF(テーブル223[[#This Row],[体重]]="",0,(テーブル223[[#This Row],[体重]]-テーブル223[[#This Row],[標準体重]])/テーブル223[[#This Row],[標準体重]]*100)</f>
        <v>-5.8801998738533632</v>
      </c>
      <c r="AD24" s="1" t="str">
        <f>IF(テーブル223[[#This Row],[判定]]=$BB$10,"○","")</f>
        <v/>
      </c>
      <c r="AE24" s="1" t="str">
        <f>IF(AD24="","",COUNTIF($AD$6:AD24,"○"))</f>
        <v/>
      </c>
      <c r="AF24" s="66">
        <v>11</v>
      </c>
      <c r="AG24" s="67">
        <v>5</v>
      </c>
      <c r="AH24" s="66">
        <v>12</v>
      </c>
      <c r="AI24" s="67">
        <v>5</v>
      </c>
      <c r="AJ24" s="66">
        <v>29</v>
      </c>
      <c r="AK24" s="67">
        <v>5</v>
      </c>
      <c r="AL24" s="66">
        <v>28</v>
      </c>
      <c r="AM24" s="67">
        <v>5</v>
      </c>
      <c r="AN24" s="77">
        <v>0.19305555555555554</v>
      </c>
      <c r="AO24" s="69">
        <v>6</v>
      </c>
      <c r="AP24" s="66">
        <v>19</v>
      </c>
      <c r="AQ24" s="67">
        <v>5</v>
      </c>
      <c r="AR24" s="66">
        <v>9.6999999999999993</v>
      </c>
      <c r="AS24" s="67">
        <v>6</v>
      </c>
      <c r="AT24" s="66">
        <v>121</v>
      </c>
      <c r="AU24" s="67">
        <v>5</v>
      </c>
      <c r="AV24" s="66">
        <v>8</v>
      </c>
      <c r="AW24" s="67">
        <v>5</v>
      </c>
      <c r="AX24" s="57"/>
      <c r="AY24" s="131" t="s">
        <v>177</v>
      </c>
      <c r="AZ24" s="131" t="s">
        <v>178</v>
      </c>
      <c r="BA24" s="131" t="s">
        <v>179</v>
      </c>
      <c r="BB24" s="131" t="s">
        <v>180</v>
      </c>
      <c r="BC24" s="131" t="s">
        <v>181</v>
      </c>
      <c r="BD24" s="57"/>
      <c r="BE24" s="57"/>
    </row>
    <row r="25" spans="1:57" ht="14.25" customHeight="1" x14ac:dyDescent="0.2">
      <c r="A25" s="40">
        <v>20</v>
      </c>
      <c r="B25" s="145">
        <v>4</v>
      </c>
      <c r="C25" s="148">
        <v>1</v>
      </c>
      <c r="D25" s="145" t="s">
        <v>79</v>
      </c>
      <c r="E25" s="156" t="s">
        <v>135</v>
      </c>
      <c r="F25" s="145">
        <v>135.6</v>
      </c>
      <c r="G25" s="145">
        <v>32.200000000000003</v>
      </c>
      <c r="H25" s="146">
        <v>13</v>
      </c>
      <c r="I25" s="148">
        <v>18</v>
      </c>
      <c r="J25" s="148">
        <v>29</v>
      </c>
      <c r="K25" s="145">
        <v>48</v>
      </c>
      <c r="L25" s="148">
        <v>45</v>
      </c>
      <c r="M25" s="149">
        <v>9</v>
      </c>
      <c r="N25" s="148">
        <v>160</v>
      </c>
      <c r="O25" s="150">
        <v>23</v>
      </c>
      <c r="P25" s="27">
        <f>テーブル223[[#This Row],[握力2]]+テーブル223[[#This Row],[上体3]]+テーブル223[[#This Row],[長座4]]+テーブル223[[#This Row],[反復5]]+テーブル223[[#This Row],[シャトル]]+テーブル223[[#This Row],[50ｍ]]+テーブル223[[#This Row],[立幅]]+テーブル223[[#This Row],[ボール]]</f>
        <v>62</v>
      </c>
      <c r="Q25" s="43" t="str">
        <f>IF(テーブル223[[#This Row],[得点]]=0,"",IF(テーブル223[[#This Row],[年齢]]&gt;10,LOOKUP(P25,$BE$6:$BE$10,$BB$6:$BB$10),IF(テーブル223[[#This Row],[年齢]]&gt;9,LOOKUP(P25,$BD$6:$BD$10,$BB$6:$BB$10),IF(テーブル223[[#This Row],[年齢]]&gt;8,LOOKUP(P25,$BC$6:$BC$10,$BB$6:$BB$10),IF(テーブル223[[#This Row],[年齢]]&gt;7,LOOKUP(P25,$BA$6:$BA$10,$BB$6:$BB$10),IF(テーブル223[[#This Row],[年齢]]&gt;6,LOOKUP(P25,$AZ$6:$AZ$10,$BB$6:$BB$10),LOOKUP(P25,$AY$6:$AY$10,$BB$6:$BB$10)))))))</f>
        <v>Ａ</v>
      </c>
      <c r="R25" s="42">
        <f>IF(H25="",0,(IF(テーブル223[[#This Row],[性別]]="男",LOOKUP(テーブル223[[#This Row],[握力]],$AF$6:$AG$15),LOOKUP(テーブル223[[#This Row],[握力]],$AF$20:$AG$29))))</f>
        <v>6</v>
      </c>
      <c r="S25" s="42">
        <f>IF(テーブル223[[#This Row],[上体]]="",0,(IF(テーブル223[[#This Row],[性別]]="男",LOOKUP(テーブル223[[#This Row],[上体]],$AH$6:$AI$15),LOOKUP(テーブル223[[#This Row],[上体]],$AH$20:$AI$29))))</f>
        <v>8</v>
      </c>
      <c r="T25" s="42">
        <f>IF(テーブル223[[#This Row],[長座]]="",0,(IF(テーブル223[[#This Row],[性別]]="男",LOOKUP(テーブル223[[#This Row],[長座]],$AJ$6:$AK$15),LOOKUP(テーブル223[[#This Row],[長座]],$AJ$20:$AK$29))))</f>
        <v>5</v>
      </c>
      <c r="U25" s="42">
        <f>IF(テーブル223[[#This Row],[反復]]="",0,(IF(テーブル223[[#This Row],[性別]]="男",LOOKUP(テーブル223[[#This Row],[反復]],$AL$6:$AM$15),LOOKUP(テーブル223[[#This Row],[反復]],$AL$20:$AM$29))))</f>
        <v>10</v>
      </c>
      <c r="V25" s="42">
        <f>IF(テーブル223[[#This Row],[ｼｬﾄﾙﾗﾝ]]="",0,(IF(テーブル223[[#This Row],[性別]]="男",LOOKUP(テーブル223[[#This Row],[ｼｬﾄﾙﾗﾝ]],$AP$6:$AQ$15),LOOKUP(テーブル223[[#This Row],[ｼｬﾄﾙﾗﾝ]],$AP$20:$AQ$29))))</f>
        <v>8</v>
      </c>
      <c r="W25" s="42">
        <f>IF(テーブル223[[#This Row],[50m走]]="",0,(IF(テーブル223[[#This Row],[性別]]="男",LOOKUP(テーブル223[[#This Row],[50m走]],$AR$6:$AS$15),LOOKUP(テーブル223[[#This Row],[50m走]],$AR$20:$AS$29))))</f>
        <v>8</v>
      </c>
      <c r="X25" s="42">
        <f>IF(テーブル223[[#This Row],[立幅とび]]="",0,(IF(テーブル223[[#This Row],[性別]]="男",LOOKUP(テーブル223[[#This Row],[立幅とび]],$AT$6:$AU$15),LOOKUP(テーブル223[[#This Row],[立幅とび]],$AT$20:$AU$29))))</f>
        <v>8</v>
      </c>
      <c r="Y25" s="42">
        <f>IF(テーブル223[[#This Row],[ボール投げ]]="",0,(IF(テーブル223[[#This Row],[性別]]="男",LOOKUP(テーブル223[[#This Row],[ボール投げ]],$AV$6:$AW$15),LOOKUP(テーブル223[[#This Row],[ボール投げ]],$AV$20:$AW$29))))</f>
        <v>9</v>
      </c>
      <c r="Z25" s="19">
        <f>IF(テーブル223[[#This Row],[学年]]=1,6,IF(テーブル223[[#This Row],[学年]]=2,7,IF(テーブル223[[#This Row],[学年]]=3,8,IF(テーブル223[[#This Row],[学年]]=4,9,IF(テーブル223[[#This Row],[学年]]=5,10,IF(テーブル223[[#This Row],[学年]]=6,11," "))))))</f>
        <v>9</v>
      </c>
      <c r="AA25" s="125" t="str">
        <f>IF(テーブル223[[#This Row],[肥満度数値]]=0,"",LOOKUP(AC25,$AU$39:$AU$44,$AV$39:$AV$44))</f>
        <v>正常</v>
      </c>
      <c r="AB2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31.419199999999996</v>
      </c>
      <c r="AC25" s="124">
        <f>IF(テーブル223[[#This Row],[体重]]="",0,(テーブル223[[#This Row],[体重]]-テーブル223[[#This Row],[標準体重]])/テーブル223[[#This Row],[標準体重]]*100)</f>
        <v>2.4851046493863831</v>
      </c>
      <c r="AD25" s="1" t="str">
        <f>IF(テーブル223[[#This Row],[判定]]=$BB$10,"○","")</f>
        <v>○</v>
      </c>
      <c r="AE25" s="1">
        <f>IF(AD25="","",COUNTIF($AD$6:AD25,"○"))</f>
        <v>4</v>
      </c>
      <c r="AF25" s="66">
        <v>13</v>
      </c>
      <c r="AG25" s="67">
        <v>6</v>
      </c>
      <c r="AH25" s="66">
        <v>14</v>
      </c>
      <c r="AI25" s="67">
        <v>6</v>
      </c>
      <c r="AJ25" s="66">
        <v>33</v>
      </c>
      <c r="AK25" s="67">
        <v>6</v>
      </c>
      <c r="AL25" s="66">
        <v>32</v>
      </c>
      <c r="AM25" s="67">
        <v>6</v>
      </c>
      <c r="AN25" s="77">
        <v>0.20625000000000002</v>
      </c>
      <c r="AO25" s="69">
        <v>5</v>
      </c>
      <c r="AP25" s="66">
        <v>26</v>
      </c>
      <c r="AQ25" s="67">
        <v>6</v>
      </c>
      <c r="AR25" s="66">
        <v>10.3</v>
      </c>
      <c r="AS25" s="67">
        <v>5</v>
      </c>
      <c r="AT25" s="66">
        <v>134</v>
      </c>
      <c r="AU25" s="67">
        <v>6</v>
      </c>
      <c r="AV25" s="66">
        <v>11</v>
      </c>
      <c r="AW25" s="67">
        <v>6</v>
      </c>
      <c r="AX25" s="57"/>
      <c r="AY25" s="131" t="s">
        <v>182</v>
      </c>
      <c r="AZ25" s="131" t="s">
        <v>183</v>
      </c>
      <c r="BA25" s="131" t="s">
        <v>184</v>
      </c>
      <c r="BB25" s="131" t="s">
        <v>185</v>
      </c>
      <c r="BC25" s="131" t="s">
        <v>186</v>
      </c>
      <c r="BD25" s="57"/>
      <c r="BE25" s="57"/>
    </row>
    <row r="26" spans="1:57" ht="14.25" customHeight="1" x14ac:dyDescent="0.2">
      <c r="A26" s="40">
        <v>21</v>
      </c>
      <c r="B26" s="145">
        <v>4</v>
      </c>
      <c r="C26" s="148">
        <v>2</v>
      </c>
      <c r="D26" s="145" t="s">
        <v>133</v>
      </c>
      <c r="E26" s="156" t="s">
        <v>136</v>
      </c>
      <c r="F26" s="145">
        <v>139.80000000000001</v>
      </c>
      <c r="G26" s="145">
        <v>35.799999999999997</v>
      </c>
      <c r="H26" s="146">
        <v>16</v>
      </c>
      <c r="I26" s="148">
        <v>24</v>
      </c>
      <c r="J26" s="148">
        <v>27</v>
      </c>
      <c r="K26" s="145">
        <v>43</v>
      </c>
      <c r="L26" s="148">
        <v>50</v>
      </c>
      <c r="M26" s="149">
        <v>8.9</v>
      </c>
      <c r="N26" s="148">
        <v>155</v>
      </c>
      <c r="O26" s="150">
        <v>34</v>
      </c>
      <c r="P26" s="27">
        <f>テーブル223[[#This Row],[握力2]]+テーブル223[[#This Row],[上体3]]+テーブル223[[#This Row],[長座4]]+テーブル223[[#This Row],[反復5]]+テーブル223[[#This Row],[シャトル]]+テーブル223[[#This Row],[50ｍ]]+テーブル223[[#This Row],[立幅]]+テーブル223[[#This Row],[ボール]]</f>
        <v>56</v>
      </c>
      <c r="Q26" s="43" t="str">
        <f>IF(テーブル223[[#This Row],[得点]]=0,"",IF(テーブル223[[#This Row],[年齢]]&gt;10,LOOKUP(P26,$BE$6:$BE$10,$BB$6:$BB$10),IF(テーブル223[[#This Row],[年齢]]&gt;9,LOOKUP(P26,$BD$6:$BD$10,$BB$6:$BB$10),IF(テーブル223[[#This Row],[年齢]]&gt;8,LOOKUP(P26,$BC$6:$BC$10,$BB$6:$BB$10),IF(テーブル223[[#This Row],[年齢]]&gt;7,LOOKUP(P26,$BA$6:$BA$10,$BB$6:$BB$10),IF(テーブル223[[#This Row],[年齢]]&gt;6,LOOKUP(P26,$AZ$6:$AZ$10,$BB$6:$BB$10),LOOKUP(P26,$AY$6:$AY$10,$BB$6:$BB$10)))))))</f>
        <v>Ｂ</v>
      </c>
      <c r="R26" s="42">
        <f>IF(H26="",0,(IF(テーブル223[[#This Row],[性別]]="男",LOOKUP(テーブル223[[#This Row],[握力]],$AF$6:$AG$15),LOOKUP(テーブル223[[#This Row],[握力]],$AF$20:$AG$29))))</f>
        <v>6</v>
      </c>
      <c r="S26" s="42">
        <f>IF(テーブル223[[#This Row],[上体]]="",0,(IF(テーブル223[[#This Row],[性別]]="男",LOOKUP(テーブル223[[#This Row],[上体]],$AH$6:$AI$15),LOOKUP(テーブル223[[#This Row],[上体]],$AH$20:$AI$29))))</f>
        <v>9</v>
      </c>
      <c r="T26" s="42">
        <f>IF(テーブル223[[#This Row],[長座]]="",0,(IF(テーブル223[[#This Row],[性別]]="男",LOOKUP(テーブル223[[#This Row],[長座]],$AJ$6:$AK$15),LOOKUP(テーブル223[[#This Row],[長座]],$AJ$20:$AK$29))))</f>
        <v>5</v>
      </c>
      <c r="U26" s="42">
        <f>IF(テーブル223[[#This Row],[反復]]="",0,(IF(テーブル223[[#This Row],[性別]]="男",LOOKUP(テーブル223[[#This Row],[反復]],$AL$6:$AM$15),LOOKUP(テーブル223[[#This Row],[反復]],$AL$20:$AM$29))))</f>
        <v>8</v>
      </c>
      <c r="V26" s="42">
        <f>IF(テーブル223[[#This Row],[ｼｬﾄﾙﾗﾝ]]="",0,(IF(テーブル223[[#This Row],[性別]]="男",LOOKUP(テーブル223[[#This Row],[ｼｬﾄﾙﾗﾝ]],$AP$6:$AQ$15),LOOKUP(テーブル223[[#This Row],[ｼｬﾄﾙﾗﾝ]],$AP$20:$AQ$29))))</f>
        <v>7</v>
      </c>
      <c r="W26" s="42">
        <f>IF(テーブル223[[#This Row],[50m走]]="",0,(IF(テーブル223[[#This Row],[性別]]="男",LOOKUP(テーブル223[[#This Row],[50m走]],$AR$6:$AS$15),LOOKUP(テーブル223[[#This Row],[50m走]],$AR$20:$AS$29))))</f>
        <v>7</v>
      </c>
      <c r="X26" s="42">
        <f>IF(テーブル223[[#This Row],[立幅とび]]="",0,(IF(テーブル223[[#This Row],[性別]]="男",LOOKUP(テーブル223[[#This Row],[立幅とび]],$AT$6:$AU$15),LOOKUP(テーブル223[[#This Row],[立幅とび]],$AT$20:$AU$29))))</f>
        <v>6</v>
      </c>
      <c r="Y26" s="42">
        <f>IF(テーブル223[[#This Row],[ボール投げ]]="",0,(IF(テーブル223[[#This Row],[性別]]="男",LOOKUP(テーブル223[[#This Row],[ボール投げ]],$AV$6:$AW$15),LOOKUP(テーブル223[[#This Row],[ボール投げ]],$AV$20:$AW$29))))</f>
        <v>8</v>
      </c>
      <c r="Z26" s="19">
        <f>IF(テーブル223[[#This Row],[学年]]=1,6,IF(テーブル223[[#This Row],[学年]]=2,7,IF(テーブル223[[#This Row],[学年]]=3,8,IF(テーブル223[[#This Row],[学年]]=4,9,IF(テーブル223[[#This Row],[学年]]=5,10,IF(テーブル223[[#This Row],[学年]]=6,11," "))))))</f>
        <v>9</v>
      </c>
      <c r="AA26" s="125" t="str">
        <f>IF(テーブル223[[#This Row],[肥満度数値]]=0,"",LOOKUP(AC26,$AU$39:$AU$44,$AV$39:$AV$44))</f>
        <v>正常</v>
      </c>
      <c r="AB2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34.652600000000021</v>
      </c>
      <c r="AC26" s="124">
        <f>IF(テーブル223[[#This Row],[体重]]="",0,(テーブル223[[#This Row],[体重]]-テーブル223[[#This Row],[標準体重]])/テーブル223[[#This Row],[標準体重]]*100)</f>
        <v>3.3111512556055689</v>
      </c>
      <c r="AD26" s="1" t="str">
        <f>IF(テーブル223[[#This Row],[判定]]=$BB$10,"○","")</f>
        <v/>
      </c>
      <c r="AE26" s="1" t="str">
        <f>IF(AD26="","",COUNTIF($AD$6:AD26,"○"))</f>
        <v/>
      </c>
      <c r="AF26" s="66">
        <v>16</v>
      </c>
      <c r="AG26" s="67">
        <v>7</v>
      </c>
      <c r="AH26" s="66">
        <v>16</v>
      </c>
      <c r="AI26" s="67">
        <v>7</v>
      </c>
      <c r="AJ26" s="66">
        <v>37</v>
      </c>
      <c r="AK26" s="67">
        <v>7</v>
      </c>
      <c r="AL26" s="66">
        <v>36</v>
      </c>
      <c r="AM26" s="67">
        <v>7</v>
      </c>
      <c r="AN26" s="77">
        <v>0.22152777777777777</v>
      </c>
      <c r="AO26" s="69">
        <v>4</v>
      </c>
      <c r="AP26" s="66">
        <v>35</v>
      </c>
      <c r="AQ26" s="67">
        <v>7</v>
      </c>
      <c r="AR26" s="66">
        <v>11</v>
      </c>
      <c r="AS26" s="67">
        <v>4</v>
      </c>
      <c r="AT26" s="66">
        <v>147</v>
      </c>
      <c r="AU26" s="67">
        <v>7</v>
      </c>
      <c r="AV26" s="66">
        <v>14</v>
      </c>
      <c r="AW26" s="67">
        <v>7</v>
      </c>
      <c r="AX26" s="57"/>
      <c r="AY26" s="131" t="s">
        <v>187</v>
      </c>
      <c r="AZ26" s="131" t="s">
        <v>188</v>
      </c>
      <c r="BA26" s="131" t="s">
        <v>189</v>
      </c>
      <c r="BB26" s="131" t="s">
        <v>190</v>
      </c>
      <c r="BC26" s="131" t="s">
        <v>191</v>
      </c>
      <c r="BD26" s="57"/>
      <c r="BE26" s="57"/>
    </row>
    <row r="27" spans="1:57" ht="14.25" customHeight="1" x14ac:dyDescent="0.2">
      <c r="A27" s="40">
        <v>22</v>
      </c>
      <c r="B27" s="145">
        <v>4</v>
      </c>
      <c r="C27" s="148">
        <v>2</v>
      </c>
      <c r="D27" s="145" t="s">
        <v>79</v>
      </c>
      <c r="E27" s="156" t="s">
        <v>135</v>
      </c>
      <c r="F27" s="145">
        <v>131.19999999999999</v>
      </c>
      <c r="G27" s="145">
        <v>28.5</v>
      </c>
      <c r="H27" s="146">
        <v>12</v>
      </c>
      <c r="I27" s="148">
        <v>19</v>
      </c>
      <c r="J27" s="148">
        <v>27</v>
      </c>
      <c r="K27" s="145">
        <v>37</v>
      </c>
      <c r="L27" s="148">
        <v>37</v>
      </c>
      <c r="M27" s="149">
        <v>9.4</v>
      </c>
      <c r="N27" s="148">
        <v>120</v>
      </c>
      <c r="O27" s="150">
        <v>11</v>
      </c>
      <c r="P27" s="27">
        <f>テーブル223[[#This Row],[握力2]]+テーブル223[[#This Row],[上体3]]+テーブル223[[#This Row],[長座4]]+テーブル223[[#This Row],[反復5]]+テーブル223[[#This Row],[シャトル]]+テーブル223[[#This Row],[50ｍ]]+テーブル223[[#This Row],[立幅]]+テーブル223[[#This Row],[ボール]]</f>
        <v>48</v>
      </c>
      <c r="Q27" s="43" t="str">
        <f>IF(テーブル223[[#This Row],[得点]]=0,"",IF(テーブル223[[#This Row],[年齢]]&gt;10,LOOKUP(P27,$BE$6:$BE$10,$BB$6:$BB$10),IF(テーブル223[[#This Row],[年齢]]&gt;9,LOOKUP(P27,$BD$6:$BD$10,$BB$6:$BB$10),IF(テーブル223[[#This Row],[年齢]]&gt;8,LOOKUP(P27,$BC$6:$BC$10,$BB$6:$BB$10),IF(テーブル223[[#This Row],[年齢]]&gt;7,LOOKUP(P27,$BA$6:$BA$10,$BB$6:$BB$10),IF(テーブル223[[#This Row],[年齢]]&gt;6,LOOKUP(P27,$AZ$6:$AZ$10,$BB$6:$BB$10),LOOKUP(P27,$AY$6:$AY$10,$BB$6:$BB$10)))))))</f>
        <v>Ｃ</v>
      </c>
      <c r="R27" s="42">
        <f>IF(H27="",0,(IF(テーブル223[[#This Row],[性別]]="男",LOOKUP(テーブル223[[#This Row],[握力]],$AF$6:$AG$15),LOOKUP(テーブル223[[#This Row],[握力]],$AF$20:$AG$29))))</f>
        <v>5</v>
      </c>
      <c r="S27" s="42">
        <f>IF(テーブル223[[#This Row],[上体]]="",0,(IF(テーブル223[[#This Row],[性別]]="男",LOOKUP(テーブル223[[#This Row],[上体]],$AH$6:$AI$15),LOOKUP(テーブル223[[#This Row],[上体]],$AH$20:$AI$29))))</f>
        <v>8</v>
      </c>
      <c r="T27" s="42">
        <f>IF(テーブル223[[#This Row],[長座]]="",0,(IF(テーブル223[[#This Row],[性別]]="男",LOOKUP(テーブル223[[#This Row],[長座]],$AJ$6:$AK$15),LOOKUP(テーブル223[[#This Row],[長座]],$AJ$20:$AK$29))))</f>
        <v>4</v>
      </c>
      <c r="U27" s="42">
        <f>IF(テーブル223[[#This Row],[反復]]="",0,(IF(テーブル223[[#This Row],[性別]]="男",LOOKUP(テーブル223[[#This Row],[反復]],$AL$6:$AM$15),LOOKUP(テーブル223[[#This Row],[反復]],$AL$20:$AM$29))))</f>
        <v>7</v>
      </c>
      <c r="V27" s="42">
        <f>IF(テーブル223[[#This Row],[ｼｬﾄﾙﾗﾝ]]="",0,(IF(テーブル223[[#This Row],[性別]]="男",LOOKUP(テーブル223[[#This Row],[ｼｬﾄﾙﾗﾝ]],$AP$6:$AQ$15),LOOKUP(テーブル223[[#This Row],[ｼｬﾄﾙﾗﾝ]],$AP$20:$AQ$29))))</f>
        <v>7</v>
      </c>
      <c r="W27" s="42">
        <f>IF(テーブル223[[#This Row],[50m走]]="",0,(IF(テーブル223[[#This Row],[性別]]="男",LOOKUP(テーブル223[[#This Row],[50m走]],$AR$6:$AS$15),LOOKUP(テーブル223[[#This Row],[50m走]],$AR$20:$AS$29))))</f>
        <v>7</v>
      </c>
      <c r="X27" s="42">
        <f>IF(テーブル223[[#This Row],[立幅とび]]="",0,(IF(テーブル223[[#This Row],[性別]]="男",LOOKUP(テーブル223[[#This Row],[立幅とび]],$AT$6:$AU$15),LOOKUP(テーブル223[[#This Row],[立幅とび]],$AT$20:$AU$29))))</f>
        <v>4</v>
      </c>
      <c r="Y27" s="42">
        <f>IF(テーブル223[[#This Row],[ボール投げ]]="",0,(IF(テーブル223[[#This Row],[性別]]="男",LOOKUP(テーブル223[[#This Row],[ボール投げ]],$AV$6:$AW$15),LOOKUP(テーブル223[[#This Row],[ボール投げ]],$AV$20:$AW$29))))</f>
        <v>6</v>
      </c>
      <c r="Z27" s="19">
        <f>IF(テーブル223[[#This Row],[学年]]=1,6,IF(テーブル223[[#This Row],[学年]]=2,7,IF(テーブル223[[#This Row],[学年]]=3,8,IF(テーブル223[[#This Row],[学年]]=4,9,IF(テーブル223[[#This Row],[学年]]=5,10,IF(テーブル223[[#This Row],[学年]]=6,11," "))))))</f>
        <v>9</v>
      </c>
      <c r="AA27" s="125" t="str">
        <f>IF(テーブル223[[#This Row],[肥満度数値]]=0,"",LOOKUP(AC27,$AU$39:$AU$44,$AV$39:$AV$44))</f>
        <v>正常</v>
      </c>
      <c r="AB2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28.550400000000003</v>
      </c>
      <c r="AC27" s="124">
        <f>IF(テーブル223[[#This Row],[体重]]="",0,(テーブル223[[#This Row],[体重]]-テーブル223[[#This Row],[標準体重]])/テーブル223[[#This Row],[標準体重]]*100)</f>
        <v>-0.17652992602556647</v>
      </c>
      <c r="AD27" s="1" t="str">
        <f>IF(テーブル223[[#This Row],[判定]]=$BB$10,"○","")</f>
        <v/>
      </c>
      <c r="AE27" s="1" t="str">
        <f>IF(AD27="","",COUNTIF($AD$6:AD27,"○"))</f>
        <v/>
      </c>
      <c r="AF27" s="66">
        <v>19</v>
      </c>
      <c r="AG27" s="67">
        <v>8</v>
      </c>
      <c r="AH27" s="66">
        <v>18</v>
      </c>
      <c r="AI27" s="67">
        <v>8</v>
      </c>
      <c r="AJ27" s="66">
        <v>41</v>
      </c>
      <c r="AK27" s="67">
        <v>8</v>
      </c>
      <c r="AL27" s="66">
        <v>40</v>
      </c>
      <c r="AM27" s="67">
        <v>8</v>
      </c>
      <c r="AN27" s="77">
        <v>0.23819444444444446</v>
      </c>
      <c r="AO27" s="69">
        <v>3</v>
      </c>
      <c r="AP27" s="66">
        <v>44</v>
      </c>
      <c r="AQ27" s="67">
        <v>8</v>
      </c>
      <c r="AR27" s="66">
        <v>11.7</v>
      </c>
      <c r="AS27" s="67">
        <v>3</v>
      </c>
      <c r="AT27" s="66">
        <v>160</v>
      </c>
      <c r="AU27" s="67">
        <v>8</v>
      </c>
      <c r="AV27" s="66">
        <v>17</v>
      </c>
      <c r="AW27" s="67">
        <v>8</v>
      </c>
      <c r="AX27" s="57"/>
      <c r="AY27" s="131" t="s">
        <v>192</v>
      </c>
      <c r="AZ27" s="131" t="s">
        <v>193</v>
      </c>
      <c r="BA27" s="131" t="s">
        <v>194</v>
      </c>
      <c r="BB27" s="131" t="s">
        <v>195</v>
      </c>
      <c r="BC27" s="131" t="s">
        <v>196</v>
      </c>
      <c r="BD27" s="57"/>
      <c r="BE27" s="57"/>
    </row>
    <row r="28" spans="1:57" ht="14.25" customHeight="1" x14ac:dyDescent="0.2">
      <c r="A28" s="40">
        <v>23</v>
      </c>
      <c r="B28" s="145">
        <v>4</v>
      </c>
      <c r="C28" s="148">
        <v>3</v>
      </c>
      <c r="D28" s="145" t="s">
        <v>133</v>
      </c>
      <c r="E28" s="156" t="s">
        <v>136</v>
      </c>
      <c r="F28" s="145">
        <v>134.6</v>
      </c>
      <c r="G28" s="145">
        <v>25</v>
      </c>
      <c r="H28" s="146">
        <v>14</v>
      </c>
      <c r="I28" s="148">
        <v>31</v>
      </c>
      <c r="J28" s="148">
        <v>36</v>
      </c>
      <c r="K28" s="145">
        <v>40</v>
      </c>
      <c r="L28" s="148">
        <v>52</v>
      </c>
      <c r="M28" s="149">
        <v>9.4</v>
      </c>
      <c r="N28" s="148">
        <v>130</v>
      </c>
      <c r="O28" s="150">
        <v>19</v>
      </c>
      <c r="P28" s="27">
        <f>テーブル223[[#This Row],[握力2]]+テーブル223[[#This Row],[上体3]]+テーブル223[[#This Row],[長座4]]+テーブル223[[#This Row],[反復5]]+テーブル223[[#This Row],[シャトル]]+テーブル223[[#This Row],[50ｍ]]+テーブル223[[#This Row],[立幅]]+テーブル223[[#This Row],[ボール]]</f>
        <v>54</v>
      </c>
      <c r="Q28" s="43" t="str">
        <f>IF(テーブル223[[#This Row],[得点]]=0,"",IF(テーブル223[[#This Row],[年齢]]&gt;10,LOOKUP(P28,$BE$6:$BE$10,$BB$6:$BB$10),IF(テーブル223[[#This Row],[年齢]]&gt;9,LOOKUP(P28,$BD$6:$BD$10,$BB$6:$BB$10),IF(テーブル223[[#This Row],[年齢]]&gt;8,LOOKUP(P28,$BC$6:$BC$10,$BB$6:$BB$10),IF(テーブル223[[#This Row],[年齢]]&gt;7,LOOKUP(P28,$BA$6:$BA$10,$BB$6:$BB$10),IF(テーブル223[[#This Row],[年齢]]&gt;6,LOOKUP(P28,$AZ$6:$AZ$10,$BB$6:$BB$10),LOOKUP(P28,$AY$6:$AY$10,$BB$6:$BB$10)))))))</f>
        <v>Ｂ</v>
      </c>
      <c r="R28" s="42">
        <f>IF(H28="",0,(IF(テーブル223[[#This Row],[性別]]="男",LOOKUP(テーブル223[[#This Row],[握力]],$AF$6:$AG$15),LOOKUP(テーブル223[[#This Row],[握力]],$AF$20:$AG$29))))</f>
        <v>6</v>
      </c>
      <c r="S28" s="42">
        <f>IF(テーブル223[[#This Row],[上体]]="",0,(IF(テーブル223[[#This Row],[性別]]="男",LOOKUP(テーブル223[[#This Row],[上体]],$AH$6:$AI$15),LOOKUP(テーブル223[[#This Row],[上体]],$AH$20:$AI$29))))</f>
        <v>10</v>
      </c>
      <c r="T28" s="42">
        <f>IF(テーブル223[[#This Row],[長座]]="",0,(IF(テーブル223[[#This Row],[性別]]="男",LOOKUP(テーブル223[[#This Row],[長座]],$AJ$6:$AK$15),LOOKUP(テーブル223[[#This Row],[長座]],$AJ$20:$AK$29))))</f>
        <v>7</v>
      </c>
      <c r="U28" s="42">
        <f>IF(テーブル223[[#This Row],[反復]]="",0,(IF(テーブル223[[#This Row],[性別]]="男",LOOKUP(テーブル223[[#This Row],[反復]],$AL$6:$AM$15),LOOKUP(テーブル223[[#This Row],[反復]],$AL$20:$AM$29))))</f>
        <v>7</v>
      </c>
      <c r="V28" s="42">
        <f>IF(テーブル223[[#This Row],[ｼｬﾄﾙﾗﾝ]]="",0,(IF(テーブル223[[#This Row],[性別]]="男",LOOKUP(テーブル223[[#This Row],[ｼｬﾄﾙﾗﾝ]],$AP$6:$AQ$15),LOOKUP(テーブル223[[#This Row],[ｼｬﾄﾙﾗﾝ]],$AP$20:$AQ$29))))</f>
        <v>7</v>
      </c>
      <c r="W28" s="42">
        <f>IF(テーブル223[[#This Row],[50m走]]="",0,(IF(テーブル223[[#This Row],[性別]]="男",LOOKUP(テーブル223[[#This Row],[50m走]],$AR$6:$AS$15),LOOKUP(テーブル223[[#This Row],[50m走]],$AR$20:$AS$29))))</f>
        <v>6</v>
      </c>
      <c r="X28" s="42">
        <f>IF(テーブル223[[#This Row],[立幅とび]]="",0,(IF(テーブル223[[#This Row],[性別]]="男",LOOKUP(テーブル223[[#This Row],[立幅とび]],$AT$6:$AU$15),LOOKUP(テーブル223[[#This Row],[立幅とび]],$AT$20:$AU$29))))</f>
        <v>5</v>
      </c>
      <c r="Y28" s="42">
        <f>IF(テーブル223[[#This Row],[ボール投げ]]="",0,(IF(テーブル223[[#This Row],[性別]]="男",LOOKUP(テーブル223[[#This Row],[ボール投げ]],$AV$6:$AW$15),LOOKUP(テーブル223[[#This Row],[ボール投げ]],$AV$20:$AW$29))))</f>
        <v>6</v>
      </c>
      <c r="Z28" s="19">
        <f>IF(テーブル223[[#This Row],[学年]]=1,6,IF(テーブル223[[#This Row],[学年]]=2,7,IF(テーブル223[[#This Row],[学年]]=3,8,IF(テーブル223[[#This Row],[学年]]=4,9,IF(テーブル223[[#This Row],[学年]]=5,10,IF(テーブル223[[#This Row],[学年]]=6,11," "))))))</f>
        <v>9</v>
      </c>
      <c r="AA28" s="125" t="str">
        <f>IF(テーブル223[[#This Row],[肥満度数値]]=0,"",LOOKUP(AC28,$AU$39:$AU$44,$AV$39:$AV$44))</f>
        <v>正常</v>
      </c>
      <c r="AB2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31.080200000000005</v>
      </c>
      <c r="AC28" s="124">
        <f>IF(テーブル223[[#This Row],[体重]]="",0,(テーブル223[[#This Row],[体重]]-テーブル223[[#This Row],[標準体重]])/テーブル223[[#This Row],[標準体重]]*100)</f>
        <v>-19.562937175436463</v>
      </c>
      <c r="AD28" s="1" t="str">
        <f>IF(テーブル223[[#This Row],[判定]]=$BB$10,"○","")</f>
        <v/>
      </c>
      <c r="AE28" s="1" t="str">
        <f>IF(AD28="","",COUNTIF($AD$6:AD28,"○"))</f>
        <v/>
      </c>
      <c r="AF28" s="66">
        <v>22</v>
      </c>
      <c r="AG28" s="67">
        <v>9</v>
      </c>
      <c r="AH28" s="66">
        <v>20</v>
      </c>
      <c r="AI28" s="67">
        <v>9</v>
      </c>
      <c r="AJ28" s="66">
        <v>46</v>
      </c>
      <c r="AK28" s="67">
        <v>9</v>
      </c>
      <c r="AL28" s="66">
        <v>43</v>
      </c>
      <c r="AM28" s="67">
        <v>9</v>
      </c>
      <c r="AN28" s="77">
        <v>0.26041666666666669</v>
      </c>
      <c r="AO28" s="69">
        <v>2</v>
      </c>
      <c r="AP28" s="66">
        <v>54</v>
      </c>
      <c r="AQ28" s="67">
        <v>9</v>
      </c>
      <c r="AR28" s="66">
        <v>12.5</v>
      </c>
      <c r="AS28" s="67">
        <v>2</v>
      </c>
      <c r="AT28" s="66">
        <v>170</v>
      </c>
      <c r="AU28" s="67">
        <v>9</v>
      </c>
      <c r="AV28" s="66">
        <v>21</v>
      </c>
      <c r="AW28" s="67">
        <v>9</v>
      </c>
      <c r="AX28" s="57"/>
      <c r="AY28" s="131" t="s">
        <v>197</v>
      </c>
      <c r="AZ28" s="131" t="s">
        <v>198</v>
      </c>
      <c r="BA28" s="131" t="s">
        <v>199</v>
      </c>
      <c r="BB28" s="131" t="s">
        <v>200</v>
      </c>
      <c r="BC28" s="131" t="s">
        <v>201</v>
      </c>
      <c r="BD28" s="57"/>
      <c r="BE28" s="57"/>
    </row>
    <row r="29" spans="1:57" ht="14.25" customHeight="1" thickBot="1" x14ac:dyDescent="0.25">
      <c r="A29" s="40">
        <v>24</v>
      </c>
      <c r="B29" s="145">
        <v>4</v>
      </c>
      <c r="C29" s="148">
        <v>3</v>
      </c>
      <c r="D29" s="145" t="s">
        <v>79</v>
      </c>
      <c r="E29" s="156" t="s">
        <v>135</v>
      </c>
      <c r="F29" s="145">
        <v>133.6</v>
      </c>
      <c r="G29" s="145">
        <v>30</v>
      </c>
      <c r="H29" s="146">
        <v>12</v>
      </c>
      <c r="I29" s="148">
        <v>23</v>
      </c>
      <c r="J29" s="148">
        <v>30</v>
      </c>
      <c r="K29" s="145">
        <v>30</v>
      </c>
      <c r="L29" s="148">
        <v>30</v>
      </c>
      <c r="M29" s="149">
        <v>10.9</v>
      </c>
      <c r="N29" s="148">
        <v>125</v>
      </c>
      <c r="O29" s="150">
        <v>15</v>
      </c>
      <c r="P29" s="27">
        <f>テーブル223[[#This Row],[握力2]]+テーブル223[[#This Row],[上体3]]+テーブル223[[#This Row],[長座4]]+テーブル223[[#This Row],[反復5]]+テーブル223[[#This Row],[シャトル]]+テーブル223[[#This Row],[50ｍ]]+テーブル223[[#This Row],[立幅]]+テーブル223[[#This Row],[ボール]]</f>
        <v>48</v>
      </c>
      <c r="Q29" s="43" t="str">
        <f>IF(テーブル223[[#This Row],[得点]]=0,"",IF(テーブル223[[#This Row],[年齢]]&gt;10,LOOKUP(P29,$BE$6:$BE$10,$BB$6:$BB$10),IF(テーブル223[[#This Row],[年齢]]&gt;9,LOOKUP(P29,$BD$6:$BD$10,$BB$6:$BB$10),IF(テーブル223[[#This Row],[年齢]]&gt;8,LOOKUP(P29,$BC$6:$BC$10,$BB$6:$BB$10),IF(テーブル223[[#This Row],[年齢]]&gt;7,LOOKUP(P29,$BA$6:$BA$10,$BB$6:$BB$10),IF(テーブル223[[#This Row],[年齢]]&gt;6,LOOKUP(P29,$AZ$6:$AZ$10,$BB$6:$BB$10),LOOKUP(P29,$AY$6:$AY$10,$BB$6:$BB$10)))))))</f>
        <v>Ｃ</v>
      </c>
      <c r="R29" s="42">
        <f>IF(H29="",0,(IF(テーブル223[[#This Row],[性別]]="男",LOOKUP(テーブル223[[#This Row],[握力]],$AF$6:$AG$15),LOOKUP(テーブル223[[#This Row],[握力]],$AF$20:$AG$29))))</f>
        <v>5</v>
      </c>
      <c r="S29" s="42">
        <f>IF(テーブル223[[#This Row],[上体]]="",0,(IF(テーブル223[[#This Row],[性別]]="男",LOOKUP(テーブル223[[#This Row],[上体]],$AH$6:$AI$15),LOOKUP(テーブル223[[#This Row],[上体]],$AH$20:$AI$29))))</f>
        <v>10</v>
      </c>
      <c r="T29" s="42">
        <f>IF(テーブル223[[#This Row],[長座]]="",0,(IF(テーブル223[[#This Row],[性別]]="男",LOOKUP(テーブル223[[#This Row],[長座]],$AJ$6:$AK$15),LOOKUP(テーブル223[[#This Row],[長座]],$AJ$20:$AK$29))))</f>
        <v>5</v>
      </c>
      <c r="U29" s="42">
        <f>IF(テーブル223[[#This Row],[反復]]="",0,(IF(テーブル223[[#This Row],[性別]]="男",LOOKUP(テーブル223[[#This Row],[反復]],$AL$6:$AM$15),LOOKUP(テーブル223[[#This Row],[反復]],$AL$20:$AM$29))))</f>
        <v>5</v>
      </c>
      <c r="V29" s="42">
        <f>IF(テーブル223[[#This Row],[ｼｬﾄﾙﾗﾝ]]="",0,(IF(テーブル223[[#This Row],[性別]]="男",LOOKUP(テーブル223[[#This Row],[ｼｬﾄﾙﾗﾝ]],$AP$6:$AQ$15),LOOKUP(テーブル223[[#This Row],[ｼｬﾄﾙﾗﾝ]],$AP$20:$AQ$29))))</f>
        <v>6</v>
      </c>
      <c r="W29" s="42">
        <f>IF(テーブル223[[#This Row],[50m走]]="",0,(IF(テーブル223[[#This Row],[性別]]="男",LOOKUP(テーブル223[[#This Row],[50m走]],$AR$6:$AS$15),LOOKUP(テーブル223[[#This Row],[50m走]],$AR$20:$AS$29))))</f>
        <v>5</v>
      </c>
      <c r="X29" s="42">
        <f>IF(テーブル223[[#This Row],[立幅とび]]="",0,(IF(テーブル223[[#This Row],[性別]]="男",LOOKUP(テーブル223[[#This Row],[立幅とび]],$AT$6:$AU$15),LOOKUP(テーブル223[[#This Row],[立幅とび]],$AT$20:$AU$29))))</f>
        <v>5</v>
      </c>
      <c r="Y29" s="42">
        <f>IF(テーブル223[[#This Row],[ボール投げ]]="",0,(IF(テーブル223[[#This Row],[性別]]="男",LOOKUP(テーブル223[[#This Row],[ボール投げ]],$AV$6:$AW$15),LOOKUP(テーブル223[[#This Row],[ボール投げ]],$AV$20:$AW$29))))</f>
        <v>7</v>
      </c>
      <c r="Z29" s="19">
        <f>IF(テーブル223[[#This Row],[学年]]=1,6,IF(テーブル223[[#This Row],[学年]]=2,7,IF(テーブル223[[#This Row],[学年]]=3,8,IF(テーブル223[[#This Row],[学年]]=4,9,IF(テーブル223[[#This Row],[学年]]=5,10,IF(テーブル223[[#This Row],[学年]]=6,11," "))))))</f>
        <v>9</v>
      </c>
      <c r="AA29" s="125" t="str">
        <f>IF(テーブル223[[#This Row],[肥満度数値]]=0,"",LOOKUP(AC29,$AU$39:$AU$44,$AV$39:$AV$44))</f>
        <v>正常</v>
      </c>
      <c r="AB2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30.115200000000009</v>
      </c>
      <c r="AC29" s="124">
        <f>IF(テーブル223[[#This Row],[体重]]="",0,(テーブル223[[#This Row],[体重]]-テーブル223[[#This Row],[標準体重]])/テーブル223[[#This Row],[標準体重]]*100)</f>
        <v>-0.38253108065033137</v>
      </c>
      <c r="AD29" s="1" t="str">
        <f>IF(テーブル223[[#This Row],[判定]]=$BB$10,"○","")</f>
        <v/>
      </c>
      <c r="AE29" s="1" t="str">
        <f>IF(AD29="","",COUNTIF($AD$6:AD29,"○"))</f>
        <v/>
      </c>
      <c r="AF29" s="74">
        <v>25</v>
      </c>
      <c r="AG29" s="75">
        <v>10</v>
      </c>
      <c r="AH29" s="74">
        <v>23</v>
      </c>
      <c r="AI29" s="75">
        <v>10</v>
      </c>
      <c r="AJ29" s="74">
        <v>52</v>
      </c>
      <c r="AK29" s="75">
        <v>10</v>
      </c>
      <c r="AL29" s="74">
        <v>47</v>
      </c>
      <c r="AM29" s="75">
        <v>10</v>
      </c>
      <c r="AN29" s="78">
        <v>0.2902777777777778</v>
      </c>
      <c r="AO29" s="72">
        <v>1</v>
      </c>
      <c r="AP29" s="74">
        <v>64</v>
      </c>
      <c r="AQ29" s="75">
        <v>10</v>
      </c>
      <c r="AR29" s="74">
        <v>13.3</v>
      </c>
      <c r="AS29" s="75">
        <v>1</v>
      </c>
      <c r="AT29" s="74">
        <v>181</v>
      </c>
      <c r="AU29" s="75">
        <v>10</v>
      </c>
      <c r="AV29" s="74">
        <v>25</v>
      </c>
      <c r="AW29" s="75">
        <v>10</v>
      </c>
      <c r="AX29" s="57"/>
      <c r="AY29" s="131" t="s">
        <v>202</v>
      </c>
      <c r="AZ29" s="131" t="s">
        <v>203</v>
      </c>
      <c r="BA29" s="131" t="s">
        <v>204</v>
      </c>
      <c r="BB29" s="131" t="s">
        <v>205</v>
      </c>
      <c r="BC29" s="131" t="s">
        <v>206</v>
      </c>
      <c r="BD29" s="57"/>
      <c r="BE29" s="57"/>
    </row>
    <row r="30" spans="1:57" ht="14.25" customHeight="1" x14ac:dyDescent="0.2">
      <c r="A30" s="40">
        <v>25</v>
      </c>
      <c r="B30" s="145">
        <v>5</v>
      </c>
      <c r="C30" s="148">
        <v>1</v>
      </c>
      <c r="D30" s="145" t="s">
        <v>133</v>
      </c>
      <c r="E30" s="156" t="s">
        <v>136</v>
      </c>
      <c r="F30" s="145">
        <v>140.4</v>
      </c>
      <c r="G30" s="145">
        <v>36.799999999999997</v>
      </c>
      <c r="H30" s="146">
        <v>14</v>
      </c>
      <c r="I30" s="148">
        <v>30</v>
      </c>
      <c r="J30" s="148">
        <v>39</v>
      </c>
      <c r="K30" s="145">
        <v>47</v>
      </c>
      <c r="L30" s="148">
        <v>54</v>
      </c>
      <c r="M30" s="149">
        <v>8.1999999999999993</v>
      </c>
      <c r="N30" s="148">
        <v>165</v>
      </c>
      <c r="O30" s="150">
        <v>33</v>
      </c>
      <c r="P30" s="27">
        <f>テーブル223[[#This Row],[握力2]]+テーブル223[[#This Row],[上体3]]+テーブル223[[#This Row],[長座4]]+テーブル223[[#This Row],[反復5]]+テーブル223[[#This Row],[シャトル]]+テーブル223[[#This Row],[50ｍ]]+テーブル223[[#This Row],[立幅]]+テーブル223[[#This Row],[ボール]]</f>
        <v>64</v>
      </c>
      <c r="Q30" s="43" t="str">
        <f>IF(テーブル223[[#This Row],[得点]]=0,"",IF(テーブル223[[#This Row],[年齢]]&gt;10,LOOKUP(P30,$BE$6:$BE$10,$BB$6:$BB$10),IF(テーブル223[[#This Row],[年齢]]&gt;9,LOOKUP(P30,$BD$6:$BD$10,$BB$6:$BB$10),IF(テーブル223[[#This Row],[年齢]]&gt;8,LOOKUP(P30,$BC$6:$BC$10,$BB$6:$BB$10),IF(テーブル223[[#This Row],[年齢]]&gt;7,LOOKUP(P30,$BA$6:$BA$10,$BB$6:$BB$10),IF(テーブル223[[#This Row],[年齢]]&gt;6,LOOKUP(P30,$AZ$6:$AZ$10,$BB$6:$BB$10),LOOKUP(P30,$AY$6:$AY$10,$BB$6:$BB$10)))))))</f>
        <v>Ｂ</v>
      </c>
      <c r="R30" s="42">
        <f>IF(H30="",0,(IF(テーブル223[[#This Row],[性別]]="男",LOOKUP(テーブル223[[#This Row],[握力]],$AF$6:$AG$15),LOOKUP(テーブル223[[#This Row],[握力]],$AF$20:$AG$29))))</f>
        <v>6</v>
      </c>
      <c r="S30" s="42">
        <f>IF(テーブル223[[#This Row],[上体]]="",0,(IF(テーブル223[[#This Row],[性別]]="男",LOOKUP(テーブル223[[#This Row],[上体]],$AH$6:$AI$15),LOOKUP(テーブル223[[#This Row],[上体]],$AH$20:$AI$29))))</f>
        <v>10</v>
      </c>
      <c r="T30" s="42">
        <f>IF(テーブル223[[#This Row],[長座]]="",0,(IF(テーブル223[[#This Row],[性別]]="男",LOOKUP(テーブル223[[#This Row],[長座]],$AJ$6:$AK$15),LOOKUP(テーブル223[[#This Row],[長座]],$AJ$20:$AK$29))))</f>
        <v>8</v>
      </c>
      <c r="U30" s="42">
        <f>IF(テーブル223[[#This Row],[反復]]="",0,(IF(テーブル223[[#This Row],[性別]]="男",LOOKUP(テーブル223[[#This Row],[反復]],$AL$6:$AM$15),LOOKUP(テーブル223[[#This Row],[反復]],$AL$20:$AM$29))))</f>
        <v>9</v>
      </c>
      <c r="V30" s="42">
        <f>IF(テーブル223[[#This Row],[ｼｬﾄﾙﾗﾝ]]="",0,(IF(テーブル223[[#This Row],[性別]]="男",LOOKUP(テーブル223[[#This Row],[ｼｬﾄﾙﾗﾝ]],$AP$6:$AQ$15),LOOKUP(テーブル223[[#This Row],[ｼｬﾄﾙﾗﾝ]],$AP$20:$AQ$29))))</f>
        <v>7</v>
      </c>
      <c r="W30" s="42">
        <f>IF(テーブル223[[#This Row],[50m走]]="",0,(IF(テーブル223[[#This Row],[性別]]="男",LOOKUP(テーブル223[[#This Row],[50m走]],$AR$6:$AS$15),LOOKUP(テーブル223[[#This Row],[50m走]],$AR$20:$AS$29))))</f>
        <v>9</v>
      </c>
      <c r="X30" s="42">
        <f>IF(テーブル223[[#This Row],[立幅とび]]="",0,(IF(テーブル223[[#This Row],[性別]]="男",LOOKUP(テーブル223[[#This Row],[立幅とび]],$AT$6:$AU$15),LOOKUP(テーブル223[[#This Row],[立幅とび]],$AT$20:$AU$29))))</f>
        <v>7</v>
      </c>
      <c r="Y30" s="42">
        <f>IF(テーブル223[[#This Row],[ボール投げ]]="",0,(IF(テーブル223[[#This Row],[性別]]="男",LOOKUP(テーブル223[[#This Row],[ボール投げ]],$AV$6:$AW$15),LOOKUP(テーブル223[[#This Row],[ボール投げ]],$AV$20:$AW$29))))</f>
        <v>8</v>
      </c>
      <c r="Z30" s="19">
        <f>IF(テーブル223[[#This Row],[学年]]=1,6,IF(テーブル223[[#This Row],[学年]]=2,7,IF(テーブル223[[#This Row],[学年]]=3,8,IF(テーブル223[[#This Row],[学年]]=4,9,IF(テーブル223[[#This Row],[学年]]=5,10,IF(テーブル223[[#This Row],[学年]]=6,11," "))))))</f>
        <v>10</v>
      </c>
      <c r="AA30" s="125" t="str">
        <f>IF(テーブル223[[#This Row],[肥満度数値]]=0,"",LOOKUP(AC30,$AU$39:$AU$44,$AV$39:$AV$44))</f>
        <v>正常</v>
      </c>
      <c r="AB3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35.119800000000012</v>
      </c>
      <c r="AC30" s="124">
        <f>IF(テーブル223[[#This Row],[体重]]="",0,(テーブル223[[#This Row],[体重]]-テーブル223[[#This Row],[標準体重]])/テーブル223[[#This Row],[標準体重]]*100)</f>
        <v>4.7841958097710826</v>
      </c>
      <c r="AD30" s="1" t="str">
        <f>IF(テーブル223[[#This Row],[判定]]=$BB$10,"○","")</f>
        <v/>
      </c>
      <c r="AE30" s="1" t="str">
        <f>IF(AD30="","",COUNTIF($AD$6:AD30,"○"))</f>
        <v/>
      </c>
      <c r="AY30" s="131" t="s">
        <v>207</v>
      </c>
      <c r="AZ30" s="131" t="s">
        <v>208</v>
      </c>
      <c r="BA30" s="131" t="s">
        <v>209</v>
      </c>
      <c r="BB30" s="131" t="s">
        <v>210</v>
      </c>
      <c r="BC30" s="131" t="s">
        <v>211</v>
      </c>
    </row>
    <row r="31" spans="1:57" ht="14.25" customHeight="1" x14ac:dyDescent="0.2">
      <c r="A31" s="40">
        <v>26</v>
      </c>
      <c r="B31" s="145">
        <v>5</v>
      </c>
      <c r="C31" s="148">
        <v>1</v>
      </c>
      <c r="D31" s="145" t="s">
        <v>79</v>
      </c>
      <c r="E31" s="156" t="s">
        <v>135</v>
      </c>
      <c r="F31" s="145">
        <v>139.1</v>
      </c>
      <c r="G31" s="145">
        <v>32.6</v>
      </c>
      <c r="H31" s="146">
        <v>19</v>
      </c>
      <c r="I31" s="148">
        <v>30</v>
      </c>
      <c r="J31" s="148">
        <v>42</v>
      </c>
      <c r="K31" s="145">
        <v>43</v>
      </c>
      <c r="L31" s="148">
        <v>68</v>
      </c>
      <c r="M31" s="149">
        <v>7.8</v>
      </c>
      <c r="N31" s="148">
        <v>168</v>
      </c>
      <c r="O31" s="150">
        <v>45</v>
      </c>
      <c r="P31" s="27">
        <f>テーブル223[[#This Row],[握力2]]+テーブル223[[#This Row],[上体3]]+テーブル223[[#This Row],[長座4]]+テーブル223[[#This Row],[反復5]]+テーブル223[[#This Row],[シャトル]]+テーブル223[[#This Row],[50ｍ]]+テーブル223[[#This Row],[立幅]]+テーブル223[[#This Row],[ボール]]</f>
        <v>73</v>
      </c>
      <c r="Q31" s="43" t="str">
        <f>IF(テーブル223[[#This Row],[得点]]=0,"",IF(テーブル223[[#This Row],[年齢]]&gt;10,LOOKUP(P31,$BE$6:$BE$10,$BB$6:$BB$10),IF(テーブル223[[#This Row],[年齢]]&gt;9,LOOKUP(P31,$BD$6:$BD$10,$BB$6:$BB$10),IF(テーブル223[[#This Row],[年齢]]&gt;8,LOOKUP(P31,$BC$6:$BC$10,$BB$6:$BB$10),IF(テーブル223[[#This Row],[年齢]]&gt;7,LOOKUP(P31,$BA$6:$BA$10,$BB$6:$BB$10),IF(テーブル223[[#This Row],[年齢]]&gt;6,LOOKUP(P31,$AZ$6:$AZ$10,$BB$6:$BB$10),LOOKUP(P31,$AY$6:$AY$10,$BB$6:$BB$10)))))))</f>
        <v>Ａ</v>
      </c>
      <c r="R31" s="42">
        <f>IF(H31="",0,(IF(テーブル223[[#This Row],[性別]]="男",LOOKUP(テーブル223[[#This Row],[握力]],$AF$6:$AG$15),LOOKUP(テーブル223[[#This Row],[握力]],$AF$20:$AG$29))))</f>
        <v>8</v>
      </c>
      <c r="S31" s="42">
        <f>IF(テーブル223[[#This Row],[上体]]="",0,(IF(テーブル223[[#This Row],[性別]]="男",LOOKUP(テーブル223[[#This Row],[上体]],$AH$6:$AI$15),LOOKUP(テーブル223[[#This Row],[上体]],$AH$20:$AI$29))))</f>
        <v>10</v>
      </c>
      <c r="T31" s="42">
        <f>IF(テーブル223[[#This Row],[長座]]="",0,(IF(テーブル223[[#This Row],[性別]]="男",LOOKUP(テーブル223[[#This Row],[長座]],$AJ$6:$AK$15),LOOKUP(テーブル223[[#This Row],[長座]],$AJ$20:$AK$29))))</f>
        <v>8</v>
      </c>
      <c r="U31" s="42">
        <f>IF(テーブル223[[#This Row],[反復]]="",0,(IF(テーブル223[[#This Row],[性別]]="男",LOOKUP(テーブル223[[#This Row],[反復]],$AL$6:$AM$15),LOOKUP(テーブル223[[#This Row],[反復]],$AL$20:$AM$29))))</f>
        <v>9</v>
      </c>
      <c r="V31" s="42">
        <f>IF(テーブル223[[#This Row],[ｼｬﾄﾙﾗﾝ]]="",0,(IF(テーブル223[[#This Row],[性別]]="男",LOOKUP(テーブル223[[#This Row],[ｼｬﾄﾙﾗﾝ]],$AP$6:$AQ$15),LOOKUP(テーブル223[[#This Row],[ｼｬﾄﾙﾗﾝ]],$AP$20:$AQ$29))))</f>
        <v>10</v>
      </c>
      <c r="W31" s="42">
        <f>IF(テーブル223[[#This Row],[50m走]]="",0,(IF(テーブル223[[#This Row],[性別]]="男",LOOKUP(テーブル223[[#This Row],[50m走]],$AR$6:$AS$15),LOOKUP(テーブル223[[#This Row],[50m走]],$AR$20:$AS$29))))</f>
        <v>10</v>
      </c>
      <c r="X31" s="42">
        <f>IF(テーブル223[[#This Row],[立幅とび]]="",0,(IF(テーブル223[[#This Row],[性別]]="男",LOOKUP(テーブル223[[#This Row],[立幅とび]],$AT$6:$AU$15),LOOKUP(テーブル223[[#This Row],[立幅とび]],$AT$20:$AU$29))))</f>
        <v>8</v>
      </c>
      <c r="Y31" s="42">
        <f>IF(テーブル223[[#This Row],[ボール投げ]]="",0,(IF(テーブル223[[#This Row],[性別]]="男",LOOKUP(テーブル223[[#This Row],[ボール投げ]],$AV$6:$AW$15),LOOKUP(テーブル223[[#This Row],[ボール投げ]],$AV$20:$AW$29))))</f>
        <v>10</v>
      </c>
      <c r="Z31" s="19">
        <f>IF(テーブル223[[#This Row],[学年]]=1,6,IF(テーブル223[[#This Row],[学年]]=2,7,IF(テーブル223[[#This Row],[学年]]=3,8,IF(テーブル223[[#This Row],[学年]]=4,9,IF(テーブル223[[#This Row],[学年]]=5,10,IF(テーブル223[[#This Row],[学年]]=6,11," "))))))</f>
        <v>10</v>
      </c>
      <c r="AA31" s="125" t="str">
        <f>IF(テーブル223[[#This Row],[肥満度数値]]=0,"",LOOKUP(AC31,$AU$39:$AU$44,$AV$39:$AV$44))</f>
        <v>正常</v>
      </c>
      <c r="AB3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33.451999999999998</v>
      </c>
      <c r="AC31" s="124">
        <f>IF(テーブル223[[#This Row],[体重]]="",0,(テーブル223[[#This Row],[体重]]-テーブル223[[#This Row],[標準体重]])/テーブル223[[#This Row],[標準体重]]*100)</f>
        <v>-2.5469329188090302</v>
      </c>
      <c r="AD31" s="1" t="str">
        <f>IF(テーブル223[[#This Row],[判定]]=$BB$10,"○","")</f>
        <v>○</v>
      </c>
      <c r="AE31" s="1">
        <f>IF(AD31="","",COUNTIF($AD$6:AD31,"○"))</f>
        <v>5</v>
      </c>
      <c r="AY31" s="131" t="s">
        <v>212</v>
      </c>
      <c r="AZ31" s="131" t="s">
        <v>213</v>
      </c>
      <c r="BA31" s="131" t="s">
        <v>214</v>
      </c>
      <c r="BB31" s="131" t="s">
        <v>215</v>
      </c>
      <c r="BC31" s="131" t="s">
        <v>216</v>
      </c>
    </row>
    <row r="32" spans="1:57" ht="14.25" customHeight="1" x14ac:dyDescent="0.2">
      <c r="A32" s="40">
        <v>27</v>
      </c>
      <c r="B32" s="145">
        <v>5</v>
      </c>
      <c r="C32" s="148">
        <v>2</v>
      </c>
      <c r="D32" s="145" t="s">
        <v>133</v>
      </c>
      <c r="E32" s="156" t="s">
        <v>136</v>
      </c>
      <c r="F32" s="145">
        <v>135.30000000000001</v>
      </c>
      <c r="G32" s="145">
        <v>28.2</v>
      </c>
      <c r="H32" s="146">
        <v>11</v>
      </c>
      <c r="I32" s="148">
        <v>19</v>
      </c>
      <c r="J32" s="148">
        <v>30</v>
      </c>
      <c r="K32" s="145">
        <v>41</v>
      </c>
      <c r="L32" s="148">
        <v>45</v>
      </c>
      <c r="M32" s="149">
        <v>9.1999999999999993</v>
      </c>
      <c r="N32" s="148">
        <v>158</v>
      </c>
      <c r="O32" s="150">
        <v>23</v>
      </c>
      <c r="P32" s="27">
        <f>テーブル223[[#This Row],[握力2]]+テーブル223[[#This Row],[上体3]]+テーブル223[[#This Row],[長座4]]+テーブル223[[#This Row],[反復5]]+テーブル223[[#This Row],[シャトル]]+テーブル223[[#This Row],[50ｍ]]+テーブル223[[#This Row],[立幅]]+テーブル223[[#This Row],[ボール]]</f>
        <v>52</v>
      </c>
      <c r="Q32" s="43" t="str">
        <f>IF(テーブル223[[#This Row],[得点]]=0,"",IF(テーブル223[[#This Row],[年齢]]&gt;10,LOOKUP(P32,$BE$6:$BE$10,$BB$6:$BB$10),IF(テーブル223[[#This Row],[年齢]]&gt;9,LOOKUP(P32,$BD$6:$BD$10,$BB$6:$BB$10),IF(テーブル223[[#This Row],[年齢]]&gt;8,LOOKUP(P32,$BC$6:$BC$10,$BB$6:$BB$10),IF(テーブル223[[#This Row],[年齢]]&gt;7,LOOKUP(P32,$BA$6:$BA$10,$BB$6:$BB$10),IF(テーブル223[[#This Row],[年齢]]&gt;6,LOOKUP(P32,$AZ$6:$AZ$10,$BB$6:$BB$10),LOOKUP(P32,$AY$6:$AY$10,$BB$6:$BB$10)))))))</f>
        <v>Ｃ</v>
      </c>
      <c r="R32" s="42">
        <f>IF(H32="",0,(IF(テーブル223[[#This Row],[性別]]="男",LOOKUP(テーブル223[[#This Row],[握力]],$AF$6:$AG$15),LOOKUP(テーブル223[[#This Row],[握力]],$AF$20:$AG$29))))</f>
        <v>5</v>
      </c>
      <c r="S32" s="42">
        <f>IF(テーブル223[[#This Row],[上体]]="",0,(IF(テーブル223[[#This Row],[性別]]="男",LOOKUP(テーブル223[[#This Row],[上体]],$AH$6:$AI$15),LOOKUP(テーブル223[[#This Row],[上体]],$AH$20:$AI$29))))</f>
        <v>7</v>
      </c>
      <c r="T32" s="42">
        <f>IF(テーブル223[[#This Row],[長座]]="",0,(IF(テーブル223[[#This Row],[性別]]="男",LOOKUP(テーブル223[[#This Row],[長座]],$AJ$6:$AK$15),LOOKUP(テーブル223[[#This Row],[長座]],$AJ$20:$AK$29))))</f>
        <v>6</v>
      </c>
      <c r="U32" s="42">
        <f>IF(テーブル223[[#This Row],[反復]]="",0,(IF(テーブル223[[#This Row],[性別]]="男",LOOKUP(テーブル223[[#This Row],[反復]],$AL$6:$AM$15),LOOKUP(テーブル223[[#This Row],[反復]],$AL$20:$AM$29))))</f>
        <v>7</v>
      </c>
      <c r="V32" s="42">
        <f>IF(テーブル223[[#This Row],[ｼｬﾄﾙﾗﾝ]]="",0,(IF(テーブル223[[#This Row],[性別]]="男",LOOKUP(テーブル223[[#This Row],[ｼｬﾄﾙﾗﾝ]],$AP$6:$AQ$15),LOOKUP(テーブル223[[#This Row],[ｼｬﾄﾙﾗﾝ]],$AP$20:$AQ$29))))</f>
        <v>7</v>
      </c>
      <c r="W32" s="42">
        <f>IF(テーブル223[[#This Row],[50m走]]="",0,(IF(テーブル223[[#This Row],[性別]]="男",LOOKUP(テーブル223[[#This Row],[50m走]],$AR$6:$AS$15),LOOKUP(テーブル223[[#This Row],[50m走]],$AR$20:$AS$29))))</f>
        <v>7</v>
      </c>
      <c r="X32" s="42">
        <f>IF(テーブル223[[#This Row],[立幅とび]]="",0,(IF(テーブル223[[#This Row],[性別]]="男",LOOKUP(テーブル223[[#This Row],[立幅とび]],$AT$6:$AU$15),LOOKUP(テーブル223[[#This Row],[立幅とび]],$AT$20:$AU$29))))</f>
        <v>7</v>
      </c>
      <c r="Y32" s="42">
        <f>IF(テーブル223[[#This Row],[ボール投げ]]="",0,(IF(テーブル223[[#This Row],[性別]]="男",LOOKUP(テーブル223[[#This Row],[ボール投げ]],$AV$6:$AW$15),LOOKUP(テーブル223[[#This Row],[ボール投げ]],$AV$20:$AW$29))))</f>
        <v>6</v>
      </c>
      <c r="Z32" s="19">
        <f>IF(テーブル223[[#This Row],[学年]]=1,6,IF(テーブル223[[#This Row],[学年]]=2,7,IF(テーブル223[[#This Row],[学年]]=3,8,IF(テーブル223[[#This Row],[学年]]=4,9,IF(テーブル223[[#This Row],[学年]]=5,10,IF(テーブル223[[#This Row],[学年]]=6,11," "))))))</f>
        <v>10</v>
      </c>
      <c r="AA32" s="125" t="str">
        <f>IF(テーブル223[[#This Row],[肥満度数値]]=0,"",LOOKUP(AC32,$AU$39:$AU$44,$AV$39:$AV$44))</f>
        <v>正常</v>
      </c>
      <c r="AB32"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31.284600000000012</v>
      </c>
      <c r="AC32" s="124">
        <f>IF(テーブル223[[#This Row],[体重]]="",0,(テーブル223[[#This Row],[体重]]-テーブル223[[#This Row],[標準体重]])/テーブル223[[#This Row],[標準体重]]*100)</f>
        <v>-9.8598032258683546</v>
      </c>
      <c r="AD32" s="1" t="str">
        <f>IF(テーブル223[[#This Row],[判定]]=$BB$10,"○","")</f>
        <v/>
      </c>
      <c r="AE32" s="1" t="str">
        <f>IF(AD32="","",COUNTIF($AD$6:AD32,"○"))</f>
        <v/>
      </c>
      <c r="AY32" s="131" t="s">
        <v>217</v>
      </c>
      <c r="AZ32" s="131" t="s">
        <v>218</v>
      </c>
      <c r="BA32" s="131" t="s">
        <v>219</v>
      </c>
      <c r="BB32" s="131" t="s">
        <v>220</v>
      </c>
      <c r="BC32" s="131" t="s">
        <v>221</v>
      </c>
    </row>
    <row r="33" spans="1:55" ht="14.25" customHeight="1" x14ac:dyDescent="0.2">
      <c r="A33" s="40">
        <v>28</v>
      </c>
      <c r="B33" s="145">
        <v>5</v>
      </c>
      <c r="C33" s="148">
        <v>2</v>
      </c>
      <c r="D33" s="145" t="s">
        <v>79</v>
      </c>
      <c r="E33" s="156" t="s">
        <v>135</v>
      </c>
      <c r="F33" s="145">
        <v>136</v>
      </c>
      <c r="G33" s="145">
        <v>42.1</v>
      </c>
      <c r="H33" s="146">
        <v>14</v>
      </c>
      <c r="I33" s="148">
        <v>16</v>
      </c>
      <c r="J33" s="148">
        <v>41</v>
      </c>
      <c r="K33" s="145">
        <v>36</v>
      </c>
      <c r="L33" s="148">
        <v>36</v>
      </c>
      <c r="M33" s="149">
        <v>10</v>
      </c>
      <c r="N33" s="148">
        <v>136</v>
      </c>
      <c r="O33" s="150">
        <v>17</v>
      </c>
      <c r="P33" s="27">
        <f>テーブル223[[#This Row],[握力2]]+テーブル223[[#This Row],[上体3]]+テーブル223[[#This Row],[長座4]]+テーブル223[[#This Row],[反復5]]+テーブル223[[#This Row],[シャトル]]+テーブル223[[#This Row],[50ｍ]]+テーブル223[[#This Row],[立幅]]+テーブル223[[#This Row],[ボール]]</f>
        <v>55</v>
      </c>
      <c r="Q33" s="43" t="str">
        <f>IF(テーブル223[[#This Row],[得点]]=0,"",IF(テーブル223[[#This Row],[年齢]]&gt;10,LOOKUP(P33,$BE$6:$BE$10,$BB$6:$BB$10),IF(テーブル223[[#This Row],[年齢]]&gt;9,LOOKUP(P33,$BD$6:$BD$10,$BB$6:$BB$10),IF(テーブル223[[#This Row],[年齢]]&gt;8,LOOKUP(P33,$BC$6:$BC$10,$BB$6:$BB$10),IF(テーブル223[[#This Row],[年齢]]&gt;7,LOOKUP(P33,$BA$6:$BA$10,$BB$6:$BB$10),IF(テーブル223[[#This Row],[年齢]]&gt;6,LOOKUP(P33,$AZ$6:$AZ$10,$BB$6:$BB$10),LOOKUP(P33,$AY$6:$AY$10,$BB$6:$BB$10)))))))</f>
        <v>Ｃ</v>
      </c>
      <c r="R33" s="42">
        <f>IF(H33="",0,(IF(テーブル223[[#This Row],[性別]]="男",LOOKUP(テーブル223[[#This Row],[握力]],$AF$6:$AG$15),LOOKUP(テーブル223[[#This Row],[握力]],$AF$20:$AG$29))))</f>
        <v>6</v>
      </c>
      <c r="S33" s="42">
        <f>IF(テーブル223[[#This Row],[上体]]="",0,(IF(テーブル223[[#This Row],[性別]]="男",LOOKUP(テーブル223[[#This Row],[上体]],$AH$6:$AI$15),LOOKUP(テーブル223[[#This Row],[上体]],$AH$20:$AI$29))))</f>
        <v>7</v>
      </c>
      <c r="T33" s="42">
        <f>IF(テーブル223[[#This Row],[長座]]="",0,(IF(テーブル223[[#This Row],[性別]]="男",LOOKUP(テーブル223[[#This Row],[長座]],$AJ$6:$AK$15),LOOKUP(テーブル223[[#This Row],[長座]],$AJ$20:$AK$29))))</f>
        <v>8</v>
      </c>
      <c r="U33" s="42">
        <f>IF(テーブル223[[#This Row],[反復]]="",0,(IF(テーブル223[[#This Row],[性別]]="男",LOOKUP(テーブル223[[#This Row],[反復]],$AL$6:$AM$15),LOOKUP(テーブル223[[#This Row],[反復]],$AL$20:$AM$29))))</f>
        <v>7</v>
      </c>
      <c r="V33" s="42">
        <f>IF(テーブル223[[#This Row],[ｼｬﾄﾙﾗﾝ]]="",0,(IF(テーブル223[[#This Row],[性別]]="男",LOOKUP(テーブル223[[#This Row],[ｼｬﾄﾙﾗﾝ]],$AP$6:$AQ$15),LOOKUP(テーブル223[[#This Row],[ｼｬﾄﾙﾗﾝ]],$AP$20:$AQ$29))))</f>
        <v>7</v>
      </c>
      <c r="W33" s="42">
        <f>IF(テーブル223[[#This Row],[50m走]]="",0,(IF(テーブル223[[#This Row],[性別]]="男",LOOKUP(テーブル223[[#This Row],[50m走]],$AR$6:$AS$15),LOOKUP(テーブル223[[#This Row],[50m走]],$AR$20:$AS$29))))</f>
        <v>6</v>
      </c>
      <c r="X33" s="42">
        <f>IF(テーブル223[[#This Row],[立幅とび]]="",0,(IF(テーブル223[[#This Row],[性別]]="男",LOOKUP(テーブル223[[#This Row],[立幅とび]],$AT$6:$AU$15),LOOKUP(テーブル223[[#This Row],[立幅とび]],$AT$20:$AU$29))))</f>
        <v>6</v>
      </c>
      <c r="Y33" s="42">
        <f>IF(テーブル223[[#This Row],[ボール投げ]]="",0,(IF(テーブル223[[#This Row],[性別]]="男",LOOKUP(テーブル223[[#This Row],[ボール投げ]],$AV$6:$AW$15),LOOKUP(テーブル223[[#This Row],[ボール投げ]],$AV$20:$AW$29))))</f>
        <v>8</v>
      </c>
      <c r="Z33" s="19">
        <f>IF(テーブル223[[#This Row],[学年]]=1,6,IF(テーブル223[[#This Row],[学年]]=2,7,IF(テーブル223[[#This Row],[学年]]=3,8,IF(テーブル223[[#This Row],[学年]]=4,9,IF(テーブル223[[#This Row],[学年]]=5,10,IF(テーブル223[[#This Row],[学年]]=6,11," "))))))</f>
        <v>10</v>
      </c>
      <c r="AA33" s="125" t="str">
        <f>IF(テーブル223[[#This Row],[肥満度数値]]=0,"",LOOKUP(AC33,$AU$39:$AU$44,$AV$39:$AV$44))</f>
        <v>中等度肥満</v>
      </c>
      <c r="AB33"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31.189000000000007</v>
      </c>
      <c r="AC33" s="124">
        <f>IF(テーブル223[[#This Row],[体重]]="",0,(テーブル223[[#This Row],[体重]]-テーブル223[[#This Row],[標準体重]])/テーブル223[[#This Row],[標準体重]]*100)</f>
        <v>34.983487768123354</v>
      </c>
      <c r="AD33" s="1" t="str">
        <f>IF(テーブル223[[#This Row],[判定]]=$BB$10,"○","")</f>
        <v/>
      </c>
      <c r="AE33" s="1" t="str">
        <f>IF(AD33="","",COUNTIF($AD$6:AD33,"○"))</f>
        <v/>
      </c>
      <c r="AY33" s="131" t="s">
        <v>222</v>
      </c>
      <c r="AZ33" s="131" t="s">
        <v>223</v>
      </c>
      <c r="BA33" s="131" t="s">
        <v>224</v>
      </c>
      <c r="BB33" s="131" t="s">
        <v>225</v>
      </c>
      <c r="BC33" s="131" t="s">
        <v>226</v>
      </c>
    </row>
    <row r="34" spans="1:55" ht="14.25" customHeight="1" x14ac:dyDescent="0.2">
      <c r="A34" s="40">
        <v>29</v>
      </c>
      <c r="B34" s="145">
        <v>5</v>
      </c>
      <c r="C34" s="148">
        <v>3</v>
      </c>
      <c r="D34" s="145" t="s">
        <v>133</v>
      </c>
      <c r="E34" s="156" t="s">
        <v>136</v>
      </c>
      <c r="F34" s="145">
        <v>137.69999999999999</v>
      </c>
      <c r="G34" s="145">
        <v>33.6</v>
      </c>
      <c r="H34" s="146">
        <v>17</v>
      </c>
      <c r="I34" s="148">
        <v>27</v>
      </c>
      <c r="J34" s="148">
        <v>42</v>
      </c>
      <c r="K34" s="145">
        <v>43</v>
      </c>
      <c r="L34" s="148">
        <v>56</v>
      </c>
      <c r="M34" s="149">
        <v>7.9</v>
      </c>
      <c r="N34" s="148">
        <v>189</v>
      </c>
      <c r="O34" s="150">
        <v>26</v>
      </c>
      <c r="P34" s="27">
        <f>テーブル223[[#This Row],[握力2]]+テーブル223[[#This Row],[上体3]]+テーブル223[[#This Row],[長座4]]+テーブル223[[#This Row],[反復5]]+テーブル223[[#This Row],[シャトル]]+テーブル223[[#This Row],[50ｍ]]+テーブル223[[#This Row],[立幅]]+テーブル223[[#This Row],[ボール]]</f>
        <v>66</v>
      </c>
      <c r="Q34" s="43" t="str">
        <f>IF(テーブル223[[#This Row],[得点]]=0,"",IF(テーブル223[[#This Row],[年齢]]&gt;10,LOOKUP(P34,$BE$6:$BE$10,$BB$6:$BB$10),IF(テーブル223[[#This Row],[年齢]]&gt;9,LOOKUP(P34,$BD$6:$BD$10,$BB$6:$BB$10),IF(テーブル223[[#This Row],[年齢]]&gt;8,LOOKUP(P34,$BC$6:$BC$10,$BB$6:$BB$10),IF(テーブル223[[#This Row],[年齢]]&gt;7,LOOKUP(P34,$BA$6:$BA$10,$BB$6:$BB$10),IF(テーブル223[[#This Row],[年齢]]&gt;6,LOOKUP(P34,$AZ$6:$AZ$10,$BB$6:$BB$10),LOOKUP(P34,$AY$6:$AY$10,$BB$6:$BB$10)))))))</f>
        <v>Ａ</v>
      </c>
      <c r="R34" s="42">
        <f>IF(H34="",0,(IF(テーブル223[[#This Row],[性別]]="男",LOOKUP(テーブル223[[#This Row],[握力]],$AF$6:$AG$15),LOOKUP(テーブル223[[#This Row],[握力]],$AF$20:$AG$29))))</f>
        <v>7</v>
      </c>
      <c r="S34" s="42">
        <f>IF(テーブル223[[#This Row],[上体]]="",0,(IF(テーブル223[[#This Row],[性別]]="男",LOOKUP(テーブル223[[#This Row],[上体]],$AH$6:$AI$15),LOOKUP(テーブル223[[#This Row],[上体]],$AH$20:$AI$29))))</f>
        <v>10</v>
      </c>
      <c r="T34" s="42">
        <f>IF(テーブル223[[#This Row],[長座]]="",0,(IF(テーブル223[[#This Row],[性別]]="男",LOOKUP(テーブル223[[#This Row],[長座]],$AJ$6:$AK$15),LOOKUP(テーブル223[[#This Row],[長座]],$AJ$20:$AK$29))))</f>
        <v>8</v>
      </c>
      <c r="U34" s="42">
        <f>IF(テーブル223[[#This Row],[反復]]="",0,(IF(テーブル223[[#This Row],[性別]]="男",LOOKUP(テーブル223[[#This Row],[反復]],$AL$6:$AM$15),LOOKUP(テーブル223[[#This Row],[反復]],$AL$20:$AM$29))))</f>
        <v>8</v>
      </c>
      <c r="V34" s="42">
        <f>IF(テーブル223[[#This Row],[ｼｬﾄﾙﾗﾝ]]="",0,(IF(テーブル223[[#This Row],[性別]]="男",LOOKUP(テーブル223[[#This Row],[ｼｬﾄﾙﾗﾝ]],$AP$6:$AQ$15),LOOKUP(テーブル223[[#This Row],[ｼｬﾄﾙﾗﾝ]],$AP$20:$AQ$29))))</f>
        <v>7</v>
      </c>
      <c r="W34" s="42">
        <f>IF(テーブル223[[#This Row],[50m走]]="",0,(IF(テーブル223[[#This Row],[性別]]="男",LOOKUP(テーブル223[[#This Row],[50m走]],$AR$6:$AS$15),LOOKUP(テーブル223[[#This Row],[50m走]],$AR$20:$AS$29))))</f>
        <v>10</v>
      </c>
      <c r="X34" s="42">
        <f>IF(テーブル223[[#This Row],[立幅とび]]="",0,(IF(テーブル223[[#This Row],[性別]]="男",LOOKUP(テーブル223[[#This Row],[立幅とび]],$AT$6:$AU$15),LOOKUP(テーブル223[[#This Row],[立幅とび]],$AT$20:$AU$29))))</f>
        <v>9</v>
      </c>
      <c r="Y34" s="42">
        <f>IF(テーブル223[[#This Row],[ボール投げ]]="",0,(IF(テーブル223[[#This Row],[性別]]="男",LOOKUP(テーブル223[[#This Row],[ボール投げ]],$AV$6:$AW$15),LOOKUP(テーブル223[[#This Row],[ボール投げ]],$AV$20:$AW$29))))</f>
        <v>7</v>
      </c>
      <c r="Z34" s="19">
        <f>IF(テーブル223[[#This Row],[学年]]=1,6,IF(テーブル223[[#This Row],[学年]]=2,7,IF(テーブル223[[#This Row],[学年]]=3,8,IF(テーブル223[[#This Row],[学年]]=4,9,IF(テーブル223[[#This Row],[学年]]=5,10,IF(テーブル223[[#This Row],[学年]]=6,11," "))))))</f>
        <v>10</v>
      </c>
      <c r="AA34" s="125" t="str">
        <f>IF(テーブル223[[#This Row],[肥満度数値]]=0,"",LOOKUP(AC34,$AU$39:$AU$44,$AV$39:$AV$44))</f>
        <v>正常</v>
      </c>
      <c r="AB34"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33.089399999999998</v>
      </c>
      <c r="AC34" s="124">
        <f>IF(テーブル223[[#This Row],[体重]]="",0,(テーブル223[[#This Row],[体重]]-テーブル223[[#This Row],[標準体重]])/テーブル223[[#This Row],[標準体重]]*100)</f>
        <v>1.5430923498159645</v>
      </c>
      <c r="AD34" s="1" t="str">
        <f>IF(テーブル223[[#This Row],[判定]]=$BB$10,"○","")</f>
        <v>○</v>
      </c>
      <c r="AE34" s="1">
        <f>IF(AD34="","",COUNTIF($AD$6:AD34,"○"))</f>
        <v>6</v>
      </c>
      <c r="AY34" s="131" t="s">
        <v>227</v>
      </c>
      <c r="AZ34" s="131" t="s">
        <v>228</v>
      </c>
      <c r="BA34" s="131" t="s">
        <v>229</v>
      </c>
      <c r="BB34" s="131" t="s">
        <v>230</v>
      </c>
      <c r="BC34" s="131" t="s">
        <v>231</v>
      </c>
    </row>
    <row r="35" spans="1:55" ht="14.25" customHeight="1" x14ac:dyDescent="0.2">
      <c r="A35" s="40">
        <v>30</v>
      </c>
      <c r="B35" s="145">
        <v>5</v>
      </c>
      <c r="C35" s="148">
        <v>3</v>
      </c>
      <c r="D35" s="145" t="s">
        <v>79</v>
      </c>
      <c r="E35" s="156" t="s">
        <v>135</v>
      </c>
      <c r="F35" s="145">
        <v>129.19999999999999</v>
      </c>
      <c r="G35" s="145">
        <v>30.6</v>
      </c>
      <c r="H35" s="146">
        <v>14</v>
      </c>
      <c r="I35" s="148">
        <v>14</v>
      </c>
      <c r="J35" s="148">
        <v>36</v>
      </c>
      <c r="K35" s="145">
        <v>36</v>
      </c>
      <c r="L35" s="148">
        <v>16</v>
      </c>
      <c r="M35" s="149">
        <v>10.1</v>
      </c>
      <c r="N35" s="148">
        <v>140</v>
      </c>
      <c r="O35" s="150">
        <v>11</v>
      </c>
      <c r="P35" s="27">
        <f>テーブル223[[#This Row],[握力2]]+テーブル223[[#This Row],[上体3]]+テーブル223[[#This Row],[長座4]]+テーブル223[[#This Row],[反復5]]+テーブル223[[#This Row],[シャトル]]+テーブル223[[#This Row],[50ｍ]]+テーブル223[[#This Row],[立幅]]+テーブル223[[#This Row],[ボール]]</f>
        <v>47</v>
      </c>
      <c r="Q35" s="43" t="str">
        <f>IF(テーブル223[[#This Row],[得点]]=0,"",IF(テーブル223[[#This Row],[年齢]]&gt;10,LOOKUP(P35,$BE$6:$BE$10,$BB$6:$BB$10),IF(テーブル223[[#This Row],[年齢]]&gt;9,LOOKUP(P35,$BD$6:$BD$10,$BB$6:$BB$10),IF(テーブル223[[#This Row],[年齢]]&gt;8,LOOKUP(P35,$BC$6:$BC$10,$BB$6:$BB$10),IF(テーブル223[[#This Row],[年齢]]&gt;7,LOOKUP(P35,$BA$6:$BA$10,$BB$6:$BB$10),IF(テーブル223[[#This Row],[年齢]]&gt;6,LOOKUP(P35,$AZ$6:$AZ$10,$BB$6:$BB$10),LOOKUP(P35,$AY$6:$AY$10,$BB$6:$BB$10)))))))</f>
        <v>Ｄ</v>
      </c>
      <c r="R35" s="42">
        <f>IF(H35="",0,(IF(テーブル223[[#This Row],[性別]]="男",LOOKUP(テーブル223[[#This Row],[握力]],$AF$6:$AG$15),LOOKUP(テーブル223[[#This Row],[握力]],$AF$20:$AG$29))))</f>
        <v>6</v>
      </c>
      <c r="S35" s="42">
        <f>IF(テーブル223[[#This Row],[上体]]="",0,(IF(テーブル223[[#This Row],[性別]]="男",LOOKUP(テーブル223[[#This Row],[上体]],$AH$6:$AI$15),LOOKUP(テーブル223[[#This Row],[上体]],$AH$20:$AI$29))))</f>
        <v>6</v>
      </c>
      <c r="T35" s="42">
        <f>IF(テーブル223[[#This Row],[長座]]="",0,(IF(テーブル223[[#This Row],[性別]]="男",LOOKUP(テーブル223[[#This Row],[長座]],$AJ$6:$AK$15),LOOKUP(テーブル223[[#This Row],[長座]],$AJ$20:$AK$29))))</f>
        <v>6</v>
      </c>
      <c r="U35" s="42">
        <f>IF(テーブル223[[#This Row],[反復]]="",0,(IF(テーブル223[[#This Row],[性別]]="男",LOOKUP(テーブル223[[#This Row],[反復]],$AL$6:$AM$15),LOOKUP(テーブル223[[#This Row],[反復]],$AL$20:$AM$29))))</f>
        <v>7</v>
      </c>
      <c r="V35" s="42">
        <f>IF(テーブル223[[#This Row],[ｼｬﾄﾙﾗﾝ]]="",0,(IF(テーブル223[[#This Row],[性別]]="男",LOOKUP(テーブル223[[#This Row],[ｼｬﾄﾙﾗﾝ]],$AP$6:$AQ$15),LOOKUP(テーブル223[[#This Row],[ｼｬﾄﾙﾗﾝ]],$AP$20:$AQ$29))))</f>
        <v>4</v>
      </c>
      <c r="W35" s="42">
        <f>IF(テーブル223[[#This Row],[50m走]]="",0,(IF(テーブル223[[#This Row],[性別]]="男",LOOKUP(テーブル223[[#This Row],[50m走]],$AR$6:$AS$15),LOOKUP(テーブル223[[#This Row],[50m走]],$AR$20:$AS$29))))</f>
        <v>6</v>
      </c>
      <c r="X35" s="42">
        <f>IF(テーブル223[[#This Row],[立幅とび]]="",0,(IF(テーブル223[[#This Row],[性別]]="男",LOOKUP(テーブル223[[#This Row],[立幅とび]],$AT$6:$AU$15),LOOKUP(テーブル223[[#This Row],[立幅とび]],$AT$20:$AU$29))))</f>
        <v>6</v>
      </c>
      <c r="Y35" s="42">
        <f>IF(テーブル223[[#This Row],[ボール投げ]]="",0,(IF(テーブル223[[#This Row],[性別]]="男",LOOKUP(テーブル223[[#This Row],[ボール投げ]],$AV$6:$AW$15),LOOKUP(テーブル223[[#This Row],[ボール投げ]],$AV$20:$AW$29))))</f>
        <v>6</v>
      </c>
      <c r="Z35" s="19">
        <f>IF(テーブル223[[#This Row],[学年]]=1,6,IF(テーブル223[[#This Row],[学年]]=2,7,IF(テーブル223[[#This Row],[学年]]=3,8,IF(テーブル223[[#This Row],[学年]]=4,9,IF(テーブル223[[#This Row],[学年]]=5,10,IF(テーブル223[[#This Row],[学年]]=6,11," "))))))</f>
        <v>10</v>
      </c>
      <c r="AA35" s="125" t="str">
        <f>IF(テーブル223[[#This Row],[肥満度数値]]=0,"",LOOKUP(AC35,$AU$39:$AU$44,$AV$39:$AV$44))</f>
        <v>正常</v>
      </c>
      <c r="AB35"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26.224999999999994</v>
      </c>
      <c r="AC35" s="124">
        <f>IF(テーブル223[[#This Row],[体重]]="",0,(テーブル223[[#This Row],[体重]]-テーブル223[[#This Row],[標準体重]])/テーブル223[[#This Row],[標準体重]]*100)</f>
        <v>16.682554814108705</v>
      </c>
      <c r="AD35" s="1" t="str">
        <f>IF(テーブル223[[#This Row],[判定]]=$BB$10,"○","")</f>
        <v/>
      </c>
      <c r="AE35" s="1" t="str">
        <f>IF(AD35="","",COUNTIF($AD$6:AD35,"○"))</f>
        <v/>
      </c>
      <c r="AY35" s="57" t="s">
        <v>232</v>
      </c>
      <c r="AZ35" s="57"/>
      <c r="BA35" s="57"/>
      <c r="BB35" s="57"/>
      <c r="BC35" s="57"/>
    </row>
    <row r="36" spans="1:55" ht="14.25" customHeight="1" x14ac:dyDescent="0.2">
      <c r="A36" s="40">
        <v>31</v>
      </c>
      <c r="B36" s="145">
        <v>6</v>
      </c>
      <c r="C36" s="148">
        <v>1</v>
      </c>
      <c r="D36" s="145" t="s">
        <v>133</v>
      </c>
      <c r="E36" s="156" t="s">
        <v>136</v>
      </c>
      <c r="F36" s="145">
        <v>150.1</v>
      </c>
      <c r="G36" s="145">
        <v>39.4</v>
      </c>
      <c r="H36" s="146">
        <v>18</v>
      </c>
      <c r="I36" s="148">
        <v>18</v>
      </c>
      <c r="J36" s="148">
        <v>30</v>
      </c>
      <c r="K36" s="145">
        <v>36</v>
      </c>
      <c r="L36" s="148">
        <v>32</v>
      </c>
      <c r="M36" s="149">
        <v>9.1</v>
      </c>
      <c r="N36" s="148">
        <v>185</v>
      </c>
      <c r="O36" s="150">
        <v>26</v>
      </c>
      <c r="P36" s="27">
        <f>テーブル223[[#This Row],[握力2]]+テーブル223[[#This Row],[上体3]]+テーブル223[[#This Row],[長座4]]+テーブル223[[#This Row],[反復5]]+テーブル223[[#This Row],[シャトル]]+テーブル223[[#This Row],[50ｍ]]+テーブル223[[#This Row],[立幅]]+テーブル223[[#This Row],[ボール]]</f>
        <v>54</v>
      </c>
      <c r="Q36" s="43" t="str">
        <f>IF(テーブル223[[#This Row],[得点]]=0,"",IF(テーブル223[[#This Row],[年齢]]&gt;10,LOOKUP(P36,$BE$6:$BE$10,$BB$6:$BB$10),IF(テーブル223[[#This Row],[年齢]]&gt;9,LOOKUP(P36,$BD$6:$BD$10,$BB$6:$BB$10),IF(テーブル223[[#This Row],[年齢]]&gt;8,LOOKUP(P36,$BC$6:$BC$10,$BB$6:$BB$10),IF(テーブル223[[#This Row],[年齢]]&gt;7,LOOKUP(P36,$BA$6:$BA$10,$BB$6:$BB$10),IF(テーブル223[[#This Row],[年齢]]&gt;6,LOOKUP(P36,$AZ$6:$AZ$10,$BB$6:$BB$10),LOOKUP(P36,$AY$6:$AY$10,$BB$6:$BB$10)))))))</f>
        <v>Ｄ</v>
      </c>
      <c r="R36" s="42">
        <f>IF(H36="",0,(IF(テーブル223[[#This Row],[性別]]="男",LOOKUP(テーブル223[[#This Row],[握力]],$AF$6:$AG$15),LOOKUP(テーブル223[[#This Row],[握力]],$AF$20:$AG$29))))</f>
        <v>7</v>
      </c>
      <c r="S36" s="42">
        <f>IF(テーブル223[[#This Row],[上体]]="",0,(IF(テーブル223[[#This Row],[性別]]="男",LOOKUP(テーブル223[[#This Row],[上体]],$AH$6:$AI$15),LOOKUP(テーブル223[[#This Row],[上体]],$AH$20:$AI$29))))</f>
        <v>7</v>
      </c>
      <c r="T36" s="42">
        <f>IF(テーブル223[[#This Row],[長座]]="",0,(IF(テーブル223[[#This Row],[性別]]="男",LOOKUP(テーブル223[[#This Row],[長座]],$AJ$6:$AK$15),LOOKUP(テーブル223[[#This Row],[長座]],$AJ$20:$AK$29))))</f>
        <v>6</v>
      </c>
      <c r="U36" s="42">
        <f>IF(テーブル223[[#This Row],[反復]]="",0,(IF(テーブル223[[#This Row],[性別]]="男",LOOKUP(テーブル223[[#This Row],[反復]],$AL$6:$AM$15),LOOKUP(テーブル223[[#This Row],[反復]],$AL$20:$AM$29))))</f>
        <v>6</v>
      </c>
      <c r="V36" s="42">
        <f>IF(テーブル223[[#This Row],[ｼｬﾄﾙﾗﾝ]]="",0,(IF(テーブル223[[#This Row],[性別]]="男",LOOKUP(テーブル223[[#This Row],[ｼｬﾄﾙﾗﾝ]],$AP$6:$AQ$15),LOOKUP(テーブル223[[#This Row],[ｼｬﾄﾙﾗﾝ]],$AP$20:$AQ$29))))</f>
        <v>5</v>
      </c>
      <c r="W36" s="42">
        <f>IF(テーブル223[[#This Row],[50m走]]="",0,(IF(テーブル223[[#This Row],[性別]]="男",LOOKUP(テーブル223[[#This Row],[50m走]],$AR$6:$AS$15),LOOKUP(テーブル223[[#This Row],[50m走]],$AR$20:$AS$29))))</f>
        <v>7</v>
      </c>
      <c r="X36" s="42">
        <f>IF(テーブル223[[#This Row],[立幅とび]]="",0,(IF(テーブル223[[#This Row],[性別]]="男",LOOKUP(テーブル223[[#This Row],[立幅とび]],$AT$6:$AU$15),LOOKUP(テーブル223[[#This Row],[立幅とび]],$AT$20:$AU$29))))</f>
        <v>9</v>
      </c>
      <c r="Y36" s="42">
        <f>IF(テーブル223[[#This Row],[ボール投げ]]="",0,(IF(テーブル223[[#This Row],[性別]]="男",LOOKUP(テーブル223[[#This Row],[ボール投げ]],$AV$6:$AW$15),LOOKUP(テーブル223[[#This Row],[ボール投げ]],$AV$20:$AW$29))))</f>
        <v>7</v>
      </c>
      <c r="Z36" s="19">
        <f>IF(テーブル223[[#This Row],[学年]]=1,6,IF(テーブル223[[#This Row],[学年]]=2,7,IF(テーブル223[[#This Row],[学年]]=3,8,IF(テーブル223[[#This Row],[学年]]=4,9,IF(テーブル223[[#This Row],[学年]]=5,10,IF(テーブル223[[#This Row],[学年]]=6,11," "))))))</f>
        <v>11</v>
      </c>
      <c r="AA36" s="125" t="str">
        <f>IF(テーブル223[[#This Row],[肥満度数値]]=0,"",LOOKUP(AC36,$AU$39:$AU$44,$AV$39:$AV$44))</f>
        <v>正常</v>
      </c>
      <c r="AB36"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42.272200000000012</v>
      </c>
      <c r="AC36" s="124">
        <f>IF(テーブル223[[#This Row],[体重]]="",0,(テーブル223[[#This Row],[体重]]-テーブル223[[#This Row],[標準体重]])/テーブル223[[#This Row],[標準体重]]*100)</f>
        <v>-6.7945363619589543</v>
      </c>
      <c r="AD36" s="1" t="str">
        <f>IF(テーブル223[[#This Row],[判定]]=$BB$10,"○","")</f>
        <v/>
      </c>
      <c r="AE36" s="1" t="str">
        <f>IF(AD36="","",COUNTIF($AD$6:AD36,"○"))</f>
        <v/>
      </c>
      <c r="AY36" s="57"/>
      <c r="AZ36" s="57"/>
      <c r="BA36" s="57" t="s">
        <v>233</v>
      </c>
      <c r="BB36" s="57"/>
      <c r="BC36" s="57"/>
    </row>
    <row r="37" spans="1:55" ht="14.25" customHeight="1" x14ac:dyDescent="0.2">
      <c r="A37" s="40">
        <v>32</v>
      </c>
      <c r="B37" s="145">
        <v>6</v>
      </c>
      <c r="C37" s="148">
        <v>1</v>
      </c>
      <c r="D37" s="145" t="s">
        <v>79</v>
      </c>
      <c r="E37" s="156" t="s">
        <v>135</v>
      </c>
      <c r="F37" s="145">
        <v>148.69999999999999</v>
      </c>
      <c r="G37" s="145">
        <v>42.2</v>
      </c>
      <c r="H37" s="146">
        <v>19</v>
      </c>
      <c r="I37" s="148">
        <v>20</v>
      </c>
      <c r="J37" s="148">
        <v>37</v>
      </c>
      <c r="K37" s="145">
        <v>41</v>
      </c>
      <c r="L37" s="148">
        <v>53</v>
      </c>
      <c r="M37" s="149">
        <v>8.9</v>
      </c>
      <c r="N37" s="148">
        <v>185</v>
      </c>
      <c r="O37" s="150">
        <v>34</v>
      </c>
      <c r="P37" s="27">
        <f>テーブル223[[#This Row],[握力2]]+テーブル223[[#This Row],[上体3]]+テーブル223[[#This Row],[長座4]]+テーブル223[[#This Row],[反復5]]+テーブル223[[#This Row],[シャトル]]+テーブル223[[#This Row],[50ｍ]]+テーブル223[[#This Row],[立幅]]+テーブル223[[#This Row],[ボール]]</f>
        <v>68</v>
      </c>
      <c r="Q37" s="43" t="str">
        <f>IF(テーブル223[[#This Row],[得点]]=0,"",IF(テーブル223[[#This Row],[年齢]]&gt;10,LOOKUP(P37,$BE$6:$BE$10,$BB$6:$BB$10),IF(テーブル223[[#This Row],[年齢]]&gt;9,LOOKUP(P37,$BD$6:$BD$10,$BB$6:$BB$10),IF(テーブル223[[#This Row],[年齢]]&gt;8,LOOKUP(P37,$BC$6:$BC$10,$BB$6:$BB$10),IF(テーブル223[[#This Row],[年齢]]&gt;7,LOOKUP(P37,$BA$6:$BA$10,$BB$6:$BB$10),IF(テーブル223[[#This Row],[年齢]]&gt;6,LOOKUP(P37,$AZ$6:$AZ$10,$BB$6:$BB$10),LOOKUP(P37,$AY$6:$AY$10,$BB$6:$BB$10)))))))</f>
        <v>Ｂ</v>
      </c>
      <c r="R37" s="42">
        <f>IF(H37="",0,(IF(テーブル223[[#This Row],[性別]]="男",LOOKUP(テーブル223[[#This Row],[握力]],$AF$6:$AG$15),LOOKUP(テーブル223[[#This Row],[握力]],$AF$20:$AG$29))))</f>
        <v>8</v>
      </c>
      <c r="S37" s="42">
        <f>IF(テーブル223[[#This Row],[上体]]="",0,(IF(テーブル223[[#This Row],[性別]]="男",LOOKUP(テーブル223[[#This Row],[上体]],$AH$6:$AI$15),LOOKUP(テーブル223[[#This Row],[上体]],$AH$20:$AI$29))))</f>
        <v>9</v>
      </c>
      <c r="T37" s="42">
        <f>IF(テーブル223[[#This Row],[長座]]="",0,(IF(テーブル223[[#This Row],[性別]]="男",LOOKUP(テーブル223[[#This Row],[長座]],$AJ$6:$AK$15),LOOKUP(テーブル223[[#This Row],[長座]],$AJ$20:$AK$29))))</f>
        <v>7</v>
      </c>
      <c r="U37" s="42">
        <f>IF(テーブル223[[#This Row],[反復]]="",0,(IF(テーブル223[[#This Row],[性別]]="男",LOOKUP(テーブル223[[#This Row],[反復]],$AL$6:$AM$15),LOOKUP(テーブル223[[#This Row],[反復]],$AL$20:$AM$29))))</f>
        <v>8</v>
      </c>
      <c r="V37" s="42">
        <f>IF(テーブル223[[#This Row],[ｼｬﾄﾙﾗﾝ]]="",0,(IF(テーブル223[[#This Row],[性別]]="男",LOOKUP(テーブル223[[#This Row],[ｼｬﾄﾙﾗﾝ]],$AP$6:$AQ$15),LOOKUP(テーブル223[[#This Row],[ｼｬﾄﾙﾗﾝ]],$AP$20:$AQ$29))))</f>
        <v>8</v>
      </c>
      <c r="W37" s="42">
        <f>IF(テーブル223[[#This Row],[50m走]]="",0,(IF(テーブル223[[#This Row],[性別]]="男",LOOKUP(テーブル223[[#This Row],[50m走]],$AR$6:$AS$15),LOOKUP(テーブル223[[#This Row],[50m走]],$AR$20:$AS$29))))</f>
        <v>8</v>
      </c>
      <c r="X37" s="42">
        <f>IF(テーブル223[[#This Row],[立幅とび]]="",0,(IF(テーブル223[[#This Row],[性別]]="男",LOOKUP(テーブル223[[#This Row],[立幅とび]],$AT$6:$AU$15),LOOKUP(テーブル223[[#This Row],[立幅とび]],$AT$20:$AU$29))))</f>
        <v>10</v>
      </c>
      <c r="Y37" s="42">
        <f>IF(テーブル223[[#This Row],[ボール投げ]]="",0,(IF(テーブル223[[#This Row],[性別]]="男",LOOKUP(テーブル223[[#This Row],[ボール投げ]],$AV$6:$AW$15),LOOKUP(テーブル223[[#This Row],[ボール投げ]],$AV$20:$AW$29))))</f>
        <v>10</v>
      </c>
      <c r="Z37" s="19">
        <f>IF(テーブル223[[#This Row],[学年]]=1,6,IF(テーブル223[[#This Row],[学年]]=2,7,IF(テーブル223[[#This Row],[学年]]=3,8,IF(テーブル223[[#This Row],[学年]]=4,9,IF(テーブル223[[#This Row],[学年]]=5,10,IF(テーブル223[[#This Row],[学年]]=6,11," "))))))</f>
        <v>11</v>
      </c>
      <c r="AA37" s="125" t="str">
        <f>IF(テーブル223[[#This Row],[肥満度数値]]=0,"",LOOKUP(AC37,$AU$39:$AU$44,$AV$39:$AV$44))</f>
        <v>正常</v>
      </c>
      <c r="AB37"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40.560099999999991</v>
      </c>
      <c r="AC37" s="124">
        <f>IF(テーブル223[[#This Row],[体重]]="",0,(テーブル223[[#This Row],[体重]]-テーブル223[[#This Row],[標準体重]])/テーブル223[[#This Row],[標準体重]]*100)</f>
        <v>4.0431359883235292</v>
      </c>
      <c r="AD37" s="1" t="str">
        <f>IF(テーブル223[[#This Row],[判定]]=$BB$10,"○","")</f>
        <v/>
      </c>
      <c r="AE37" s="1" t="str">
        <f>IF(AD37="","",COUNTIF($AD$6:AD37,"○"))</f>
        <v/>
      </c>
      <c r="AY37" s="57"/>
      <c r="AZ37" s="122" t="s">
        <v>234</v>
      </c>
      <c r="BA37" s="57"/>
      <c r="BB37" s="57"/>
      <c r="BC37" s="57"/>
    </row>
    <row r="38" spans="1:55" ht="14.25" customHeight="1" x14ac:dyDescent="0.2">
      <c r="A38" s="40">
        <v>33</v>
      </c>
      <c r="B38" s="145">
        <v>6</v>
      </c>
      <c r="C38" s="148">
        <v>2</v>
      </c>
      <c r="D38" s="145" t="s">
        <v>133</v>
      </c>
      <c r="E38" s="156" t="s">
        <v>136</v>
      </c>
      <c r="F38" s="145">
        <v>141</v>
      </c>
      <c r="G38" s="145">
        <v>53.6</v>
      </c>
      <c r="H38" s="146">
        <v>17</v>
      </c>
      <c r="I38" s="148">
        <v>22</v>
      </c>
      <c r="J38" s="148">
        <v>38</v>
      </c>
      <c r="K38" s="145">
        <v>50</v>
      </c>
      <c r="L38" s="148">
        <v>66</v>
      </c>
      <c r="M38" s="149">
        <v>8.8000000000000007</v>
      </c>
      <c r="N38" s="148">
        <v>170</v>
      </c>
      <c r="O38" s="150">
        <v>27</v>
      </c>
      <c r="P38" s="27">
        <f>テーブル223[[#This Row],[握力2]]+テーブル223[[#This Row],[上体3]]+テーブル223[[#This Row],[長座4]]+テーブル223[[#This Row],[反復5]]+テーブル223[[#This Row],[シャトル]]+テーブル223[[#This Row],[50ｍ]]+テーブル223[[#This Row],[立幅]]+テーブル223[[#This Row],[ボール]]</f>
        <v>64</v>
      </c>
      <c r="Q38" s="43" t="str">
        <f>IF(テーブル223[[#This Row],[得点]]=0,"",IF(テーブル223[[#This Row],[年齢]]&gt;10,LOOKUP(P38,$BE$6:$BE$10,$BB$6:$BB$10),IF(テーブル223[[#This Row],[年齢]]&gt;9,LOOKUP(P38,$BD$6:$BD$10,$BB$6:$BB$10),IF(テーブル223[[#This Row],[年齢]]&gt;8,LOOKUP(P38,$BC$6:$BC$10,$BB$6:$BB$10),IF(テーブル223[[#This Row],[年齢]]&gt;7,LOOKUP(P38,$BA$6:$BA$10,$BB$6:$BB$10),IF(テーブル223[[#This Row],[年齢]]&gt;6,LOOKUP(P38,$AZ$6:$AZ$10,$BB$6:$BB$10),LOOKUP(P38,$AY$6:$AY$10,$BB$6:$BB$10)))))))</f>
        <v>Ｂ</v>
      </c>
      <c r="R38" s="42">
        <f>IF(H38="",0,(IF(テーブル223[[#This Row],[性別]]="男",LOOKUP(テーブル223[[#This Row],[握力]],$AF$6:$AG$15),LOOKUP(テーブル223[[#This Row],[握力]],$AF$20:$AG$29))))</f>
        <v>7</v>
      </c>
      <c r="S38" s="42">
        <f>IF(テーブル223[[#This Row],[上体]]="",0,(IF(テーブル223[[#This Row],[性別]]="男",LOOKUP(テーブル223[[#This Row],[上体]],$AH$6:$AI$15),LOOKUP(テーブル223[[#This Row],[上体]],$AH$20:$AI$29))))</f>
        <v>8</v>
      </c>
      <c r="T38" s="42">
        <f>IF(テーブル223[[#This Row],[長座]]="",0,(IF(テーブル223[[#This Row],[性別]]="男",LOOKUP(テーブル223[[#This Row],[長座]],$AJ$6:$AK$15),LOOKUP(テーブル223[[#This Row],[長座]],$AJ$20:$AK$29))))</f>
        <v>8</v>
      </c>
      <c r="U38" s="42">
        <f>IF(テーブル223[[#This Row],[反復]]="",0,(IF(テーブル223[[#This Row],[性別]]="男",LOOKUP(テーブル223[[#This Row],[反復]],$AL$6:$AM$15),LOOKUP(テーブル223[[#This Row],[反復]],$AL$20:$AM$29))))</f>
        <v>10</v>
      </c>
      <c r="V38" s="42">
        <f>IF(テーブル223[[#This Row],[ｼｬﾄﾙﾗﾝ]]="",0,(IF(テーブル223[[#This Row],[性別]]="男",LOOKUP(テーブル223[[#This Row],[ｼｬﾄﾙﾗﾝ]],$AP$6:$AQ$15),LOOKUP(テーブル223[[#This Row],[ｼｬﾄﾙﾗﾝ]],$AP$20:$AQ$29))))</f>
        <v>8</v>
      </c>
      <c r="W38" s="42">
        <f>IF(テーブル223[[#This Row],[50m走]]="",0,(IF(テーブル223[[#This Row],[性別]]="男",LOOKUP(テーブル223[[#This Row],[50m走]],$AR$6:$AS$15),LOOKUP(テーブル223[[#This Row],[50m走]],$AR$20:$AS$29))))</f>
        <v>8</v>
      </c>
      <c r="X38" s="42">
        <f>IF(テーブル223[[#This Row],[立幅とび]]="",0,(IF(テーブル223[[#This Row],[性別]]="男",LOOKUP(テーブル223[[#This Row],[立幅とび]],$AT$6:$AU$15),LOOKUP(テーブル223[[#This Row],[立幅とび]],$AT$20:$AU$29))))</f>
        <v>8</v>
      </c>
      <c r="Y38" s="42">
        <f>IF(テーブル223[[#This Row],[ボール投げ]]="",0,(IF(テーブル223[[#This Row],[性別]]="男",LOOKUP(テーブル223[[#This Row],[ボール投げ]],$AV$6:$AW$15),LOOKUP(テーブル223[[#This Row],[ボール投げ]],$AV$20:$AW$29))))</f>
        <v>7</v>
      </c>
      <c r="Z38" s="19">
        <f>IF(テーブル223[[#This Row],[学年]]=1,6,IF(テーブル223[[#This Row],[学年]]=2,7,IF(テーブル223[[#This Row],[学年]]=3,8,IF(テーブル223[[#This Row],[学年]]=4,9,IF(テーブル223[[#This Row],[学年]]=5,10,IF(テーブル223[[#This Row],[学年]]=6,11," "))))))</f>
        <v>11</v>
      </c>
      <c r="AA38" s="125" t="str">
        <f>IF(テーブル223[[#This Row],[肥満度数値]]=0,"",LOOKUP(AC38,$AU$39:$AU$44,$AV$39:$AV$44))</f>
        <v>高度肥満</v>
      </c>
      <c r="AB38"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35.156000000000006</v>
      </c>
      <c r="AC38" s="124">
        <f>IF(テーブル223[[#This Row],[体重]]="",0,(テーブル223[[#This Row],[体重]]-テーブル223[[#This Row],[標準体重]])/テーブル223[[#This Row],[標準体重]]*100)</f>
        <v>52.463306405734421</v>
      </c>
      <c r="AD38" s="1" t="str">
        <f>IF(テーブル223[[#This Row],[判定]]=$BB$10,"○","")</f>
        <v/>
      </c>
      <c r="AE38" s="1" t="str">
        <f>IF(AD38="","",COUNTIF($AD$6:AD38,"○"))</f>
        <v/>
      </c>
      <c r="AY38" s="57"/>
      <c r="AZ38" s="131" t="s">
        <v>235</v>
      </c>
      <c r="BA38" s="131" t="s">
        <v>236</v>
      </c>
      <c r="BB38" s="57"/>
      <c r="BC38" s="57"/>
    </row>
    <row r="39" spans="1:55" ht="14.25" customHeight="1" x14ac:dyDescent="0.2">
      <c r="A39" s="40">
        <v>34</v>
      </c>
      <c r="B39" s="145">
        <v>6</v>
      </c>
      <c r="C39" s="148">
        <v>2</v>
      </c>
      <c r="D39" s="145" t="s">
        <v>79</v>
      </c>
      <c r="E39" s="156" t="s">
        <v>135</v>
      </c>
      <c r="F39" s="145">
        <v>144.4</v>
      </c>
      <c r="G39" s="145">
        <v>31.8</v>
      </c>
      <c r="H39" s="146">
        <v>15</v>
      </c>
      <c r="I39" s="148">
        <v>16</v>
      </c>
      <c r="J39" s="148">
        <v>38</v>
      </c>
      <c r="K39" s="145">
        <v>39</v>
      </c>
      <c r="L39" s="148">
        <v>38</v>
      </c>
      <c r="M39" s="149">
        <v>10.6</v>
      </c>
      <c r="N39" s="148">
        <v>165</v>
      </c>
      <c r="O39" s="150">
        <v>10</v>
      </c>
      <c r="P39" s="27">
        <f>テーブル223[[#This Row],[握力2]]+テーブル223[[#This Row],[上体3]]+テーブル223[[#This Row],[長座4]]+テーブル223[[#This Row],[反復5]]+テーブル223[[#This Row],[シャトル]]+テーブル223[[#This Row],[50ｍ]]+テーブル223[[#This Row],[立幅]]+テーブル223[[#This Row],[ボール]]</f>
        <v>52</v>
      </c>
      <c r="Q39" s="43" t="str">
        <f>IF(テーブル223[[#This Row],[得点]]=0,"",IF(テーブル223[[#This Row],[年齢]]&gt;10,LOOKUP(P39,$BE$6:$BE$10,$BB$6:$BB$10),IF(テーブル223[[#This Row],[年齢]]&gt;9,LOOKUP(P39,$BD$6:$BD$10,$BB$6:$BB$10),IF(テーブル223[[#This Row],[年齢]]&gt;8,LOOKUP(P39,$BC$6:$BC$10,$BB$6:$BB$10),IF(テーブル223[[#This Row],[年齢]]&gt;7,LOOKUP(P39,$BA$6:$BA$10,$BB$6:$BB$10),IF(テーブル223[[#This Row],[年齢]]&gt;6,LOOKUP(P39,$AZ$6:$AZ$10,$BB$6:$BB$10),LOOKUP(P39,$AY$6:$AY$10,$BB$6:$BB$10)))))))</f>
        <v>Ｄ</v>
      </c>
      <c r="R39" s="42">
        <f>IF(H39="",0,(IF(テーブル223[[#This Row],[性別]]="男",LOOKUP(テーブル223[[#This Row],[握力]],$AF$6:$AG$15),LOOKUP(テーブル223[[#This Row],[握力]],$AF$20:$AG$29))))</f>
        <v>6</v>
      </c>
      <c r="S39" s="42">
        <f>IF(テーブル223[[#This Row],[上体]]="",0,(IF(テーブル223[[#This Row],[性別]]="男",LOOKUP(テーブル223[[#This Row],[上体]],$AH$6:$AI$15),LOOKUP(テーブル223[[#This Row],[上体]],$AH$20:$AI$29))))</f>
        <v>7</v>
      </c>
      <c r="T39" s="42">
        <f>IF(テーブル223[[#This Row],[長座]]="",0,(IF(テーブル223[[#This Row],[性別]]="男",LOOKUP(テーブル223[[#This Row],[長座]],$AJ$6:$AK$15),LOOKUP(テーブル223[[#This Row],[長座]],$AJ$20:$AK$29))))</f>
        <v>7</v>
      </c>
      <c r="U39" s="42">
        <f>IF(テーブル223[[#This Row],[反復]]="",0,(IF(テーブル223[[#This Row],[性別]]="男",LOOKUP(テーブル223[[#This Row],[反復]],$AL$6:$AM$15),LOOKUP(テーブル223[[#This Row],[反復]],$AL$20:$AM$29))))</f>
        <v>7</v>
      </c>
      <c r="V39" s="42">
        <f>IF(テーブル223[[#This Row],[ｼｬﾄﾙﾗﾝ]]="",0,(IF(テーブル223[[#This Row],[性別]]="男",LOOKUP(テーブル223[[#This Row],[ｼｬﾄﾙﾗﾝ]],$AP$6:$AQ$15),LOOKUP(テーブル223[[#This Row],[ｼｬﾄﾙﾗﾝ]],$AP$20:$AQ$29))))</f>
        <v>7</v>
      </c>
      <c r="W39" s="42">
        <f>IF(テーブル223[[#This Row],[50m走]]="",0,(IF(テーブル223[[#This Row],[性別]]="男",LOOKUP(テーブル223[[#This Row],[50m走]],$AR$6:$AS$15),LOOKUP(テーブル223[[#This Row],[50m走]],$AR$20:$AS$29))))</f>
        <v>5</v>
      </c>
      <c r="X39" s="42">
        <f>IF(テーブル223[[#This Row],[立幅とび]]="",0,(IF(テーブル223[[#This Row],[性別]]="男",LOOKUP(テーブル223[[#This Row],[立幅とび]],$AT$6:$AU$15),LOOKUP(テーブル223[[#This Row],[立幅とび]],$AT$20:$AU$29))))</f>
        <v>8</v>
      </c>
      <c r="Y39" s="42">
        <f>IF(テーブル223[[#This Row],[ボール投げ]]="",0,(IF(テーブル223[[#This Row],[性別]]="男",LOOKUP(テーブル223[[#This Row],[ボール投げ]],$AV$6:$AW$15),LOOKUP(テーブル223[[#This Row],[ボール投げ]],$AV$20:$AW$29))))</f>
        <v>5</v>
      </c>
      <c r="Z39" s="19">
        <f>IF(テーブル223[[#This Row],[学年]]=1,6,IF(テーブル223[[#This Row],[学年]]=2,7,IF(テーブル223[[#This Row],[学年]]=3,8,IF(テーブル223[[#This Row],[学年]]=4,9,IF(テーブル223[[#This Row],[学年]]=5,10,IF(テーブル223[[#This Row],[学年]]=6,11," "))))))</f>
        <v>11</v>
      </c>
      <c r="AA39" s="125" t="str">
        <f>IF(テーブル223[[#This Row],[肥満度数値]]=0,"",LOOKUP(AC39,$AU$39:$AU$44,$AV$39:$AV$44))</f>
        <v>正常</v>
      </c>
      <c r="AB39"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37.107200000000006</v>
      </c>
      <c r="AC39" s="124">
        <f>IF(テーブル223[[#This Row],[体重]]="",0,(テーブル223[[#This Row],[体重]]-テーブル223[[#This Row],[標準体重]])/テーブル223[[#This Row],[標準体重]]*100)</f>
        <v>-14.302345636426367</v>
      </c>
      <c r="AD39" s="1" t="str">
        <f>IF(テーブル223[[#This Row],[判定]]=$BB$10,"○","")</f>
        <v/>
      </c>
      <c r="AE39" s="1" t="str">
        <f>IF(AD39="","",COUNTIF($AD$6:AD39,"○"))</f>
        <v/>
      </c>
      <c r="AU39">
        <v>-100</v>
      </c>
      <c r="AV39" t="s">
        <v>251</v>
      </c>
      <c r="AY39" s="57">
        <v>1</v>
      </c>
      <c r="AZ39" s="131">
        <v>50</v>
      </c>
      <c r="BA39" s="123" t="s">
        <v>237</v>
      </c>
      <c r="BB39" s="57"/>
      <c r="BC39" s="57"/>
    </row>
    <row r="40" spans="1:55" ht="14.25" customHeight="1" x14ac:dyDescent="0.2">
      <c r="A40" s="40">
        <v>35</v>
      </c>
      <c r="B40" s="145">
        <v>6</v>
      </c>
      <c r="C40" s="148">
        <v>3</v>
      </c>
      <c r="D40" s="145" t="s">
        <v>133</v>
      </c>
      <c r="E40" s="156" t="s">
        <v>136</v>
      </c>
      <c r="F40" s="145">
        <v>135.1</v>
      </c>
      <c r="G40" s="145">
        <v>28.8</v>
      </c>
      <c r="H40" s="146">
        <v>18</v>
      </c>
      <c r="I40" s="148">
        <v>22</v>
      </c>
      <c r="J40" s="148">
        <v>41</v>
      </c>
      <c r="K40" s="145">
        <v>41</v>
      </c>
      <c r="L40" s="148">
        <v>44</v>
      </c>
      <c r="M40" s="149">
        <v>8.6</v>
      </c>
      <c r="N40" s="148">
        <v>160</v>
      </c>
      <c r="O40" s="150">
        <v>19</v>
      </c>
      <c r="P40" s="27">
        <f>テーブル223[[#This Row],[握力2]]+テーブル223[[#This Row],[上体3]]+テーブル223[[#This Row],[長座4]]+テーブル223[[#This Row],[反復5]]+テーブル223[[#This Row],[シャトル]]+テーブル223[[#This Row],[50ｍ]]+テーブル223[[#This Row],[立幅]]+テーブル223[[#This Row],[ボール]]</f>
        <v>57</v>
      </c>
      <c r="Q40" s="43" t="str">
        <f>IF(テーブル223[[#This Row],[得点]]=0,"",IF(テーブル223[[#This Row],[年齢]]&gt;10,LOOKUP(P40,$BE$6:$BE$10,$BB$6:$BB$10),IF(テーブル223[[#This Row],[年齢]]&gt;9,LOOKUP(P40,$BD$6:$BD$10,$BB$6:$BB$10),IF(テーブル223[[#This Row],[年齢]]&gt;8,LOOKUP(P40,$BC$6:$BC$10,$BB$6:$BB$10),IF(テーブル223[[#This Row],[年齢]]&gt;7,LOOKUP(P40,$BA$6:$BA$10,$BB$6:$BB$10),IF(テーブル223[[#This Row],[年齢]]&gt;6,LOOKUP(P40,$AZ$6:$AZ$10,$BB$6:$BB$10),LOOKUP(P40,$AY$6:$AY$10,$BB$6:$BB$10)))))))</f>
        <v>Ｃ</v>
      </c>
      <c r="R40" s="42">
        <f>IF(H40="",0,(IF(テーブル223[[#This Row],[性別]]="男",LOOKUP(テーブル223[[#This Row],[握力]],$AF$6:$AG$15),LOOKUP(テーブル223[[#This Row],[握力]],$AF$20:$AG$29))))</f>
        <v>7</v>
      </c>
      <c r="S40" s="42">
        <f>IF(テーブル223[[#This Row],[上体]]="",0,(IF(テーブル223[[#This Row],[性別]]="男",LOOKUP(テーブル223[[#This Row],[上体]],$AH$6:$AI$15),LOOKUP(テーブル223[[#This Row],[上体]],$AH$20:$AI$29))))</f>
        <v>8</v>
      </c>
      <c r="T40" s="42">
        <f>IF(テーブル223[[#This Row],[長座]]="",0,(IF(テーブル223[[#This Row],[性別]]="男",LOOKUP(テーブル223[[#This Row],[長座]],$AJ$6:$AK$15),LOOKUP(テーブル223[[#This Row],[長座]],$AJ$20:$AK$29))))</f>
        <v>8</v>
      </c>
      <c r="U40" s="42">
        <f>IF(テーブル223[[#This Row],[反復]]="",0,(IF(テーブル223[[#This Row],[性別]]="男",LOOKUP(テーブル223[[#This Row],[反復]],$AL$6:$AM$15),LOOKUP(テーブル223[[#This Row],[反復]],$AL$20:$AM$29))))</f>
        <v>7</v>
      </c>
      <c r="V40" s="42">
        <f>IF(テーブル223[[#This Row],[ｼｬﾄﾙﾗﾝ]]="",0,(IF(テーブル223[[#This Row],[性別]]="男",LOOKUP(テーブル223[[#This Row],[ｼｬﾄﾙﾗﾝ]],$AP$6:$AQ$15),LOOKUP(テーブル223[[#This Row],[ｼｬﾄﾙﾗﾝ]],$AP$20:$AQ$29))))</f>
        <v>6</v>
      </c>
      <c r="W40" s="42">
        <f>IF(テーブル223[[#This Row],[50m走]]="",0,(IF(テーブル223[[#This Row],[性別]]="男",LOOKUP(テーブル223[[#This Row],[50m走]],$AR$6:$AS$15),LOOKUP(テーブル223[[#This Row],[50m走]],$AR$20:$AS$29))))</f>
        <v>8</v>
      </c>
      <c r="X40" s="42">
        <f>IF(テーブル223[[#This Row],[立幅とび]]="",0,(IF(テーブル223[[#This Row],[性別]]="男",LOOKUP(テーブル223[[#This Row],[立幅とび]],$AT$6:$AU$15),LOOKUP(テーブル223[[#This Row],[立幅とび]],$AT$20:$AU$29))))</f>
        <v>7</v>
      </c>
      <c r="Y40" s="42">
        <f>IF(テーブル223[[#This Row],[ボール投げ]]="",0,(IF(テーブル223[[#This Row],[性別]]="男",LOOKUP(テーブル223[[#This Row],[ボール投げ]],$AV$6:$AW$15),LOOKUP(テーブル223[[#This Row],[ボール投げ]],$AV$20:$AW$29))))</f>
        <v>6</v>
      </c>
      <c r="Z40" s="19">
        <f>IF(テーブル223[[#This Row],[学年]]=1,6,IF(テーブル223[[#This Row],[学年]]=2,7,IF(テーブル223[[#This Row],[学年]]=3,8,IF(テーブル223[[#This Row],[学年]]=4,9,IF(テーブル223[[#This Row],[学年]]=5,10,IF(テーブル223[[#This Row],[学年]]=6,11," "))))))</f>
        <v>11</v>
      </c>
      <c r="AA40" s="125" t="str">
        <f>IF(テーブル223[[#This Row],[肥満度数値]]=0,"",LOOKUP(AC40,$AU$39:$AU$44,$AV$39:$AV$44))</f>
        <v>正常</v>
      </c>
      <c r="AB40"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30.542200000000008</v>
      </c>
      <c r="AC40" s="124">
        <f>IF(テーブル223[[#This Row],[体重]]="",0,(テーブル223[[#This Row],[体重]]-テーブル223[[#This Row],[標準体重]])/テーブル223[[#This Row],[標準体重]]*100)</f>
        <v>-5.7042387254356504</v>
      </c>
      <c r="AD40" s="1" t="str">
        <f>IF(テーブル223[[#This Row],[判定]]=$BB$10,"○","")</f>
        <v/>
      </c>
      <c r="AE40" s="1" t="str">
        <f>IF(AD40="","",COUNTIF($AD$6:AD40,"○"))</f>
        <v/>
      </c>
      <c r="AU40">
        <v>-29.9</v>
      </c>
      <c r="AV40" t="s">
        <v>250</v>
      </c>
      <c r="AY40" s="57">
        <v>2</v>
      </c>
      <c r="AZ40" s="131">
        <v>30</v>
      </c>
      <c r="BA40" s="123" t="s">
        <v>238</v>
      </c>
      <c r="BB40" s="57"/>
      <c r="BC40" s="57"/>
    </row>
    <row r="41" spans="1:55" ht="14.25" customHeight="1" x14ac:dyDescent="0.2">
      <c r="A41" s="40">
        <v>36</v>
      </c>
      <c r="B41" s="145">
        <v>6</v>
      </c>
      <c r="C41" s="148">
        <v>3</v>
      </c>
      <c r="D41" s="145" t="s">
        <v>79</v>
      </c>
      <c r="E41" s="156" t="s">
        <v>135</v>
      </c>
      <c r="F41" s="145">
        <v>151.30000000000001</v>
      </c>
      <c r="G41" s="145">
        <v>62.1</v>
      </c>
      <c r="H41" s="146">
        <v>23</v>
      </c>
      <c r="I41" s="148">
        <v>28</v>
      </c>
      <c r="J41" s="148">
        <v>51</v>
      </c>
      <c r="K41" s="145">
        <v>43</v>
      </c>
      <c r="L41" s="148">
        <v>68</v>
      </c>
      <c r="M41" s="149">
        <v>8.4</v>
      </c>
      <c r="N41" s="148">
        <v>170</v>
      </c>
      <c r="O41" s="150">
        <v>17</v>
      </c>
      <c r="P41" s="27">
        <f>テーブル223[[#This Row],[握力2]]+テーブル223[[#This Row],[上体3]]+テーブル223[[#This Row],[長座4]]+テーブル223[[#This Row],[反復5]]+テーブル223[[#This Row],[シャトル]]+テーブル223[[#This Row],[50ｍ]]+テーブル223[[#This Row],[立幅]]+テーブル223[[#This Row],[ボール]]</f>
        <v>73</v>
      </c>
      <c r="Q41" s="43" t="str">
        <f>IF(テーブル223[[#This Row],[得点]]=0,"",IF(テーブル223[[#This Row],[年齢]]&gt;10,LOOKUP(P41,$BE$6:$BE$10,$BB$6:$BB$10),IF(テーブル223[[#This Row],[年齢]]&gt;9,LOOKUP(P41,$BD$6:$BD$10,$BB$6:$BB$10),IF(テーブル223[[#This Row],[年齢]]&gt;8,LOOKUP(P41,$BC$6:$BC$10,$BB$6:$BB$10),IF(テーブル223[[#This Row],[年齢]]&gt;7,LOOKUP(P41,$BA$6:$BA$10,$BB$6:$BB$10),IF(テーブル223[[#This Row],[年齢]]&gt;6,LOOKUP(P41,$AZ$6:$AZ$10,$BB$6:$BB$10),LOOKUP(P41,$AY$6:$AY$10,$BB$6:$BB$10)))))))</f>
        <v>Ａ</v>
      </c>
      <c r="R41" s="42">
        <f>IF(H41="",0,(IF(テーブル223[[#This Row],[性別]]="男",LOOKUP(テーブル223[[#This Row],[握力]],$AF$6:$AG$15),LOOKUP(テーブル223[[#This Row],[握力]],$AF$20:$AG$29))))</f>
        <v>9</v>
      </c>
      <c r="S41" s="42">
        <f>IF(テーブル223[[#This Row],[上体]]="",0,(IF(テーブル223[[#This Row],[性別]]="男",LOOKUP(テーブル223[[#This Row],[上体]],$AH$6:$AI$15),LOOKUP(テーブル223[[#This Row],[上体]],$AH$20:$AI$29))))</f>
        <v>10</v>
      </c>
      <c r="T41" s="42">
        <f>IF(テーブル223[[#This Row],[長座]]="",0,(IF(テーブル223[[#This Row],[性別]]="男",LOOKUP(テーブル223[[#This Row],[長座]],$AJ$6:$AK$15),LOOKUP(テーブル223[[#This Row],[長座]],$AJ$20:$AK$29))))</f>
        <v>9</v>
      </c>
      <c r="U41" s="42">
        <f>IF(テーブル223[[#This Row],[反復]]="",0,(IF(テーブル223[[#This Row],[性別]]="男",LOOKUP(テーブル223[[#This Row],[反復]],$AL$6:$AM$15),LOOKUP(テーブル223[[#This Row],[反復]],$AL$20:$AM$29))))</f>
        <v>9</v>
      </c>
      <c r="V41" s="42">
        <f>IF(テーブル223[[#This Row],[ｼｬﾄﾙﾗﾝ]]="",0,(IF(テーブル223[[#This Row],[性別]]="男",LOOKUP(テーブル223[[#This Row],[ｼｬﾄﾙﾗﾝ]],$AP$6:$AQ$15),LOOKUP(テーブル223[[#This Row],[ｼｬﾄﾙﾗﾝ]],$AP$20:$AQ$29))))</f>
        <v>10</v>
      </c>
      <c r="W41" s="42">
        <f>IF(テーブル223[[#This Row],[50m走]]="",0,(IF(テーブル223[[#This Row],[性別]]="男",LOOKUP(テーブル223[[#This Row],[50m走]],$AR$6:$AS$15),LOOKUP(テーブル223[[#This Row],[50m走]],$AR$20:$AS$29))))</f>
        <v>9</v>
      </c>
      <c r="X41" s="42">
        <f>IF(テーブル223[[#This Row],[立幅とび]]="",0,(IF(テーブル223[[#This Row],[性別]]="男",LOOKUP(テーブル223[[#This Row],[立幅とび]],$AT$6:$AU$15),LOOKUP(テーブル223[[#This Row],[立幅とび]],$AT$20:$AU$29))))</f>
        <v>9</v>
      </c>
      <c r="Y41" s="42">
        <f>IF(テーブル223[[#This Row],[ボール投げ]]="",0,(IF(テーブル223[[#This Row],[性別]]="男",LOOKUP(テーブル223[[#This Row],[ボール投げ]],$AV$6:$AW$15),LOOKUP(テーブル223[[#This Row],[ボール投げ]],$AV$20:$AW$29))))</f>
        <v>8</v>
      </c>
      <c r="Z41" s="19">
        <f>IF(テーブル223[[#This Row],[学年]]=1,6,IF(テーブル223[[#This Row],[学年]]=2,7,IF(テーブル223[[#This Row],[学年]]=3,8,IF(テーブル223[[#This Row],[学年]]=4,9,IF(テーブル223[[#This Row],[学年]]=5,10,IF(テーブル223[[#This Row],[学年]]=6,11," "))))))</f>
        <v>11</v>
      </c>
      <c r="AA41" s="125" t="str">
        <f>IF(テーブル223[[#This Row],[肥満度数値]]=0,"",LOOKUP(AC41,$AU$39:$AU$44,$AV$39:$AV$44))</f>
        <v>中等度肥満</v>
      </c>
      <c r="AB41" s="153">
        <f>IF(テーブル223[[#This Row],[体重]]="",0,IF(テーブル223[[#This Row],[性別]]="男",IF(テーブル223[[#This Row],[年齢]]=11,(0.782*テーブル223[[#This Row],[身長]]-75.106),IF(テーブル223[[#This Row],[年齢]]=10,(0.752*テーブル223[[#This Row],[身長]]-70.461),IF(テーブル223[[#This Row],[年齢]]=9,(0.687*テーブル223[[#This Row],[身長]]-61.39),IF(テーブル223[[#This Row],[年齢]]=8,(0.592*テーブル223[[#This Row],[身長]]-48.804),IF(テーブル223[[#This Row],[年齢]]=7,(0.513*テーブル223[[#This Row],[身長]]-38.378),IF(テーブル223[[#This Row],[年齢]]=6,(0.461*テーブル223[[#This Row],[身長]]-32.382),0)))))),IF(テーブル223[[#This Row],[年齢]]=11,(0.803*テーブル223[[#This Row],[身長]]-78.846),IF(テーブル223[[#This Row],[年齢]]=10,(0.73*テーブル223[[#This Row],[身長]]-68.091),IF(テーブル223[[#This Row],[年齢]]=9,(0.652*テーブル223[[#This Row],[身長]]-56.992),IF(テーブル223[[#This Row],[年齢]]=8,(0.561*テーブル223[[#This Row],[身長]]-45.006),IF(テーブル223[[#This Row],[年齢]]=7,(0.508*テーブル223[[#This Row],[身長]]-38.367),IF(テーブル223[[#This Row],[年齢]]=6,(0.458*テーブル223[[#This Row],[身長]]-32.079)))))))))</f>
        <v>42.647900000000007</v>
      </c>
      <c r="AC41" s="124">
        <f>IF(テーブル223[[#This Row],[体重]]="",0,(テーブル223[[#This Row],[体重]]-テーブル223[[#This Row],[標準体重]])/テーブル223[[#This Row],[標準体重]]*100)</f>
        <v>45.610921053557128</v>
      </c>
      <c r="AD41" s="1" t="str">
        <f>IF(テーブル223[[#This Row],[判定]]=$BB$10,"○","")</f>
        <v>○</v>
      </c>
      <c r="AE41" s="1">
        <f>IF(AD41="","",COUNTIF($AD$6:AD41,"○"))</f>
        <v>7</v>
      </c>
      <c r="AU41">
        <v>-19.899999999999999</v>
      </c>
      <c r="AV41" t="s">
        <v>249</v>
      </c>
      <c r="AY41" s="57">
        <v>3</v>
      </c>
      <c r="AZ41" s="131">
        <v>20</v>
      </c>
      <c r="BA41" s="123" t="s">
        <v>239</v>
      </c>
      <c r="BB41" s="57"/>
      <c r="BC41" s="57"/>
    </row>
    <row r="42" spans="1:55" ht="14.25" customHeight="1" x14ac:dyDescent="0.2">
      <c r="A42" s="40">
        <v>37</v>
      </c>
      <c r="B42" s="145"/>
      <c r="C42" s="148"/>
      <c r="D42" s="145"/>
      <c r="E42" s="156"/>
      <c r="F42" s="145"/>
      <c r="G42" s="145"/>
      <c r="H42" s="146"/>
      <c r="I42" s="148"/>
      <c r="J42" s="148"/>
      <c r="K42" s="145"/>
      <c r="L42" s="148"/>
      <c r="M42" s="149"/>
      <c r="N42" s="148"/>
      <c r="O42" s="150"/>
      <c r="P42" s="27"/>
      <c r="Q42" s="43"/>
      <c r="R42" s="42"/>
      <c r="S42" s="42"/>
      <c r="T42" s="42"/>
      <c r="U42" s="42"/>
      <c r="V42" s="42"/>
      <c r="W42" s="42"/>
      <c r="X42" s="42"/>
      <c r="Y42" s="42"/>
      <c r="Z42" s="19"/>
      <c r="AA42" s="125"/>
      <c r="AB42" s="153"/>
      <c r="AC42" s="124">
        <f>IF(テーブル223[[#This Row],[体重]]="",0,(テーブル223[[#This Row],[体重]]-テーブル223[[#This Row],[標準体重]])/テーブル223[[#This Row],[標準体重]]*100)</f>
        <v>0</v>
      </c>
      <c r="AD42" s="1" t="str">
        <f>IF(テーブル223[[#This Row],[判定]]=$BB$10,"○","")</f>
        <v/>
      </c>
      <c r="AE42" s="1" t="str">
        <f>IF(AD42="","",COUNTIF($AD$6:AD42,"○"))</f>
        <v/>
      </c>
      <c r="AU42">
        <v>20</v>
      </c>
      <c r="AV42" t="s">
        <v>248</v>
      </c>
      <c r="AY42" s="57">
        <v>4</v>
      </c>
      <c r="AZ42" s="131">
        <v>-19.899999999999999</v>
      </c>
      <c r="BA42" s="123" t="s">
        <v>240</v>
      </c>
      <c r="BB42" s="57"/>
      <c r="BC42" s="57"/>
    </row>
    <row r="43" spans="1:55" ht="14.25" customHeight="1" x14ac:dyDescent="0.2">
      <c r="A43" s="40">
        <v>38</v>
      </c>
      <c r="B43" s="145"/>
      <c r="C43" s="148"/>
      <c r="D43" s="145"/>
      <c r="E43" s="156"/>
      <c r="F43" s="145"/>
      <c r="G43" s="145"/>
      <c r="H43" s="146"/>
      <c r="I43" s="148"/>
      <c r="J43" s="148"/>
      <c r="K43" s="145"/>
      <c r="L43" s="148"/>
      <c r="M43" s="149"/>
      <c r="N43" s="148"/>
      <c r="O43" s="150"/>
      <c r="P43" s="27"/>
      <c r="Q43" s="43"/>
      <c r="R43" s="42"/>
      <c r="S43" s="42"/>
      <c r="T43" s="42"/>
      <c r="U43" s="42"/>
      <c r="V43" s="42"/>
      <c r="W43" s="42"/>
      <c r="X43" s="42"/>
      <c r="Y43" s="42"/>
      <c r="Z43" s="19"/>
      <c r="AA43" s="125"/>
      <c r="AB43" s="153"/>
      <c r="AC43" s="124">
        <f>IF(テーブル223[[#This Row],[体重]]="",0,(テーブル223[[#This Row],[体重]]-テーブル223[[#This Row],[標準体重]])/テーブル223[[#This Row],[標準体重]]*100)</f>
        <v>0</v>
      </c>
      <c r="AD43" s="1" t="str">
        <f>IF(テーブル223[[#This Row],[判定]]=$BB$10,"○","")</f>
        <v/>
      </c>
      <c r="AE43" s="1" t="str">
        <f>IF(AD43="","",COUNTIF($AD$6:AD43,"○"))</f>
        <v/>
      </c>
      <c r="AU43">
        <v>30</v>
      </c>
      <c r="AV43" t="s">
        <v>247</v>
      </c>
      <c r="AY43" s="57">
        <v>5</v>
      </c>
      <c r="AZ43" s="131">
        <v>-29.9</v>
      </c>
      <c r="BA43" s="123" t="s">
        <v>241</v>
      </c>
      <c r="BB43" s="57"/>
      <c r="BC43" s="57"/>
    </row>
    <row r="44" spans="1:55" ht="14.25" customHeight="1" x14ac:dyDescent="0.2">
      <c r="A44" s="40">
        <v>39</v>
      </c>
      <c r="B44" s="145"/>
      <c r="C44" s="148"/>
      <c r="D44" s="145"/>
      <c r="E44" s="156"/>
      <c r="F44" s="145"/>
      <c r="G44" s="145"/>
      <c r="H44" s="146"/>
      <c r="I44" s="148"/>
      <c r="J44" s="148"/>
      <c r="K44" s="145"/>
      <c r="L44" s="148"/>
      <c r="M44" s="149"/>
      <c r="N44" s="148"/>
      <c r="O44" s="150"/>
      <c r="P44" s="27"/>
      <c r="Q44" s="43"/>
      <c r="R44" s="42"/>
      <c r="S44" s="42"/>
      <c r="T44" s="42"/>
      <c r="U44" s="42"/>
      <c r="V44" s="42"/>
      <c r="W44" s="42"/>
      <c r="X44" s="42"/>
      <c r="Y44" s="42"/>
      <c r="Z44" s="19"/>
      <c r="AA44" s="125"/>
      <c r="AB44" s="153"/>
      <c r="AC44" s="124">
        <f>IF(テーブル223[[#This Row],[体重]]="",0,(テーブル223[[#This Row],[体重]]-テーブル223[[#This Row],[標準体重]])/テーブル223[[#This Row],[標準体重]]*100)</f>
        <v>0</v>
      </c>
      <c r="AD44" s="1" t="str">
        <f>IF(テーブル223[[#This Row],[判定]]=$BB$10,"○","")</f>
        <v/>
      </c>
      <c r="AE44" s="1" t="str">
        <f>IF(AD44="","",COUNTIF($AD$6:AD44,"○"))</f>
        <v/>
      </c>
      <c r="AU44">
        <v>50</v>
      </c>
      <c r="AV44" t="s">
        <v>246</v>
      </c>
      <c r="AY44" s="57">
        <v>6</v>
      </c>
      <c r="AZ44" s="131">
        <v>-30</v>
      </c>
      <c r="BA44" s="123" t="s">
        <v>242</v>
      </c>
      <c r="BB44" s="57"/>
      <c r="BC44" s="57"/>
    </row>
    <row r="45" spans="1:55" ht="14.25" customHeight="1" x14ac:dyDescent="0.2">
      <c r="A45" s="40">
        <v>40</v>
      </c>
      <c r="B45" s="145"/>
      <c r="C45" s="148"/>
      <c r="D45" s="145"/>
      <c r="E45" s="156"/>
      <c r="F45" s="145"/>
      <c r="G45" s="145"/>
      <c r="H45" s="146"/>
      <c r="I45" s="148"/>
      <c r="J45" s="148"/>
      <c r="K45" s="145"/>
      <c r="L45" s="148"/>
      <c r="M45" s="149"/>
      <c r="N45" s="148"/>
      <c r="O45" s="150"/>
      <c r="P45" s="27"/>
      <c r="Q45" s="43"/>
      <c r="R45" s="42"/>
      <c r="S45" s="42"/>
      <c r="T45" s="42"/>
      <c r="U45" s="42"/>
      <c r="V45" s="42"/>
      <c r="W45" s="42"/>
      <c r="X45" s="42"/>
      <c r="Y45" s="42"/>
      <c r="Z45" s="19"/>
      <c r="AA45" s="125"/>
      <c r="AB45" s="153"/>
      <c r="AC45" s="124">
        <f>IF(テーブル223[[#This Row],[体重]]="",0,(テーブル223[[#This Row],[体重]]-テーブル223[[#This Row],[標準体重]])/テーブル223[[#This Row],[標準体重]]*100)</f>
        <v>0</v>
      </c>
      <c r="AD45" s="1" t="str">
        <f>IF(テーブル223[[#This Row],[判定]]=$BB$10,"○","")</f>
        <v/>
      </c>
      <c r="AE45" s="1" t="str">
        <f>IF(AD45="","",COUNTIF($AD$6:AD45,"○"))</f>
        <v/>
      </c>
    </row>
    <row r="46" spans="1:55" ht="14.25" customHeight="1" x14ac:dyDescent="0.2">
      <c r="A46" s="40">
        <v>41</v>
      </c>
      <c r="B46" s="145"/>
      <c r="C46" s="148"/>
      <c r="D46" s="145"/>
      <c r="E46" s="156"/>
      <c r="F46" s="145"/>
      <c r="G46" s="145"/>
      <c r="H46" s="146"/>
      <c r="I46" s="148"/>
      <c r="J46" s="148"/>
      <c r="K46" s="145"/>
      <c r="L46" s="148"/>
      <c r="M46" s="149"/>
      <c r="N46" s="148"/>
      <c r="O46" s="150"/>
      <c r="P46" s="27"/>
      <c r="Q46" s="43"/>
      <c r="R46" s="42"/>
      <c r="S46" s="42"/>
      <c r="T46" s="42"/>
      <c r="U46" s="42"/>
      <c r="V46" s="42"/>
      <c r="W46" s="42"/>
      <c r="X46" s="42"/>
      <c r="Y46" s="42"/>
      <c r="Z46" s="19"/>
      <c r="AA46" s="125"/>
      <c r="AB46" s="153"/>
      <c r="AC46" s="124">
        <f>IF(テーブル223[[#This Row],[体重]]="",0,(テーブル223[[#This Row],[体重]]-テーブル223[[#This Row],[標準体重]])/テーブル223[[#This Row],[標準体重]]*100)</f>
        <v>0</v>
      </c>
      <c r="AD46" s="1" t="str">
        <f>IF(テーブル223[[#This Row],[判定]]=$BB$10,"○","")</f>
        <v/>
      </c>
      <c r="AE46" s="1" t="str">
        <f>IF(AD46="","",COUNTIF($AD$6:AD46,"○"))</f>
        <v/>
      </c>
    </row>
    <row r="47" spans="1:55" ht="14.25" customHeight="1" x14ac:dyDescent="0.2">
      <c r="A47" s="40">
        <v>42</v>
      </c>
      <c r="B47" s="145"/>
      <c r="C47" s="148"/>
      <c r="D47" s="145"/>
      <c r="E47" s="156"/>
      <c r="F47" s="145"/>
      <c r="G47" s="145"/>
      <c r="H47" s="146"/>
      <c r="I47" s="148"/>
      <c r="J47" s="148"/>
      <c r="K47" s="145"/>
      <c r="L47" s="148"/>
      <c r="M47" s="149"/>
      <c r="N47" s="148"/>
      <c r="O47" s="150"/>
      <c r="P47" s="27"/>
      <c r="Q47" s="43"/>
      <c r="R47" s="42"/>
      <c r="S47" s="42"/>
      <c r="T47" s="42"/>
      <c r="U47" s="42"/>
      <c r="V47" s="42"/>
      <c r="W47" s="42"/>
      <c r="X47" s="42"/>
      <c r="Y47" s="42"/>
      <c r="Z47" s="19"/>
      <c r="AA47" s="125"/>
      <c r="AB47" s="153"/>
      <c r="AC47" s="124">
        <f>IF(テーブル223[[#This Row],[体重]]="",0,(テーブル223[[#This Row],[体重]]-テーブル223[[#This Row],[標準体重]])/テーブル223[[#This Row],[標準体重]]*100)</f>
        <v>0</v>
      </c>
      <c r="AD47" s="1" t="str">
        <f>IF(テーブル223[[#This Row],[判定]]=$BB$10,"○","")</f>
        <v/>
      </c>
      <c r="AE47" s="1" t="str">
        <f>IF(AD47="","",COUNTIF($AD$6:AD47,"○"))</f>
        <v/>
      </c>
    </row>
    <row r="48" spans="1:55" ht="14.25" customHeight="1" x14ac:dyDescent="0.2">
      <c r="A48" s="40">
        <v>43</v>
      </c>
      <c r="B48" s="145"/>
      <c r="C48" s="148"/>
      <c r="D48" s="145"/>
      <c r="E48" s="156"/>
      <c r="F48" s="145"/>
      <c r="G48" s="145"/>
      <c r="H48" s="146"/>
      <c r="I48" s="148"/>
      <c r="J48" s="148"/>
      <c r="K48" s="145"/>
      <c r="L48" s="148"/>
      <c r="M48" s="149"/>
      <c r="N48" s="148"/>
      <c r="O48" s="150"/>
      <c r="P48" s="27"/>
      <c r="Q48" s="43"/>
      <c r="R48" s="42"/>
      <c r="S48" s="42"/>
      <c r="T48" s="42"/>
      <c r="U48" s="42"/>
      <c r="V48" s="42"/>
      <c r="W48" s="42"/>
      <c r="X48" s="42"/>
      <c r="Y48" s="42"/>
      <c r="Z48" s="19"/>
      <c r="AA48" s="125"/>
      <c r="AB48" s="153"/>
      <c r="AC48" s="124">
        <f>IF(テーブル223[[#This Row],[体重]]="",0,(テーブル223[[#This Row],[体重]]-テーブル223[[#This Row],[標準体重]])/テーブル223[[#This Row],[標準体重]]*100)</f>
        <v>0</v>
      </c>
      <c r="AD48" s="1" t="str">
        <f>IF(テーブル223[[#This Row],[判定]]=$BB$10,"○","")</f>
        <v/>
      </c>
      <c r="AE48" s="1" t="str">
        <f>IF(AD48="","",COUNTIF($AD$6:AD48,"○"))</f>
        <v/>
      </c>
    </row>
    <row r="49" spans="1:31" ht="14.25" customHeight="1" x14ac:dyDescent="0.2">
      <c r="A49" s="40">
        <v>44</v>
      </c>
      <c r="B49" s="145"/>
      <c r="C49" s="148"/>
      <c r="D49" s="145"/>
      <c r="E49" s="156"/>
      <c r="F49" s="145"/>
      <c r="G49" s="145"/>
      <c r="H49" s="146"/>
      <c r="I49" s="148"/>
      <c r="J49" s="148"/>
      <c r="K49" s="145"/>
      <c r="L49" s="148"/>
      <c r="M49" s="149"/>
      <c r="N49" s="148"/>
      <c r="O49" s="150"/>
      <c r="P49" s="27"/>
      <c r="Q49" s="43"/>
      <c r="R49" s="42"/>
      <c r="S49" s="42"/>
      <c r="T49" s="42"/>
      <c r="U49" s="42"/>
      <c r="V49" s="42"/>
      <c r="W49" s="42"/>
      <c r="X49" s="42"/>
      <c r="Y49" s="42"/>
      <c r="Z49" s="19"/>
      <c r="AA49" s="125"/>
      <c r="AB49" s="153"/>
      <c r="AC49" s="124">
        <f>IF(テーブル223[[#This Row],[体重]]="",0,(テーブル223[[#This Row],[体重]]-テーブル223[[#This Row],[標準体重]])/テーブル223[[#This Row],[標準体重]]*100)</f>
        <v>0</v>
      </c>
      <c r="AD49" s="1" t="str">
        <f>IF(テーブル223[[#This Row],[判定]]=$BB$10,"○","")</f>
        <v/>
      </c>
      <c r="AE49" s="1" t="str">
        <f>IF(AD49="","",COUNTIF($AD$6:AD49,"○"))</f>
        <v/>
      </c>
    </row>
    <row r="50" spans="1:31" ht="14.25" customHeight="1" x14ac:dyDescent="0.2">
      <c r="A50" s="40">
        <v>45</v>
      </c>
      <c r="B50" s="145"/>
      <c r="C50" s="148"/>
      <c r="D50" s="145"/>
      <c r="E50" s="156"/>
      <c r="F50" s="145"/>
      <c r="G50" s="145"/>
      <c r="H50" s="146"/>
      <c r="I50" s="148"/>
      <c r="J50" s="148"/>
      <c r="K50" s="145"/>
      <c r="L50" s="148"/>
      <c r="M50" s="149"/>
      <c r="N50" s="148"/>
      <c r="O50" s="150"/>
      <c r="P50" s="27"/>
      <c r="Q50" s="43"/>
      <c r="R50" s="42"/>
      <c r="S50" s="42"/>
      <c r="T50" s="42"/>
      <c r="U50" s="42"/>
      <c r="V50" s="42"/>
      <c r="W50" s="42"/>
      <c r="X50" s="42"/>
      <c r="Y50" s="42"/>
      <c r="Z50" s="19"/>
      <c r="AA50" s="125"/>
      <c r="AB50" s="153"/>
      <c r="AC50" s="124">
        <f>IF(テーブル223[[#This Row],[体重]]="",0,(テーブル223[[#This Row],[体重]]-テーブル223[[#This Row],[標準体重]])/テーブル223[[#This Row],[標準体重]]*100)</f>
        <v>0</v>
      </c>
      <c r="AD50" s="1" t="str">
        <f>IF(テーブル223[[#This Row],[判定]]=$BB$10,"○","")</f>
        <v/>
      </c>
      <c r="AE50" s="1" t="str">
        <f>IF(AD50="","",COUNTIF($AD$6:AD50,"○"))</f>
        <v/>
      </c>
    </row>
    <row r="51" spans="1:31" ht="14.25" customHeight="1" x14ac:dyDescent="0.2">
      <c r="A51" s="40">
        <v>46</v>
      </c>
      <c r="B51" s="145"/>
      <c r="C51" s="148"/>
      <c r="D51" s="145"/>
      <c r="E51" s="156"/>
      <c r="F51" s="145"/>
      <c r="G51" s="145"/>
      <c r="H51" s="146"/>
      <c r="I51" s="148"/>
      <c r="J51" s="148"/>
      <c r="K51" s="145"/>
      <c r="L51" s="148"/>
      <c r="M51" s="149"/>
      <c r="N51" s="148"/>
      <c r="O51" s="150"/>
      <c r="P51" s="27"/>
      <c r="Q51" s="43"/>
      <c r="R51" s="42"/>
      <c r="S51" s="42"/>
      <c r="T51" s="42"/>
      <c r="U51" s="42"/>
      <c r="V51" s="42"/>
      <c r="W51" s="42"/>
      <c r="X51" s="42"/>
      <c r="Y51" s="42"/>
      <c r="Z51" s="19"/>
      <c r="AA51" s="125"/>
      <c r="AB51" s="153"/>
      <c r="AC51" s="124">
        <f>IF(テーブル223[[#This Row],[体重]]="",0,(テーブル223[[#This Row],[体重]]-テーブル223[[#This Row],[標準体重]])/テーブル223[[#This Row],[標準体重]]*100)</f>
        <v>0</v>
      </c>
      <c r="AD51" s="1" t="str">
        <f>IF(テーブル223[[#This Row],[判定]]=$BB$10,"○","")</f>
        <v/>
      </c>
      <c r="AE51" s="1" t="str">
        <f>IF(AD51="","",COUNTIF($AD$6:AD51,"○"))</f>
        <v/>
      </c>
    </row>
    <row r="52" spans="1:31" ht="14.25" customHeight="1" x14ac:dyDescent="0.2">
      <c r="A52" s="40">
        <v>47</v>
      </c>
      <c r="B52" s="145"/>
      <c r="C52" s="148"/>
      <c r="D52" s="145"/>
      <c r="E52" s="156"/>
      <c r="F52" s="145"/>
      <c r="G52" s="145"/>
      <c r="H52" s="146"/>
      <c r="I52" s="148"/>
      <c r="J52" s="148"/>
      <c r="K52" s="145"/>
      <c r="L52" s="148"/>
      <c r="M52" s="149"/>
      <c r="N52" s="148"/>
      <c r="O52" s="150"/>
      <c r="P52" s="27"/>
      <c r="Q52" s="43"/>
      <c r="R52" s="42"/>
      <c r="S52" s="42"/>
      <c r="T52" s="42"/>
      <c r="U52" s="42"/>
      <c r="V52" s="42"/>
      <c r="W52" s="42"/>
      <c r="X52" s="42"/>
      <c r="Y52" s="42"/>
      <c r="Z52" s="19"/>
      <c r="AA52" s="125"/>
      <c r="AB52" s="153"/>
      <c r="AC52" s="124">
        <f>IF(テーブル223[[#This Row],[体重]]="",0,(テーブル223[[#This Row],[体重]]-テーブル223[[#This Row],[標準体重]])/テーブル223[[#This Row],[標準体重]]*100)</f>
        <v>0</v>
      </c>
      <c r="AD52" s="1" t="str">
        <f>IF(テーブル223[[#This Row],[判定]]=$BB$10,"○","")</f>
        <v/>
      </c>
      <c r="AE52" s="1" t="str">
        <f>IF(AD52="","",COUNTIF($AD$6:AD52,"○"))</f>
        <v/>
      </c>
    </row>
    <row r="53" spans="1:31" ht="14.25" customHeight="1" x14ac:dyDescent="0.2">
      <c r="A53" s="40">
        <v>48</v>
      </c>
      <c r="B53" s="145"/>
      <c r="C53" s="148"/>
      <c r="D53" s="145"/>
      <c r="E53" s="156"/>
      <c r="F53" s="145"/>
      <c r="G53" s="145"/>
      <c r="H53" s="146"/>
      <c r="I53" s="148"/>
      <c r="J53" s="148"/>
      <c r="K53" s="145"/>
      <c r="L53" s="148"/>
      <c r="M53" s="149"/>
      <c r="N53" s="148"/>
      <c r="O53" s="150"/>
      <c r="P53" s="27"/>
      <c r="Q53" s="43"/>
      <c r="R53" s="42"/>
      <c r="S53" s="42"/>
      <c r="T53" s="42"/>
      <c r="U53" s="42"/>
      <c r="V53" s="42"/>
      <c r="W53" s="42"/>
      <c r="X53" s="42"/>
      <c r="Y53" s="42"/>
      <c r="Z53" s="19"/>
      <c r="AA53" s="125"/>
      <c r="AB53" s="153"/>
      <c r="AC53" s="124">
        <f>IF(テーブル223[[#This Row],[体重]]="",0,(テーブル223[[#This Row],[体重]]-テーブル223[[#This Row],[標準体重]])/テーブル223[[#This Row],[標準体重]]*100)</f>
        <v>0</v>
      </c>
      <c r="AD53" s="1" t="str">
        <f>IF(テーブル223[[#This Row],[判定]]=$BB$10,"○","")</f>
        <v/>
      </c>
      <c r="AE53" s="1" t="str">
        <f>IF(AD53="","",COUNTIF($AD$6:AD53,"○"))</f>
        <v/>
      </c>
    </row>
    <row r="54" spans="1:31" ht="14.25" customHeight="1" x14ac:dyDescent="0.2">
      <c r="A54" s="40">
        <v>49</v>
      </c>
      <c r="B54" s="145"/>
      <c r="C54" s="148"/>
      <c r="D54" s="145"/>
      <c r="E54" s="156"/>
      <c r="F54" s="145"/>
      <c r="G54" s="145"/>
      <c r="H54" s="146"/>
      <c r="I54" s="148"/>
      <c r="J54" s="148"/>
      <c r="K54" s="145"/>
      <c r="L54" s="148"/>
      <c r="M54" s="149"/>
      <c r="N54" s="148"/>
      <c r="O54" s="150"/>
      <c r="P54" s="27"/>
      <c r="Q54" s="43"/>
      <c r="R54" s="42"/>
      <c r="S54" s="42"/>
      <c r="T54" s="42"/>
      <c r="U54" s="42"/>
      <c r="V54" s="42"/>
      <c r="W54" s="42"/>
      <c r="X54" s="42"/>
      <c r="Y54" s="42"/>
      <c r="Z54" s="19"/>
      <c r="AA54" s="125"/>
      <c r="AB54" s="153"/>
      <c r="AC54" s="124">
        <f>IF(テーブル223[[#This Row],[体重]]="",0,(テーブル223[[#This Row],[体重]]-テーブル223[[#This Row],[標準体重]])/テーブル223[[#This Row],[標準体重]]*100)</f>
        <v>0</v>
      </c>
      <c r="AD54" s="1" t="str">
        <f>IF(テーブル223[[#This Row],[判定]]=$BB$10,"○","")</f>
        <v/>
      </c>
      <c r="AE54" s="1" t="str">
        <f>IF(AD54="","",COUNTIF($AD$6:AD54,"○"))</f>
        <v/>
      </c>
    </row>
    <row r="55" spans="1:31" ht="14.25" customHeight="1" x14ac:dyDescent="0.2">
      <c r="A55" s="40">
        <v>50</v>
      </c>
      <c r="B55" s="145"/>
      <c r="C55" s="148"/>
      <c r="D55" s="145"/>
      <c r="E55" s="156"/>
      <c r="F55" s="145"/>
      <c r="G55" s="145"/>
      <c r="H55" s="146"/>
      <c r="I55" s="148"/>
      <c r="J55" s="148"/>
      <c r="K55" s="145"/>
      <c r="L55" s="148"/>
      <c r="M55" s="149"/>
      <c r="N55" s="148"/>
      <c r="O55" s="150"/>
      <c r="P55" s="27"/>
      <c r="Q55" s="43"/>
      <c r="R55" s="42"/>
      <c r="S55" s="42"/>
      <c r="T55" s="42"/>
      <c r="U55" s="42"/>
      <c r="V55" s="42"/>
      <c r="W55" s="42"/>
      <c r="X55" s="42"/>
      <c r="Y55" s="42"/>
      <c r="Z55" s="19"/>
      <c r="AA55" s="125"/>
      <c r="AB55" s="153"/>
      <c r="AC55" s="124">
        <f>IF(テーブル223[[#This Row],[体重]]="",0,(テーブル223[[#This Row],[体重]]-テーブル223[[#This Row],[標準体重]])/テーブル223[[#This Row],[標準体重]]*100)</f>
        <v>0</v>
      </c>
      <c r="AD55" s="1" t="str">
        <f>IF(テーブル223[[#This Row],[判定]]=$BB$10,"○","")</f>
        <v/>
      </c>
      <c r="AE55" s="1" t="str">
        <f>IF(AD55="","",COUNTIF($AD$6:AD55,"○"))</f>
        <v/>
      </c>
    </row>
  </sheetData>
  <sheetProtection algorithmName="SHA-512" hashValue="uHwFSZrt4/RSJX5gwQ0/FgFXg3dy6lBducz1AgVCScicgr9cul4ZGDJvqs109YhYdrZBnW6ZiQ/hx+OGQZelvQ==" saltValue="v4ODBcevSCEMnEhBv9XpqQ==" spinCount="100000" sheet="1" objects="1" scenarios="1"/>
  <mergeCells count="8">
    <mergeCell ref="AZ20:BA20"/>
    <mergeCell ref="BB20:BC20"/>
    <mergeCell ref="A1:AA1"/>
    <mergeCell ref="C2:D3"/>
    <mergeCell ref="E2:H3"/>
    <mergeCell ref="K2:K3"/>
    <mergeCell ref="L2:P3"/>
    <mergeCell ref="AY20:AY21"/>
  </mergeCells>
  <phoneticPr fontId="1"/>
  <conditionalFormatting sqref="H6:H55">
    <cfRule type="expression" dxfId="150" priority="4">
      <formula>H6-INT(H6)&gt;0</formula>
    </cfRule>
    <cfRule type="cellIs" dxfId="149" priority="14" operator="notBetween">
      <formula>1</formula>
      <formula>70</formula>
    </cfRule>
  </conditionalFormatting>
  <conditionalFormatting sqref="I6:I55">
    <cfRule type="cellIs" dxfId="148" priority="13" operator="notBetween">
      <formula>1</formula>
      <formula>60</formula>
    </cfRule>
  </conditionalFormatting>
  <conditionalFormatting sqref="J6:J55">
    <cfRule type="expression" dxfId="147" priority="3">
      <formula>J6-INT(J6)&gt;0</formula>
    </cfRule>
    <cfRule type="cellIs" dxfId="146" priority="12" operator="notBetween">
      <formula>1</formula>
      <formula>100</formula>
    </cfRule>
  </conditionalFormatting>
  <conditionalFormatting sqref="K6:K55">
    <cfRule type="cellIs" dxfId="145" priority="11" operator="notBetween">
      <formula>1</formula>
      <formula>80</formula>
    </cfRule>
  </conditionalFormatting>
  <conditionalFormatting sqref="L6:L55">
    <cfRule type="cellIs" dxfId="144" priority="10" operator="notBetween">
      <formula>1</formula>
      <formula>150</formula>
    </cfRule>
  </conditionalFormatting>
  <conditionalFormatting sqref="M6:M55">
    <cfRule type="cellIs" dxfId="143" priority="9" operator="notBetween">
      <formula>5</formula>
      <formula>20</formula>
    </cfRule>
  </conditionalFormatting>
  <conditionalFormatting sqref="N6:N55">
    <cfRule type="expression" dxfId="142" priority="1">
      <formula>N6-INT(N6)&gt;0</formula>
    </cfRule>
    <cfRule type="cellIs" dxfId="141" priority="7" operator="notBetween">
      <formula>1</formula>
      <formula>300</formula>
    </cfRule>
  </conditionalFormatting>
  <conditionalFormatting sqref="O6:O55">
    <cfRule type="expression" dxfId="140" priority="5">
      <formula>O6-INT(O6)&gt;0</formula>
    </cfRule>
    <cfRule type="cellIs" dxfId="139" priority="8" operator="notBetween">
      <formula>1</formula>
      <formula>80</formula>
    </cfRule>
  </conditionalFormatting>
  <conditionalFormatting sqref="B6:O55">
    <cfRule type="containsErrors" dxfId="138" priority="2">
      <formula>ISERROR(B6)</formula>
    </cfRule>
    <cfRule type="containsBlanks" dxfId="137" priority="6">
      <formula>LEN(TRIM(B6))=0</formula>
    </cfRule>
  </conditionalFormatting>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39"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FFFF"/>
  </sheetPr>
  <dimension ref="A1:BG1005"/>
  <sheetViews>
    <sheetView showGridLines="0" tabSelected="1" topLeftCell="A7" zoomScaleNormal="100" workbookViewId="0">
      <selection activeCell="H5" sqref="H5"/>
    </sheetView>
  </sheetViews>
  <sheetFormatPr defaultRowHeight="13" x14ac:dyDescent="0.2"/>
  <cols>
    <col min="1" max="1" width="5" customWidth="1"/>
    <col min="2" max="4" width="4.08984375" customWidth="1"/>
    <col min="5" max="5" width="17.08984375" customWidth="1"/>
    <col min="6" max="6" width="9.7265625" customWidth="1"/>
    <col min="7" max="17" width="7.36328125" customWidth="1"/>
    <col min="18" max="26" width="7.36328125" hidden="1" customWidth="1"/>
    <col min="27" max="28" width="7.36328125" customWidth="1"/>
    <col min="29" max="29" width="7.36328125" hidden="1" customWidth="1"/>
    <col min="30" max="33" width="6.7265625" hidden="1" customWidth="1"/>
    <col min="34" max="41" width="5.26953125" hidden="1" customWidth="1"/>
    <col min="42" max="42" width="7.08984375" hidden="1" customWidth="1"/>
    <col min="43" max="43" width="5.26953125" hidden="1" customWidth="1"/>
    <col min="44" max="44" width="7.7265625" hidden="1" customWidth="1"/>
    <col min="45" max="45" width="5.26953125" hidden="1" customWidth="1"/>
    <col min="46" max="46" width="5.7265625" hidden="1" customWidth="1"/>
    <col min="47" max="47" width="5.26953125" hidden="1" customWidth="1"/>
    <col min="48" max="48" width="6.90625" hidden="1" customWidth="1"/>
    <col min="49" max="49" width="5.26953125" hidden="1" customWidth="1"/>
    <col min="50" max="50" width="6.36328125" hidden="1" customWidth="1"/>
    <col min="51" max="51" width="5.26953125" hidden="1" customWidth="1"/>
    <col min="52" max="59" width="9" hidden="1" customWidth="1"/>
    <col min="60" max="70" width="9" customWidth="1"/>
  </cols>
  <sheetData>
    <row r="1" spans="1:59" ht="51.75" customHeight="1" thickBot="1" x14ac:dyDescent="0.25">
      <c r="A1" s="205" t="s">
        <v>78</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33"/>
      <c r="AC1" s="33"/>
    </row>
    <row r="2" spans="1:59" ht="28.5" customHeight="1" x14ac:dyDescent="0.2">
      <c r="C2" s="206" t="s">
        <v>73</v>
      </c>
      <c r="D2" s="207"/>
      <c r="E2" s="224"/>
      <c r="F2" s="225"/>
      <c r="G2" s="225"/>
      <c r="H2" s="226"/>
      <c r="I2" s="119"/>
      <c r="J2" s="119"/>
      <c r="K2" s="216" t="s">
        <v>74</v>
      </c>
      <c r="L2" s="230"/>
      <c r="M2" s="231"/>
      <c r="N2" s="231"/>
      <c r="O2" s="231"/>
      <c r="P2" s="232"/>
      <c r="Q2" s="44"/>
      <c r="R2" s="115"/>
      <c r="S2" s="116"/>
      <c r="T2" s="116"/>
      <c r="U2" s="117"/>
      <c r="V2" s="117"/>
      <c r="W2" s="116"/>
      <c r="X2" s="116"/>
      <c r="Y2" s="116"/>
      <c r="Z2" s="116"/>
      <c r="AA2" s="116"/>
      <c r="AB2" s="116"/>
      <c r="AC2" s="116"/>
      <c r="AD2" s="116"/>
      <c r="AE2" s="116"/>
    </row>
    <row r="3" spans="1:59" ht="14.25" customHeight="1" thickBot="1" x14ac:dyDescent="0.25">
      <c r="C3" s="208"/>
      <c r="D3" s="209"/>
      <c r="E3" s="227"/>
      <c r="F3" s="228"/>
      <c r="G3" s="228"/>
      <c r="H3" s="229"/>
      <c r="I3" s="119"/>
      <c r="J3" s="119"/>
      <c r="K3" s="217"/>
      <c r="L3" s="233"/>
      <c r="M3" s="234"/>
      <c r="N3" s="234"/>
      <c r="O3" s="234"/>
      <c r="P3" s="235"/>
      <c r="Q3" s="44"/>
      <c r="R3" s="115"/>
      <c r="S3" s="116"/>
      <c r="T3" s="116"/>
      <c r="U3" s="117"/>
      <c r="V3" s="116"/>
      <c r="W3" s="116"/>
      <c r="X3" s="116"/>
      <c r="Y3" s="116"/>
      <c r="Z3" s="116"/>
      <c r="AA3" s="116"/>
      <c r="AB3" s="116"/>
      <c r="AC3" s="116"/>
      <c r="AD3" s="116"/>
      <c r="AE3" s="116"/>
    </row>
    <row r="4" spans="1:59" ht="27.75" customHeight="1" thickBot="1" x14ac:dyDescent="0.25">
      <c r="A4" s="144" t="s">
        <v>254</v>
      </c>
      <c r="C4" s="144"/>
      <c r="F4" s="143"/>
      <c r="P4" s="118"/>
      <c r="Q4" s="116"/>
      <c r="R4" s="116"/>
      <c r="S4" s="116"/>
      <c r="T4" s="116"/>
      <c r="U4" s="116"/>
      <c r="V4" s="116"/>
      <c r="W4" s="116"/>
      <c r="X4" s="116"/>
      <c r="Y4" s="116"/>
      <c r="Z4" s="116"/>
      <c r="AA4" s="116"/>
    </row>
    <row r="5" spans="1:59" ht="27.5" thickBot="1" x14ac:dyDescent="0.25">
      <c r="A5" s="83" t="s">
        <v>81</v>
      </c>
      <c r="B5" s="39" t="s">
        <v>82</v>
      </c>
      <c r="C5" s="39" t="s">
        <v>126</v>
      </c>
      <c r="D5" s="39" t="s">
        <v>83</v>
      </c>
      <c r="E5" s="40" t="s">
        <v>156</v>
      </c>
      <c r="F5" s="41" t="s">
        <v>157</v>
      </c>
      <c r="G5" s="41" t="s">
        <v>158</v>
      </c>
      <c r="H5" s="84" t="s">
        <v>57</v>
      </c>
      <c r="I5" s="84" t="s">
        <v>146</v>
      </c>
      <c r="J5" s="41" t="s">
        <v>147</v>
      </c>
      <c r="K5" s="85" t="s">
        <v>148</v>
      </c>
      <c r="L5" s="86" t="s">
        <v>151</v>
      </c>
      <c r="M5" s="41" t="s">
        <v>58</v>
      </c>
      <c r="N5" s="141" t="s">
        <v>150</v>
      </c>
      <c r="O5" s="142" t="s">
        <v>59</v>
      </c>
      <c r="P5" s="107" t="s">
        <v>112</v>
      </c>
      <c r="Q5" s="43" t="s">
        <v>127</v>
      </c>
      <c r="R5" s="87" t="s">
        <v>152</v>
      </c>
      <c r="S5" s="88" t="s">
        <v>153</v>
      </c>
      <c r="T5" s="88" t="s">
        <v>154</v>
      </c>
      <c r="U5" s="88" t="s">
        <v>155</v>
      </c>
      <c r="V5" s="88" t="s">
        <v>128</v>
      </c>
      <c r="W5" s="88" t="s">
        <v>129</v>
      </c>
      <c r="X5" s="88" t="s">
        <v>130</v>
      </c>
      <c r="Y5" s="88" t="s">
        <v>131</v>
      </c>
      <c r="Z5" s="27" t="s">
        <v>84</v>
      </c>
      <c r="AA5" s="89" t="s">
        <v>244</v>
      </c>
      <c r="AB5" s="88" t="s">
        <v>243</v>
      </c>
      <c r="AC5" s="88" t="s">
        <v>245</v>
      </c>
      <c r="AD5" s="159" t="s">
        <v>255</v>
      </c>
      <c r="AH5" s="55" t="s">
        <v>93</v>
      </c>
      <c r="AI5" s="56" t="s">
        <v>85</v>
      </c>
      <c r="AJ5" s="55" t="s">
        <v>116</v>
      </c>
      <c r="AK5" s="56" t="s">
        <v>85</v>
      </c>
      <c r="AL5" s="55" t="s">
        <v>117</v>
      </c>
      <c r="AM5" s="56" t="s">
        <v>85</v>
      </c>
      <c r="AN5" s="55" t="s">
        <v>118</v>
      </c>
      <c r="AO5" s="56" t="s">
        <v>85</v>
      </c>
      <c r="AP5" s="55" t="s">
        <v>113</v>
      </c>
      <c r="AQ5" s="59" t="s">
        <v>112</v>
      </c>
      <c r="AR5" s="55" t="s">
        <v>119</v>
      </c>
      <c r="AS5" s="56" t="s">
        <v>85</v>
      </c>
      <c r="AT5" s="55" t="s">
        <v>120</v>
      </c>
      <c r="AU5" s="56" t="s">
        <v>85</v>
      </c>
      <c r="AV5" s="55" t="s">
        <v>121</v>
      </c>
      <c r="AW5" s="56" t="s">
        <v>85</v>
      </c>
      <c r="AX5" s="55" t="s">
        <v>122</v>
      </c>
      <c r="AY5" s="56" t="s">
        <v>85</v>
      </c>
      <c r="BA5" s="58">
        <v>6</v>
      </c>
      <c r="BB5" s="90">
        <v>7</v>
      </c>
      <c r="BC5" s="60">
        <v>8</v>
      </c>
      <c r="BD5" s="59" t="s">
        <v>110</v>
      </c>
      <c r="BE5" s="58">
        <v>9</v>
      </c>
      <c r="BF5" s="90">
        <v>10</v>
      </c>
      <c r="BG5" s="60">
        <v>11</v>
      </c>
    </row>
    <row r="6" spans="1:59" ht="14.25" customHeight="1" x14ac:dyDescent="0.2">
      <c r="A6" s="45">
        <v>1</v>
      </c>
      <c r="B6" s="145"/>
      <c r="C6" s="145"/>
      <c r="D6" s="145"/>
      <c r="E6" s="154"/>
      <c r="F6" s="145"/>
      <c r="G6" s="145"/>
      <c r="H6" s="146"/>
      <c r="I6" s="146"/>
      <c r="J6" s="145"/>
      <c r="K6" s="145"/>
      <c r="L6" s="145"/>
      <c r="M6" s="147"/>
      <c r="N6" s="145"/>
      <c r="O6" s="146"/>
      <c r="P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 s="43" t="str">
        <f>IF(テーブル22[[#This Row],[得点]]="","",IF(テーブル22[[#This Row],[年齢]]&gt;10,LOOKUP(P6,$BG$6:$BG$10,$BD$6:$BD$10),IF(テーブル22[[#This Row],[年齢]]&gt;9,LOOKUP(P6,$BF$6:$BF$10,$BD$6:$BD$10),IF(テーブル22[[#This Row],[年齢]]&gt;8,LOOKUP(P6,$BE$6:$BE$10,$BD$6:$BD$10),IF(テーブル22[[#This Row],[年齢]]&gt;7,LOOKUP(P6,$BC$6:$BC$10,$BD$6:$BD$10),IF(テーブル22[[#This Row],[年齢]]&gt;6,LOOKUP(P6,$BB$6:$BB$10,$BD$6:$BD$10),LOOKUP(P6,$BA$6:$BA$10,$BD$6:$BD$10)))))))</f>
        <v/>
      </c>
      <c r="R6" s="42">
        <f>IF(H6="",0,(IF(テーブル22[[#This Row],[性別]]="男",LOOKUP(テーブル22[[#This Row],[握力]],$AH$6:$AI$15),LOOKUP(テーブル22[[#This Row],[握力]],$AH$20:$AI$29))))</f>
        <v>0</v>
      </c>
      <c r="S6" s="42">
        <f>IF(テーブル22[[#This Row],[上体]]="",0,(IF(テーブル22[[#This Row],[性別]]="男",LOOKUP(テーブル22[[#This Row],[上体]],$AJ$6:$AK$15),LOOKUP(テーブル22[[#This Row],[上体]],$AJ$20:$AK$29))))</f>
        <v>0</v>
      </c>
      <c r="T6" s="42">
        <f>IF(テーブル22[[#This Row],[長座]]="",0,(IF(テーブル22[[#This Row],[性別]]="男",LOOKUP(テーブル22[[#This Row],[長座]],$AL$6:$AM$15),LOOKUP(テーブル22[[#This Row],[長座]],$AL$20:$AM$29))))</f>
        <v>0</v>
      </c>
      <c r="U6" s="42">
        <f>IF(テーブル22[[#This Row],[反復]]="",0,(IF(テーブル22[[#This Row],[性別]]="男",LOOKUP(テーブル22[[#This Row],[反復]],$AN$6:$AO$15),LOOKUP(テーブル22[[#This Row],[反復]],$AN$20:$AO$29))))</f>
        <v>0</v>
      </c>
      <c r="V6" s="42">
        <f>IF(テーブル22[[#This Row],[ｼｬﾄﾙﾗﾝ]]="",0,(IF(テーブル22[[#This Row],[性別]]="男",LOOKUP(テーブル22[[#This Row],[ｼｬﾄﾙﾗﾝ]],$AR$6:$AS$15),LOOKUP(テーブル22[[#This Row],[ｼｬﾄﾙﾗﾝ]],$AR$20:$AS$29))))</f>
        <v>0</v>
      </c>
      <c r="W6" s="42">
        <f>IF(テーブル22[[#This Row],[50m走]]="",0,(IF(テーブル22[[#This Row],[性別]]="男",LOOKUP(テーブル22[[#This Row],[50m走]],$AT$6:$AU$15),LOOKUP(テーブル22[[#This Row],[50m走]],$AT$20:$AU$29))))</f>
        <v>0</v>
      </c>
      <c r="X6" s="42">
        <f>IF(テーブル22[[#This Row],[立幅とび]]="",0,(IF(テーブル22[[#This Row],[性別]]="男",LOOKUP(テーブル22[[#This Row],[立幅とび]],$AV$6:$AW$15),LOOKUP(テーブル22[[#This Row],[立幅とび]],$AV$20:$AW$29))))</f>
        <v>0</v>
      </c>
      <c r="Y6" s="42">
        <f>IF(テーブル22[[#This Row],[ボール投げ]]="",0,(IF(テーブル22[[#This Row],[性別]]="男",LOOKUP(テーブル22[[#This Row],[ボール投げ]],$AX$6:$AY$15),LOOKUP(テーブル22[[#This Row],[ボール投げ]],$AX$20:$AY$29))))</f>
        <v>0</v>
      </c>
      <c r="Z6" s="19" t="str">
        <f>IF(テーブル22[[#This Row],[学年]]=1,6,IF(テーブル22[[#This Row],[学年]]=2,7,IF(テーブル22[[#This Row],[学年]]=3,8,IF(テーブル22[[#This Row],[学年]]=4,9,IF(テーブル22[[#This Row],[学年]]=5,10,IF(テーブル22[[#This Row],[学年]]=6,11," "))))))</f>
        <v xml:space="preserve"> </v>
      </c>
      <c r="AA6" s="125" t="str">
        <f>IF(テーブル22[[#This Row],[肥満度数値]]="","",LOOKUP(AC6,$AW$39:$AW$44,$AX$39:$AX$44))</f>
        <v/>
      </c>
      <c r="AB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 s="124" t="str">
        <f>IF(テーブル22[[#This Row],[体重]]="","",(テーブル22[[#This Row],[体重]]-テーブル22[[#This Row],[標準体重]])/テーブル22[[#This Row],[標準体重]]*100)</f>
        <v/>
      </c>
      <c r="AD6" s="1">
        <f>COUNTA(テーブル22[[#This Row],[握力]:[ボール投げ]])</f>
        <v>0</v>
      </c>
      <c r="AE6" s="1" t="str">
        <f>IF(テーブル22[[#This Row],[判定]]=$BD$10,"○","")</f>
        <v/>
      </c>
      <c r="AF6" s="1" t="str">
        <f>IF(AE6="","",COUNTIF($AE$6,"○"))</f>
        <v/>
      </c>
      <c r="AG6" s="1"/>
      <c r="AH6" s="61">
        <v>0</v>
      </c>
      <c r="AI6" s="62">
        <v>1</v>
      </c>
      <c r="AJ6" s="61">
        <v>0</v>
      </c>
      <c r="AK6" s="62">
        <v>1</v>
      </c>
      <c r="AL6" s="61">
        <v>0</v>
      </c>
      <c r="AM6" s="62">
        <v>1</v>
      </c>
      <c r="AN6" s="61">
        <v>0</v>
      </c>
      <c r="AO6" s="62">
        <v>1</v>
      </c>
      <c r="AP6" s="79">
        <v>0</v>
      </c>
      <c r="AQ6" s="64">
        <v>10</v>
      </c>
      <c r="AR6" s="61">
        <v>0</v>
      </c>
      <c r="AS6" s="62">
        <v>1</v>
      </c>
      <c r="AT6" s="61">
        <v>0</v>
      </c>
      <c r="AU6" s="62">
        <v>10</v>
      </c>
      <c r="AV6" s="61">
        <v>0</v>
      </c>
      <c r="AW6" s="62">
        <v>1</v>
      </c>
      <c r="AX6" s="61">
        <v>0</v>
      </c>
      <c r="AY6" s="62">
        <v>1</v>
      </c>
      <c r="AZ6" s="57"/>
      <c r="BA6" s="63">
        <v>0</v>
      </c>
      <c r="BB6" s="91">
        <v>0</v>
      </c>
      <c r="BC6" s="65">
        <v>0</v>
      </c>
      <c r="BD6" s="64" t="s">
        <v>142</v>
      </c>
      <c r="BE6" s="63">
        <v>0</v>
      </c>
      <c r="BF6" s="91">
        <v>0</v>
      </c>
      <c r="BG6" s="65">
        <v>0</v>
      </c>
    </row>
    <row r="7" spans="1:59" ht="14.25" customHeight="1" x14ac:dyDescent="0.2">
      <c r="A7" s="40">
        <v>2</v>
      </c>
      <c r="B7" s="145"/>
      <c r="C7" s="148"/>
      <c r="D7" s="145"/>
      <c r="E7" s="156"/>
      <c r="F7" s="145"/>
      <c r="G7" s="145"/>
      <c r="H7" s="146"/>
      <c r="I7" s="146"/>
      <c r="J7" s="148"/>
      <c r="K7" s="145"/>
      <c r="L7" s="148"/>
      <c r="M7" s="149"/>
      <c r="N7" s="148"/>
      <c r="O7" s="150"/>
      <c r="P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 s="43" t="str">
        <f>IF(テーブル22[[#This Row],[得点]]="","",IF(テーブル22[[#This Row],[年齢]]&gt;10,LOOKUP(P7,$BG$6:$BG$10,$BD$6:$BD$10),IF(テーブル22[[#This Row],[年齢]]&gt;9,LOOKUP(P7,$BF$6:$BF$10,$BD$6:$BD$10),IF(テーブル22[[#This Row],[年齢]]&gt;8,LOOKUP(P7,$BE$6:$BE$10,$BD$6:$BD$10),IF(テーブル22[[#This Row],[年齢]]&gt;7,LOOKUP(P7,$BC$6:$BC$10,$BD$6:$BD$10),IF(テーブル22[[#This Row],[年齢]]&gt;6,LOOKUP(P7,$BB$6:$BB$10,$BD$6:$BD$10),LOOKUP(P7,$BA$6:$BA$10,$BD$6:$BD$10)))))))</f>
        <v/>
      </c>
      <c r="R7" s="42">
        <f>IF(H7="",0,(IF(テーブル22[[#This Row],[性別]]="男",LOOKUP(テーブル22[[#This Row],[握力]],$AH$6:$AI$15),LOOKUP(テーブル22[[#This Row],[握力]],$AH$20:$AI$29))))</f>
        <v>0</v>
      </c>
      <c r="S7" s="42">
        <f>IF(テーブル22[[#This Row],[上体]]="",0,(IF(テーブル22[[#This Row],[性別]]="男",LOOKUP(テーブル22[[#This Row],[上体]],$AJ$6:$AK$15),LOOKUP(テーブル22[[#This Row],[上体]],$AJ$20:$AK$29))))</f>
        <v>0</v>
      </c>
      <c r="T7" s="42">
        <f>IF(テーブル22[[#This Row],[長座]]="",0,(IF(テーブル22[[#This Row],[性別]]="男",LOOKUP(テーブル22[[#This Row],[長座]],$AL$6:$AM$15),LOOKUP(テーブル22[[#This Row],[長座]],$AL$20:$AM$29))))</f>
        <v>0</v>
      </c>
      <c r="U7" s="42">
        <f>IF(テーブル22[[#This Row],[反復]]="",0,(IF(テーブル22[[#This Row],[性別]]="男",LOOKUP(テーブル22[[#This Row],[反復]],$AN$6:$AO$15),LOOKUP(テーブル22[[#This Row],[反復]],$AN$20:$AO$29))))</f>
        <v>0</v>
      </c>
      <c r="V7" s="42">
        <f>IF(テーブル22[[#This Row],[ｼｬﾄﾙﾗﾝ]]="",0,(IF(テーブル22[[#This Row],[性別]]="男",LOOKUP(テーブル22[[#This Row],[ｼｬﾄﾙﾗﾝ]],$AR$6:$AS$15),LOOKUP(テーブル22[[#This Row],[ｼｬﾄﾙﾗﾝ]],$AR$20:$AS$29))))</f>
        <v>0</v>
      </c>
      <c r="W7" s="42">
        <f>IF(テーブル22[[#This Row],[50m走]]="",0,(IF(テーブル22[[#This Row],[性別]]="男",LOOKUP(テーブル22[[#This Row],[50m走]],$AT$6:$AU$15),LOOKUP(テーブル22[[#This Row],[50m走]],$AT$20:$AU$29))))</f>
        <v>0</v>
      </c>
      <c r="X7" s="42">
        <f>IF(テーブル22[[#This Row],[立幅とび]]="",0,(IF(テーブル22[[#This Row],[性別]]="男",LOOKUP(テーブル22[[#This Row],[立幅とび]],$AV$6:$AW$15),LOOKUP(テーブル22[[#This Row],[立幅とび]],$AV$20:$AW$29))))</f>
        <v>0</v>
      </c>
      <c r="Y7" s="42">
        <f>IF(テーブル22[[#This Row],[ボール投げ]]="",0,(IF(テーブル22[[#This Row],[性別]]="男",LOOKUP(テーブル22[[#This Row],[ボール投げ]],$AX$6:$AY$15),LOOKUP(テーブル22[[#This Row],[ボール投げ]],$AX$20:$AY$29))))</f>
        <v>0</v>
      </c>
      <c r="Z7" s="19" t="str">
        <f>IF(テーブル22[[#This Row],[学年]]=1,6,IF(テーブル22[[#This Row],[学年]]=2,7,IF(テーブル22[[#This Row],[学年]]=3,8,IF(テーブル22[[#This Row],[学年]]=4,9,IF(テーブル22[[#This Row],[学年]]=5,10,IF(テーブル22[[#This Row],[学年]]=6,11," "))))))</f>
        <v xml:space="preserve"> </v>
      </c>
      <c r="AA7" s="125" t="str">
        <f>IF(テーブル22[[#This Row],[肥満度数値]]="","",LOOKUP(AC7,$AW$39:$AW$44,$AX$39:$AX$44))</f>
        <v/>
      </c>
      <c r="AB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 s="124" t="str">
        <f>IF(テーブル22[[#This Row],[体重]]="","",(テーブル22[[#This Row],[体重]]-テーブル22[[#This Row],[標準体重]])/テーブル22[[#This Row],[標準体重]]*100)</f>
        <v/>
      </c>
      <c r="AD7" s="1">
        <f>COUNTA(テーブル22[[#This Row],[握力]:[ボール投げ]])</f>
        <v>0</v>
      </c>
      <c r="AE7" s="1" t="str">
        <f>IF(テーブル22[[#This Row],[判定]]=$BD$10,"○","")</f>
        <v/>
      </c>
      <c r="AF7" s="1" t="str">
        <f>IF(AE7="","",COUNTIF($AE$6:AE7,"○"))</f>
        <v/>
      </c>
      <c r="AG7" s="1"/>
      <c r="AH7" s="66">
        <v>5</v>
      </c>
      <c r="AI7" s="67">
        <v>2</v>
      </c>
      <c r="AJ7" s="66">
        <v>3</v>
      </c>
      <c r="AK7" s="67">
        <v>2</v>
      </c>
      <c r="AL7" s="66">
        <v>15</v>
      </c>
      <c r="AM7" s="67">
        <v>2</v>
      </c>
      <c r="AN7" s="66">
        <v>18</v>
      </c>
      <c r="AO7" s="67">
        <v>2</v>
      </c>
      <c r="AP7" s="77">
        <v>0.20833333333333334</v>
      </c>
      <c r="AQ7" s="69">
        <v>9</v>
      </c>
      <c r="AR7" s="66">
        <v>8</v>
      </c>
      <c r="AS7" s="67">
        <v>2</v>
      </c>
      <c r="AT7" s="66">
        <v>8.1</v>
      </c>
      <c r="AU7" s="67">
        <v>9</v>
      </c>
      <c r="AV7" s="66">
        <v>93</v>
      </c>
      <c r="AW7" s="67">
        <v>2</v>
      </c>
      <c r="AX7" s="66">
        <v>5</v>
      </c>
      <c r="AY7" s="67">
        <v>2</v>
      </c>
      <c r="AZ7" s="57"/>
      <c r="BA7" s="68">
        <v>22</v>
      </c>
      <c r="BB7" s="92">
        <v>27</v>
      </c>
      <c r="BC7" s="70">
        <v>32</v>
      </c>
      <c r="BD7" s="69" t="s">
        <v>141</v>
      </c>
      <c r="BE7" s="68">
        <v>38</v>
      </c>
      <c r="BF7" s="92">
        <v>42</v>
      </c>
      <c r="BG7" s="70">
        <v>46</v>
      </c>
    </row>
    <row r="8" spans="1:59" ht="14.25" customHeight="1" x14ac:dyDescent="0.2">
      <c r="A8" s="40">
        <v>3</v>
      </c>
      <c r="B8" s="145"/>
      <c r="C8" s="148"/>
      <c r="D8" s="145"/>
      <c r="E8" s="156"/>
      <c r="F8" s="145"/>
      <c r="G8" s="145"/>
      <c r="H8" s="146"/>
      <c r="I8" s="146"/>
      <c r="J8" s="148"/>
      <c r="K8" s="145"/>
      <c r="L8" s="148"/>
      <c r="M8" s="149"/>
      <c r="N8" s="148"/>
      <c r="O8" s="150"/>
      <c r="P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 s="43" t="str">
        <f>IF(テーブル22[[#This Row],[得点]]="","",IF(テーブル22[[#This Row],[年齢]]&gt;10,LOOKUP(P8,$BG$6:$BG$10,$BD$6:$BD$10),IF(テーブル22[[#This Row],[年齢]]&gt;9,LOOKUP(P8,$BF$6:$BF$10,$BD$6:$BD$10),IF(テーブル22[[#This Row],[年齢]]&gt;8,LOOKUP(P8,$BE$6:$BE$10,$BD$6:$BD$10),IF(テーブル22[[#This Row],[年齢]]&gt;7,LOOKUP(P8,$BC$6:$BC$10,$BD$6:$BD$10),IF(テーブル22[[#This Row],[年齢]]&gt;6,LOOKUP(P8,$BB$6:$BB$10,$BD$6:$BD$10),LOOKUP(P8,$BA$6:$BA$10,$BD$6:$BD$10)))))))</f>
        <v/>
      </c>
      <c r="R8" s="42">
        <f>IF(H8="",0,(IF(テーブル22[[#This Row],[性別]]="男",LOOKUP(テーブル22[[#This Row],[握力]],$AH$6:$AI$15),LOOKUP(テーブル22[[#This Row],[握力]],$AH$20:$AI$29))))</f>
        <v>0</v>
      </c>
      <c r="S8" s="42">
        <f>IF(テーブル22[[#This Row],[上体]]="",0,(IF(テーブル22[[#This Row],[性別]]="男",LOOKUP(テーブル22[[#This Row],[上体]],$AJ$6:$AK$15),LOOKUP(テーブル22[[#This Row],[上体]],$AJ$20:$AK$29))))</f>
        <v>0</v>
      </c>
      <c r="T8" s="42">
        <f>IF(テーブル22[[#This Row],[長座]]="",0,(IF(テーブル22[[#This Row],[性別]]="男",LOOKUP(テーブル22[[#This Row],[長座]],$AL$6:$AM$15),LOOKUP(テーブル22[[#This Row],[長座]],$AL$20:$AM$29))))</f>
        <v>0</v>
      </c>
      <c r="U8" s="42">
        <f>IF(テーブル22[[#This Row],[反復]]="",0,(IF(テーブル22[[#This Row],[性別]]="男",LOOKUP(テーブル22[[#This Row],[反復]],$AN$6:$AO$15),LOOKUP(テーブル22[[#This Row],[反復]],$AN$20:$AO$29))))</f>
        <v>0</v>
      </c>
      <c r="V8" s="42">
        <f>IF(テーブル22[[#This Row],[ｼｬﾄﾙﾗﾝ]]="",0,(IF(テーブル22[[#This Row],[性別]]="男",LOOKUP(テーブル22[[#This Row],[ｼｬﾄﾙﾗﾝ]],$AR$6:$AS$15),LOOKUP(テーブル22[[#This Row],[ｼｬﾄﾙﾗﾝ]],$AR$20:$AS$29))))</f>
        <v>0</v>
      </c>
      <c r="W8" s="42">
        <f>IF(テーブル22[[#This Row],[50m走]]="",0,(IF(テーブル22[[#This Row],[性別]]="男",LOOKUP(テーブル22[[#This Row],[50m走]],$AT$6:$AU$15),LOOKUP(テーブル22[[#This Row],[50m走]],$AT$20:$AU$29))))</f>
        <v>0</v>
      </c>
      <c r="X8" s="42">
        <f>IF(テーブル22[[#This Row],[立幅とび]]="",0,(IF(テーブル22[[#This Row],[性別]]="男",LOOKUP(テーブル22[[#This Row],[立幅とび]],$AV$6:$AW$15),LOOKUP(テーブル22[[#This Row],[立幅とび]],$AV$20:$AW$29))))</f>
        <v>0</v>
      </c>
      <c r="Y8" s="42">
        <f>IF(テーブル22[[#This Row],[ボール投げ]]="",0,(IF(テーブル22[[#This Row],[性別]]="男",LOOKUP(テーブル22[[#This Row],[ボール投げ]],$AX$6:$AY$15),LOOKUP(テーブル22[[#This Row],[ボール投げ]],$AX$20:$AY$29))))</f>
        <v>0</v>
      </c>
      <c r="Z8" s="19" t="str">
        <f>IF(テーブル22[[#This Row],[学年]]=1,6,IF(テーブル22[[#This Row],[学年]]=2,7,IF(テーブル22[[#This Row],[学年]]=3,8,IF(テーブル22[[#This Row],[学年]]=4,9,IF(テーブル22[[#This Row],[学年]]=5,10,IF(テーブル22[[#This Row],[学年]]=6,11," "))))))</f>
        <v xml:space="preserve"> </v>
      </c>
      <c r="AA8" s="125" t="str">
        <f>IF(テーブル22[[#This Row],[肥満度数値]]="","",LOOKUP(AC8,$AW$39:$AW$44,$AX$39:$AX$44))</f>
        <v/>
      </c>
      <c r="AB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 s="124" t="str">
        <f>IF(テーブル22[[#This Row],[体重]]="","",(テーブル22[[#This Row],[体重]]-テーブル22[[#This Row],[標準体重]])/テーブル22[[#This Row],[標準体重]]*100)</f>
        <v/>
      </c>
      <c r="AD8" s="1">
        <f>COUNTA(テーブル22[[#This Row],[握力]:[ボール投げ]])</f>
        <v>0</v>
      </c>
      <c r="AE8" s="1" t="str">
        <f>IF(テーブル22[[#This Row],[判定]]=$BD$10,"○","")</f>
        <v/>
      </c>
      <c r="AF8" s="1" t="str">
        <f>IF(AE8="","",COUNTIF($AE$6:AE8,"○"))</f>
        <v/>
      </c>
      <c r="AG8" s="1"/>
      <c r="AH8" s="66">
        <v>7</v>
      </c>
      <c r="AI8" s="67">
        <v>3</v>
      </c>
      <c r="AJ8" s="66">
        <v>6</v>
      </c>
      <c r="AK8" s="67">
        <v>3</v>
      </c>
      <c r="AL8" s="66">
        <v>19</v>
      </c>
      <c r="AM8" s="67">
        <v>3</v>
      </c>
      <c r="AN8" s="66">
        <v>22</v>
      </c>
      <c r="AO8" s="67">
        <v>3</v>
      </c>
      <c r="AP8" s="77">
        <v>0.22013888888888888</v>
      </c>
      <c r="AQ8" s="69">
        <v>8</v>
      </c>
      <c r="AR8" s="66">
        <v>10</v>
      </c>
      <c r="AS8" s="67">
        <v>3</v>
      </c>
      <c r="AT8" s="66">
        <v>8.5</v>
      </c>
      <c r="AU8" s="67">
        <v>8</v>
      </c>
      <c r="AV8" s="66">
        <v>105</v>
      </c>
      <c r="AW8" s="67">
        <v>3</v>
      </c>
      <c r="AX8" s="66">
        <v>7</v>
      </c>
      <c r="AY8" s="67">
        <v>3</v>
      </c>
      <c r="AZ8" s="57"/>
      <c r="BA8" s="68">
        <v>27</v>
      </c>
      <c r="BB8" s="92">
        <v>34</v>
      </c>
      <c r="BC8" s="70">
        <v>39</v>
      </c>
      <c r="BD8" s="69" t="s">
        <v>140</v>
      </c>
      <c r="BE8" s="68">
        <v>45</v>
      </c>
      <c r="BF8" s="92">
        <v>50</v>
      </c>
      <c r="BG8" s="70">
        <v>55</v>
      </c>
    </row>
    <row r="9" spans="1:59" ht="14.25" customHeight="1" x14ac:dyDescent="0.2">
      <c r="A9" s="40">
        <v>4</v>
      </c>
      <c r="B9" s="145"/>
      <c r="C9" s="148"/>
      <c r="D9" s="145"/>
      <c r="E9" s="156"/>
      <c r="F9" s="145"/>
      <c r="G9" s="145"/>
      <c r="H9" s="146"/>
      <c r="I9" s="146"/>
      <c r="J9" s="148"/>
      <c r="K9" s="145"/>
      <c r="L9" s="148"/>
      <c r="M9" s="149"/>
      <c r="N9" s="148"/>
      <c r="O9" s="150"/>
      <c r="P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 s="43" t="str">
        <f>IF(テーブル22[[#This Row],[得点]]="","",IF(テーブル22[[#This Row],[年齢]]&gt;10,LOOKUP(P9,$BG$6:$BG$10,$BD$6:$BD$10),IF(テーブル22[[#This Row],[年齢]]&gt;9,LOOKUP(P9,$BF$6:$BF$10,$BD$6:$BD$10),IF(テーブル22[[#This Row],[年齢]]&gt;8,LOOKUP(P9,$BE$6:$BE$10,$BD$6:$BD$10),IF(テーブル22[[#This Row],[年齢]]&gt;7,LOOKUP(P9,$BC$6:$BC$10,$BD$6:$BD$10),IF(テーブル22[[#This Row],[年齢]]&gt;6,LOOKUP(P9,$BB$6:$BB$10,$BD$6:$BD$10),LOOKUP(P9,$BA$6:$BA$10,$BD$6:$BD$10)))))))</f>
        <v/>
      </c>
      <c r="R9" s="42">
        <f>IF(H9="",0,(IF(テーブル22[[#This Row],[性別]]="男",LOOKUP(テーブル22[[#This Row],[握力]],$AH$6:$AI$15),LOOKUP(テーブル22[[#This Row],[握力]],$AH$20:$AI$29))))</f>
        <v>0</v>
      </c>
      <c r="S9" s="42">
        <f>IF(テーブル22[[#This Row],[上体]]="",0,(IF(テーブル22[[#This Row],[性別]]="男",LOOKUP(テーブル22[[#This Row],[上体]],$AJ$6:$AK$15),LOOKUP(テーブル22[[#This Row],[上体]],$AJ$20:$AK$29))))</f>
        <v>0</v>
      </c>
      <c r="T9" s="42">
        <f>IF(テーブル22[[#This Row],[長座]]="",0,(IF(テーブル22[[#This Row],[性別]]="男",LOOKUP(テーブル22[[#This Row],[長座]],$AL$6:$AM$15),LOOKUP(テーブル22[[#This Row],[長座]],$AL$20:$AM$29))))</f>
        <v>0</v>
      </c>
      <c r="U9" s="42">
        <f>IF(テーブル22[[#This Row],[反復]]="",0,(IF(テーブル22[[#This Row],[性別]]="男",LOOKUP(テーブル22[[#This Row],[反復]],$AN$6:$AO$15),LOOKUP(テーブル22[[#This Row],[反復]],$AN$20:$AO$29))))</f>
        <v>0</v>
      </c>
      <c r="V9" s="42">
        <f>IF(テーブル22[[#This Row],[ｼｬﾄﾙﾗﾝ]]="",0,(IF(テーブル22[[#This Row],[性別]]="男",LOOKUP(テーブル22[[#This Row],[ｼｬﾄﾙﾗﾝ]],$AR$6:$AS$15),LOOKUP(テーブル22[[#This Row],[ｼｬﾄﾙﾗﾝ]],$AR$20:$AS$29))))</f>
        <v>0</v>
      </c>
      <c r="W9" s="42">
        <f>IF(テーブル22[[#This Row],[50m走]]="",0,(IF(テーブル22[[#This Row],[性別]]="男",LOOKUP(テーブル22[[#This Row],[50m走]],$AT$6:$AU$15),LOOKUP(テーブル22[[#This Row],[50m走]],$AT$20:$AU$29))))</f>
        <v>0</v>
      </c>
      <c r="X9" s="42">
        <f>IF(テーブル22[[#This Row],[立幅とび]]="",0,(IF(テーブル22[[#This Row],[性別]]="男",LOOKUP(テーブル22[[#This Row],[立幅とび]],$AV$6:$AW$15),LOOKUP(テーブル22[[#This Row],[立幅とび]],$AV$20:$AW$29))))</f>
        <v>0</v>
      </c>
      <c r="Y9" s="42">
        <f>IF(テーブル22[[#This Row],[ボール投げ]]="",0,(IF(テーブル22[[#This Row],[性別]]="男",LOOKUP(テーブル22[[#This Row],[ボール投げ]],$AX$6:$AY$15),LOOKUP(テーブル22[[#This Row],[ボール投げ]],$AX$20:$AY$29))))</f>
        <v>0</v>
      </c>
      <c r="Z9" s="19" t="str">
        <f>IF(テーブル22[[#This Row],[学年]]=1,6,IF(テーブル22[[#This Row],[学年]]=2,7,IF(テーブル22[[#This Row],[学年]]=3,8,IF(テーブル22[[#This Row],[学年]]=4,9,IF(テーブル22[[#This Row],[学年]]=5,10,IF(テーブル22[[#This Row],[学年]]=6,11," "))))))</f>
        <v xml:space="preserve"> </v>
      </c>
      <c r="AA9" s="125" t="str">
        <f>IF(テーブル22[[#This Row],[肥満度数値]]="","",LOOKUP(AC9,$AW$39:$AW$44,$AX$39:$AX$44))</f>
        <v/>
      </c>
      <c r="AB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 s="124" t="str">
        <f>IF(テーブル22[[#This Row],[体重]]="","",(テーブル22[[#This Row],[体重]]-テーブル22[[#This Row],[標準体重]])/テーブル22[[#This Row],[標準体重]]*100)</f>
        <v/>
      </c>
      <c r="AD9" s="1">
        <f>COUNTA(テーブル22[[#This Row],[握力]:[ボール投げ]])</f>
        <v>0</v>
      </c>
      <c r="AE9" s="1" t="str">
        <f>IF(テーブル22[[#This Row],[判定]]=$BD$10,"○","")</f>
        <v/>
      </c>
      <c r="AF9" s="1" t="str">
        <f>IF(AE9="","",COUNTIF($AE$6:AE9,"○"))</f>
        <v/>
      </c>
      <c r="AG9" s="1"/>
      <c r="AH9" s="66">
        <v>9</v>
      </c>
      <c r="AI9" s="67">
        <v>4</v>
      </c>
      <c r="AJ9" s="66">
        <v>9</v>
      </c>
      <c r="AK9" s="67">
        <v>4</v>
      </c>
      <c r="AL9" s="66">
        <v>23</v>
      </c>
      <c r="AM9" s="67">
        <v>4</v>
      </c>
      <c r="AN9" s="66">
        <v>26</v>
      </c>
      <c r="AO9" s="67">
        <v>4</v>
      </c>
      <c r="AP9" s="77">
        <v>0.23194444444444443</v>
      </c>
      <c r="AQ9" s="69">
        <v>7</v>
      </c>
      <c r="AR9" s="66">
        <v>15</v>
      </c>
      <c r="AS9" s="67">
        <v>4</v>
      </c>
      <c r="AT9" s="66">
        <v>8.9</v>
      </c>
      <c r="AU9" s="67">
        <v>7</v>
      </c>
      <c r="AV9" s="66">
        <v>117</v>
      </c>
      <c r="AW9" s="67">
        <v>4</v>
      </c>
      <c r="AX9" s="66">
        <v>10</v>
      </c>
      <c r="AY9" s="67">
        <v>4</v>
      </c>
      <c r="AZ9" s="57"/>
      <c r="BA9" s="68">
        <v>33</v>
      </c>
      <c r="BB9" s="92">
        <v>41</v>
      </c>
      <c r="BC9" s="70">
        <v>46</v>
      </c>
      <c r="BD9" s="69" t="s">
        <v>139</v>
      </c>
      <c r="BE9" s="68">
        <v>52</v>
      </c>
      <c r="BF9" s="92">
        <v>58</v>
      </c>
      <c r="BG9" s="70">
        <v>63</v>
      </c>
    </row>
    <row r="10" spans="1:59" ht="14.25" customHeight="1" thickBot="1" x14ac:dyDescent="0.25">
      <c r="A10" s="40">
        <v>5</v>
      </c>
      <c r="B10" s="145"/>
      <c r="C10" s="148"/>
      <c r="D10" s="145"/>
      <c r="E10" s="156"/>
      <c r="F10" s="145"/>
      <c r="G10" s="145"/>
      <c r="H10" s="146"/>
      <c r="I10" s="146"/>
      <c r="J10" s="148"/>
      <c r="K10" s="145"/>
      <c r="L10" s="148"/>
      <c r="M10" s="149"/>
      <c r="N10" s="148"/>
      <c r="O10" s="150"/>
      <c r="P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 s="43" t="str">
        <f>IF(テーブル22[[#This Row],[得点]]="","",IF(テーブル22[[#This Row],[年齢]]&gt;10,LOOKUP(P10,$BG$6:$BG$10,$BD$6:$BD$10),IF(テーブル22[[#This Row],[年齢]]&gt;9,LOOKUP(P10,$BF$6:$BF$10,$BD$6:$BD$10),IF(テーブル22[[#This Row],[年齢]]&gt;8,LOOKUP(P10,$BE$6:$BE$10,$BD$6:$BD$10),IF(テーブル22[[#This Row],[年齢]]&gt;7,LOOKUP(P10,$BC$6:$BC$10,$BD$6:$BD$10),IF(テーブル22[[#This Row],[年齢]]&gt;6,LOOKUP(P10,$BB$6:$BB$10,$BD$6:$BD$10),LOOKUP(P10,$BA$6:$BA$10,$BD$6:$BD$10)))))))</f>
        <v/>
      </c>
      <c r="R10" s="42">
        <f>IF(H10="",0,(IF(テーブル22[[#This Row],[性別]]="男",LOOKUP(テーブル22[[#This Row],[握力]],$AH$6:$AI$15),LOOKUP(テーブル22[[#This Row],[握力]],$AH$20:$AI$29))))</f>
        <v>0</v>
      </c>
      <c r="S10" s="42">
        <f>IF(テーブル22[[#This Row],[上体]]="",0,(IF(テーブル22[[#This Row],[性別]]="男",LOOKUP(テーブル22[[#This Row],[上体]],$AJ$6:$AK$15),LOOKUP(テーブル22[[#This Row],[上体]],$AJ$20:$AK$29))))</f>
        <v>0</v>
      </c>
      <c r="T10" s="42">
        <f>IF(テーブル22[[#This Row],[長座]]="",0,(IF(テーブル22[[#This Row],[性別]]="男",LOOKUP(テーブル22[[#This Row],[長座]],$AL$6:$AM$15),LOOKUP(テーブル22[[#This Row],[長座]],$AL$20:$AM$29))))</f>
        <v>0</v>
      </c>
      <c r="U10" s="42">
        <f>IF(テーブル22[[#This Row],[反復]]="",0,(IF(テーブル22[[#This Row],[性別]]="男",LOOKUP(テーブル22[[#This Row],[反復]],$AN$6:$AO$15),LOOKUP(テーブル22[[#This Row],[反復]],$AN$20:$AO$29))))</f>
        <v>0</v>
      </c>
      <c r="V10" s="42">
        <f>IF(テーブル22[[#This Row],[ｼｬﾄﾙﾗﾝ]]="",0,(IF(テーブル22[[#This Row],[性別]]="男",LOOKUP(テーブル22[[#This Row],[ｼｬﾄﾙﾗﾝ]],$AR$6:$AS$15),LOOKUP(テーブル22[[#This Row],[ｼｬﾄﾙﾗﾝ]],$AR$20:$AS$29))))</f>
        <v>0</v>
      </c>
      <c r="W10" s="42">
        <f>IF(テーブル22[[#This Row],[50m走]]="",0,(IF(テーブル22[[#This Row],[性別]]="男",LOOKUP(テーブル22[[#This Row],[50m走]],$AT$6:$AU$15),LOOKUP(テーブル22[[#This Row],[50m走]],$AT$20:$AU$29))))</f>
        <v>0</v>
      </c>
      <c r="X10" s="42">
        <f>IF(テーブル22[[#This Row],[立幅とび]]="",0,(IF(テーブル22[[#This Row],[性別]]="男",LOOKUP(テーブル22[[#This Row],[立幅とび]],$AV$6:$AW$15),LOOKUP(テーブル22[[#This Row],[立幅とび]],$AV$20:$AW$29))))</f>
        <v>0</v>
      </c>
      <c r="Y10" s="42">
        <f>IF(テーブル22[[#This Row],[ボール投げ]]="",0,(IF(テーブル22[[#This Row],[性別]]="男",LOOKUP(テーブル22[[#This Row],[ボール投げ]],$AX$6:$AY$15),LOOKUP(テーブル22[[#This Row],[ボール投げ]],$AX$20:$AY$29))))</f>
        <v>0</v>
      </c>
      <c r="Z10" s="19" t="str">
        <f>IF(テーブル22[[#This Row],[学年]]=1,6,IF(テーブル22[[#This Row],[学年]]=2,7,IF(テーブル22[[#This Row],[学年]]=3,8,IF(テーブル22[[#This Row],[学年]]=4,9,IF(テーブル22[[#This Row],[学年]]=5,10,IF(テーブル22[[#This Row],[学年]]=6,11," "))))))</f>
        <v xml:space="preserve"> </v>
      </c>
      <c r="AA10" s="125" t="str">
        <f>IF(テーブル22[[#This Row],[肥満度数値]]="","",LOOKUP(AC10,$AW$39:$AW$44,$AX$39:$AX$44))</f>
        <v/>
      </c>
      <c r="AB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 s="124" t="str">
        <f>IF(テーブル22[[#This Row],[体重]]="","",(テーブル22[[#This Row],[体重]]-テーブル22[[#This Row],[標準体重]])/テーブル22[[#This Row],[標準体重]]*100)</f>
        <v/>
      </c>
      <c r="AD10" s="1">
        <f>COUNTA(テーブル22[[#This Row],[握力]:[ボール投げ]])</f>
        <v>0</v>
      </c>
      <c r="AE10" s="1" t="str">
        <f>IF(テーブル22[[#This Row],[判定]]=$BD$10,"○","")</f>
        <v/>
      </c>
      <c r="AF10" s="1" t="str">
        <f>IF(AE10="","",COUNTIF($AE$6:AE10,"○"))</f>
        <v/>
      </c>
      <c r="AG10" s="1"/>
      <c r="AH10" s="66">
        <v>11</v>
      </c>
      <c r="AI10" s="67">
        <v>5</v>
      </c>
      <c r="AJ10" s="66">
        <v>12</v>
      </c>
      <c r="AK10" s="67">
        <v>5</v>
      </c>
      <c r="AL10" s="66">
        <v>27</v>
      </c>
      <c r="AM10" s="67">
        <v>5</v>
      </c>
      <c r="AN10" s="66">
        <v>30</v>
      </c>
      <c r="AO10" s="67">
        <v>5</v>
      </c>
      <c r="AP10" s="77">
        <v>0.24722222222222223</v>
      </c>
      <c r="AQ10" s="69">
        <v>6</v>
      </c>
      <c r="AR10" s="66">
        <v>23</v>
      </c>
      <c r="AS10" s="67">
        <v>5</v>
      </c>
      <c r="AT10" s="66">
        <v>9.4</v>
      </c>
      <c r="AU10" s="67">
        <v>6</v>
      </c>
      <c r="AV10" s="66">
        <v>130</v>
      </c>
      <c r="AW10" s="67">
        <v>5</v>
      </c>
      <c r="AX10" s="66">
        <v>13</v>
      </c>
      <c r="AY10" s="67">
        <v>5</v>
      </c>
      <c r="AZ10" s="57"/>
      <c r="BA10" s="71">
        <v>39</v>
      </c>
      <c r="BB10" s="93">
        <v>47</v>
      </c>
      <c r="BC10" s="73">
        <v>53</v>
      </c>
      <c r="BD10" s="72" t="s">
        <v>138</v>
      </c>
      <c r="BE10" s="71">
        <v>59</v>
      </c>
      <c r="BF10" s="93">
        <v>65</v>
      </c>
      <c r="BG10" s="73">
        <v>71</v>
      </c>
    </row>
    <row r="11" spans="1:59" ht="14.25" customHeight="1" x14ac:dyDescent="0.2">
      <c r="A11" s="40">
        <v>6</v>
      </c>
      <c r="B11" s="145"/>
      <c r="C11" s="148"/>
      <c r="D11" s="145"/>
      <c r="E11" s="156"/>
      <c r="F11" s="145"/>
      <c r="G11" s="145"/>
      <c r="H11" s="146"/>
      <c r="I11" s="146"/>
      <c r="J11" s="148"/>
      <c r="K11" s="145"/>
      <c r="L11" s="148"/>
      <c r="M11" s="149"/>
      <c r="N11" s="148"/>
      <c r="O11" s="150"/>
      <c r="P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 s="43" t="str">
        <f>IF(テーブル22[[#This Row],[得点]]="","",IF(テーブル22[[#This Row],[年齢]]&gt;10,LOOKUP(P11,$BG$6:$BG$10,$BD$6:$BD$10),IF(テーブル22[[#This Row],[年齢]]&gt;9,LOOKUP(P11,$BF$6:$BF$10,$BD$6:$BD$10),IF(テーブル22[[#This Row],[年齢]]&gt;8,LOOKUP(P11,$BE$6:$BE$10,$BD$6:$BD$10),IF(テーブル22[[#This Row],[年齢]]&gt;7,LOOKUP(P11,$BC$6:$BC$10,$BD$6:$BD$10),IF(テーブル22[[#This Row],[年齢]]&gt;6,LOOKUP(P11,$BB$6:$BB$10,$BD$6:$BD$10),LOOKUP(P11,$BA$6:$BA$10,$BD$6:$BD$10)))))))</f>
        <v/>
      </c>
      <c r="R11" s="42">
        <f>IF(H11="",0,(IF(テーブル22[[#This Row],[性別]]="男",LOOKUP(テーブル22[[#This Row],[握力]],$AH$6:$AI$15),LOOKUP(テーブル22[[#This Row],[握力]],$AH$20:$AI$29))))</f>
        <v>0</v>
      </c>
      <c r="S11" s="42">
        <f>IF(テーブル22[[#This Row],[上体]]="",0,(IF(テーブル22[[#This Row],[性別]]="男",LOOKUP(テーブル22[[#This Row],[上体]],$AJ$6:$AK$15),LOOKUP(テーブル22[[#This Row],[上体]],$AJ$20:$AK$29))))</f>
        <v>0</v>
      </c>
      <c r="T11" s="42">
        <f>IF(テーブル22[[#This Row],[長座]]="",0,(IF(テーブル22[[#This Row],[性別]]="男",LOOKUP(テーブル22[[#This Row],[長座]],$AL$6:$AM$15),LOOKUP(テーブル22[[#This Row],[長座]],$AL$20:$AM$29))))</f>
        <v>0</v>
      </c>
      <c r="U11" s="42">
        <f>IF(テーブル22[[#This Row],[反復]]="",0,(IF(テーブル22[[#This Row],[性別]]="男",LOOKUP(テーブル22[[#This Row],[反復]],$AN$6:$AO$15),LOOKUP(テーブル22[[#This Row],[反復]],$AN$20:$AO$29))))</f>
        <v>0</v>
      </c>
      <c r="V11" s="42">
        <f>IF(テーブル22[[#This Row],[ｼｬﾄﾙﾗﾝ]]="",0,(IF(テーブル22[[#This Row],[性別]]="男",LOOKUP(テーブル22[[#This Row],[ｼｬﾄﾙﾗﾝ]],$AR$6:$AS$15),LOOKUP(テーブル22[[#This Row],[ｼｬﾄﾙﾗﾝ]],$AR$20:$AS$29))))</f>
        <v>0</v>
      </c>
      <c r="W11" s="42">
        <f>IF(テーブル22[[#This Row],[50m走]]="",0,(IF(テーブル22[[#This Row],[性別]]="男",LOOKUP(テーブル22[[#This Row],[50m走]],$AT$6:$AU$15),LOOKUP(テーブル22[[#This Row],[50m走]],$AT$20:$AU$29))))</f>
        <v>0</v>
      </c>
      <c r="X11" s="42">
        <f>IF(テーブル22[[#This Row],[立幅とび]]="",0,(IF(テーブル22[[#This Row],[性別]]="男",LOOKUP(テーブル22[[#This Row],[立幅とび]],$AV$6:$AW$15),LOOKUP(テーブル22[[#This Row],[立幅とび]],$AV$20:$AW$29))))</f>
        <v>0</v>
      </c>
      <c r="Y11" s="42">
        <f>IF(テーブル22[[#This Row],[ボール投げ]]="",0,(IF(テーブル22[[#This Row],[性別]]="男",LOOKUP(テーブル22[[#This Row],[ボール投げ]],$AX$6:$AY$15),LOOKUP(テーブル22[[#This Row],[ボール投げ]],$AX$20:$AY$29))))</f>
        <v>0</v>
      </c>
      <c r="Z11" s="19" t="str">
        <f>IF(テーブル22[[#This Row],[学年]]=1,6,IF(テーブル22[[#This Row],[学年]]=2,7,IF(テーブル22[[#This Row],[学年]]=3,8,IF(テーブル22[[#This Row],[学年]]=4,9,IF(テーブル22[[#This Row],[学年]]=5,10,IF(テーブル22[[#This Row],[学年]]=6,11," "))))))</f>
        <v xml:space="preserve"> </v>
      </c>
      <c r="AA11" s="125" t="str">
        <f>IF(テーブル22[[#This Row],[肥満度数値]]="","",LOOKUP(AC11,$AW$39:$AW$44,$AX$39:$AX$44))</f>
        <v/>
      </c>
      <c r="AB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 s="124" t="str">
        <f>IF(テーブル22[[#This Row],[体重]]="","",(テーブル22[[#This Row],[体重]]-テーブル22[[#This Row],[標準体重]])/テーブル22[[#This Row],[標準体重]]*100)</f>
        <v/>
      </c>
      <c r="AD11" s="1">
        <f>COUNTA(テーブル22[[#This Row],[握力]:[ボール投げ]])</f>
        <v>0</v>
      </c>
      <c r="AE11" s="1" t="str">
        <f>IF(テーブル22[[#This Row],[判定]]=$BD$10,"○","")</f>
        <v/>
      </c>
      <c r="AF11" s="1" t="str">
        <f>IF(AE11="","",COUNTIF($AE$6:AE11,"○"))</f>
        <v/>
      </c>
      <c r="AG11" s="1"/>
      <c r="AH11" s="66">
        <v>14</v>
      </c>
      <c r="AI11" s="67">
        <v>6</v>
      </c>
      <c r="AJ11" s="66">
        <v>15</v>
      </c>
      <c r="AK11" s="67">
        <v>6</v>
      </c>
      <c r="AL11" s="66">
        <v>30</v>
      </c>
      <c r="AM11" s="67">
        <v>6</v>
      </c>
      <c r="AN11" s="66">
        <v>34</v>
      </c>
      <c r="AO11" s="67">
        <v>6</v>
      </c>
      <c r="AP11" s="77">
        <v>0.26597222222222222</v>
      </c>
      <c r="AQ11" s="69">
        <v>5</v>
      </c>
      <c r="AR11" s="66">
        <v>33</v>
      </c>
      <c r="AS11" s="67">
        <v>6</v>
      </c>
      <c r="AT11" s="66">
        <v>10</v>
      </c>
      <c r="AU11" s="67">
        <v>5</v>
      </c>
      <c r="AV11" s="66">
        <v>143</v>
      </c>
      <c r="AW11" s="67">
        <v>6</v>
      </c>
      <c r="AX11" s="66">
        <v>18</v>
      </c>
      <c r="AY11" s="67">
        <v>6</v>
      </c>
      <c r="AZ11" s="57"/>
      <c r="BA11" s="57"/>
      <c r="BB11" s="57"/>
      <c r="BC11" s="57"/>
      <c r="BD11" s="57"/>
      <c r="BE11" s="57"/>
      <c r="BF11" s="57"/>
      <c r="BG11" s="57"/>
    </row>
    <row r="12" spans="1:59" ht="14.25" customHeight="1" x14ac:dyDescent="0.2">
      <c r="A12" s="40">
        <v>7</v>
      </c>
      <c r="B12" s="145"/>
      <c r="C12" s="148"/>
      <c r="D12" s="145"/>
      <c r="E12" s="156"/>
      <c r="F12" s="145"/>
      <c r="G12" s="145"/>
      <c r="H12" s="146"/>
      <c r="I12" s="146"/>
      <c r="J12" s="148"/>
      <c r="K12" s="145"/>
      <c r="L12" s="148"/>
      <c r="M12" s="149"/>
      <c r="N12" s="148"/>
      <c r="O12" s="150"/>
      <c r="P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 s="43" t="str">
        <f>IF(テーブル22[[#This Row],[得点]]="","",IF(テーブル22[[#This Row],[年齢]]&gt;10,LOOKUP(P12,$BG$6:$BG$10,$BD$6:$BD$10),IF(テーブル22[[#This Row],[年齢]]&gt;9,LOOKUP(P12,$BF$6:$BF$10,$BD$6:$BD$10),IF(テーブル22[[#This Row],[年齢]]&gt;8,LOOKUP(P12,$BE$6:$BE$10,$BD$6:$BD$10),IF(テーブル22[[#This Row],[年齢]]&gt;7,LOOKUP(P12,$BC$6:$BC$10,$BD$6:$BD$10),IF(テーブル22[[#This Row],[年齢]]&gt;6,LOOKUP(P12,$BB$6:$BB$10,$BD$6:$BD$10),LOOKUP(P12,$BA$6:$BA$10,$BD$6:$BD$10)))))))</f>
        <v/>
      </c>
      <c r="R12" s="42">
        <f>IF(H12="",0,(IF(テーブル22[[#This Row],[性別]]="男",LOOKUP(テーブル22[[#This Row],[握力]],$AH$6:$AI$15),LOOKUP(テーブル22[[#This Row],[握力]],$AH$20:$AI$29))))</f>
        <v>0</v>
      </c>
      <c r="S12" s="42">
        <f>IF(テーブル22[[#This Row],[上体]]="",0,(IF(テーブル22[[#This Row],[性別]]="男",LOOKUP(テーブル22[[#This Row],[上体]],$AJ$6:$AK$15),LOOKUP(テーブル22[[#This Row],[上体]],$AJ$20:$AK$29))))</f>
        <v>0</v>
      </c>
      <c r="T12" s="42">
        <f>IF(テーブル22[[#This Row],[長座]]="",0,(IF(テーブル22[[#This Row],[性別]]="男",LOOKUP(テーブル22[[#This Row],[長座]],$AL$6:$AM$15),LOOKUP(テーブル22[[#This Row],[長座]],$AL$20:$AM$29))))</f>
        <v>0</v>
      </c>
      <c r="U12" s="42">
        <f>IF(テーブル22[[#This Row],[反復]]="",0,(IF(テーブル22[[#This Row],[性別]]="男",LOOKUP(テーブル22[[#This Row],[反復]],$AN$6:$AO$15),LOOKUP(テーブル22[[#This Row],[反復]],$AN$20:$AO$29))))</f>
        <v>0</v>
      </c>
      <c r="V12" s="42">
        <f>IF(テーブル22[[#This Row],[ｼｬﾄﾙﾗﾝ]]="",0,(IF(テーブル22[[#This Row],[性別]]="男",LOOKUP(テーブル22[[#This Row],[ｼｬﾄﾙﾗﾝ]],$AR$6:$AS$15),LOOKUP(テーブル22[[#This Row],[ｼｬﾄﾙﾗﾝ]],$AR$20:$AS$29))))</f>
        <v>0</v>
      </c>
      <c r="W12" s="42">
        <f>IF(テーブル22[[#This Row],[50m走]]="",0,(IF(テーブル22[[#This Row],[性別]]="男",LOOKUP(テーブル22[[#This Row],[50m走]],$AT$6:$AU$15),LOOKUP(テーブル22[[#This Row],[50m走]],$AT$20:$AU$29))))</f>
        <v>0</v>
      </c>
      <c r="X12" s="42">
        <f>IF(テーブル22[[#This Row],[立幅とび]]="",0,(IF(テーブル22[[#This Row],[性別]]="男",LOOKUP(テーブル22[[#This Row],[立幅とび]],$AV$6:$AW$15),LOOKUP(テーブル22[[#This Row],[立幅とび]],$AV$20:$AW$29))))</f>
        <v>0</v>
      </c>
      <c r="Y12" s="42">
        <f>IF(テーブル22[[#This Row],[ボール投げ]]="",0,(IF(テーブル22[[#This Row],[性別]]="男",LOOKUP(テーブル22[[#This Row],[ボール投げ]],$AX$6:$AY$15),LOOKUP(テーブル22[[#This Row],[ボール投げ]],$AX$20:$AY$29))))</f>
        <v>0</v>
      </c>
      <c r="Z12" s="19" t="str">
        <f>IF(テーブル22[[#This Row],[学年]]=1,6,IF(テーブル22[[#This Row],[学年]]=2,7,IF(テーブル22[[#This Row],[学年]]=3,8,IF(テーブル22[[#This Row],[学年]]=4,9,IF(テーブル22[[#This Row],[学年]]=5,10,IF(テーブル22[[#This Row],[学年]]=6,11," "))))))</f>
        <v xml:space="preserve"> </v>
      </c>
      <c r="AA12" s="125" t="str">
        <f>IF(テーブル22[[#This Row],[肥満度数値]]="","",LOOKUP(AC12,$AW$39:$AW$44,$AX$39:$AX$44))</f>
        <v/>
      </c>
      <c r="AB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 s="124" t="str">
        <f>IF(テーブル22[[#This Row],[体重]]="","",(テーブル22[[#This Row],[体重]]-テーブル22[[#This Row],[標準体重]])/テーブル22[[#This Row],[標準体重]]*100)</f>
        <v/>
      </c>
      <c r="AD12" s="1">
        <f>COUNTA(テーブル22[[#This Row],[握力]:[ボール投げ]])</f>
        <v>0</v>
      </c>
      <c r="AE12" s="1" t="str">
        <f>IF(テーブル22[[#This Row],[判定]]=$BD$10,"○","")</f>
        <v/>
      </c>
      <c r="AF12" s="1" t="str">
        <f>IF(AE12="","",COUNTIF($AE$6:AE12,"○"))</f>
        <v/>
      </c>
      <c r="AG12" s="1"/>
      <c r="AH12" s="66">
        <v>17</v>
      </c>
      <c r="AI12" s="67">
        <v>7</v>
      </c>
      <c r="AJ12" s="66">
        <v>18</v>
      </c>
      <c r="AK12" s="67">
        <v>7</v>
      </c>
      <c r="AL12" s="66">
        <v>34</v>
      </c>
      <c r="AM12" s="67">
        <v>7</v>
      </c>
      <c r="AN12" s="66">
        <v>38</v>
      </c>
      <c r="AO12" s="67">
        <v>7</v>
      </c>
      <c r="AP12" s="77">
        <v>0.28541666666666665</v>
      </c>
      <c r="AQ12" s="69">
        <v>4</v>
      </c>
      <c r="AR12" s="66">
        <v>45</v>
      </c>
      <c r="AS12" s="67">
        <v>7</v>
      </c>
      <c r="AT12" s="66">
        <v>10.7</v>
      </c>
      <c r="AU12" s="67">
        <v>4</v>
      </c>
      <c r="AV12" s="66">
        <v>156</v>
      </c>
      <c r="AW12" s="67">
        <v>7</v>
      </c>
      <c r="AX12" s="66">
        <v>24</v>
      </c>
      <c r="AY12" s="67">
        <v>7</v>
      </c>
      <c r="AZ12" s="57"/>
      <c r="BA12" s="57"/>
      <c r="BB12" s="57"/>
      <c r="BC12" s="57"/>
      <c r="BD12" s="57"/>
      <c r="BE12" s="57"/>
      <c r="BF12" s="57"/>
      <c r="BG12" s="57"/>
    </row>
    <row r="13" spans="1:59" ht="14.25" customHeight="1" x14ac:dyDescent="0.2">
      <c r="A13" s="40">
        <v>8</v>
      </c>
      <c r="B13" s="145"/>
      <c r="C13" s="148"/>
      <c r="D13" s="145"/>
      <c r="E13" s="156"/>
      <c r="F13" s="145"/>
      <c r="G13" s="145"/>
      <c r="H13" s="146"/>
      <c r="I13" s="146"/>
      <c r="J13" s="148"/>
      <c r="K13" s="145"/>
      <c r="L13" s="148"/>
      <c r="M13" s="149"/>
      <c r="N13" s="148"/>
      <c r="O13" s="150"/>
      <c r="P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 s="43" t="str">
        <f>IF(テーブル22[[#This Row],[得点]]="","",IF(テーブル22[[#This Row],[年齢]]&gt;10,LOOKUP(P13,$BG$6:$BG$10,$BD$6:$BD$10),IF(テーブル22[[#This Row],[年齢]]&gt;9,LOOKUP(P13,$BF$6:$BF$10,$BD$6:$BD$10),IF(テーブル22[[#This Row],[年齢]]&gt;8,LOOKUP(P13,$BE$6:$BE$10,$BD$6:$BD$10),IF(テーブル22[[#This Row],[年齢]]&gt;7,LOOKUP(P13,$BC$6:$BC$10,$BD$6:$BD$10),IF(テーブル22[[#This Row],[年齢]]&gt;6,LOOKUP(P13,$BB$6:$BB$10,$BD$6:$BD$10),LOOKUP(P13,$BA$6:$BA$10,$BD$6:$BD$10)))))))</f>
        <v/>
      </c>
      <c r="R13" s="42">
        <f>IF(H13="",0,(IF(テーブル22[[#This Row],[性別]]="男",LOOKUP(テーブル22[[#This Row],[握力]],$AH$6:$AI$15),LOOKUP(テーブル22[[#This Row],[握力]],$AH$20:$AI$29))))</f>
        <v>0</v>
      </c>
      <c r="S13" s="42">
        <f>IF(テーブル22[[#This Row],[上体]]="",0,(IF(テーブル22[[#This Row],[性別]]="男",LOOKUP(テーブル22[[#This Row],[上体]],$AJ$6:$AK$15),LOOKUP(テーブル22[[#This Row],[上体]],$AJ$20:$AK$29))))</f>
        <v>0</v>
      </c>
      <c r="T13" s="42">
        <f>IF(テーブル22[[#This Row],[長座]]="",0,(IF(テーブル22[[#This Row],[性別]]="男",LOOKUP(テーブル22[[#This Row],[長座]],$AL$6:$AM$15),LOOKUP(テーブル22[[#This Row],[長座]],$AL$20:$AM$29))))</f>
        <v>0</v>
      </c>
      <c r="U13" s="42">
        <f>IF(テーブル22[[#This Row],[反復]]="",0,(IF(テーブル22[[#This Row],[性別]]="男",LOOKUP(テーブル22[[#This Row],[反復]],$AN$6:$AO$15),LOOKUP(テーブル22[[#This Row],[反復]],$AN$20:$AO$29))))</f>
        <v>0</v>
      </c>
      <c r="V13" s="42">
        <f>IF(テーブル22[[#This Row],[ｼｬﾄﾙﾗﾝ]]="",0,(IF(テーブル22[[#This Row],[性別]]="男",LOOKUP(テーブル22[[#This Row],[ｼｬﾄﾙﾗﾝ]],$AR$6:$AS$15),LOOKUP(テーブル22[[#This Row],[ｼｬﾄﾙﾗﾝ]],$AR$20:$AS$29))))</f>
        <v>0</v>
      </c>
      <c r="W13" s="42">
        <f>IF(テーブル22[[#This Row],[50m走]]="",0,(IF(テーブル22[[#This Row],[性別]]="男",LOOKUP(テーブル22[[#This Row],[50m走]],$AT$6:$AU$15),LOOKUP(テーブル22[[#This Row],[50m走]],$AT$20:$AU$29))))</f>
        <v>0</v>
      </c>
      <c r="X13" s="42">
        <f>IF(テーブル22[[#This Row],[立幅とび]]="",0,(IF(テーブル22[[#This Row],[性別]]="男",LOOKUP(テーブル22[[#This Row],[立幅とび]],$AV$6:$AW$15),LOOKUP(テーブル22[[#This Row],[立幅とび]],$AV$20:$AW$29))))</f>
        <v>0</v>
      </c>
      <c r="Y13" s="42">
        <f>IF(テーブル22[[#This Row],[ボール投げ]]="",0,(IF(テーブル22[[#This Row],[性別]]="男",LOOKUP(テーブル22[[#This Row],[ボール投げ]],$AX$6:$AY$15),LOOKUP(テーブル22[[#This Row],[ボール投げ]],$AX$20:$AY$29))))</f>
        <v>0</v>
      </c>
      <c r="Z13" s="19" t="str">
        <f>IF(テーブル22[[#This Row],[学年]]=1,6,IF(テーブル22[[#This Row],[学年]]=2,7,IF(テーブル22[[#This Row],[学年]]=3,8,IF(テーブル22[[#This Row],[学年]]=4,9,IF(テーブル22[[#This Row],[学年]]=5,10,IF(テーブル22[[#This Row],[学年]]=6,11," "))))))</f>
        <v xml:space="preserve"> </v>
      </c>
      <c r="AA13" s="125" t="str">
        <f>IF(テーブル22[[#This Row],[肥満度数値]]="","",LOOKUP(AC13,$AW$39:$AW$44,$AX$39:$AX$44))</f>
        <v/>
      </c>
      <c r="AB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 s="124" t="str">
        <f>IF(テーブル22[[#This Row],[体重]]="","",(テーブル22[[#This Row],[体重]]-テーブル22[[#This Row],[標準体重]])/テーブル22[[#This Row],[標準体重]]*100)</f>
        <v/>
      </c>
      <c r="AD13" s="1">
        <f>COUNTA(テーブル22[[#This Row],[握力]:[ボール投げ]])</f>
        <v>0</v>
      </c>
      <c r="AE13" s="1" t="str">
        <f>IF(テーブル22[[#This Row],[判定]]=$BD$10,"○","")</f>
        <v/>
      </c>
      <c r="AF13" s="1" t="str">
        <f>IF(AE13="","",COUNTIF($AE$6:AE13,"○"))</f>
        <v/>
      </c>
      <c r="AG13" s="1"/>
      <c r="AH13" s="66">
        <v>20</v>
      </c>
      <c r="AI13" s="67">
        <v>8</v>
      </c>
      <c r="AJ13" s="66">
        <v>20</v>
      </c>
      <c r="AK13" s="67">
        <v>8</v>
      </c>
      <c r="AL13" s="66">
        <v>38</v>
      </c>
      <c r="AM13" s="67">
        <v>8</v>
      </c>
      <c r="AN13" s="66">
        <v>42</v>
      </c>
      <c r="AO13" s="67">
        <v>8</v>
      </c>
      <c r="AP13" s="77">
        <v>0.31319444444444444</v>
      </c>
      <c r="AQ13" s="69">
        <v>3</v>
      </c>
      <c r="AR13" s="66">
        <v>57</v>
      </c>
      <c r="AS13" s="67">
        <v>8</v>
      </c>
      <c r="AT13" s="66">
        <v>11.5</v>
      </c>
      <c r="AU13" s="67">
        <v>3</v>
      </c>
      <c r="AV13" s="66">
        <v>168</v>
      </c>
      <c r="AW13" s="67">
        <v>8</v>
      </c>
      <c r="AX13" s="66">
        <v>30</v>
      </c>
      <c r="AY13" s="67">
        <v>8</v>
      </c>
      <c r="AZ13" s="57"/>
      <c r="BA13" s="57"/>
      <c r="BB13" s="57"/>
      <c r="BC13" s="57"/>
      <c r="BD13" s="57"/>
      <c r="BE13" s="57"/>
      <c r="BF13" s="57"/>
      <c r="BG13" s="57"/>
    </row>
    <row r="14" spans="1:59" ht="14.25" customHeight="1" x14ac:dyDescent="0.2">
      <c r="A14" s="40">
        <v>9</v>
      </c>
      <c r="B14" s="145"/>
      <c r="C14" s="148"/>
      <c r="D14" s="145"/>
      <c r="E14" s="156"/>
      <c r="F14" s="145"/>
      <c r="G14" s="145"/>
      <c r="H14" s="146"/>
      <c r="I14" s="146"/>
      <c r="J14" s="148"/>
      <c r="K14" s="145"/>
      <c r="L14" s="148"/>
      <c r="M14" s="149"/>
      <c r="N14" s="148"/>
      <c r="O14" s="150"/>
      <c r="P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 s="43" t="str">
        <f>IF(テーブル22[[#This Row],[得点]]="","",IF(テーブル22[[#This Row],[年齢]]&gt;10,LOOKUP(P14,$BG$6:$BG$10,$BD$6:$BD$10),IF(テーブル22[[#This Row],[年齢]]&gt;9,LOOKUP(P14,$BF$6:$BF$10,$BD$6:$BD$10),IF(テーブル22[[#This Row],[年齢]]&gt;8,LOOKUP(P14,$BE$6:$BE$10,$BD$6:$BD$10),IF(テーブル22[[#This Row],[年齢]]&gt;7,LOOKUP(P14,$BC$6:$BC$10,$BD$6:$BD$10),IF(テーブル22[[#This Row],[年齢]]&gt;6,LOOKUP(P14,$BB$6:$BB$10,$BD$6:$BD$10),LOOKUP(P14,$BA$6:$BA$10,$BD$6:$BD$10)))))))</f>
        <v/>
      </c>
      <c r="R14" s="42">
        <f>IF(H14="",0,(IF(テーブル22[[#This Row],[性別]]="男",LOOKUP(テーブル22[[#This Row],[握力]],$AH$6:$AI$15),LOOKUP(テーブル22[[#This Row],[握力]],$AH$20:$AI$29))))</f>
        <v>0</v>
      </c>
      <c r="S14" s="42">
        <f>IF(テーブル22[[#This Row],[上体]]="",0,(IF(テーブル22[[#This Row],[性別]]="男",LOOKUP(テーブル22[[#This Row],[上体]],$AJ$6:$AK$15),LOOKUP(テーブル22[[#This Row],[上体]],$AJ$20:$AK$29))))</f>
        <v>0</v>
      </c>
      <c r="T14" s="42">
        <f>IF(テーブル22[[#This Row],[長座]]="",0,(IF(テーブル22[[#This Row],[性別]]="男",LOOKUP(テーブル22[[#This Row],[長座]],$AL$6:$AM$15),LOOKUP(テーブル22[[#This Row],[長座]],$AL$20:$AM$29))))</f>
        <v>0</v>
      </c>
      <c r="U14" s="42">
        <f>IF(テーブル22[[#This Row],[反復]]="",0,(IF(テーブル22[[#This Row],[性別]]="男",LOOKUP(テーブル22[[#This Row],[反復]],$AN$6:$AO$15),LOOKUP(テーブル22[[#This Row],[反復]],$AN$20:$AO$29))))</f>
        <v>0</v>
      </c>
      <c r="V14" s="42">
        <f>IF(テーブル22[[#This Row],[ｼｬﾄﾙﾗﾝ]]="",0,(IF(テーブル22[[#This Row],[性別]]="男",LOOKUP(テーブル22[[#This Row],[ｼｬﾄﾙﾗﾝ]],$AR$6:$AS$15),LOOKUP(テーブル22[[#This Row],[ｼｬﾄﾙﾗﾝ]],$AR$20:$AS$29))))</f>
        <v>0</v>
      </c>
      <c r="W14" s="42">
        <f>IF(テーブル22[[#This Row],[50m走]]="",0,(IF(テーブル22[[#This Row],[性別]]="男",LOOKUP(テーブル22[[#This Row],[50m走]],$AT$6:$AU$15),LOOKUP(テーブル22[[#This Row],[50m走]],$AT$20:$AU$29))))</f>
        <v>0</v>
      </c>
      <c r="X14" s="42">
        <f>IF(テーブル22[[#This Row],[立幅とび]]="",0,(IF(テーブル22[[#This Row],[性別]]="男",LOOKUP(テーブル22[[#This Row],[立幅とび]],$AV$6:$AW$15),LOOKUP(テーブル22[[#This Row],[立幅とび]],$AV$20:$AW$29))))</f>
        <v>0</v>
      </c>
      <c r="Y14" s="42">
        <f>IF(テーブル22[[#This Row],[ボール投げ]]="",0,(IF(テーブル22[[#This Row],[性別]]="男",LOOKUP(テーブル22[[#This Row],[ボール投げ]],$AX$6:$AY$15),LOOKUP(テーブル22[[#This Row],[ボール投げ]],$AX$20:$AY$29))))</f>
        <v>0</v>
      </c>
      <c r="Z14" s="19" t="str">
        <f>IF(テーブル22[[#This Row],[学年]]=1,6,IF(テーブル22[[#This Row],[学年]]=2,7,IF(テーブル22[[#This Row],[学年]]=3,8,IF(テーブル22[[#This Row],[学年]]=4,9,IF(テーブル22[[#This Row],[学年]]=5,10,IF(テーブル22[[#This Row],[学年]]=6,11," "))))))</f>
        <v xml:space="preserve"> </v>
      </c>
      <c r="AA14" s="125" t="str">
        <f>IF(テーブル22[[#This Row],[肥満度数値]]="","",LOOKUP(AC14,$AW$39:$AW$44,$AX$39:$AX$44))</f>
        <v/>
      </c>
      <c r="AB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 s="124" t="str">
        <f>IF(テーブル22[[#This Row],[体重]]="","",(テーブル22[[#This Row],[体重]]-テーブル22[[#This Row],[標準体重]])/テーブル22[[#This Row],[標準体重]]*100)</f>
        <v/>
      </c>
      <c r="AD14" s="1">
        <f>COUNTA(テーブル22[[#This Row],[握力]:[ボール投げ]])</f>
        <v>0</v>
      </c>
      <c r="AE14" s="1" t="str">
        <f>IF(テーブル22[[#This Row],[判定]]=$BD$10,"○","")</f>
        <v/>
      </c>
      <c r="AF14" s="1" t="str">
        <f>IF(AE14="","",COUNTIF($AE$6:AE14,"○"))</f>
        <v/>
      </c>
      <c r="AG14" s="1"/>
      <c r="AH14" s="66">
        <v>23</v>
      </c>
      <c r="AI14" s="67">
        <v>9</v>
      </c>
      <c r="AJ14" s="66">
        <v>23</v>
      </c>
      <c r="AK14" s="67">
        <v>9</v>
      </c>
      <c r="AL14" s="66">
        <v>43</v>
      </c>
      <c r="AM14" s="67">
        <v>9</v>
      </c>
      <c r="AN14" s="66">
        <v>46</v>
      </c>
      <c r="AO14" s="67">
        <v>9</v>
      </c>
      <c r="AP14" s="77">
        <v>0.34722222222222227</v>
      </c>
      <c r="AQ14" s="69">
        <v>2</v>
      </c>
      <c r="AR14" s="66">
        <v>69</v>
      </c>
      <c r="AS14" s="67">
        <v>9</v>
      </c>
      <c r="AT14" s="66">
        <v>12.3</v>
      </c>
      <c r="AU14" s="67">
        <v>2</v>
      </c>
      <c r="AV14" s="66">
        <v>180</v>
      </c>
      <c r="AW14" s="67">
        <v>9</v>
      </c>
      <c r="AX14" s="66">
        <v>35</v>
      </c>
      <c r="AY14" s="67">
        <v>9</v>
      </c>
      <c r="AZ14" s="57"/>
      <c r="BA14" s="57"/>
      <c r="BB14" s="57"/>
      <c r="BC14" s="57"/>
      <c r="BD14" s="57"/>
      <c r="BE14" s="57"/>
      <c r="BF14" s="57"/>
      <c r="BG14" s="57"/>
    </row>
    <row r="15" spans="1:59" ht="14.25" customHeight="1" thickBot="1" x14ac:dyDescent="0.25">
      <c r="A15" s="40">
        <v>10</v>
      </c>
      <c r="B15" s="145"/>
      <c r="C15" s="148"/>
      <c r="D15" s="145"/>
      <c r="E15" s="156"/>
      <c r="F15" s="145"/>
      <c r="G15" s="145"/>
      <c r="H15" s="146"/>
      <c r="I15" s="146"/>
      <c r="J15" s="148"/>
      <c r="K15" s="145"/>
      <c r="L15" s="148"/>
      <c r="M15" s="149"/>
      <c r="N15" s="148"/>
      <c r="O15" s="150"/>
      <c r="P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 s="43" t="str">
        <f>IF(テーブル22[[#This Row],[得点]]="","",IF(テーブル22[[#This Row],[年齢]]&gt;10,LOOKUP(P15,$BG$6:$BG$10,$BD$6:$BD$10),IF(テーブル22[[#This Row],[年齢]]&gt;9,LOOKUP(P15,$BF$6:$BF$10,$BD$6:$BD$10),IF(テーブル22[[#This Row],[年齢]]&gt;8,LOOKUP(P15,$BE$6:$BE$10,$BD$6:$BD$10),IF(テーブル22[[#This Row],[年齢]]&gt;7,LOOKUP(P15,$BC$6:$BC$10,$BD$6:$BD$10),IF(テーブル22[[#This Row],[年齢]]&gt;6,LOOKUP(P15,$BB$6:$BB$10,$BD$6:$BD$10),LOOKUP(P15,$BA$6:$BA$10,$BD$6:$BD$10)))))))</f>
        <v/>
      </c>
      <c r="R15" s="42">
        <f>IF(H15="",0,(IF(テーブル22[[#This Row],[性別]]="男",LOOKUP(テーブル22[[#This Row],[握力]],$AH$6:$AI$15),LOOKUP(テーブル22[[#This Row],[握力]],$AH$20:$AI$29))))</f>
        <v>0</v>
      </c>
      <c r="S15" s="42">
        <f>IF(テーブル22[[#This Row],[上体]]="",0,(IF(テーブル22[[#This Row],[性別]]="男",LOOKUP(テーブル22[[#This Row],[上体]],$AJ$6:$AK$15),LOOKUP(テーブル22[[#This Row],[上体]],$AJ$20:$AK$29))))</f>
        <v>0</v>
      </c>
      <c r="T15" s="42">
        <f>IF(テーブル22[[#This Row],[長座]]="",0,(IF(テーブル22[[#This Row],[性別]]="男",LOOKUP(テーブル22[[#This Row],[長座]],$AL$6:$AM$15),LOOKUP(テーブル22[[#This Row],[長座]],$AL$20:$AM$29))))</f>
        <v>0</v>
      </c>
      <c r="U15" s="42">
        <f>IF(テーブル22[[#This Row],[反復]]="",0,(IF(テーブル22[[#This Row],[性別]]="男",LOOKUP(テーブル22[[#This Row],[反復]],$AN$6:$AO$15),LOOKUP(テーブル22[[#This Row],[反復]],$AN$20:$AO$29))))</f>
        <v>0</v>
      </c>
      <c r="V15" s="42">
        <f>IF(テーブル22[[#This Row],[ｼｬﾄﾙﾗﾝ]]="",0,(IF(テーブル22[[#This Row],[性別]]="男",LOOKUP(テーブル22[[#This Row],[ｼｬﾄﾙﾗﾝ]],$AR$6:$AS$15),LOOKUP(テーブル22[[#This Row],[ｼｬﾄﾙﾗﾝ]],$AR$20:$AS$29))))</f>
        <v>0</v>
      </c>
      <c r="W15" s="42">
        <f>IF(テーブル22[[#This Row],[50m走]]="",0,(IF(テーブル22[[#This Row],[性別]]="男",LOOKUP(テーブル22[[#This Row],[50m走]],$AT$6:$AU$15),LOOKUP(テーブル22[[#This Row],[50m走]],$AT$20:$AU$29))))</f>
        <v>0</v>
      </c>
      <c r="X15" s="42">
        <f>IF(テーブル22[[#This Row],[立幅とび]]="",0,(IF(テーブル22[[#This Row],[性別]]="男",LOOKUP(テーブル22[[#This Row],[立幅とび]],$AV$6:$AW$15),LOOKUP(テーブル22[[#This Row],[立幅とび]],$AV$20:$AW$29))))</f>
        <v>0</v>
      </c>
      <c r="Y15" s="42">
        <f>IF(テーブル22[[#This Row],[ボール投げ]]="",0,(IF(テーブル22[[#This Row],[性別]]="男",LOOKUP(テーブル22[[#This Row],[ボール投げ]],$AX$6:$AY$15),LOOKUP(テーブル22[[#This Row],[ボール投げ]],$AX$20:$AY$29))))</f>
        <v>0</v>
      </c>
      <c r="Z15" s="19" t="str">
        <f>IF(テーブル22[[#This Row],[学年]]=1,6,IF(テーブル22[[#This Row],[学年]]=2,7,IF(テーブル22[[#This Row],[学年]]=3,8,IF(テーブル22[[#This Row],[学年]]=4,9,IF(テーブル22[[#This Row],[学年]]=5,10,IF(テーブル22[[#This Row],[学年]]=6,11," "))))))</f>
        <v xml:space="preserve"> </v>
      </c>
      <c r="AA15" s="125" t="str">
        <f>IF(テーブル22[[#This Row],[肥満度数値]]="","",LOOKUP(AC15,$AW$39:$AW$44,$AX$39:$AX$44))</f>
        <v/>
      </c>
      <c r="AB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 s="124" t="str">
        <f>IF(テーブル22[[#This Row],[体重]]="","",(テーブル22[[#This Row],[体重]]-テーブル22[[#This Row],[標準体重]])/テーブル22[[#This Row],[標準体重]]*100)</f>
        <v/>
      </c>
      <c r="AD15" s="1">
        <f>COUNTA(テーブル22[[#This Row],[握力]:[ボール投げ]])</f>
        <v>0</v>
      </c>
      <c r="AE15" s="1" t="str">
        <f>IF(テーブル22[[#This Row],[判定]]=$BD$10,"○","")</f>
        <v/>
      </c>
      <c r="AF15" s="1" t="str">
        <f>IF(AE15="","",COUNTIF($AE$6:AE15,"○"))</f>
        <v/>
      </c>
      <c r="AG15" s="1"/>
      <c r="AH15" s="74">
        <v>26</v>
      </c>
      <c r="AI15" s="75">
        <v>10</v>
      </c>
      <c r="AJ15" s="74">
        <v>26</v>
      </c>
      <c r="AK15" s="75">
        <v>10</v>
      </c>
      <c r="AL15" s="74">
        <v>49</v>
      </c>
      <c r="AM15" s="75">
        <v>10</v>
      </c>
      <c r="AN15" s="74">
        <v>50</v>
      </c>
      <c r="AO15" s="75">
        <v>10</v>
      </c>
      <c r="AP15" s="78">
        <v>0.38958333333333334</v>
      </c>
      <c r="AQ15" s="72">
        <v>1</v>
      </c>
      <c r="AR15" s="74">
        <v>80</v>
      </c>
      <c r="AS15" s="75">
        <v>10</v>
      </c>
      <c r="AT15" s="74">
        <v>13.1</v>
      </c>
      <c r="AU15" s="75">
        <v>1</v>
      </c>
      <c r="AV15" s="74">
        <v>192</v>
      </c>
      <c r="AW15" s="75">
        <v>10</v>
      </c>
      <c r="AX15" s="74">
        <v>40</v>
      </c>
      <c r="AY15" s="75">
        <v>10</v>
      </c>
      <c r="AZ15" s="57"/>
      <c r="BA15" s="57"/>
      <c r="BB15" s="57"/>
      <c r="BC15" s="57"/>
      <c r="BD15" s="57"/>
      <c r="BE15" s="57"/>
      <c r="BF15" s="57"/>
      <c r="BG15" s="57"/>
    </row>
    <row r="16" spans="1:59" ht="14.25" customHeight="1" x14ac:dyDescent="0.2">
      <c r="A16" s="40">
        <v>11</v>
      </c>
      <c r="B16" s="145"/>
      <c r="C16" s="148"/>
      <c r="D16" s="145"/>
      <c r="E16" s="156"/>
      <c r="F16" s="145"/>
      <c r="G16" s="145"/>
      <c r="H16" s="146"/>
      <c r="I16" s="146"/>
      <c r="J16" s="148"/>
      <c r="K16" s="145"/>
      <c r="L16" s="148"/>
      <c r="M16" s="149"/>
      <c r="N16" s="148"/>
      <c r="O16" s="150"/>
      <c r="P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 s="43" t="str">
        <f>IF(テーブル22[[#This Row],[得点]]="","",IF(テーブル22[[#This Row],[年齢]]&gt;10,LOOKUP(P16,$BG$6:$BG$10,$BD$6:$BD$10),IF(テーブル22[[#This Row],[年齢]]&gt;9,LOOKUP(P16,$BF$6:$BF$10,$BD$6:$BD$10),IF(テーブル22[[#This Row],[年齢]]&gt;8,LOOKUP(P16,$BE$6:$BE$10,$BD$6:$BD$10),IF(テーブル22[[#This Row],[年齢]]&gt;7,LOOKUP(P16,$BC$6:$BC$10,$BD$6:$BD$10),IF(テーブル22[[#This Row],[年齢]]&gt;6,LOOKUP(P16,$BB$6:$BB$10,$BD$6:$BD$10),LOOKUP(P16,$BA$6:$BA$10,$BD$6:$BD$10)))))))</f>
        <v/>
      </c>
      <c r="R16" s="42">
        <f>IF(H16="",0,(IF(テーブル22[[#This Row],[性別]]="男",LOOKUP(テーブル22[[#This Row],[握力]],$AH$6:$AI$15),LOOKUP(テーブル22[[#This Row],[握力]],$AH$20:$AI$29))))</f>
        <v>0</v>
      </c>
      <c r="S16" s="42">
        <f>IF(テーブル22[[#This Row],[上体]]="",0,(IF(テーブル22[[#This Row],[性別]]="男",LOOKUP(テーブル22[[#This Row],[上体]],$AJ$6:$AK$15),LOOKUP(テーブル22[[#This Row],[上体]],$AJ$20:$AK$29))))</f>
        <v>0</v>
      </c>
      <c r="T16" s="42">
        <f>IF(テーブル22[[#This Row],[長座]]="",0,(IF(テーブル22[[#This Row],[性別]]="男",LOOKUP(テーブル22[[#This Row],[長座]],$AL$6:$AM$15),LOOKUP(テーブル22[[#This Row],[長座]],$AL$20:$AM$29))))</f>
        <v>0</v>
      </c>
      <c r="U16" s="42">
        <f>IF(テーブル22[[#This Row],[反復]]="",0,(IF(テーブル22[[#This Row],[性別]]="男",LOOKUP(テーブル22[[#This Row],[反復]],$AN$6:$AO$15),LOOKUP(テーブル22[[#This Row],[反復]],$AN$20:$AO$29))))</f>
        <v>0</v>
      </c>
      <c r="V16" s="42">
        <f>IF(テーブル22[[#This Row],[ｼｬﾄﾙﾗﾝ]]="",0,(IF(テーブル22[[#This Row],[性別]]="男",LOOKUP(テーブル22[[#This Row],[ｼｬﾄﾙﾗﾝ]],$AR$6:$AS$15),LOOKUP(テーブル22[[#This Row],[ｼｬﾄﾙﾗﾝ]],$AR$20:$AS$29))))</f>
        <v>0</v>
      </c>
      <c r="W16" s="42">
        <f>IF(テーブル22[[#This Row],[50m走]]="",0,(IF(テーブル22[[#This Row],[性別]]="男",LOOKUP(テーブル22[[#This Row],[50m走]],$AT$6:$AU$15),LOOKUP(テーブル22[[#This Row],[50m走]],$AT$20:$AU$29))))</f>
        <v>0</v>
      </c>
      <c r="X16" s="42">
        <f>IF(テーブル22[[#This Row],[立幅とび]]="",0,(IF(テーブル22[[#This Row],[性別]]="男",LOOKUP(テーブル22[[#This Row],[立幅とび]],$AV$6:$AW$15),LOOKUP(テーブル22[[#This Row],[立幅とび]],$AV$20:$AW$29))))</f>
        <v>0</v>
      </c>
      <c r="Y16" s="42">
        <f>IF(テーブル22[[#This Row],[ボール投げ]]="",0,(IF(テーブル22[[#This Row],[性別]]="男",LOOKUP(テーブル22[[#This Row],[ボール投げ]],$AX$6:$AY$15),LOOKUP(テーブル22[[#This Row],[ボール投げ]],$AX$20:$AY$29))))</f>
        <v>0</v>
      </c>
      <c r="Z16" s="19" t="str">
        <f>IF(テーブル22[[#This Row],[学年]]=1,6,IF(テーブル22[[#This Row],[学年]]=2,7,IF(テーブル22[[#This Row],[学年]]=3,8,IF(テーブル22[[#This Row],[学年]]=4,9,IF(テーブル22[[#This Row],[学年]]=5,10,IF(テーブル22[[#This Row],[学年]]=6,11," "))))))</f>
        <v xml:space="preserve"> </v>
      </c>
      <c r="AA16" s="125" t="str">
        <f>IF(テーブル22[[#This Row],[肥満度数値]]="","",LOOKUP(AC16,$AW$39:$AW$44,$AX$39:$AX$44))</f>
        <v/>
      </c>
      <c r="AB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 s="124" t="str">
        <f>IF(テーブル22[[#This Row],[体重]]="","",(テーブル22[[#This Row],[体重]]-テーブル22[[#This Row],[標準体重]])/テーブル22[[#This Row],[標準体重]]*100)</f>
        <v/>
      </c>
      <c r="AD16" s="1">
        <f>COUNTA(テーブル22[[#This Row],[握力]:[ボール投げ]])</f>
        <v>0</v>
      </c>
      <c r="AE16" s="1" t="str">
        <f>IF(テーブル22[[#This Row],[判定]]=$BD$10,"○","")</f>
        <v/>
      </c>
      <c r="AF16" s="1" t="str">
        <f>IF(AE16="","",COUNTIF($AE$6:AE16,"○"))</f>
        <v/>
      </c>
      <c r="AG16" s="1"/>
      <c r="AH16" s="57"/>
      <c r="AI16" s="57"/>
      <c r="AJ16" s="57"/>
      <c r="AK16" s="57"/>
      <c r="AL16" s="57"/>
      <c r="AM16" s="57"/>
      <c r="AN16" s="57"/>
      <c r="AO16" s="57"/>
      <c r="AP16" s="57"/>
      <c r="AQ16" s="57"/>
      <c r="AR16" s="57"/>
      <c r="AS16" s="57"/>
      <c r="AT16" s="57"/>
      <c r="AU16" s="57"/>
      <c r="AV16" s="57"/>
      <c r="AW16" s="57"/>
      <c r="AX16" s="57"/>
      <c r="AY16" s="57"/>
      <c r="AZ16" s="57"/>
      <c r="BA16" s="120" t="s">
        <v>159</v>
      </c>
      <c r="BB16" s="57"/>
      <c r="BC16" s="57"/>
      <c r="BD16" s="57"/>
      <c r="BE16" s="57"/>
      <c r="BF16" s="57"/>
      <c r="BG16" s="57"/>
    </row>
    <row r="17" spans="1:59" ht="14.25" customHeight="1" x14ac:dyDescent="0.2">
      <c r="A17" s="40">
        <v>12</v>
      </c>
      <c r="B17" s="145"/>
      <c r="C17" s="148"/>
      <c r="D17" s="145"/>
      <c r="E17" s="156"/>
      <c r="F17" s="145"/>
      <c r="G17" s="145"/>
      <c r="H17" s="146"/>
      <c r="I17" s="146"/>
      <c r="J17" s="148"/>
      <c r="K17" s="145"/>
      <c r="L17" s="148"/>
      <c r="M17" s="149"/>
      <c r="N17" s="148"/>
      <c r="O17" s="150"/>
      <c r="P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 s="43" t="str">
        <f>IF(テーブル22[[#This Row],[得点]]="","",IF(テーブル22[[#This Row],[年齢]]&gt;10,LOOKUP(P17,$BG$6:$BG$10,$BD$6:$BD$10),IF(テーブル22[[#This Row],[年齢]]&gt;9,LOOKUP(P17,$BF$6:$BF$10,$BD$6:$BD$10),IF(テーブル22[[#This Row],[年齢]]&gt;8,LOOKUP(P17,$BE$6:$BE$10,$BD$6:$BD$10),IF(テーブル22[[#This Row],[年齢]]&gt;7,LOOKUP(P17,$BC$6:$BC$10,$BD$6:$BD$10),IF(テーブル22[[#This Row],[年齢]]&gt;6,LOOKUP(P17,$BB$6:$BB$10,$BD$6:$BD$10),LOOKUP(P17,$BA$6:$BA$10,$BD$6:$BD$10)))))))</f>
        <v/>
      </c>
      <c r="R17" s="42">
        <f>IF(H17="",0,(IF(テーブル22[[#This Row],[性別]]="男",LOOKUP(テーブル22[[#This Row],[握力]],$AH$6:$AI$15),LOOKUP(テーブル22[[#This Row],[握力]],$AH$20:$AI$29))))</f>
        <v>0</v>
      </c>
      <c r="S17" s="42">
        <f>IF(テーブル22[[#This Row],[上体]]="",0,(IF(テーブル22[[#This Row],[性別]]="男",LOOKUP(テーブル22[[#This Row],[上体]],$AJ$6:$AK$15),LOOKUP(テーブル22[[#This Row],[上体]],$AJ$20:$AK$29))))</f>
        <v>0</v>
      </c>
      <c r="T17" s="42">
        <f>IF(テーブル22[[#This Row],[長座]]="",0,(IF(テーブル22[[#This Row],[性別]]="男",LOOKUP(テーブル22[[#This Row],[長座]],$AL$6:$AM$15),LOOKUP(テーブル22[[#This Row],[長座]],$AL$20:$AM$29))))</f>
        <v>0</v>
      </c>
      <c r="U17" s="42">
        <f>IF(テーブル22[[#This Row],[反復]]="",0,(IF(テーブル22[[#This Row],[性別]]="男",LOOKUP(テーブル22[[#This Row],[反復]],$AN$6:$AO$15),LOOKUP(テーブル22[[#This Row],[反復]],$AN$20:$AO$29))))</f>
        <v>0</v>
      </c>
      <c r="V17" s="42">
        <f>IF(テーブル22[[#This Row],[ｼｬﾄﾙﾗﾝ]]="",0,(IF(テーブル22[[#This Row],[性別]]="男",LOOKUP(テーブル22[[#This Row],[ｼｬﾄﾙﾗﾝ]],$AR$6:$AS$15),LOOKUP(テーブル22[[#This Row],[ｼｬﾄﾙﾗﾝ]],$AR$20:$AS$29))))</f>
        <v>0</v>
      </c>
      <c r="W17" s="42">
        <f>IF(テーブル22[[#This Row],[50m走]]="",0,(IF(テーブル22[[#This Row],[性別]]="男",LOOKUP(テーブル22[[#This Row],[50m走]],$AT$6:$AU$15),LOOKUP(テーブル22[[#This Row],[50m走]],$AT$20:$AU$29))))</f>
        <v>0</v>
      </c>
      <c r="X17" s="42">
        <f>IF(テーブル22[[#This Row],[立幅とび]]="",0,(IF(テーブル22[[#This Row],[性別]]="男",LOOKUP(テーブル22[[#This Row],[立幅とび]],$AV$6:$AW$15),LOOKUP(テーブル22[[#This Row],[立幅とび]],$AV$20:$AW$29))))</f>
        <v>0</v>
      </c>
      <c r="Y17" s="42">
        <f>IF(テーブル22[[#This Row],[ボール投げ]]="",0,(IF(テーブル22[[#This Row],[性別]]="男",LOOKUP(テーブル22[[#This Row],[ボール投げ]],$AX$6:$AY$15),LOOKUP(テーブル22[[#This Row],[ボール投げ]],$AX$20:$AY$29))))</f>
        <v>0</v>
      </c>
      <c r="Z17" s="19" t="str">
        <f>IF(テーブル22[[#This Row],[学年]]=1,6,IF(テーブル22[[#This Row],[学年]]=2,7,IF(テーブル22[[#This Row],[学年]]=3,8,IF(テーブル22[[#This Row],[学年]]=4,9,IF(テーブル22[[#This Row],[学年]]=5,10,IF(テーブル22[[#This Row],[学年]]=6,11," "))))))</f>
        <v xml:space="preserve"> </v>
      </c>
      <c r="AA17" s="125" t="str">
        <f>IF(テーブル22[[#This Row],[肥満度数値]]="","",LOOKUP(AC17,$AW$39:$AW$44,$AX$39:$AX$44))</f>
        <v/>
      </c>
      <c r="AB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 s="124" t="str">
        <f>IF(テーブル22[[#This Row],[体重]]="","",(テーブル22[[#This Row],[体重]]-テーブル22[[#This Row],[標準体重]])/テーブル22[[#This Row],[標準体重]]*100)</f>
        <v/>
      </c>
      <c r="AD17" s="1">
        <f>COUNTA(テーブル22[[#This Row],[握力]:[ボール投げ]])</f>
        <v>0</v>
      </c>
      <c r="AE17" s="1" t="str">
        <f>IF(テーブル22[[#This Row],[判定]]=$BD$10,"○","")</f>
        <v/>
      </c>
      <c r="AF17" s="1" t="str">
        <f>IF(AE17="","",COUNTIF($AE$6:AE17,"○"))</f>
        <v/>
      </c>
      <c r="AG17" s="1"/>
      <c r="AH17" s="57"/>
      <c r="AI17" s="57"/>
      <c r="AJ17" s="57"/>
      <c r="AK17" s="57"/>
      <c r="AL17" s="57"/>
      <c r="AM17" s="57"/>
      <c r="AN17" s="57"/>
      <c r="AO17" s="57"/>
      <c r="AP17" s="57"/>
      <c r="AQ17" s="57"/>
      <c r="AR17" s="57"/>
      <c r="AS17" s="57"/>
      <c r="AT17" s="57"/>
      <c r="AU17" s="57"/>
      <c r="AV17" s="57"/>
      <c r="AW17" s="57"/>
      <c r="AX17" s="57"/>
      <c r="AY17" s="57"/>
      <c r="AZ17" s="57"/>
      <c r="BA17" s="120" t="s">
        <v>160</v>
      </c>
      <c r="BB17" s="57"/>
      <c r="BC17" s="57"/>
      <c r="BD17" s="57"/>
      <c r="BE17" s="57"/>
      <c r="BF17" s="57"/>
      <c r="BG17" s="57"/>
    </row>
    <row r="18" spans="1:59" ht="14.25" customHeight="1" thickBot="1" x14ac:dyDescent="0.25">
      <c r="A18" s="40">
        <v>13</v>
      </c>
      <c r="B18" s="145"/>
      <c r="C18" s="148"/>
      <c r="D18" s="145"/>
      <c r="E18" s="156"/>
      <c r="F18" s="145"/>
      <c r="G18" s="145"/>
      <c r="H18" s="146"/>
      <c r="I18" s="146"/>
      <c r="J18" s="148"/>
      <c r="K18" s="145"/>
      <c r="L18" s="148"/>
      <c r="M18" s="149"/>
      <c r="N18" s="148"/>
      <c r="O18" s="150"/>
      <c r="P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 s="43" t="str">
        <f>IF(テーブル22[[#This Row],[得点]]="","",IF(テーブル22[[#This Row],[年齢]]&gt;10,LOOKUP(P18,$BG$6:$BG$10,$BD$6:$BD$10),IF(テーブル22[[#This Row],[年齢]]&gt;9,LOOKUP(P18,$BF$6:$BF$10,$BD$6:$BD$10),IF(テーブル22[[#This Row],[年齢]]&gt;8,LOOKUP(P18,$BE$6:$BE$10,$BD$6:$BD$10),IF(テーブル22[[#This Row],[年齢]]&gt;7,LOOKUP(P18,$BC$6:$BC$10,$BD$6:$BD$10),IF(テーブル22[[#This Row],[年齢]]&gt;6,LOOKUP(P18,$BB$6:$BB$10,$BD$6:$BD$10),LOOKUP(P18,$BA$6:$BA$10,$BD$6:$BD$10)))))))</f>
        <v/>
      </c>
      <c r="R18" s="42">
        <f>IF(H18="",0,(IF(テーブル22[[#This Row],[性別]]="男",LOOKUP(テーブル22[[#This Row],[握力]],$AH$6:$AI$15),LOOKUP(テーブル22[[#This Row],[握力]],$AH$20:$AI$29))))</f>
        <v>0</v>
      </c>
      <c r="S18" s="42">
        <f>IF(テーブル22[[#This Row],[上体]]="",0,(IF(テーブル22[[#This Row],[性別]]="男",LOOKUP(テーブル22[[#This Row],[上体]],$AJ$6:$AK$15),LOOKUP(テーブル22[[#This Row],[上体]],$AJ$20:$AK$29))))</f>
        <v>0</v>
      </c>
      <c r="T18" s="42">
        <f>IF(テーブル22[[#This Row],[長座]]="",0,(IF(テーブル22[[#This Row],[性別]]="男",LOOKUP(テーブル22[[#This Row],[長座]],$AL$6:$AM$15),LOOKUP(テーブル22[[#This Row],[長座]],$AL$20:$AM$29))))</f>
        <v>0</v>
      </c>
      <c r="U18" s="42">
        <f>IF(テーブル22[[#This Row],[反復]]="",0,(IF(テーブル22[[#This Row],[性別]]="男",LOOKUP(テーブル22[[#This Row],[反復]],$AN$6:$AO$15),LOOKUP(テーブル22[[#This Row],[反復]],$AN$20:$AO$29))))</f>
        <v>0</v>
      </c>
      <c r="V18" s="42">
        <f>IF(テーブル22[[#This Row],[ｼｬﾄﾙﾗﾝ]]="",0,(IF(テーブル22[[#This Row],[性別]]="男",LOOKUP(テーブル22[[#This Row],[ｼｬﾄﾙﾗﾝ]],$AR$6:$AS$15),LOOKUP(テーブル22[[#This Row],[ｼｬﾄﾙﾗﾝ]],$AR$20:$AS$29))))</f>
        <v>0</v>
      </c>
      <c r="W18" s="42">
        <f>IF(テーブル22[[#This Row],[50m走]]="",0,(IF(テーブル22[[#This Row],[性別]]="男",LOOKUP(テーブル22[[#This Row],[50m走]],$AT$6:$AU$15),LOOKUP(テーブル22[[#This Row],[50m走]],$AT$20:$AU$29))))</f>
        <v>0</v>
      </c>
      <c r="X18" s="42">
        <f>IF(テーブル22[[#This Row],[立幅とび]]="",0,(IF(テーブル22[[#This Row],[性別]]="男",LOOKUP(テーブル22[[#This Row],[立幅とび]],$AV$6:$AW$15),LOOKUP(テーブル22[[#This Row],[立幅とび]],$AV$20:$AW$29))))</f>
        <v>0</v>
      </c>
      <c r="Y18" s="42">
        <f>IF(テーブル22[[#This Row],[ボール投げ]]="",0,(IF(テーブル22[[#This Row],[性別]]="男",LOOKUP(テーブル22[[#This Row],[ボール投げ]],$AX$6:$AY$15),LOOKUP(テーブル22[[#This Row],[ボール投げ]],$AX$20:$AY$29))))</f>
        <v>0</v>
      </c>
      <c r="Z18" s="19" t="str">
        <f>IF(テーブル22[[#This Row],[学年]]=1,6,IF(テーブル22[[#This Row],[学年]]=2,7,IF(テーブル22[[#This Row],[学年]]=3,8,IF(テーブル22[[#This Row],[学年]]=4,9,IF(テーブル22[[#This Row],[学年]]=5,10,IF(テーブル22[[#This Row],[学年]]=6,11," "))))))</f>
        <v xml:space="preserve"> </v>
      </c>
      <c r="AA18" s="125" t="str">
        <f>IF(テーブル22[[#This Row],[肥満度数値]]="","",LOOKUP(AC18,$AW$39:$AW$44,$AX$39:$AX$44))</f>
        <v/>
      </c>
      <c r="AB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 s="124" t="str">
        <f>IF(テーブル22[[#This Row],[体重]]="","",(テーブル22[[#This Row],[体重]]-テーブル22[[#This Row],[標準体重]])/テーブル22[[#This Row],[標準体重]]*100)</f>
        <v/>
      </c>
      <c r="AD18" s="1">
        <f>COUNTA(テーブル22[[#This Row],[握力]:[ボール投げ]])</f>
        <v>0</v>
      </c>
      <c r="AE18" s="1" t="str">
        <f>IF(テーブル22[[#This Row],[判定]]=$BD$10,"○","")</f>
        <v/>
      </c>
      <c r="AF18" s="1" t="str">
        <f>IF(AE18="","",COUNTIF($AE$6:AE18,"○"))</f>
        <v/>
      </c>
      <c r="AG18" s="1"/>
      <c r="AH18" s="76" t="s">
        <v>111</v>
      </c>
      <c r="AI18" s="57"/>
      <c r="AJ18" s="57"/>
      <c r="AK18" s="57"/>
      <c r="AL18" s="57"/>
      <c r="AM18" s="57"/>
      <c r="AN18" s="57"/>
      <c r="AO18" s="57"/>
      <c r="AP18" s="57"/>
      <c r="AQ18" s="57"/>
      <c r="AR18" s="57"/>
      <c r="AS18" s="57"/>
      <c r="AT18" s="57"/>
      <c r="AU18" s="57"/>
      <c r="AV18" s="57"/>
      <c r="AW18" s="57"/>
      <c r="AX18" s="57"/>
      <c r="AY18" s="57"/>
      <c r="AZ18" s="57"/>
      <c r="BA18" s="57"/>
      <c r="BB18" s="57"/>
      <c r="BC18" s="120" t="s">
        <v>161</v>
      </c>
      <c r="BD18" s="57"/>
      <c r="BE18" s="57"/>
      <c r="BF18" s="57"/>
      <c r="BG18" s="57"/>
    </row>
    <row r="19" spans="1:59" ht="14.25" customHeight="1" thickBot="1" x14ac:dyDescent="0.25">
      <c r="A19" s="40">
        <v>14</v>
      </c>
      <c r="B19" s="145"/>
      <c r="C19" s="148"/>
      <c r="D19" s="145"/>
      <c r="E19" s="156"/>
      <c r="F19" s="145"/>
      <c r="G19" s="145"/>
      <c r="H19" s="146"/>
      <c r="I19" s="146"/>
      <c r="J19" s="148"/>
      <c r="K19" s="145"/>
      <c r="L19" s="148"/>
      <c r="M19" s="149"/>
      <c r="N19" s="148"/>
      <c r="O19" s="150"/>
      <c r="P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 s="43" t="str">
        <f>IF(テーブル22[[#This Row],[得点]]="","",IF(テーブル22[[#This Row],[年齢]]&gt;10,LOOKUP(P19,$BG$6:$BG$10,$BD$6:$BD$10),IF(テーブル22[[#This Row],[年齢]]&gt;9,LOOKUP(P19,$BF$6:$BF$10,$BD$6:$BD$10),IF(テーブル22[[#This Row],[年齢]]&gt;8,LOOKUP(P19,$BE$6:$BE$10,$BD$6:$BD$10),IF(テーブル22[[#This Row],[年齢]]&gt;7,LOOKUP(P19,$BC$6:$BC$10,$BD$6:$BD$10),IF(テーブル22[[#This Row],[年齢]]&gt;6,LOOKUP(P19,$BB$6:$BB$10,$BD$6:$BD$10),LOOKUP(P19,$BA$6:$BA$10,$BD$6:$BD$10)))))))</f>
        <v/>
      </c>
      <c r="R19" s="42">
        <f>IF(H19="",0,(IF(テーブル22[[#This Row],[性別]]="男",LOOKUP(テーブル22[[#This Row],[握力]],$AH$6:$AI$15),LOOKUP(テーブル22[[#This Row],[握力]],$AH$20:$AI$29))))</f>
        <v>0</v>
      </c>
      <c r="S19" s="42">
        <f>IF(テーブル22[[#This Row],[上体]]="",0,(IF(テーブル22[[#This Row],[性別]]="男",LOOKUP(テーブル22[[#This Row],[上体]],$AJ$6:$AK$15),LOOKUP(テーブル22[[#This Row],[上体]],$AJ$20:$AK$29))))</f>
        <v>0</v>
      </c>
      <c r="T19" s="42">
        <f>IF(テーブル22[[#This Row],[長座]]="",0,(IF(テーブル22[[#This Row],[性別]]="男",LOOKUP(テーブル22[[#This Row],[長座]],$AL$6:$AM$15),LOOKUP(テーブル22[[#This Row],[長座]],$AL$20:$AM$29))))</f>
        <v>0</v>
      </c>
      <c r="U19" s="42">
        <f>IF(テーブル22[[#This Row],[反復]]="",0,(IF(テーブル22[[#This Row],[性別]]="男",LOOKUP(テーブル22[[#This Row],[反復]],$AN$6:$AO$15),LOOKUP(テーブル22[[#This Row],[反復]],$AN$20:$AO$29))))</f>
        <v>0</v>
      </c>
      <c r="V19" s="42">
        <f>IF(テーブル22[[#This Row],[ｼｬﾄﾙﾗﾝ]]="",0,(IF(テーブル22[[#This Row],[性別]]="男",LOOKUP(テーブル22[[#This Row],[ｼｬﾄﾙﾗﾝ]],$AR$6:$AS$15),LOOKUP(テーブル22[[#This Row],[ｼｬﾄﾙﾗﾝ]],$AR$20:$AS$29))))</f>
        <v>0</v>
      </c>
      <c r="W19" s="42">
        <f>IF(テーブル22[[#This Row],[50m走]]="",0,(IF(テーブル22[[#This Row],[性別]]="男",LOOKUP(テーブル22[[#This Row],[50m走]],$AT$6:$AU$15),LOOKUP(テーブル22[[#This Row],[50m走]],$AT$20:$AU$29))))</f>
        <v>0</v>
      </c>
      <c r="X19" s="42">
        <f>IF(テーブル22[[#This Row],[立幅とび]]="",0,(IF(テーブル22[[#This Row],[性別]]="男",LOOKUP(テーブル22[[#This Row],[立幅とび]],$AV$6:$AW$15),LOOKUP(テーブル22[[#This Row],[立幅とび]],$AV$20:$AW$29))))</f>
        <v>0</v>
      </c>
      <c r="Y19" s="42">
        <f>IF(テーブル22[[#This Row],[ボール投げ]]="",0,(IF(テーブル22[[#This Row],[性別]]="男",LOOKUP(テーブル22[[#This Row],[ボール投げ]],$AX$6:$AY$15),LOOKUP(テーブル22[[#This Row],[ボール投げ]],$AX$20:$AY$29))))</f>
        <v>0</v>
      </c>
      <c r="Z19" s="19" t="str">
        <f>IF(テーブル22[[#This Row],[学年]]=1,6,IF(テーブル22[[#This Row],[学年]]=2,7,IF(テーブル22[[#This Row],[学年]]=3,8,IF(テーブル22[[#This Row],[学年]]=4,9,IF(テーブル22[[#This Row],[学年]]=5,10,IF(テーブル22[[#This Row],[学年]]=6,11," "))))))</f>
        <v xml:space="preserve"> </v>
      </c>
      <c r="AA19" s="125" t="str">
        <f>IF(テーブル22[[#This Row],[肥満度数値]]="","",LOOKUP(AC19,$AW$39:$AW$44,$AX$39:$AX$44))</f>
        <v/>
      </c>
      <c r="AB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 s="124" t="str">
        <f>IF(テーブル22[[#This Row],[体重]]="","",(テーブル22[[#This Row],[体重]]-テーブル22[[#This Row],[標準体重]])/テーブル22[[#This Row],[標準体重]]*100)</f>
        <v/>
      </c>
      <c r="AD19" s="1">
        <f>COUNTA(テーブル22[[#This Row],[握力]:[ボール投げ]])</f>
        <v>0</v>
      </c>
      <c r="AE19" s="1" t="str">
        <f>IF(テーブル22[[#This Row],[判定]]=$BD$10,"○","")</f>
        <v/>
      </c>
      <c r="AF19" s="1" t="str">
        <f>IF(AE19="","",COUNTIF($AE$6:AE19,"○"))</f>
        <v/>
      </c>
      <c r="AG19" s="1"/>
      <c r="AH19" s="55" t="s">
        <v>93</v>
      </c>
      <c r="AI19" s="56" t="s">
        <v>85</v>
      </c>
      <c r="AJ19" s="55" t="s">
        <v>116</v>
      </c>
      <c r="AK19" s="56" t="s">
        <v>85</v>
      </c>
      <c r="AL19" s="55" t="s">
        <v>117</v>
      </c>
      <c r="AM19" s="56" t="s">
        <v>85</v>
      </c>
      <c r="AN19" s="55" t="s">
        <v>118</v>
      </c>
      <c r="AO19" s="56" t="s">
        <v>85</v>
      </c>
      <c r="AP19" s="55" t="s">
        <v>113</v>
      </c>
      <c r="AQ19" s="59" t="s">
        <v>112</v>
      </c>
      <c r="AR19" s="55" t="s">
        <v>119</v>
      </c>
      <c r="AS19" s="56" t="s">
        <v>85</v>
      </c>
      <c r="AT19" s="55" t="s">
        <v>120</v>
      </c>
      <c r="AU19" s="56" t="s">
        <v>85</v>
      </c>
      <c r="AV19" s="55" t="s">
        <v>121</v>
      </c>
      <c r="AW19" s="56" t="s">
        <v>85</v>
      </c>
      <c r="AX19" s="55" t="s">
        <v>122</v>
      </c>
      <c r="AY19" s="56" t="s">
        <v>85</v>
      </c>
      <c r="AZ19" s="57"/>
      <c r="BA19" s="120" t="s">
        <v>162</v>
      </c>
      <c r="BB19" s="57"/>
      <c r="BC19" s="57"/>
      <c r="BD19" s="57"/>
      <c r="BE19" s="57"/>
      <c r="BF19" s="57"/>
      <c r="BG19" s="57"/>
    </row>
    <row r="20" spans="1:59" ht="14.25" customHeight="1" x14ac:dyDescent="0.2">
      <c r="A20" s="40">
        <v>15</v>
      </c>
      <c r="B20" s="145"/>
      <c r="C20" s="148"/>
      <c r="D20" s="145"/>
      <c r="E20" s="156"/>
      <c r="F20" s="145"/>
      <c r="G20" s="145"/>
      <c r="H20" s="146"/>
      <c r="I20" s="146"/>
      <c r="J20" s="148"/>
      <c r="K20" s="145"/>
      <c r="L20" s="148"/>
      <c r="M20" s="149"/>
      <c r="N20" s="148"/>
      <c r="O20" s="150"/>
      <c r="P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 s="43" t="str">
        <f>IF(テーブル22[[#This Row],[得点]]="","",IF(テーブル22[[#This Row],[年齢]]&gt;10,LOOKUP(P20,$BG$6:$BG$10,$BD$6:$BD$10),IF(テーブル22[[#This Row],[年齢]]&gt;9,LOOKUP(P20,$BF$6:$BF$10,$BD$6:$BD$10),IF(テーブル22[[#This Row],[年齢]]&gt;8,LOOKUP(P20,$BE$6:$BE$10,$BD$6:$BD$10),IF(テーブル22[[#This Row],[年齢]]&gt;7,LOOKUP(P20,$BC$6:$BC$10,$BD$6:$BD$10),IF(テーブル22[[#This Row],[年齢]]&gt;6,LOOKUP(P20,$BB$6:$BB$10,$BD$6:$BD$10),LOOKUP(P20,$BA$6:$BA$10,$BD$6:$BD$10)))))))</f>
        <v/>
      </c>
      <c r="R20" s="42">
        <f>IF(H20="",0,(IF(テーブル22[[#This Row],[性別]]="男",LOOKUP(テーブル22[[#This Row],[握力]],$AH$6:$AI$15),LOOKUP(テーブル22[[#This Row],[握力]],$AH$20:$AI$29))))</f>
        <v>0</v>
      </c>
      <c r="S20" s="42">
        <f>IF(テーブル22[[#This Row],[上体]]="",0,(IF(テーブル22[[#This Row],[性別]]="男",LOOKUP(テーブル22[[#This Row],[上体]],$AJ$6:$AK$15),LOOKUP(テーブル22[[#This Row],[上体]],$AJ$20:$AK$29))))</f>
        <v>0</v>
      </c>
      <c r="T20" s="42">
        <f>IF(テーブル22[[#This Row],[長座]]="",0,(IF(テーブル22[[#This Row],[性別]]="男",LOOKUP(テーブル22[[#This Row],[長座]],$AL$6:$AM$15),LOOKUP(テーブル22[[#This Row],[長座]],$AL$20:$AM$29))))</f>
        <v>0</v>
      </c>
      <c r="U20" s="42">
        <f>IF(テーブル22[[#This Row],[反復]]="",0,(IF(テーブル22[[#This Row],[性別]]="男",LOOKUP(テーブル22[[#This Row],[反復]],$AN$6:$AO$15),LOOKUP(テーブル22[[#This Row],[反復]],$AN$20:$AO$29))))</f>
        <v>0</v>
      </c>
      <c r="V20" s="42">
        <f>IF(テーブル22[[#This Row],[ｼｬﾄﾙﾗﾝ]]="",0,(IF(テーブル22[[#This Row],[性別]]="男",LOOKUP(テーブル22[[#This Row],[ｼｬﾄﾙﾗﾝ]],$AR$6:$AS$15),LOOKUP(テーブル22[[#This Row],[ｼｬﾄﾙﾗﾝ]],$AR$20:$AS$29))))</f>
        <v>0</v>
      </c>
      <c r="W20" s="42">
        <f>IF(テーブル22[[#This Row],[50m走]]="",0,(IF(テーブル22[[#This Row],[性別]]="男",LOOKUP(テーブル22[[#This Row],[50m走]],$AT$6:$AU$15),LOOKUP(テーブル22[[#This Row],[50m走]],$AT$20:$AU$29))))</f>
        <v>0</v>
      </c>
      <c r="X20" s="42">
        <f>IF(テーブル22[[#This Row],[立幅とび]]="",0,(IF(テーブル22[[#This Row],[性別]]="男",LOOKUP(テーブル22[[#This Row],[立幅とび]],$AV$6:$AW$15),LOOKUP(テーブル22[[#This Row],[立幅とび]],$AV$20:$AW$29))))</f>
        <v>0</v>
      </c>
      <c r="Y20" s="42">
        <f>IF(テーブル22[[#This Row],[ボール投げ]]="",0,(IF(テーブル22[[#This Row],[性別]]="男",LOOKUP(テーブル22[[#This Row],[ボール投げ]],$AX$6:$AY$15),LOOKUP(テーブル22[[#This Row],[ボール投げ]],$AX$20:$AY$29))))</f>
        <v>0</v>
      </c>
      <c r="Z20" s="19" t="str">
        <f>IF(テーブル22[[#This Row],[学年]]=1,6,IF(テーブル22[[#This Row],[学年]]=2,7,IF(テーブル22[[#This Row],[学年]]=3,8,IF(テーブル22[[#This Row],[学年]]=4,9,IF(テーブル22[[#This Row],[学年]]=5,10,IF(テーブル22[[#This Row],[学年]]=6,11," "))))))</f>
        <v xml:space="preserve"> </v>
      </c>
      <c r="AA20" s="125" t="str">
        <f>IF(テーブル22[[#This Row],[肥満度数値]]="","",LOOKUP(AC20,$AW$39:$AW$44,$AX$39:$AX$44))</f>
        <v/>
      </c>
      <c r="AB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 s="124" t="str">
        <f>IF(テーブル22[[#This Row],[体重]]="","",(テーブル22[[#This Row],[体重]]-テーブル22[[#This Row],[標準体重]])/テーブル22[[#This Row],[標準体重]]*100)</f>
        <v/>
      </c>
      <c r="AD20" s="1">
        <f>COUNTA(テーブル22[[#This Row],[握力]:[ボール投げ]])</f>
        <v>0</v>
      </c>
      <c r="AE20" s="1" t="str">
        <f>IF(テーブル22[[#This Row],[判定]]=$BD$10,"○","")</f>
        <v/>
      </c>
      <c r="AF20" s="1" t="str">
        <f>IF(AE20="","",COUNTIF($AE$6:AE20,"○"))</f>
        <v/>
      </c>
      <c r="AG20" s="1"/>
      <c r="AH20" s="61">
        <v>0</v>
      </c>
      <c r="AI20" s="62">
        <v>1</v>
      </c>
      <c r="AJ20" s="61">
        <v>0</v>
      </c>
      <c r="AK20" s="62">
        <v>1</v>
      </c>
      <c r="AL20" s="61">
        <v>0</v>
      </c>
      <c r="AM20" s="62">
        <v>1</v>
      </c>
      <c r="AN20" s="61">
        <v>0</v>
      </c>
      <c r="AO20" s="62">
        <v>1</v>
      </c>
      <c r="AP20" s="79">
        <v>0</v>
      </c>
      <c r="AQ20" s="64">
        <v>10</v>
      </c>
      <c r="AR20" s="61">
        <v>0</v>
      </c>
      <c r="AS20" s="62">
        <v>1</v>
      </c>
      <c r="AT20" s="61">
        <v>0</v>
      </c>
      <c r="AU20" s="62">
        <v>10</v>
      </c>
      <c r="AV20" s="61">
        <v>0</v>
      </c>
      <c r="AW20" s="62">
        <v>1</v>
      </c>
      <c r="AX20" s="61">
        <v>0</v>
      </c>
      <c r="AY20" s="62">
        <v>1</v>
      </c>
      <c r="AZ20" s="57"/>
      <c r="BA20" s="204" t="s">
        <v>163</v>
      </c>
      <c r="BB20" s="204" t="s">
        <v>164</v>
      </c>
      <c r="BC20" s="204"/>
      <c r="BD20" s="204" t="s">
        <v>165</v>
      </c>
      <c r="BE20" s="204"/>
      <c r="BF20" s="57"/>
      <c r="BG20" s="57"/>
    </row>
    <row r="21" spans="1:59" ht="14.25" customHeight="1" x14ac:dyDescent="0.2">
      <c r="A21" s="40">
        <v>16</v>
      </c>
      <c r="B21" s="145"/>
      <c r="C21" s="148"/>
      <c r="D21" s="145"/>
      <c r="E21" s="156"/>
      <c r="F21" s="145"/>
      <c r="G21" s="145"/>
      <c r="H21" s="146"/>
      <c r="I21" s="146"/>
      <c r="J21" s="148"/>
      <c r="K21" s="145"/>
      <c r="L21" s="148"/>
      <c r="M21" s="149"/>
      <c r="N21" s="148"/>
      <c r="O21" s="150"/>
      <c r="P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 s="43" t="str">
        <f>IF(テーブル22[[#This Row],[得点]]="","",IF(テーブル22[[#This Row],[年齢]]&gt;10,LOOKUP(P21,$BG$6:$BG$10,$BD$6:$BD$10),IF(テーブル22[[#This Row],[年齢]]&gt;9,LOOKUP(P21,$BF$6:$BF$10,$BD$6:$BD$10),IF(テーブル22[[#This Row],[年齢]]&gt;8,LOOKUP(P21,$BE$6:$BE$10,$BD$6:$BD$10),IF(テーブル22[[#This Row],[年齢]]&gt;7,LOOKUP(P21,$BC$6:$BC$10,$BD$6:$BD$10),IF(テーブル22[[#This Row],[年齢]]&gt;6,LOOKUP(P21,$BB$6:$BB$10,$BD$6:$BD$10),LOOKUP(P21,$BA$6:$BA$10,$BD$6:$BD$10)))))))</f>
        <v/>
      </c>
      <c r="R21" s="42">
        <f>IF(H21="",0,(IF(テーブル22[[#This Row],[性別]]="男",LOOKUP(テーブル22[[#This Row],[握力]],$AH$6:$AI$15),LOOKUP(テーブル22[[#This Row],[握力]],$AH$20:$AI$29))))</f>
        <v>0</v>
      </c>
      <c r="S21" s="42">
        <f>IF(テーブル22[[#This Row],[上体]]="",0,(IF(テーブル22[[#This Row],[性別]]="男",LOOKUP(テーブル22[[#This Row],[上体]],$AJ$6:$AK$15),LOOKUP(テーブル22[[#This Row],[上体]],$AJ$20:$AK$29))))</f>
        <v>0</v>
      </c>
      <c r="T21" s="42">
        <f>IF(テーブル22[[#This Row],[長座]]="",0,(IF(テーブル22[[#This Row],[性別]]="男",LOOKUP(テーブル22[[#This Row],[長座]],$AL$6:$AM$15),LOOKUP(テーブル22[[#This Row],[長座]],$AL$20:$AM$29))))</f>
        <v>0</v>
      </c>
      <c r="U21" s="42">
        <f>IF(テーブル22[[#This Row],[反復]]="",0,(IF(テーブル22[[#This Row],[性別]]="男",LOOKUP(テーブル22[[#This Row],[反復]],$AN$6:$AO$15),LOOKUP(テーブル22[[#This Row],[反復]],$AN$20:$AO$29))))</f>
        <v>0</v>
      </c>
      <c r="V21" s="42">
        <f>IF(テーブル22[[#This Row],[ｼｬﾄﾙﾗﾝ]]="",0,(IF(テーブル22[[#This Row],[性別]]="男",LOOKUP(テーブル22[[#This Row],[ｼｬﾄﾙﾗﾝ]],$AR$6:$AS$15),LOOKUP(テーブル22[[#This Row],[ｼｬﾄﾙﾗﾝ]],$AR$20:$AS$29))))</f>
        <v>0</v>
      </c>
      <c r="W21" s="42">
        <f>IF(テーブル22[[#This Row],[50m走]]="",0,(IF(テーブル22[[#This Row],[性別]]="男",LOOKUP(テーブル22[[#This Row],[50m走]],$AT$6:$AU$15),LOOKUP(テーブル22[[#This Row],[50m走]],$AT$20:$AU$29))))</f>
        <v>0</v>
      </c>
      <c r="X21" s="42">
        <f>IF(テーブル22[[#This Row],[立幅とび]]="",0,(IF(テーブル22[[#This Row],[性別]]="男",LOOKUP(テーブル22[[#This Row],[立幅とび]],$AV$6:$AW$15),LOOKUP(テーブル22[[#This Row],[立幅とび]],$AV$20:$AW$29))))</f>
        <v>0</v>
      </c>
      <c r="Y21" s="42">
        <f>IF(テーブル22[[#This Row],[ボール投げ]]="",0,(IF(テーブル22[[#This Row],[性別]]="男",LOOKUP(テーブル22[[#This Row],[ボール投げ]],$AX$6:$AY$15),LOOKUP(テーブル22[[#This Row],[ボール投げ]],$AX$20:$AY$29))))</f>
        <v>0</v>
      </c>
      <c r="Z21" s="19" t="str">
        <f>IF(テーブル22[[#This Row],[学年]]=1,6,IF(テーブル22[[#This Row],[学年]]=2,7,IF(テーブル22[[#This Row],[学年]]=3,8,IF(テーブル22[[#This Row],[学年]]=4,9,IF(テーブル22[[#This Row],[学年]]=5,10,IF(テーブル22[[#This Row],[学年]]=6,11," "))))))</f>
        <v xml:space="preserve"> </v>
      </c>
      <c r="AA21" s="125" t="str">
        <f>IF(テーブル22[[#This Row],[肥満度数値]]="","",LOOKUP(AC21,$AW$39:$AW$44,$AX$39:$AX$44))</f>
        <v/>
      </c>
      <c r="AB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 s="124" t="str">
        <f>IF(テーブル22[[#This Row],[体重]]="","",(テーブル22[[#This Row],[体重]]-テーブル22[[#This Row],[標準体重]])/テーブル22[[#This Row],[標準体重]]*100)</f>
        <v/>
      </c>
      <c r="AD21" s="1">
        <f>COUNTA(テーブル22[[#This Row],[握力]:[ボール投げ]])</f>
        <v>0</v>
      </c>
      <c r="AE21" s="1" t="str">
        <f>IF(テーブル22[[#This Row],[判定]]=$BD$10,"○","")</f>
        <v/>
      </c>
      <c r="AF21" s="1" t="str">
        <f>IF(AE21="","",COUNTIF($AE$6:AE21,"○"))</f>
        <v/>
      </c>
      <c r="AG21" s="1"/>
      <c r="AH21" s="66">
        <v>4</v>
      </c>
      <c r="AI21" s="67">
        <v>2</v>
      </c>
      <c r="AJ21" s="66">
        <v>3</v>
      </c>
      <c r="AK21" s="67">
        <v>2</v>
      </c>
      <c r="AL21" s="66">
        <v>18</v>
      </c>
      <c r="AM21" s="67">
        <v>2</v>
      </c>
      <c r="AN21" s="66">
        <v>17</v>
      </c>
      <c r="AO21" s="67">
        <v>2</v>
      </c>
      <c r="AP21" s="77">
        <v>0.15972222222222224</v>
      </c>
      <c r="AQ21" s="69">
        <v>9</v>
      </c>
      <c r="AR21" s="66">
        <v>8</v>
      </c>
      <c r="AS21" s="67">
        <v>2</v>
      </c>
      <c r="AT21" s="66">
        <v>8.4</v>
      </c>
      <c r="AU21" s="67">
        <v>9</v>
      </c>
      <c r="AV21" s="66">
        <v>85</v>
      </c>
      <c r="AW21" s="67">
        <v>2</v>
      </c>
      <c r="AX21" s="66">
        <v>4</v>
      </c>
      <c r="AY21" s="67">
        <v>2</v>
      </c>
      <c r="AZ21" s="57"/>
      <c r="BA21" s="204"/>
      <c r="BB21" s="121" t="s">
        <v>166</v>
      </c>
      <c r="BC21" s="121" t="s">
        <v>167</v>
      </c>
      <c r="BD21" s="121" t="s">
        <v>166</v>
      </c>
      <c r="BE21" s="121" t="s">
        <v>167</v>
      </c>
      <c r="BF21" s="57"/>
      <c r="BG21" s="57"/>
    </row>
    <row r="22" spans="1:59" ht="14.25" customHeight="1" x14ac:dyDescent="0.2">
      <c r="A22" s="40">
        <v>17</v>
      </c>
      <c r="B22" s="145"/>
      <c r="C22" s="148"/>
      <c r="D22" s="145"/>
      <c r="E22" s="156"/>
      <c r="F22" s="145"/>
      <c r="G22" s="145"/>
      <c r="H22" s="146"/>
      <c r="I22" s="146"/>
      <c r="J22" s="148"/>
      <c r="K22" s="145"/>
      <c r="L22" s="148"/>
      <c r="M22" s="149"/>
      <c r="N22" s="148"/>
      <c r="O22" s="150"/>
      <c r="P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 s="43" t="str">
        <f>IF(テーブル22[[#This Row],[得点]]="","",IF(テーブル22[[#This Row],[年齢]]&gt;10,LOOKUP(P22,$BG$6:$BG$10,$BD$6:$BD$10),IF(テーブル22[[#This Row],[年齢]]&gt;9,LOOKUP(P22,$BF$6:$BF$10,$BD$6:$BD$10),IF(テーブル22[[#This Row],[年齢]]&gt;8,LOOKUP(P22,$BE$6:$BE$10,$BD$6:$BD$10),IF(テーブル22[[#This Row],[年齢]]&gt;7,LOOKUP(P22,$BC$6:$BC$10,$BD$6:$BD$10),IF(テーブル22[[#This Row],[年齢]]&gt;6,LOOKUP(P22,$BB$6:$BB$10,$BD$6:$BD$10),LOOKUP(P22,$BA$6:$BA$10,$BD$6:$BD$10)))))))</f>
        <v/>
      </c>
      <c r="R22" s="42">
        <f>IF(H22="",0,(IF(テーブル22[[#This Row],[性別]]="男",LOOKUP(テーブル22[[#This Row],[握力]],$AH$6:$AI$15),LOOKUP(テーブル22[[#This Row],[握力]],$AH$20:$AI$29))))</f>
        <v>0</v>
      </c>
      <c r="S22" s="42">
        <f>IF(テーブル22[[#This Row],[上体]]="",0,(IF(テーブル22[[#This Row],[性別]]="男",LOOKUP(テーブル22[[#This Row],[上体]],$AJ$6:$AK$15),LOOKUP(テーブル22[[#This Row],[上体]],$AJ$20:$AK$29))))</f>
        <v>0</v>
      </c>
      <c r="T22" s="42">
        <f>IF(テーブル22[[#This Row],[長座]]="",0,(IF(テーブル22[[#This Row],[性別]]="男",LOOKUP(テーブル22[[#This Row],[長座]],$AL$6:$AM$15),LOOKUP(テーブル22[[#This Row],[長座]],$AL$20:$AM$29))))</f>
        <v>0</v>
      </c>
      <c r="U22" s="42">
        <f>IF(テーブル22[[#This Row],[反復]]="",0,(IF(テーブル22[[#This Row],[性別]]="男",LOOKUP(テーブル22[[#This Row],[反復]],$AN$6:$AO$15),LOOKUP(テーブル22[[#This Row],[反復]],$AN$20:$AO$29))))</f>
        <v>0</v>
      </c>
      <c r="V22" s="42">
        <f>IF(テーブル22[[#This Row],[ｼｬﾄﾙﾗﾝ]]="",0,(IF(テーブル22[[#This Row],[性別]]="男",LOOKUP(テーブル22[[#This Row],[ｼｬﾄﾙﾗﾝ]],$AR$6:$AS$15),LOOKUP(テーブル22[[#This Row],[ｼｬﾄﾙﾗﾝ]],$AR$20:$AS$29))))</f>
        <v>0</v>
      </c>
      <c r="W22" s="42">
        <f>IF(テーブル22[[#This Row],[50m走]]="",0,(IF(テーブル22[[#This Row],[性別]]="男",LOOKUP(テーブル22[[#This Row],[50m走]],$AT$6:$AU$15),LOOKUP(テーブル22[[#This Row],[50m走]],$AT$20:$AU$29))))</f>
        <v>0</v>
      </c>
      <c r="X22" s="42">
        <f>IF(テーブル22[[#This Row],[立幅とび]]="",0,(IF(テーブル22[[#This Row],[性別]]="男",LOOKUP(テーブル22[[#This Row],[立幅とび]],$AV$6:$AW$15),LOOKUP(テーブル22[[#This Row],[立幅とび]],$AV$20:$AW$29))))</f>
        <v>0</v>
      </c>
      <c r="Y22" s="42">
        <f>IF(テーブル22[[#This Row],[ボール投げ]]="",0,(IF(テーブル22[[#This Row],[性別]]="男",LOOKUP(テーブル22[[#This Row],[ボール投げ]],$AX$6:$AY$15),LOOKUP(テーブル22[[#This Row],[ボール投げ]],$AX$20:$AY$29))))</f>
        <v>0</v>
      </c>
      <c r="Z22" s="19" t="str">
        <f>IF(テーブル22[[#This Row],[学年]]=1,6,IF(テーブル22[[#This Row],[学年]]=2,7,IF(テーブル22[[#This Row],[学年]]=3,8,IF(テーブル22[[#This Row],[学年]]=4,9,IF(テーブル22[[#This Row],[学年]]=5,10,IF(テーブル22[[#This Row],[学年]]=6,11," "))))))</f>
        <v xml:space="preserve"> </v>
      </c>
      <c r="AA22" s="125" t="str">
        <f>IF(テーブル22[[#This Row],[肥満度数値]]="","",LOOKUP(AC22,$AW$39:$AW$44,$AX$39:$AX$44))</f>
        <v/>
      </c>
      <c r="AB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 s="124" t="str">
        <f>IF(テーブル22[[#This Row],[体重]]="","",(テーブル22[[#This Row],[体重]]-テーブル22[[#This Row],[標準体重]])/テーブル22[[#This Row],[標準体重]]*100)</f>
        <v/>
      </c>
      <c r="AD22" s="1">
        <f>COUNTA(テーブル22[[#This Row],[握力]:[ボール投げ]])</f>
        <v>0</v>
      </c>
      <c r="AE22" s="1" t="str">
        <f>IF(テーブル22[[#This Row],[判定]]=$BD$10,"○","")</f>
        <v/>
      </c>
      <c r="AF22" s="1" t="str">
        <f>IF(AE22="","",COUNTIF($AE$6:AE22,"○"))</f>
        <v/>
      </c>
      <c r="AG22" s="1"/>
      <c r="AH22" s="66">
        <v>7</v>
      </c>
      <c r="AI22" s="67">
        <v>3</v>
      </c>
      <c r="AJ22" s="66">
        <v>6</v>
      </c>
      <c r="AK22" s="67">
        <v>3</v>
      </c>
      <c r="AL22" s="66">
        <v>21</v>
      </c>
      <c r="AM22" s="67">
        <v>3</v>
      </c>
      <c r="AN22" s="66">
        <v>21</v>
      </c>
      <c r="AO22" s="67">
        <v>3</v>
      </c>
      <c r="AP22" s="77">
        <v>0.16874999999999998</v>
      </c>
      <c r="AQ22" s="69">
        <v>8</v>
      </c>
      <c r="AR22" s="66">
        <v>10</v>
      </c>
      <c r="AS22" s="67">
        <v>3</v>
      </c>
      <c r="AT22" s="66">
        <v>8.8000000000000007</v>
      </c>
      <c r="AU22" s="67">
        <v>8</v>
      </c>
      <c r="AV22" s="66">
        <v>98</v>
      </c>
      <c r="AW22" s="67">
        <v>3</v>
      </c>
      <c r="AX22" s="66">
        <v>5</v>
      </c>
      <c r="AY22" s="67">
        <v>3</v>
      </c>
      <c r="AZ22" s="57"/>
      <c r="BA22" s="121">
        <v>5</v>
      </c>
      <c r="BB22" s="121" t="s">
        <v>168</v>
      </c>
      <c r="BC22" s="121" t="s">
        <v>169</v>
      </c>
      <c r="BD22" s="121" t="s">
        <v>170</v>
      </c>
      <c r="BE22" s="121" t="s">
        <v>171</v>
      </c>
      <c r="BF22" s="57"/>
      <c r="BG22" s="57"/>
    </row>
    <row r="23" spans="1:59" ht="14.25" customHeight="1" x14ac:dyDescent="0.2">
      <c r="A23" s="40">
        <v>18</v>
      </c>
      <c r="B23" s="145"/>
      <c r="C23" s="148"/>
      <c r="D23" s="145"/>
      <c r="E23" s="156"/>
      <c r="F23" s="145"/>
      <c r="G23" s="145"/>
      <c r="H23" s="146"/>
      <c r="I23" s="146"/>
      <c r="J23" s="148"/>
      <c r="K23" s="145"/>
      <c r="L23" s="148"/>
      <c r="M23" s="149"/>
      <c r="N23" s="148"/>
      <c r="O23" s="150"/>
      <c r="P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 s="43" t="str">
        <f>IF(テーブル22[[#This Row],[得点]]="","",IF(テーブル22[[#This Row],[年齢]]&gt;10,LOOKUP(P23,$BG$6:$BG$10,$BD$6:$BD$10),IF(テーブル22[[#This Row],[年齢]]&gt;9,LOOKUP(P23,$BF$6:$BF$10,$BD$6:$BD$10),IF(テーブル22[[#This Row],[年齢]]&gt;8,LOOKUP(P23,$BE$6:$BE$10,$BD$6:$BD$10),IF(テーブル22[[#This Row],[年齢]]&gt;7,LOOKUP(P23,$BC$6:$BC$10,$BD$6:$BD$10),IF(テーブル22[[#This Row],[年齢]]&gt;6,LOOKUP(P23,$BB$6:$BB$10,$BD$6:$BD$10),LOOKUP(P23,$BA$6:$BA$10,$BD$6:$BD$10)))))))</f>
        <v/>
      </c>
      <c r="R23" s="42">
        <f>IF(H23="",0,(IF(テーブル22[[#This Row],[性別]]="男",LOOKUP(テーブル22[[#This Row],[握力]],$AH$6:$AI$15),LOOKUP(テーブル22[[#This Row],[握力]],$AH$20:$AI$29))))</f>
        <v>0</v>
      </c>
      <c r="S23" s="42">
        <f>IF(テーブル22[[#This Row],[上体]]="",0,(IF(テーブル22[[#This Row],[性別]]="男",LOOKUP(テーブル22[[#This Row],[上体]],$AJ$6:$AK$15),LOOKUP(テーブル22[[#This Row],[上体]],$AJ$20:$AK$29))))</f>
        <v>0</v>
      </c>
      <c r="T23" s="42">
        <f>IF(テーブル22[[#This Row],[長座]]="",0,(IF(テーブル22[[#This Row],[性別]]="男",LOOKUP(テーブル22[[#This Row],[長座]],$AL$6:$AM$15),LOOKUP(テーブル22[[#This Row],[長座]],$AL$20:$AM$29))))</f>
        <v>0</v>
      </c>
      <c r="U23" s="42">
        <f>IF(テーブル22[[#This Row],[反復]]="",0,(IF(テーブル22[[#This Row],[性別]]="男",LOOKUP(テーブル22[[#This Row],[反復]],$AN$6:$AO$15),LOOKUP(テーブル22[[#This Row],[反復]],$AN$20:$AO$29))))</f>
        <v>0</v>
      </c>
      <c r="V23" s="42">
        <f>IF(テーブル22[[#This Row],[ｼｬﾄﾙﾗﾝ]]="",0,(IF(テーブル22[[#This Row],[性別]]="男",LOOKUP(テーブル22[[#This Row],[ｼｬﾄﾙﾗﾝ]],$AR$6:$AS$15),LOOKUP(テーブル22[[#This Row],[ｼｬﾄﾙﾗﾝ]],$AR$20:$AS$29))))</f>
        <v>0</v>
      </c>
      <c r="W23" s="42">
        <f>IF(テーブル22[[#This Row],[50m走]]="",0,(IF(テーブル22[[#This Row],[性別]]="男",LOOKUP(テーブル22[[#This Row],[50m走]],$AT$6:$AU$15),LOOKUP(テーブル22[[#This Row],[50m走]],$AT$20:$AU$29))))</f>
        <v>0</v>
      </c>
      <c r="X23" s="42">
        <f>IF(テーブル22[[#This Row],[立幅とび]]="",0,(IF(テーブル22[[#This Row],[性別]]="男",LOOKUP(テーブル22[[#This Row],[立幅とび]],$AV$6:$AW$15),LOOKUP(テーブル22[[#This Row],[立幅とび]],$AV$20:$AW$29))))</f>
        <v>0</v>
      </c>
      <c r="Y23" s="42">
        <f>IF(テーブル22[[#This Row],[ボール投げ]]="",0,(IF(テーブル22[[#This Row],[性別]]="男",LOOKUP(テーブル22[[#This Row],[ボール投げ]],$AX$6:$AY$15),LOOKUP(テーブル22[[#This Row],[ボール投げ]],$AX$20:$AY$29))))</f>
        <v>0</v>
      </c>
      <c r="Z23" s="19" t="str">
        <f>IF(テーブル22[[#This Row],[学年]]=1,6,IF(テーブル22[[#This Row],[学年]]=2,7,IF(テーブル22[[#This Row],[学年]]=3,8,IF(テーブル22[[#This Row],[学年]]=4,9,IF(テーブル22[[#This Row],[学年]]=5,10,IF(テーブル22[[#This Row],[学年]]=6,11," "))))))</f>
        <v xml:space="preserve"> </v>
      </c>
      <c r="AA23" s="125" t="str">
        <f>IF(テーブル22[[#This Row],[肥満度数値]]="","",LOOKUP(AC23,$AW$39:$AW$44,$AX$39:$AX$44))</f>
        <v/>
      </c>
      <c r="AB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 s="124" t="str">
        <f>IF(テーブル22[[#This Row],[体重]]="","",(テーブル22[[#This Row],[体重]]-テーブル22[[#This Row],[標準体重]])/テーブル22[[#This Row],[標準体重]]*100)</f>
        <v/>
      </c>
      <c r="AD23" s="1">
        <f>COUNTA(テーブル22[[#This Row],[握力]:[ボール投げ]])</f>
        <v>0</v>
      </c>
      <c r="AE23" s="1" t="str">
        <f>IF(テーブル22[[#This Row],[判定]]=$BD$10,"○","")</f>
        <v/>
      </c>
      <c r="AF23" s="1" t="str">
        <f>IF(AE23="","",COUNTIF($AE$6:AE23,"○"))</f>
        <v/>
      </c>
      <c r="AG23" s="1"/>
      <c r="AH23" s="66">
        <v>9</v>
      </c>
      <c r="AI23" s="67">
        <v>4</v>
      </c>
      <c r="AJ23" s="66">
        <v>9</v>
      </c>
      <c r="AK23" s="67">
        <v>4</v>
      </c>
      <c r="AL23" s="66">
        <v>25</v>
      </c>
      <c r="AM23" s="67">
        <v>4</v>
      </c>
      <c r="AN23" s="66">
        <v>25</v>
      </c>
      <c r="AO23" s="67">
        <v>4</v>
      </c>
      <c r="AP23" s="77">
        <v>0.18055555555555555</v>
      </c>
      <c r="AQ23" s="69">
        <v>7</v>
      </c>
      <c r="AR23" s="66">
        <v>14</v>
      </c>
      <c r="AS23" s="67">
        <v>4</v>
      </c>
      <c r="AT23" s="66">
        <v>9.1999999999999993</v>
      </c>
      <c r="AU23" s="67">
        <v>7</v>
      </c>
      <c r="AV23" s="66">
        <v>109</v>
      </c>
      <c r="AW23" s="67">
        <v>4</v>
      </c>
      <c r="AX23" s="66">
        <v>6</v>
      </c>
      <c r="AY23" s="67">
        <v>4</v>
      </c>
      <c r="AZ23" s="57"/>
      <c r="BA23" s="121" t="s">
        <v>172</v>
      </c>
      <c r="BB23" s="121" t="s">
        <v>173</v>
      </c>
      <c r="BC23" s="121" t="s">
        <v>174</v>
      </c>
      <c r="BD23" s="121" t="s">
        <v>175</v>
      </c>
      <c r="BE23" s="121" t="s">
        <v>176</v>
      </c>
      <c r="BF23" s="57"/>
      <c r="BG23" s="57"/>
    </row>
    <row r="24" spans="1:59" ht="14.25" customHeight="1" x14ac:dyDescent="0.2">
      <c r="A24" s="40">
        <v>19</v>
      </c>
      <c r="B24" s="145"/>
      <c r="C24" s="148"/>
      <c r="D24" s="145"/>
      <c r="E24" s="156"/>
      <c r="F24" s="145"/>
      <c r="G24" s="145"/>
      <c r="H24" s="146"/>
      <c r="I24" s="146"/>
      <c r="J24" s="148"/>
      <c r="K24" s="145"/>
      <c r="L24" s="148"/>
      <c r="M24" s="149"/>
      <c r="N24" s="148"/>
      <c r="O24" s="150"/>
      <c r="P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 s="43" t="str">
        <f>IF(テーブル22[[#This Row],[得点]]="","",IF(テーブル22[[#This Row],[年齢]]&gt;10,LOOKUP(P24,$BG$6:$BG$10,$BD$6:$BD$10),IF(テーブル22[[#This Row],[年齢]]&gt;9,LOOKUP(P24,$BF$6:$BF$10,$BD$6:$BD$10),IF(テーブル22[[#This Row],[年齢]]&gt;8,LOOKUP(P24,$BE$6:$BE$10,$BD$6:$BD$10),IF(テーブル22[[#This Row],[年齢]]&gt;7,LOOKUP(P24,$BC$6:$BC$10,$BD$6:$BD$10),IF(テーブル22[[#This Row],[年齢]]&gt;6,LOOKUP(P24,$BB$6:$BB$10,$BD$6:$BD$10),LOOKUP(P24,$BA$6:$BA$10,$BD$6:$BD$10)))))))</f>
        <v/>
      </c>
      <c r="R24" s="42">
        <f>IF(H24="",0,(IF(テーブル22[[#This Row],[性別]]="男",LOOKUP(テーブル22[[#This Row],[握力]],$AH$6:$AI$15),LOOKUP(テーブル22[[#This Row],[握力]],$AH$20:$AI$29))))</f>
        <v>0</v>
      </c>
      <c r="S24" s="42">
        <f>IF(テーブル22[[#This Row],[上体]]="",0,(IF(テーブル22[[#This Row],[性別]]="男",LOOKUP(テーブル22[[#This Row],[上体]],$AJ$6:$AK$15),LOOKUP(テーブル22[[#This Row],[上体]],$AJ$20:$AK$29))))</f>
        <v>0</v>
      </c>
      <c r="T24" s="42">
        <f>IF(テーブル22[[#This Row],[長座]]="",0,(IF(テーブル22[[#This Row],[性別]]="男",LOOKUP(テーブル22[[#This Row],[長座]],$AL$6:$AM$15),LOOKUP(テーブル22[[#This Row],[長座]],$AL$20:$AM$29))))</f>
        <v>0</v>
      </c>
      <c r="U24" s="42">
        <f>IF(テーブル22[[#This Row],[反復]]="",0,(IF(テーブル22[[#This Row],[性別]]="男",LOOKUP(テーブル22[[#This Row],[反復]],$AN$6:$AO$15),LOOKUP(テーブル22[[#This Row],[反復]],$AN$20:$AO$29))))</f>
        <v>0</v>
      </c>
      <c r="V24" s="42">
        <f>IF(テーブル22[[#This Row],[ｼｬﾄﾙﾗﾝ]]="",0,(IF(テーブル22[[#This Row],[性別]]="男",LOOKUP(テーブル22[[#This Row],[ｼｬﾄﾙﾗﾝ]],$AR$6:$AS$15),LOOKUP(テーブル22[[#This Row],[ｼｬﾄﾙﾗﾝ]],$AR$20:$AS$29))))</f>
        <v>0</v>
      </c>
      <c r="W24" s="42">
        <f>IF(テーブル22[[#This Row],[50m走]]="",0,(IF(テーブル22[[#This Row],[性別]]="男",LOOKUP(テーブル22[[#This Row],[50m走]],$AT$6:$AU$15),LOOKUP(テーブル22[[#This Row],[50m走]],$AT$20:$AU$29))))</f>
        <v>0</v>
      </c>
      <c r="X24" s="42">
        <f>IF(テーブル22[[#This Row],[立幅とび]]="",0,(IF(テーブル22[[#This Row],[性別]]="男",LOOKUP(テーブル22[[#This Row],[立幅とび]],$AV$6:$AW$15),LOOKUP(テーブル22[[#This Row],[立幅とび]],$AV$20:$AW$29))))</f>
        <v>0</v>
      </c>
      <c r="Y24" s="42">
        <f>IF(テーブル22[[#This Row],[ボール投げ]]="",0,(IF(テーブル22[[#This Row],[性別]]="男",LOOKUP(テーブル22[[#This Row],[ボール投げ]],$AX$6:$AY$15),LOOKUP(テーブル22[[#This Row],[ボール投げ]],$AX$20:$AY$29))))</f>
        <v>0</v>
      </c>
      <c r="Z24" s="19" t="str">
        <f>IF(テーブル22[[#This Row],[学年]]=1,6,IF(テーブル22[[#This Row],[学年]]=2,7,IF(テーブル22[[#This Row],[学年]]=3,8,IF(テーブル22[[#This Row],[学年]]=4,9,IF(テーブル22[[#This Row],[学年]]=5,10,IF(テーブル22[[#This Row],[学年]]=6,11," "))))))</f>
        <v xml:space="preserve"> </v>
      </c>
      <c r="AA24" s="125" t="str">
        <f>IF(テーブル22[[#This Row],[肥満度数値]]="","",LOOKUP(AC24,$AW$39:$AW$44,$AX$39:$AX$44))</f>
        <v/>
      </c>
      <c r="AB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 s="124" t="str">
        <f>IF(テーブル22[[#This Row],[体重]]="","",(テーブル22[[#This Row],[体重]]-テーブル22[[#This Row],[標準体重]])/テーブル22[[#This Row],[標準体重]]*100)</f>
        <v/>
      </c>
      <c r="AD24" s="1">
        <f>COUNTA(テーブル22[[#This Row],[握力]:[ボール投げ]])</f>
        <v>0</v>
      </c>
      <c r="AE24" s="1" t="str">
        <f>IF(テーブル22[[#This Row],[判定]]=$BD$10,"○","")</f>
        <v/>
      </c>
      <c r="AF24" s="1" t="str">
        <f>IF(AE24="","",COUNTIF($AE$6:AE24,"○"))</f>
        <v/>
      </c>
      <c r="AG24" s="1"/>
      <c r="AH24" s="66">
        <v>11</v>
      </c>
      <c r="AI24" s="67">
        <v>5</v>
      </c>
      <c r="AJ24" s="66">
        <v>12</v>
      </c>
      <c r="AK24" s="67">
        <v>5</v>
      </c>
      <c r="AL24" s="66">
        <v>29</v>
      </c>
      <c r="AM24" s="67">
        <v>5</v>
      </c>
      <c r="AN24" s="66">
        <v>28</v>
      </c>
      <c r="AO24" s="67">
        <v>5</v>
      </c>
      <c r="AP24" s="77">
        <v>0.19305555555555554</v>
      </c>
      <c r="AQ24" s="69">
        <v>6</v>
      </c>
      <c r="AR24" s="66">
        <v>19</v>
      </c>
      <c r="AS24" s="67">
        <v>5</v>
      </c>
      <c r="AT24" s="66">
        <v>9.6999999999999993</v>
      </c>
      <c r="AU24" s="67">
        <v>6</v>
      </c>
      <c r="AV24" s="66">
        <v>121</v>
      </c>
      <c r="AW24" s="67">
        <v>5</v>
      </c>
      <c r="AX24" s="66">
        <v>8</v>
      </c>
      <c r="AY24" s="67">
        <v>5</v>
      </c>
      <c r="AZ24" s="57"/>
      <c r="BA24" s="121" t="s">
        <v>177</v>
      </c>
      <c r="BB24" s="121" t="s">
        <v>178</v>
      </c>
      <c r="BC24" s="121" t="s">
        <v>179</v>
      </c>
      <c r="BD24" s="121" t="s">
        <v>180</v>
      </c>
      <c r="BE24" s="121" t="s">
        <v>181</v>
      </c>
      <c r="BF24" s="57"/>
      <c r="BG24" s="57"/>
    </row>
    <row r="25" spans="1:59" ht="14.25" customHeight="1" x14ac:dyDescent="0.2">
      <c r="A25" s="40">
        <v>20</v>
      </c>
      <c r="B25" s="145"/>
      <c r="C25" s="148"/>
      <c r="D25" s="145"/>
      <c r="E25" s="156"/>
      <c r="F25" s="145"/>
      <c r="G25" s="145"/>
      <c r="H25" s="146"/>
      <c r="I25" s="146"/>
      <c r="J25" s="148"/>
      <c r="K25" s="145"/>
      <c r="L25" s="148"/>
      <c r="M25" s="149"/>
      <c r="N25" s="148"/>
      <c r="O25" s="150"/>
      <c r="P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 s="43" t="str">
        <f>IF(テーブル22[[#This Row],[得点]]="","",IF(テーブル22[[#This Row],[年齢]]&gt;10,LOOKUP(P25,$BG$6:$BG$10,$BD$6:$BD$10),IF(テーブル22[[#This Row],[年齢]]&gt;9,LOOKUP(P25,$BF$6:$BF$10,$BD$6:$BD$10),IF(テーブル22[[#This Row],[年齢]]&gt;8,LOOKUP(P25,$BE$6:$BE$10,$BD$6:$BD$10),IF(テーブル22[[#This Row],[年齢]]&gt;7,LOOKUP(P25,$BC$6:$BC$10,$BD$6:$BD$10),IF(テーブル22[[#This Row],[年齢]]&gt;6,LOOKUP(P25,$BB$6:$BB$10,$BD$6:$BD$10),LOOKUP(P25,$BA$6:$BA$10,$BD$6:$BD$10)))))))</f>
        <v/>
      </c>
      <c r="R25" s="42">
        <f>IF(H25="",0,(IF(テーブル22[[#This Row],[性別]]="男",LOOKUP(テーブル22[[#This Row],[握力]],$AH$6:$AI$15),LOOKUP(テーブル22[[#This Row],[握力]],$AH$20:$AI$29))))</f>
        <v>0</v>
      </c>
      <c r="S25" s="42">
        <f>IF(テーブル22[[#This Row],[上体]]="",0,(IF(テーブル22[[#This Row],[性別]]="男",LOOKUP(テーブル22[[#This Row],[上体]],$AJ$6:$AK$15),LOOKUP(テーブル22[[#This Row],[上体]],$AJ$20:$AK$29))))</f>
        <v>0</v>
      </c>
      <c r="T25" s="42">
        <f>IF(テーブル22[[#This Row],[長座]]="",0,(IF(テーブル22[[#This Row],[性別]]="男",LOOKUP(テーブル22[[#This Row],[長座]],$AL$6:$AM$15),LOOKUP(テーブル22[[#This Row],[長座]],$AL$20:$AM$29))))</f>
        <v>0</v>
      </c>
      <c r="U25" s="42">
        <f>IF(テーブル22[[#This Row],[反復]]="",0,(IF(テーブル22[[#This Row],[性別]]="男",LOOKUP(テーブル22[[#This Row],[反復]],$AN$6:$AO$15),LOOKUP(テーブル22[[#This Row],[反復]],$AN$20:$AO$29))))</f>
        <v>0</v>
      </c>
      <c r="V25" s="42">
        <f>IF(テーブル22[[#This Row],[ｼｬﾄﾙﾗﾝ]]="",0,(IF(テーブル22[[#This Row],[性別]]="男",LOOKUP(テーブル22[[#This Row],[ｼｬﾄﾙﾗﾝ]],$AR$6:$AS$15),LOOKUP(テーブル22[[#This Row],[ｼｬﾄﾙﾗﾝ]],$AR$20:$AS$29))))</f>
        <v>0</v>
      </c>
      <c r="W25" s="42">
        <f>IF(テーブル22[[#This Row],[50m走]]="",0,(IF(テーブル22[[#This Row],[性別]]="男",LOOKUP(テーブル22[[#This Row],[50m走]],$AT$6:$AU$15),LOOKUP(テーブル22[[#This Row],[50m走]],$AT$20:$AU$29))))</f>
        <v>0</v>
      </c>
      <c r="X25" s="42">
        <f>IF(テーブル22[[#This Row],[立幅とび]]="",0,(IF(テーブル22[[#This Row],[性別]]="男",LOOKUP(テーブル22[[#This Row],[立幅とび]],$AV$6:$AW$15),LOOKUP(テーブル22[[#This Row],[立幅とび]],$AV$20:$AW$29))))</f>
        <v>0</v>
      </c>
      <c r="Y25" s="42">
        <f>IF(テーブル22[[#This Row],[ボール投げ]]="",0,(IF(テーブル22[[#This Row],[性別]]="男",LOOKUP(テーブル22[[#This Row],[ボール投げ]],$AX$6:$AY$15),LOOKUP(テーブル22[[#This Row],[ボール投げ]],$AX$20:$AY$29))))</f>
        <v>0</v>
      </c>
      <c r="Z25" s="19" t="str">
        <f>IF(テーブル22[[#This Row],[学年]]=1,6,IF(テーブル22[[#This Row],[学年]]=2,7,IF(テーブル22[[#This Row],[学年]]=3,8,IF(テーブル22[[#This Row],[学年]]=4,9,IF(テーブル22[[#This Row],[学年]]=5,10,IF(テーブル22[[#This Row],[学年]]=6,11," "))))))</f>
        <v xml:space="preserve"> </v>
      </c>
      <c r="AA25" s="125" t="str">
        <f>IF(テーブル22[[#This Row],[肥満度数値]]="","",LOOKUP(AC25,$AW$39:$AW$44,$AX$39:$AX$44))</f>
        <v/>
      </c>
      <c r="AB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 s="124" t="str">
        <f>IF(テーブル22[[#This Row],[体重]]="","",(テーブル22[[#This Row],[体重]]-テーブル22[[#This Row],[標準体重]])/テーブル22[[#This Row],[標準体重]]*100)</f>
        <v/>
      </c>
      <c r="AD25" s="1">
        <f>COUNTA(テーブル22[[#This Row],[握力]:[ボール投げ]])</f>
        <v>0</v>
      </c>
      <c r="AE25" s="1" t="str">
        <f>IF(テーブル22[[#This Row],[判定]]=$BD$10,"○","")</f>
        <v/>
      </c>
      <c r="AF25" s="1" t="str">
        <f>IF(AE25="","",COUNTIF($AE$6:AE25,"○"))</f>
        <v/>
      </c>
      <c r="AG25" s="1"/>
      <c r="AH25" s="66">
        <v>13</v>
      </c>
      <c r="AI25" s="67">
        <v>6</v>
      </c>
      <c r="AJ25" s="66">
        <v>14</v>
      </c>
      <c r="AK25" s="67">
        <v>6</v>
      </c>
      <c r="AL25" s="66">
        <v>33</v>
      </c>
      <c r="AM25" s="67">
        <v>6</v>
      </c>
      <c r="AN25" s="66">
        <v>32</v>
      </c>
      <c r="AO25" s="67">
        <v>6</v>
      </c>
      <c r="AP25" s="77">
        <v>0.20625000000000002</v>
      </c>
      <c r="AQ25" s="69">
        <v>5</v>
      </c>
      <c r="AR25" s="66">
        <v>26</v>
      </c>
      <c r="AS25" s="67">
        <v>6</v>
      </c>
      <c r="AT25" s="66">
        <v>10.3</v>
      </c>
      <c r="AU25" s="67">
        <v>5</v>
      </c>
      <c r="AV25" s="66">
        <v>134</v>
      </c>
      <c r="AW25" s="67">
        <v>6</v>
      </c>
      <c r="AX25" s="66">
        <v>11</v>
      </c>
      <c r="AY25" s="67">
        <v>6</v>
      </c>
      <c r="AZ25" s="57"/>
      <c r="BA25" s="121" t="s">
        <v>182</v>
      </c>
      <c r="BB25" s="121" t="s">
        <v>183</v>
      </c>
      <c r="BC25" s="121" t="s">
        <v>184</v>
      </c>
      <c r="BD25" s="121" t="s">
        <v>185</v>
      </c>
      <c r="BE25" s="121" t="s">
        <v>186</v>
      </c>
      <c r="BF25" s="57"/>
      <c r="BG25" s="57"/>
    </row>
    <row r="26" spans="1:59" ht="14.25" customHeight="1" x14ac:dyDescent="0.2">
      <c r="A26" s="40">
        <v>21</v>
      </c>
      <c r="B26" s="145"/>
      <c r="C26" s="148"/>
      <c r="D26" s="145"/>
      <c r="E26" s="156"/>
      <c r="F26" s="145"/>
      <c r="G26" s="145"/>
      <c r="H26" s="146"/>
      <c r="I26" s="146"/>
      <c r="J26" s="148"/>
      <c r="K26" s="145"/>
      <c r="L26" s="148"/>
      <c r="M26" s="149"/>
      <c r="N26" s="148"/>
      <c r="O26" s="150"/>
      <c r="P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 s="43" t="str">
        <f>IF(テーブル22[[#This Row],[得点]]="","",IF(テーブル22[[#This Row],[年齢]]&gt;10,LOOKUP(P26,$BG$6:$BG$10,$BD$6:$BD$10),IF(テーブル22[[#This Row],[年齢]]&gt;9,LOOKUP(P26,$BF$6:$BF$10,$BD$6:$BD$10),IF(テーブル22[[#This Row],[年齢]]&gt;8,LOOKUP(P26,$BE$6:$BE$10,$BD$6:$BD$10),IF(テーブル22[[#This Row],[年齢]]&gt;7,LOOKUP(P26,$BC$6:$BC$10,$BD$6:$BD$10),IF(テーブル22[[#This Row],[年齢]]&gt;6,LOOKUP(P26,$BB$6:$BB$10,$BD$6:$BD$10),LOOKUP(P26,$BA$6:$BA$10,$BD$6:$BD$10)))))))</f>
        <v/>
      </c>
      <c r="R26" s="42">
        <f>IF(H26="",0,(IF(テーブル22[[#This Row],[性別]]="男",LOOKUP(テーブル22[[#This Row],[握力]],$AH$6:$AI$15),LOOKUP(テーブル22[[#This Row],[握力]],$AH$20:$AI$29))))</f>
        <v>0</v>
      </c>
      <c r="S26" s="42">
        <f>IF(テーブル22[[#This Row],[上体]]="",0,(IF(テーブル22[[#This Row],[性別]]="男",LOOKUP(テーブル22[[#This Row],[上体]],$AJ$6:$AK$15),LOOKUP(テーブル22[[#This Row],[上体]],$AJ$20:$AK$29))))</f>
        <v>0</v>
      </c>
      <c r="T26" s="42">
        <f>IF(テーブル22[[#This Row],[長座]]="",0,(IF(テーブル22[[#This Row],[性別]]="男",LOOKUP(テーブル22[[#This Row],[長座]],$AL$6:$AM$15),LOOKUP(テーブル22[[#This Row],[長座]],$AL$20:$AM$29))))</f>
        <v>0</v>
      </c>
      <c r="U26" s="42">
        <f>IF(テーブル22[[#This Row],[反復]]="",0,(IF(テーブル22[[#This Row],[性別]]="男",LOOKUP(テーブル22[[#This Row],[反復]],$AN$6:$AO$15),LOOKUP(テーブル22[[#This Row],[反復]],$AN$20:$AO$29))))</f>
        <v>0</v>
      </c>
      <c r="V26" s="42">
        <f>IF(テーブル22[[#This Row],[ｼｬﾄﾙﾗﾝ]]="",0,(IF(テーブル22[[#This Row],[性別]]="男",LOOKUP(テーブル22[[#This Row],[ｼｬﾄﾙﾗﾝ]],$AR$6:$AS$15),LOOKUP(テーブル22[[#This Row],[ｼｬﾄﾙﾗﾝ]],$AR$20:$AS$29))))</f>
        <v>0</v>
      </c>
      <c r="W26" s="42">
        <f>IF(テーブル22[[#This Row],[50m走]]="",0,(IF(テーブル22[[#This Row],[性別]]="男",LOOKUP(テーブル22[[#This Row],[50m走]],$AT$6:$AU$15),LOOKUP(テーブル22[[#This Row],[50m走]],$AT$20:$AU$29))))</f>
        <v>0</v>
      </c>
      <c r="X26" s="42">
        <f>IF(テーブル22[[#This Row],[立幅とび]]="",0,(IF(テーブル22[[#This Row],[性別]]="男",LOOKUP(テーブル22[[#This Row],[立幅とび]],$AV$6:$AW$15),LOOKUP(テーブル22[[#This Row],[立幅とび]],$AV$20:$AW$29))))</f>
        <v>0</v>
      </c>
      <c r="Y26" s="42">
        <f>IF(テーブル22[[#This Row],[ボール投げ]]="",0,(IF(テーブル22[[#This Row],[性別]]="男",LOOKUP(テーブル22[[#This Row],[ボール投げ]],$AX$6:$AY$15),LOOKUP(テーブル22[[#This Row],[ボール投げ]],$AX$20:$AY$29))))</f>
        <v>0</v>
      </c>
      <c r="Z26" s="19" t="str">
        <f>IF(テーブル22[[#This Row],[学年]]=1,6,IF(テーブル22[[#This Row],[学年]]=2,7,IF(テーブル22[[#This Row],[学年]]=3,8,IF(テーブル22[[#This Row],[学年]]=4,9,IF(テーブル22[[#This Row],[学年]]=5,10,IF(テーブル22[[#This Row],[学年]]=6,11," "))))))</f>
        <v xml:space="preserve"> </v>
      </c>
      <c r="AA26" s="125" t="str">
        <f>IF(テーブル22[[#This Row],[肥満度数値]]="","",LOOKUP(AC26,$AW$39:$AW$44,$AX$39:$AX$44))</f>
        <v/>
      </c>
      <c r="AB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 s="124" t="str">
        <f>IF(テーブル22[[#This Row],[体重]]="","",(テーブル22[[#This Row],[体重]]-テーブル22[[#This Row],[標準体重]])/テーブル22[[#This Row],[標準体重]]*100)</f>
        <v/>
      </c>
      <c r="AD26" s="1">
        <f>COUNTA(テーブル22[[#This Row],[握力]:[ボール投げ]])</f>
        <v>0</v>
      </c>
      <c r="AE26" s="1" t="str">
        <f>IF(テーブル22[[#This Row],[判定]]=$BD$10,"○","")</f>
        <v/>
      </c>
      <c r="AF26" s="1" t="str">
        <f>IF(AE26="","",COUNTIF($AE$6:AE26,"○"))</f>
        <v/>
      </c>
      <c r="AG26" s="1"/>
      <c r="AH26" s="66">
        <v>16</v>
      </c>
      <c r="AI26" s="67">
        <v>7</v>
      </c>
      <c r="AJ26" s="66">
        <v>16</v>
      </c>
      <c r="AK26" s="67">
        <v>7</v>
      </c>
      <c r="AL26" s="66">
        <v>37</v>
      </c>
      <c r="AM26" s="67">
        <v>7</v>
      </c>
      <c r="AN26" s="66">
        <v>36</v>
      </c>
      <c r="AO26" s="67">
        <v>7</v>
      </c>
      <c r="AP26" s="77">
        <v>0.22152777777777777</v>
      </c>
      <c r="AQ26" s="69">
        <v>4</v>
      </c>
      <c r="AR26" s="66">
        <v>35</v>
      </c>
      <c r="AS26" s="67">
        <v>7</v>
      </c>
      <c r="AT26" s="66">
        <v>11</v>
      </c>
      <c r="AU26" s="67">
        <v>4</v>
      </c>
      <c r="AV26" s="66">
        <v>147</v>
      </c>
      <c r="AW26" s="67">
        <v>7</v>
      </c>
      <c r="AX26" s="66">
        <v>14</v>
      </c>
      <c r="AY26" s="67">
        <v>7</v>
      </c>
      <c r="AZ26" s="57"/>
      <c r="BA26" s="121" t="s">
        <v>187</v>
      </c>
      <c r="BB26" s="121" t="s">
        <v>188</v>
      </c>
      <c r="BC26" s="121" t="s">
        <v>189</v>
      </c>
      <c r="BD26" s="121" t="s">
        <v>190</v>
      </c>
      <c r="BE26" s="121" t="s">
        <v>191</v>
      </c>
      <c r="BF26" s="57"/>
      <c r="BG26" s="57"/>
    </row>
    <row r="27" spans="1:59" ht="14.25" customHeight="1" x14ac:dyDescent="0.2">
      <c r="A27" s="40">
        <v>22</v>
      </c>
      <c r="B27" s="145"/>
      <c r="C27" s="148"/>
      <c r="D27" s="145"/>
      <c r="E27" s="156"/>
      <c r="F27" s="145"/>
      <c r="G27" s="145"/>
      <c r="H27" s="146"/>
      <c r="I27" s="146"/>
      <c r="J27" s="148"/>
      <c r="K27" s="145"/>
      <c r="L27" s="148"/>
      <c r="M27" s="149"/>
      <c r="N27" s="148"/>
      <c r="O27" s="150"/>
      <c r="P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 s="43" t="str">
        <f>IF(テーブル22[[#This Row],[得点]]="","",IF(テーブル22[[#This Row],[年齢]]&gt;10,LOOKUP(P27,$BG$6:$BG$10,$BD$6:$BD$10),IF(テーブル22[[#This Row],[年齢]]&gt;9,LOOKUP(P27,$BF$6:$BF$10,$BD$6:$BD$10),IF(テーブル22[[#This Row],[年齢]]&gt;8,LOOKUP(P27,$BE$6:$BE$10,$BD$6:$BD$10),IF(テーブル22[[#This Row],[年齢]]&gt;7,LOOKUP(P27,$BC$6:$BC$10,$BD$6:$BD$10),IF(テーブル22[[#This Row],[年齢]]&gt;6,LOOKUP(P27,$BB$6:$BB$10,$BD$6:$BD$10),LOOKUP(P27,$BA$6:$BA$10,$BD$6:$BD$10)))))))</f>
        <v/>
      </c>
      <c r="R27" s="42">
        <f>IF(H27="",0,(IF(テーブル22[[#This Row],[性別]]="男",LOOKUP(テーブル22[[#This Row],[握力]],$AH$6:$AI$15),LOOKUP(テーブル22[[#This Row],[握力]],$AH$20:$AI$29))))</f>
        <v>0</v>
      </c>
      <c r="S27" s="42">
        <f>IF(テーブル22[[#This Row],[上体]]="",0,(IF(テーブル22[[#This Row],[性別]]="男",LOOKUP(テーブル22[[#This Row],[上体]],$AJ$6:$AK$15),LOOKUP(テーブル22[[#This Row],[上体]],$AJ$20:$AK$29))))</f>
        <v>0</v>
      </c>
      <c r="T27" s="42">
        <f>IF(テーブル22[[#This Row],[長座]]="",0,(IF(テーブル22[[#This Row],[性別]]="男",LOOKUP(テーブル22[[#This Row],[長座]],$AL$6:$AM$15),LOOKUP(テーブル22[[#This Row],[長座]],$AL$20:$AM$29))))</f>
        <v>0</v>
      </c>
      <c r="U27" s="42">
        <f>IF(テーブル22[[#This Row],[反復]]="",0,(IF(テーブル22[[#This Row],[性別]]="男",LOOKUP(テーブル22[[#This Row],[反復]],$AN$6:$AO$15),LOOKUP(テーブル22[[#This Row],[反復]],$AN$20:$AO$29))))</f>
        <v>0</v>
      </c>
      <c r="V27" s="42">
        <f>IF(テーブル22[[#This Row],[ｼｬﾄﾙﾗﾝ]]="",0,(IF(テーブル22[[#This Row],[性別]]="男",LOOKUP(テーブル22[[#This Row],[ｼｬﾄﾙﾗﾝ]],$AR$6:$AS$15),LOOKUP(テーブル22[[#This Row],[ｼｬﾄﾙﾗﾝ]],$AR$20:$AS$29))))</f>
        <v>0</v>
      </c>
      <c r="W27" s="42">
        <f>IF(テーブル22[[#This Row],[50m走]]="",0,(IF(テーブル22[[#This Row],[性別]]="男",LOOKUP(テーブル22[[#This Row],[50m走]],$AT$6:$AU$15),LOOKUP(テーブル22[[#This Row],[50m走]],$AT$20:$AU$29))))</f>
        <v>0</v>
      </c>
      <c r="X27" s="42">
        <f>IF(テーブル22[[#This Row],[立幅とび]]="",0,(IF(テーブル22[[#This Row],[性別]]="男",LOOKUP(テーブル22[[#This Row],[立幅とび]],$AV$6:$AW$15),LOOKUP(テーブル22[[#This Row],[立幅とび]],$AV$20:$AW$29))))</f>
        <v>0</v>
      </c>
      <c r="Y27" s="42">
        <f>IF(テーブル22[[#This Row],[ボール投げ]]="",0,(IF(テーブル22[[#This Row],[性別]]="男",LOOKUP(テーブル22[[#This Row],[ボール投げ]],$AX$6:$AY$15),LOOKUP(テーブル22[[#This Row],[ボール投げ]],$AX$20:$AY$29))))</f>
        <v>0</v>
      </c>
      <c r="Z27" s="19" t="str">
        <f>IF(テーブル22[[#This Row],[学年]]=1,6,IF(テーブル22[[#This Row],[学年]]=2,7,IF(テーブル22[[#This Row],[学年]]=3,8,IF(テーブル22[[#This Row],[学年]]=4,9,IF(テーブル22[[#This Row],[学年]]=5,10,IF(テーブル22[[#This Row],[学年]]=6,11," "))))))</f>
        <v xml:space="preserve"> </v>
      </c>
      <c r="AA27" s="125" t="str">
        <f>IF(テーブル22[[#This Row],[肥満度数値]]="","",LOOKUP(AC27,$AW$39:$AW$44,$AX$39:$AX$44))</f>
        <v/>
      </c>
      <c r="AB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 s="124" t="str">
        <f>IF(テーブル22[[#This Row],[体重]]="","",(テーブル22[[#This Row],[体重]]-テーブル22[[#This Row],[標準体重]])/テーブル22[[#This Row],[標準体重]]*100)</f>
        <v/>
      </c>
      <c r="AD27" s="1">
        <f>COUNTA(テーブル22[[#This Row],[握力]:[ボール投げ]])</f>
        <v>0</v>
      </c>
      <c r="AE27" s="1" t="str">
        <f>IF(テーブル22[[#This Row],[判定]]=$BD$10,"○","")</f>
        <v/>
      </c>
      <c r="AF27" s="1" t="str">
        <f>IF(AE27="","",COUNTIF($AE$6:AE27,"○"))</f>
        <v/>
      </c>
      <c r="AG27" s="1"/>
      <c r="AH27" s="66">
        <v>19</v>
      </c>
      <c r="AI27" s="67">
        <v>8</v>
      </c>
      <c r="AJ27" s="66">
        <v>18</v>
      </c>
      <c r="AK27" s="67">
        <v>8</v>
      </c>
      <c r="AL27" s="66">
        <v>41</v>
      </c>
      <c r="AM27" s="67">
        <v>8</v>
      </c>
      <c r="AN27" s="66">
        <v>40</v>
      </c>
      <c r="AO27" s="67">
        <v>8</v>
      </c>
      <c r="AP27" s="77">
        <v>0.23819444444444446</v>
      </c>
      <c r="AQ27" s="69">
        <v>3</v>
      </c>
      <c r="AR27" s="66">
        <v>44</v>
      </c>
      <c r="AS27" s="67">
        <v>8</v>
      </c>
      <c r="AT27" s="66">
        <v>11.7</v>
      </c>
      <c r="AU27" s="67">
        <v>3</v>
      </c>
      <c r="AV27" s="66">
        <v>160</v>
      </c>
      <c r="AW27" s="67">
        <v>8</v>
      </c>
      <c r="AX27" s="66">
        <v>17</v>
      </c>
      <c r="AY27" s="67">
        <v>8</v>
      </c>
      <c r="AZ27" s="57"/>
      <c r="BA27" s="121" t="s">
        <v>192</v>
      </c>
      <c r="BB27" s="121" t="s">
        <v>193</v>
      </c>
      <c r="BC27" s="121" t="s">
        <v>194</v>
      </c>
      <c r="BD27" s="121" t="s">
        <v>195</v>
      </c>
      <c r="BE27" s="121" t="s">
        <v>196</v>
      </c>
      <c r="BF27" s="57"/>
      <c r="BG27" s="57"/>
    </row>
    <row r="28" spans="1:59" ht="14.25" customHeight="1" x14ac:dyDescent="0.2">
      <c r="A28" s="40">
        <v>23</v>
      </c>
      <c r="B28" s="145"/>
      <c r="C28" s="148"/>
      <c r="D28" s="145"/>
      <c r="E28" s="156"/>
      <c r="F28" s="145"/>
      <c r="G28" s="145"/>
      <c r="H28" s="146"/>
      <c r="I28" s="146"/>
      <c r="J28" s="148"/>
      <c r="K28" s="145"/>
      <c r="L28" s="148"/>
      <c r="M28" s="149"/>
      <c r="N28" s="148"/>
      <c r="O28" s="150"/>
      <c r="P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 s="43" t="str">
        <f>IF(テーブル22[[#This Row],[得点]]="","",IF(テーブル22[[#This Row],[年齢]]&gt;10,LOOKUP(P28,$BG$6:$BG$10,$BD$6:$BD$10),IF(テーブル22[[#This Row],[年齢]]&gt;9,LOOKUP(P28,$BF$6:$BF$10,$BD$6:$BD$10),IF(テーブル22[[#This Row],[年齢]]&gt;8,LOOKUP(P28,$BE$6:$BE$10,$BD$6:$BD$10),IF(テーブル22[[#This Row],[年齢]]&gt;7,LOOKUP(P28,$BC$6:$BC$10,$BD$6:$BD$10),IF(テーブル22[[#This Row],[年齢]]&gt;6,LOOKUP(P28,$BB$6:$BB$10,$BD$6:$BD$10),LOOKUP(P28,$BA$6:$BA$10,$BD$6:$BD$10)))))))</f>
        <v/>
      </c>
      <c r="R28" s="42">
        <f>IF(H28="",0,(IF(テーブル22[[#This Row],[性別]]="男",LOOKUP(テーブル22[[#This Row],[握力]],$AH$6:$AI$15),LOOKUP(テーブル22[[#This Row],[握力]],$AH$20:$AI$29))))</f>
        <v>0</v>
      </c>
      <c r="S28" s="42">
        <f>IF(テーブル22[[#This Row],[上体]]="",0,(IF(テーブル22[[#This Row],[性別]]="男",LOOKUP(テーブル22[[#This Row],[上体]],$AJ$6:$AK$15),LOOKUP(テーブル22[[#This Row],[上体]],$AJ$20:$AK$29))))</f>
        <v>0</v>
      </c>
      <c r="T28" s="42">
        <f>IF(テーブル22[[#This Row],[長座]]="",0,(IF(テーブル22[[#This Row],[性別]]="男",LOOKUP(テーブル22[[#This Row],[長座]],$AL$6:$AM$15),LOOKUP(テーブル22[[#This Row],[長座]],$AL$20:$AM$29))))</f>
        <v>0</v>
      </c>
      <c r="U28" s="42">
        <f>IF(テーブル22[[#This Row],[反復]]="",0,(IF(テーブル22[[#This Row],[性別]]="男",LOOKUP(テーブル22[[#This Row],[反復]],$AN$6:$AO$15),LOOKUP(テーブル22[[#This Row],[反復]],$AN$20:$AO$29))))</f>
        <v>0</v>
      </c>
      <c r="V28" s="42">
        <f>IF(テーブル22[[#This Row],[ｼｬﾄﾙﾗﾝ]]="",0,(IF(テーブル22[[#This Row],[性別]]="男",LOOKUP(テーブル22[[#This Row],[ｼｬﾄﾙﾗﾝ]],$AR$6:$AS$15),LOOKUP(テーブル22[[#This Row],[ｼｬﾄﾙﾗﾝ]],$AR$20:$AS$29))))</f>
        <v>0</v>
      </c>
      <c r="W28" s="42">
        <f>IF(テーブル22[[#This Row],[50m走]]="",0,(IF(テーブル22[[#This Row],[性別]]="男",LOOKUP(テーブル22[[#This Row],[50m走]],$AT$6:$AU$15),LOOKUP(テーブル22[[#This Row],[50m走]],$AT$20:$AU$29))))</f>
        <v>0</v>
      </c>
      <c r="X28" s="42">
        <f>IF(テーブル22[[#This Row],[立幅とび]]="",0,(IF(テーブル22[[#This Row],[性別]]="男",LOOKUP(テーブル22[[#This Row],[立幅とび]],$AV$6:$AW$15),LOOKUP(テーブル22[[#This Row],[立幅とび]],$AV$20:$AW$29))))</f>
        <v>0</v>
      </c>
      <c r="Y28" s="42">
        <f>IF(テーブル22[[#This Row],[ボール投げ]]="",0,(IF(テーブル22[[#This Row],[性別]]="男",LOOKUP(テーブル22[[#This Row],[ボール投げ]],$AX$6:$AY$15),LOOKUP(テーブル22[[#This Row],[ボール投げ]],$AX$20:$AY$29))))</f>
        <v>0</v>
      </c>
      <c r="Z28" s="19" t="str">
        <f>IF(テーブル22[[#This Row],[学年]]=1,6,IF(テーブル22[[#This Row],[学年]]=2,7,IF(テーブル22[[#This Row],[学年]]=3,8,IF(テーブル22[[#This Row],[学年]]=4,9,IF(テーブル22[[#This Row],[学年]]=5,10,IF(テーブル22[[#This Row],[学年]]=6,11," "))))))</f>
        <v xml:space="preserve"> </v>
      </c>
      <c r="AA28" s="125" t="str">
        <f>IF(テーブル22[[#This Row],[肥満度数値]]="","",LOOKUP(AC28,$AW$39:$AW$44,$AX$39:$AX$44))</f>
        <v/>
      </c>
      <c r="AB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 s="124" t="str">
        <f>IF(テーブル22[[#This Row],[体重]]="","",(テーブル22[[#This Row],[体重]]-テーブル22[[#This Row],[標準体重]])/テーブル22[[#This Row],[標準体重]]*100)</f>
        <v/>
      </c>
      <c r="AD28" s="1">
        <f>COUNTA(テーブル22[[#This Row],[握力]:[ボール投げ]])</f>
        <v>0</v>
      </c>
      <c r="AE28" s="1" t="str">
        <f>IF(テーブル22[[#This Row],[判定]]=$BD$10,"○","")</f>
        <v/>
      </c>
      <c r="AF28" s="1" t="str">
        <f>IF(AE28="","",COUNTIF($AE$6:AE28,"○"))</f>
        <v/>
      </c>
      <c r="AG28" s="1"/>
      <c r="AH28" s="66">
        <v>22</v>
      </c>
      <c r="AI28" s="67">
        <v>9</v>
      </c>
      <c r="AJ28" s="66">
        <v>20</v>
      </c>
      <c r="AK28" s="67">
        <v>9</v>
      </c>
      <c r="AL28" s="66">
        <v>46</v>
      </c>
      <c r="AM28" s="67">
        <v>9</v>
      </c>
      <c r="AN28" s="66">
        <v>43</v>
      </c>
      <c r="AO28" s="67">
        <v>9</v>
      </c>
      <c r="AP28" s="77">
        <v>0.26041666666666669</v>
      </c>
      <c r="AQ28" s="69">
        <v>2</v>
      </c>
      <c r="AR28" s="66">
        <v>54</v>
      </c>
      <c r="AS28" s="67">
        <v>9</v>
      </c>
      <c r="AT28" s="66">
        <v>12.5</v>
      </c>
      <c r="AU28" s="67">
        <v>2</v>
      </c>
      <c r="AV28" s="66">
        <v>170</v>
      </c>
      <c r="AW28" s="67">
        <v>9</v>
      </c>
      <c r="AX28" s="66">
        <v>21</v>
      </c>
      <c r="AY28" s="67">
        <v>9</v>
      </c>
      <c r="AZ28" s="57"/>
      <c r="BA28" s="121" t="s">
        <v>197</v>
      </c>
      <c r="BB28" s="121" t="s">
        <v>198</v>
      </c>
      <c r="BC28" s="121" t="s">
        <v>199</v>
      </c>
      <c r="BD28" s="121" t="s">
        <v>200</v>
      </c>
      <c r="BE28" s="121" t="s">
        <v>201</v>
      </c>
      <c r="BF28" s="57"/>
      <c r="BG28" s="57"/>
    </row>
    <row r="29" spans="1:59" ht="14.25" customHeight="1" thickBot="1" x14ac:dyDescent="0.25">
      <c r="A29" s="40">
        <v>24</v>
      </c>
      <c r="B29" s="145"/>
      <c r="C29" s="148"/>
      <c r="D29" s="145"/>
      <c r="E29" s="156"/>
      <c r="F29" s="145"/>
      <c r="G29" s="145"/>
      <c r="H29" s="146"/>
      <c r="I29" s="146"/>
      <c r="J29" s="148"/>
      <c r="K29" s="145"/>
      <c r="L29" s="148"/>
      <c r="M29" s="149"/>
      <c r="N29" s="148"/>
      <c r="O29" s="150"/>
      <c r="P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 s="43" t="str">
        <f>IF(テーブル22[[#This Row],[得点]]="","",IF(テーブル22[[#This Row],[年齢]]&gt;10,LOOKUP(P29,$BG$6:$BG$10,$BD$6:$BD$10),IF(テーブル22[[#This Row],[年齢]]&gt;9,LOOKUP(P29,$BF$6:$BF$10,$BD$6:$BD$10),IF(テーブル22[[#This Row],[年齢]]&gt;8,LOOKUP(P29,$BE$6:$BE$10,$BD$6:$BD$10),IF(テーブル22[[#This Row],[年齢]]&gt;7,LOOKUP(P29,$BC$6:$BC$10,$BD$6:$BD$10),IF(テーブル22[[#This Row],[年齢]]&gt;6,LOOKUP(P29,$BB$6:$BB$10,$BD$6:$BD$10),LOOKUP(P29,$BA$6:$BA$10,$BD$6:$BD$10)))))))</f>
        <v/>
      </c>
      <c r="R29" s="42">
        <f>IF(H29="",0,(IF(テーブル22[[#This Row],[性別]]="男",LOOKUP(テーブル22[[#This Row],[握力]],$AH$6:$AI$15),LOOKUP(テーブル22[[#This Row],[握力]],$AH$20:$AI$29))))</f>
        <v>0</v>
      </c>
      <c r="S29" s="42">
        <f>IF(テーブル22[[#This Row],[上体]]="",0,(IF(テーブル22[[#This Row],[性別]]="男",LOOKUP(テーブル22[[#This Row],[上体]],$AJ$6:$AK$15),LOOKUP(テーブル22[[#This Row],[上体]],$AJ$20:$AK$29))))</f>
        <v>0</v>
      </c>
      <c r="T29" s="42">
        <f>IF(テーブル22[[#This Row],[長座]]="",0,(IF(テーブル22[[#This Row],[性別]]="男",LOOKUP(テーブル22[[#This Row],[長座]],$AL$6:$AM$15),LOOKUP(テーブル22[[#This Row],[長座]],$AL$20:$AM$29))))</f>
        <v>0</v>
      </c>
      <c r="U29" s="42">
        <f>IF(テーブル22[[#This Row],[反復]]="",0,(IF(テーブル22[[#This Row],[性別]]="男",LOOKUP(テーブル22[[#This Row],[反復]],$AN$6:$AO$15),LOOKUP(テーブル22[[#This Row],[反復]],$AN$20:$AO$29))))</f>
        <v>0</v>
      </c>
      <c r="V29" s="42">
        <f>IF(テーブル22[[#This Row],[ｼｬﾄﾙﾗﾝ]]="",0,(IF(テーブル22[[#This Row],[性別]]="男",LOOKUP(テーブル22[[#This Row],[ｼｬﾄﾙﾗﾝ]],$AR$6:$AS$15),LOOKUP(テーブル22[[#This Row],[ｼｬﾄﾙﾗﾝ]],$AR$20:$AS$29))))</f>
        <v>0</v>
      </c>
      <c r="W29" s="42">
        <f>IF(テーブル22[[#This Row],[50m走]]="",0,(IF(テーブル22[[#This Row],[性別]]="男",LOOKUP(テーブル22[[#This Row],[50m走]],$AT$6:$AU$15),LOOKUP(テーブル22[[#This Row],[50m走]],$AT$20:$AU$29))))</f>
        <v>0</v>
      </c>
      <c r="X29" s="42">
        <f>IF(テーブル22[[#This Row],[立幅とび]]="",0,(IF(テーブル22[[#This Row],[性別]]="男",LOOKUP(テーブル22[[#This Row],[立幅とび]],$AV$6:$AW$15),LOOKUP(テーブル22[[#This Row],[立幅とび]],$AV$20:$AW$29))))</f>
        <v>0</v>
      </c>
      <c r="Y29" s="42">
        <f>IF(テーブル22[[#This Row],[ボール投げ]]="",0,(IF(テーブル22[[#This Row],[性別]]="男",LOOKUP(テーブル22[[#This Row],[ボール投げ]],$AX$6:$AY$15),LOOKUP(テーブル22[[#This Row],[ボール投げ]],$AX$20:$AY$29))))</f>
        <v>0</v>
      </c>
      <c r="Z29" s="19" t="str">
        <f>IF(テーブル22[[#This Row],[学年]]=1,6,IF(テーブル22[[#This Row],[学年]]=2,7,IF(テーブル22[[#This Row],[学年]]=3,8,IF(テーブル22[[#This Row],[学年]]=4,9,IF(テーブル22[[#This Row],[学年]]=5,10,IF(テーブル22[[#This Row],[学年]]=6,11," "))))))</f>
        <v xml:space="preserve"> </v>
      </c>
      <c r="AA29" s="125" t="str">
        <f>IF(テーブル22[[#This Row],[肥満度数値]]="","",LOOKUP(AC29,$AW$39:$AW$44,$AX$39:$AX$44))</f>
        <v/>
      </c>
      <c r="AB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 s="124" t="str">
        <f>IF(テーブル22[[#This Row],[体重]]="","",(テーブル22[[#This Row],[体重]]-テーブル22[[#This Row],[標準体重]])/テーブル22[[#This Row],[標準体重]]*100)</f>
        <v/>
      </c>
      <c r="AD29" s="1">
        <f>COUNTA(テーブル22[[#This Row],[握力]:[ボール投げ]])</f>
        <v>0</v>
      </c>
      <c r="AE29" s="1" t="str">
        <f>IF(テーブル22[[#This Row],[判定]]=$BD$10,"○","")</f>
        <v/>
      </c>
      <c r="AF29" s="1" t="str">
        <f>IF(AE29="","",COUNTIF($AE$6:AE29,"○"))</f>
        <v/>
      </c>
      <c r="AG29" s="1"/>
      <c r="AH29" s="74">
        <v>25</v>
      </c>
      <c r="AI29" s="75">
        <v>10</v>
      </c>
      <c r="AJ29" s="74">
        <v>23</v>
      </c>
      <c r="AK29" s="75">
        <v>10</v>
      </c>
      <c r="AL29" s="74">
        <v>52</v>
      </c>
      <c r="AM29" s="75">
        <v>10</v>
      </c>
      <c r="AN29" s="74">
        <v>47</v>
      </c>
      <c r="AO29" s="75">
        <v>10</v>
      </c>
      <c r="AP29" s="78">
        <v>0.2902777777777778</v>
      </c>
      <c r="AQ29" s="72">
        <v>1</v>
      </c>
      <c r="AR29" s="74">
        <v>64</v>
      </c>
      <c r="AS29" s="75">
        <v>10</v>
      </c>
      <c r="AT29" s="74">
        <v>13.3</v>
      </c>
      <c r="AU29" s="75">
        <v>1</v>
      </c>
      <c r="AV29" s="74">
        <v>181</v>
      </c>
      <c r="AW29" s="75">
        <v>10</v>
      </c>
      <c r="AX29" s="74">
        <v>25</v>
      </c>
      <c r="AY29" s="75">
        <v>10</v>
      </c>
      <c r="AZ29" s="57"/>
      <c r="BA29" s="121" t="s">
        <v>202</v>
      </c>
      <c r="BB29" s="121" t="s">
        <v>203</v>
      </c>
      <c r="BC29" s="121" t="s">
        <v>204</v>
      </c>
      <c r="BD29" s="121" t="s">
        <v>205</v>
      </c>
      <c r="BE29" s="121" t="s">
        <v>206</v>
      </c>
      <c r="BF29" s="57"/>
      <c r="BG29" s="57"/>
    </row>
    <row r="30" spans="1:59" ht="14.25" customHeight="1" x14ac:dyDescent="0.2">
      <c r="A30" s="40">
        <v>25</v>
      </c>
      <c r="B30" s="145"/>
      <c r="C30" s="148"/>
      <c r="D30" s="145"/>
      <c r="E30" s="156"/>
      <c r="F30" s="145"/>
      <c r="G30" s="145"/>
      <c r="H30" s="146"/>
      <c r="I30" s="146"/>
      <c r="J30" s="148"/>
      <c r="K30" s="145"/>
      <c r="L30" s="148"/>
      <c r="M30" s="149"/>
      <c r="N30" s="148"/>
      <c r="O30" s="150"/>
      <c r="P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 s="43" t="str">
        <f>IF(テーブル22[[#This Row],[得点]]="","",IF(テーブル22[[#This Row],[年齢]]&gt;10,LOOKUP(P30,$BG$6:$BG$10,$BD$6:$BD$10),IF(テーブル22[[#This Row],[年齢]]&gt;9,LOOKUP(P30,$BF$6:$BF$10,$BD$6:$BD$10),IF(テーブル22[[#This Row],[年齢]]&gt;8,LOOKUP(P30,$BE$6:$BE$10,$BD$6:$BD$10),IF(テーブル22[[#This Row],[年齢]]&gt;7,LOOKUP(P30,$BC$6:$BC$10,$BD$6:$BD$10),IF(テーブル22[[#This Row],[年齢]]&gt;6,LOOKUP(P30,$BB$6:$BB$10,$BD$6:$BD$10),LOOKUP(P30,$BA$6:$BA$10,$BD$6:$BD$10)))))))</f>
        <v/>
      </c>
      <c r="R30" s="42">
        <f>IF(H30="",0,(IF(テーブル22[[#This Row],[性別]]="男",LOOKUP(テーブル22[[#This Row],[握力]],$AH$6:$AI$15),LOOKUP(テーブル22[[#This Row],[握力]],$AH$20:$AI$29))))</f>
        <v>0</v>
      </c>
      <c r="S30" s="42">
        <f>IF(テーブル22[[#This Row],[上体]]="",0,(IF(テーブル22[[#This Row],[性別]]="男",LOOKUP(テーブル22[[#This Row],[上体]],$AJ$6:$AK$15),LOOKUP(テーブル22[[#This Row],[上体]],$AJ$20:$AK$29))))</f>
        <v>0</v>
      </c>
      <c r="T30" s="42">
        <f>IF(テーブル22[[#This Row],[長座]]="",0,(IF(テーブル22[[#This Row],[性別]]="男",LOOKUP(テーブル22[[#This Row],[長座]],$AL$6:$AM$15),LOOKUP(テーブル22[[#This Row],[長座]],$AL$20:$AM$29))))</f>
        <v>0</v>
      </c>
      <c r="U30" s="42">
        <f>IF(テーブル22[[#This Row],[反復]]="",0,(IF(テーブル22[[#This Row],[性別]]="男",LOOKUP(テーブル22[[#This Row],[反復]],$AN$6:$AO$15),LOOKUP(テーブル22[[#This Row],[反復]],$AN$20:$AO$29))))</f>
        <v>0</v>
      </c>
      <c r="V30" s="42">
        <f>IF(テーブル22[[#This Row],[ｼｬﾄﾙﾗﾝ]]="",0,(IF(テーブル22[[#This Row],[性別]]="男",LOOKUP(テーブル22[[#This Row],[ｼｬﾄﾙﾗﾝ]],$AR$6:$AS$15),LOOKUP(テーブル22[[#This Row],[ｼｬﾄﾙﾗﾝ]],$AR$20:$AS$29))))</f>
        <v>0</v>
      </c>
      <c r="W30" s="42">
        <f>IF(テーブル22[[#This Row],[50m走]]="",0,(IF(テーブル22[[#This Row],[性別]]="男",LOOKUP(テーブル22[[#This Row],[50m走]],$AT$6:$AU$15),LOOKUP(テーブル22[[#This Row],[50m走]],$AT$20:$AU$29))))</f>
        <v>0</v>
      </c>
      <c r="X30" s="42">
        <f>IF(テーブル22[[#This Row],[立幅とび]]="",0,(IF(テーブル22[[#This Row],[性別]]="男",LOOKUP(テーブル22[[#This Row],[立幅とび]],$AV$6:$AW$15),LOOKUP(テーブル22[[#This Row],[立幅とび]],$AV$20:$AW$29))))</f>
        <v>0</v>
      </c>
      <c r="Y30" s="42">
        <f>IF(テーブル22[[#This Row],[ボール投げ]]="",0,(IF(テーブル22[[#This Row],[性別]]="男",LOOKUP(テーブル22[[#This Row],[ボール投げ]],$AX$6:$AY$15),LOOKUP(テーブル22[[#This Row],[ボール投げ]],$AX$20:$AY$29))))</f>
        <v>0</v>
      </c>
      <c r="Z30" s="19" t="str">
        <f>IF(テーブル22[[#This Row],[学年]]=1,6,IF(テーブル22[[#This Row],[学年]]=2,7,IF(テーブル22[[#This Row],[学年]]=3,8,IF(テーブル22[[#This Row],[学年]]=4,9,IF(テーブル22[[#This Row],[学年]]=5,10,IF(テーブル22[[#This Row],[学年]]=6,11," "))))))</f>
        <v xml:space="preserve"> </v>
      </c>
      <c r="AA30" s="125" t="str">
        <f>IF(テーブル22[[#This Row],[肥満度数値]]="","",LOOKUP(AC30,$AW$39:$AW$44,$AX$39:$AX$44))</f>
        <v/>
      </c>
      <c r="AB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 s="124" t="str">
        <f>IF(テーブル22[[#This Row],[体重]]="","",(テーブル22[[#This Row],[体重]]-テーブル22[[#This Row],[標準体重]])/テーブル22[[#This Row],[標準体重]]*100)</f>
        <v/>
      </c>
      <c r="AD30" s="1">
        <f>COUNTA(テーブル22[[#This Row],[握力]:[ボール投げ]])</f>
        <v>0</v>
      </c>
      <c r="AE30" s="1" t="str">
        <f>IF(テーブル22[[#This Row],[判定]]=$BD$10,"○","")</f>
        <v/>
      </c>
      <c r="AF30" s="1" t="str">
        <f>IF(AE30="","",COUNTIF($AE$6:AE30,"○"))</f>
        <v/>
      </c>
      <c r="AG30" s="1"/>
      <c r="BA30" s="121" t="s">
        <v>207</v>
      </c>
      <c r="BB30" s="121" t="s">
        <v>208</v>
      </c>
      <c r="BC30" s="121" t="s">
        <v>209</v>
      </c>
      <c r="BD30" s="121" t="s">
        <v>210</v>
      </c>
      <c r="BE30" s="121" t="s">
        <v>211</v>
      </c>
    </row>
    <row r="31" spans="1:59" ht="14.25" customHeight="1" x14ac:dyDescent="0.2">
      <c r="A31" s="40">
        <v>26</v>
      </c>
      <c r="B31" s="145"/>
      <c r="C31" s="148"/>
      <c r="D31" s="145"/>
      <c r="E31" s="156"/>
      <c r="F31" s="145"/>
      <c r="G31" s="145"/>
      <c r="H31" s="146"/>
      <c r="I31" s="146"/>
      <c r="J31" s="148"/>
      <c r="K31" s="145"/>
      <c r="L31" s="148"/>
      <c r="M31" s="149"/>
      <c r="N31" s="148"/>
      <c r="O31" s="150"/>
      <c r="P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 s="43" t="str">
        <f>IF(テーブル22[[#This Row],[得点]]="","",IF(テーブル22[[#This Row],[年齢]]&gt;10,LOOKUP(P31,$BG$6:$BG$10,$BD$6:$BD$10),IF(テーブル22[[#This Row],[年齢]]&gt;9,LOOKUP(P31,$BF$6:$BF$10,$BD$6:$BD$10),IF(テーブル22[[#This Row],[年齢]]&gt;8,LOOKUP(P31,$BE$6:$BE$10,$BD$6:$BD$10),IF(テーブル22[[#This Row],[年齢]]&gt;7,LOOKUP(P31,$BC$6:$BC$10,$BD$6:$BD$10),IF(テーブル22[[#This Row],[年齢]]&gt;6,LOOKUP(P31,$BB$6:$BB$10,$BD$6:$BD$10),LOOKUP(P31,$BA$6:$BA$10,$BD$6:$BD$10)))))))</f>
        <v/>
      </c>
      <c r="R31" s="42">
        <f>IF(H31="",0,(IF(テーブル22[[#This Row],[性別]]="男",LOOKUP(テーブル22[[#This Row],[握力]],$AH$6:$AI$15),LOOKUP(テーブル22[[#This Row],[握力]],$AH$20:$AI$29))))</f>
        <v>0</v>
      </c>
      <c r="S31" s="42">
        <f>IF(テーブル22[[#This Row],[上体]]="",0,(IF(テーブル22[[#This Row],[性別]]="男",LOOKUP(テーブル22[[#This Row],[上体]],$AJ$6:$AK$15),LOOKUP(テーブル22[[#This Row],[上体]],$AJ$20:$AK$29))))</f>
        <v>0</v>
      </c>
      <c r="T31" s="42">
        <f>IF(テーブル22[[#This Row],[長座]]="",0,(IF(テーブル22[[#This Row],[性別]]="男",LOOKUP(テーブル22[[#This Row],[長座]],$AL$6:$AM$15),LOOKUP(テーブル22[[#This Row],[長座]],$AL$20:$AM$29))))</f>
        <v>0</v>
      </c>
      <c r="U31" s="42">
        <f>IF(テーブル22[[#This Row],[反復]]="",0,(IF(テーブル22[[#This Row],[性別]]="男",LOOKUP(テーブル22[[#This Row],[反復]],$AN$6:$AO$15),LOOKUP(テーブル22[[#This Row],[反復]],$AN$20:$AO$29))))</f>
        <v>0</v>
      </c>
      <c r="V31" s="42">
        <f>IF(テーブル22[[#This Row],[ｼｬﾄﾙﾗﾝ]]="",0,(IF(テーブル22[[#This Row],[性別]]="男",LOOKUP(テーブル22[[#This Row],[ｼｬﾄﾙﾗﾝ]],$AR$6:$AS$15),LOOKUP(テーブル22[[#This Row],[ｼｬﾄﾙﾗﾝ]],$AR$20:$AS$29))))</f>
        <v>0</v>
      </c>
      <c r="W31" s="42">
        <f>IF(テーブル22[[#This Row],[50m走]]="",0,(IF(テーブル22[[#This Row],[性別]]="男",LOOKUP(テーブル22[[#This Row],[50m走]],$AT$6:$AU$15),LOOKUP(テーブル22[[#This Row],[50m走]],$AT$20:$AU$29))))</f>
        <v>0</v>
      </c>
      <c r="X31" s="42">
        <f>IF(テーブル22[[#This Row],[立幅とび]]="",0,(IF(テーブル22[[#This Row],[性別]]="男",LOOKUP(テーブル22[[#This Row],[立幅とび]],$AV$6:$AW$15),LOOKUP(テーブル22[[#This Row],[立幅とび]],$AV$20:$AW$29))))</f>
        <v>0</v>
      </c>
      <c r="Y31" s="42">
        <f>IF(テーブル22[[#This Row],[ボール投げ]]="",0,(IF(テーブル22[[#This Row],[性別]]="男",LOOKUP(テーブル22[[#This Row],[ボール投げ]],$AX$6:$AY$15),LOOKUP(テーブル22[[#This Row],[ボール投げ]],$AX$20:$AY$29))))</f>
        <v>0</v>
      </c>
      <c r="Z31" s="19" t="str">
        <f>IF(テーブル22[[#This Row],[学年]]=1,6,IF(テーブル22[[#This Row],[学年]]=2,7,IF(テーブル22[[#This Row],[学年]]=3,8,IF(テーブル22[[#This Row],[学年]]=4,9,IF(テーブル22[[#This Row],[学年]]=5,10,IF(テーブル22[[#This Row],[学年]]=6,11," "))))))</f>
        <v xml:space="preserve"> </v>
      </c>
      <c r="AA31" s="125" t="str">
        <f>IF(テーブル22[[#This Row],[肥満度数値]]="","",LOOKUP(AC31,$AW$39:$AW$44,$AX$39:$AX$44))</f>
        <v/>
      </c>
      <c r="AB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 s="124" t="str">
        <f>IF(テーブル22[[#This Row],[体重]]="","",(テーブル22[[#This Row],[体重]]-テーブル22[[#This Row],[標準体重]])/テーブル22[[#This Row],[標準体重]]*100)</f>
        <v/>
      </c>
      <c r="AD31" s="1">
        <f>COUNTA(テーブル22[[#This Row],[握力]:[ボール投げ]])</f>
        <v>0</v>
      </c>
      <c r="AE31" s="1" t="str">
        <f>IF(テーブル22[[#This Row],[判定]]=$BD$10,"○","")</f>
        <v/>
      </c>
      <c r="AF31" s="1" t="str">
        <f>IF(AE31="","",COUNTIF($AE$6:AE31,"○"))</f>
        <v/>
      </c>
      <c r="AG31" s="1"/>
      <c r="BA31" s="121" t="s">
        <v>212</v>
      </c>
      <c r="BB31" s="121" t="s">
        <v>213</v>
      </c>
      <c r="BC31" s="121" t="s">
        <v>214</v>
      </c>
      <c r="BD31" s="121" t="s">
        <v>215</v>
      </c>
      <c r="BE31" s="121" t="s">
        <v>216</v>
      </c>
    </row>
    <row r="32" spans="1:59" ht="14.25" customHeight="1" x14ac:dyDescent="0.2">
      <c r="A32" s="40">
        <v>27</v>
      </c>
      <c r="B32" s="145"/>
      <c r="C32" s="148"/>
      <c r="D32" s="145"/>
      <c r="E32" s="156"/>
      <c r="F32" s="145"/>
      <c r="G32" s="145"/>
      <c r="H32" s="146"/>
      <c r="I32" s="146"/>
      <c r="J32" s="148"/>
      <c r="K32" s="145"/>
      <c r="L32" s="148"/>
      <c r="M32" s="149"/>
      <c r="N32" s="148"/>
      <c r="O32" s="150"/>
      <c r="P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 s="43" t="str">
        <f>IF(テーブル22[[#This Row],[得点]]="","",IF(テーブル22[[#This Row],[年齢]]&gt;10,LOOKUP(P32,$BG$6:$BG$10,$BD$6:$BD$10),IF(テーブル22[[#This Row],[年齢]]&gt;9,LOOKUP(P32,$BF$6:$BF$10,$BD$6:$BD$10),IF(テーブル22[[#This Row],[年齢]]&gt;8,LOOKUP(P32,$BE$6:$BE$10,$BD$6:$BD$10),IF(テーブル22[[#This Row],[年齢]]&gt;7,LOOKUP(P32,$BC$6:$BC$10,$BD$6:$BD$10),IF(テーブル22[[#This Row],[年齢]]&gt;6,LOOKUP(P32,$BB$6:$BB$10,$BD$6:$BD$10),LOOKUP(P32,$BA$6:$BA$10,$BD$6:$BD$10)))))))</f>
        <v/>
      </c>
      <c r="R32" s="42">
        <f>IF(H32="",0,(IF(テーブル22[[#This Row],[性別]]="男",LOOKUP(テーブル22[[#This Row],[握力]],$AH$6:$AI$15),LOOKUP(テーブル22[[#This Row],[握力]],$AH$20:$AI$29))))</f>
        <v>0</v>
      </c>
      <c r="S32" s="42">
        <f>IF(テーブル22[[#This Row],[上体]]="",0,(IF(テーブル22[[#This Row],[性別]]="男",LOOKUP(テーブル22[[#This Row],[上体]],$AJ$6:$AK$15),LOOKUP(テーブル22[[#This Row],[上体]],$AJ$20:$AK$29))))</f>
        <v>0</v>
      </c>
      <c r="T32" s="42">
        <f>IF(テーブル22[[#This Row],[長座]]="",0,(IF(テーブル22[[#This Row],[性別]]="男",LOOKUP(テーブル22[[#This Row],[長座]],$AL$6:$AM$15),LOOKUP(テーブル22[[#This Row],[長座]],$AL$20:$AM$29))))</f>
        <v>0</v>
      </c>
      <c r="U32" s="42">
        <f>IF(テーブル22[[#This Row],[反復]]="",0,(IF(テーブル22[[#This Row],[性別]]="男",LOOKUP(テーブル22[[#This Row],[反復]],$AN$6:$AO$15),LOOKUP(テーブル22[[#This Row],[反復]],$AN$20:$AO$29))))</f>
        <v>0</v>
      </c>
      <c r="V32" s="42">
        <f>IF(テーブル22[[#This Row],[ｼｬﾄﾙﾗﾝ]]="",0,(IF(テーブル22[[#This Row],[性別]]="男",LOOKUP(テーブル22[[#This Row],[ｼｬﾄﾙﾗﾝ]],$AR$6:$AS$15),LOOKUP(テーブル22[[#This Row],[ｼｬﾄﾙﾗﾝ]],$AR$20:$AS$29))))</f>
        <v>0</v>
      </c>
      <c r="W32" s="42">
        <f>IF(テーブル22[[#This Row],[50m走]]="",0,(IF(テーブル22[[#This Row],[性別]]="男",LOOKUP(テーブル22[[#This Row],[50m走]],$AT$6:$AU$15),LOOKUP(テーブル22[[#This Row],[50m走]],$AT$20:$AU$29))))</f>
        <v>0</v>
      </c>
      <c r="X32" s="42">
        <f>IF(テーブル22[[#This Row],[立幅とび]]="",0,(IF(テーブル22[[#This Row],[性別]]="男",LOOKUP(テーブル22[[#This Row],[立幅とび]],$AV$6:$AW$15),LOOKUP(テーブル22[[#This Row],[立幅とび]],$AV$20:$AW$29))))</f>
        <v>0</v>
      </c>
      <c r="Y32" s="42">
        <f>IF(テーブル22[[#This Row],[ボール投げ]]="",0,(IF(テーブル22[[#This Row],[性別]]="男",LOOKUP(テーブル22[[#This Row],[ボール投げ]],$AX$6:$AY$15),LOOKUP(テーブル22[[#This Row],[ボール投げ]],$AX$20:$AY$29))))</f>
        <v>0</v>
      </c>
      <c r="Z32" s="19" t="str">
        <f>IF(テーブル22[[#This Row],[学年]]=1,6,IF(テーブル22[[#This Row],[学年]]=2,7,IF(テーブル22[[#This Row],[学年]]=3,8,IF(テーブル22[[#This Row],[学年]]=4,9,IF(テーブル22[[#This Row],[学年]]=5,10,IF(テーブル22[[#This Row],[学年]]=6,11," "))))))</f>
        <v xml:space="preserve"> </v>
      </c>
      <c r="AA32" s="125" t="str">
        <f>IF(テーブル22[[#This Row],[肥満度数値]]="","",LOOKUP(AC32,$AW$39:$AW$44,$AX$39:$AX$44))</f>
        <v/>
      </c>
      <c r="AB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 s="124" t="str">
        <f>IF(テーブル22[[#This Row],[体重]]="","",(テーブル22[[#This Row],[体重]]-テーブル22[[#This Row],[標準体重]])/テーブル22[[#This Row],[標準体重]]*100)</f>
        <v/>
      </c>
      <c r="AD32" s="1">
        <f>COUNTA(テーブル22[[#This Row],[握力]:[ボール投げ]])</f>
        <v>0</v>
      </c>
      <c r="AE32" s="1" t="str">
        <f>IF(テーブル22[[#This Row],[判定]]=$BD$10,"○","")</f>
        <v/>
      </c>
      <c r="AF32" s="1" t="str">
        <f>IF(AE32="","",COUNTIF($AE$6:AE32,"○"))</f>
        <v/>
      </c>
      <c r="AG32" s="1"/>
      <c r="BA32" s="121" t="s">
        <v>217</v>
      </c>
      <c r="BB32" s="121" t="s">
        <v>218</v>
      </c>
      <c r="BC32" s="121" t="s">
        <v>219</v>
      </c>
      <c r="BD32" s="121" t="s">
        <v>220</v>
      </c>
      <c r="BE32" s="121" t="s">
        <v>221</v>
      </c>
    </row>
    <row r="33" spans="1:57" ht="14.25" customHeight="1" x14ac:dyDescent="0.2">
      <c r="A33" s="40">
        <v>28</v>
      </c>
      <c r="B33" s="145"/>
      <c r="C33" s="148"/>
      <c r="D33" s="145"/>
      <c r="E33" s="156"/>
      <c r="F33" s="145"/>
      <c r="G33" s="145"/>
      <c r="H33" s="146"/>
      <c r="I33" s="146"/>
      <c r="J33" s="148"/>
      <c r="K33" s="145"/>
      <c r="L33" s="148"/>
      <c r="M33" s="149"/>
      <c r="N33" s="148"/>
      <c r="O33" s="150"/>
      <c r="P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 s="43" t="str">
        <f>IF(テーブル22[[#This Row],[得点]]="","",IF(テーブル22[[#This Row],[年齢]]&gt;10,LOOKUP(P33,$BG$6:$BG$10,$BD$6:$BD$10),IF(テーブル22[[#This Row],[年齢]]&gt;9,LOOKUP(P33,$BF$6:$BF$10,$BD$6:$BD$10),IF(テーブル22[[#This Row],[年齢]]&gt;8,LOOKUP(P33,$BE$6:$BE$10,$BD$6:$BD$10),IF(テーブル22[[#This Row],[年齢]]&gt;7,LOOKUP(P33,$BC$6:$BC$10,$BD$6:$BD$10),IF(テーブル22[[#This Row],[年齢]]&gt;6,LOOKUP(P33,$BB$6:$BB$10,$BD$6:$BD$10),LOOKUP(P33,$BA$6:$BA$10,$BD$6:$BD$10)))))))</f>
        <v/>
      </c>
      <c r="R33" s="42">
        <f>IF(H33="",0,(IF(テーブル22[[#This Row],[性別]]="男",LOOKUP(テーブル22[[#This Row],[握力]],$AH$6:$AI$15),LOOKUP(テーブル22[[#This Row],[握力]],$AH$20:$AI$29))))</f>
        <v>0</v>
      </c>
      <c r="S33" s="42">
        <f>IF(テーブル22[[#This Row],[上体]]="",0,(IF(テーブル22[[#This Row],[性別]]="男",LOOKUP(テーブル22[[#This Row],[上体]],$AJ$6:$AK$15),LOOKUP(テーブル22[[#This Row],[上体]],$AJ$20:$AK$29))))</f>
        <v>0</v>
      </c>
      <c r="T33" s="42">
        <f>IF(テーブル22[[#This Row],[長座]]="",0,(IF(テーブル22[[#This Row],[性別]]="男",LOOKUP(テーブル22[[#This Row],[長座]],$AL$6:$AM$15),LOOKUP(テーブル22[[#This Row],[長座]],$AL$20:$AM$29))))</f>
        <v>0</v>
      </c>
      <c r="U33" s="42">
        <f>IF(テーブル22[[#This Row],[反復]]="",0,(IF(テーブル22[[#This Row],[性別]]="男",LOOKUP(テーブル22[[#This Row],[反復]],$AN$6:$AO$15),LOOKUP(テーブル22[[#This Row],[反復]],$AN$20:$AO$29))))</f>
        <v>0</v>
      </c>
      <c r="V33" s="42">
        <f>IF(テーブル22[[#This Row],[ｼｬﾄﾙﾗﾝ]]="",0,(IF(テーブル22[[#This Row],[性別]]="男",LOOKUP(テーブル22[[#This Row],[ｼｬﾄﾙﾗﾝ]],$AR$6:$AS$15),LOOKUP(テーブル22[[#This Row],[ｼｬﾄﾙﾗﾝ]],$AR$20:$AS$29))))</f>
        <v>0</v>
      </c>
      <c r="W33" s="42">
        <f>IF(テーブル22[[#This Row],[50m走]]="",0,(IF(テーブル22[[#This Row],[性別]]="男",LOOKUP(テーブル22[[#This Row],[50m走]],$AT$6:$AU$15),LOOKUP(テーブル22[[#This Row],[50m走]],$AT$20:$AU$29))))</f>
        <v>0</v>
      </c>
      <c r="X33" s="42">
        <f>IF(テーブル22[[#This Row],[立幅とび]]="",0,(IF(テーブル22[[#This Row],[性別]]="男",LOOKUP(テーブル22[[#This Row],[立幅とび]],$AV$6:$AW$15),LOOKUP(テーブル22[[#This Row],[立幅とび]],$AV$20:$AW$29))))</f>
        <v>0</v>
      </c>
      <c r="Y33" s="42">
        <f>IF(テーブル22[[#This Row],[ボール投げ]]="",0,(IF(テーブル22[[#This Row],[性別]]="男",LOOKUP(テーブル22[[#This Row],[ボール投げ]],$AX$6:$AY$15),LOOKUP(テーブル22[[#This Row],[ボール投げ]],$AX$20:$AY$29))))</f>
        <v>0</v>
      </c>
      <c r="Z33" s="19" t="str">
        <f>IF(テーブル22[[#This Row],[学年]]=1,6,IF(テーブル22[[#This Row],[学年]]=2,7,IF(テーブル22[[#This Row],[学年]]=3,8,IF(テーブル22[[#This Row],[学年]]=4,9,IF(テーブル22[[#This Row],[学年]]=5,10,IF(テーブル22[[#This Row],[学年]]=6,11," "))))))</f>
        <v xml:space="preserve"> </v>
      </c>
      <c r="AA33" s="125" t="str">
        <f>IF(テーブル22[[#This Row],[肥満度数値]]="","",LOOKUP(AC33,$AW$39:$AW$44,$AX$39:$AX$44))</f>
        <v/>
      </c>
      <c r="AB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 s="124" t="str">
        <f>IF(テーブル22[[#This Row],[体重]]="","",(テーブル22[[#This Row],[体重]]-テーブル22[[#This Row],[標準体重]])/テーブル22[[#This Row],[標準体重]]*100)</f>
        <v/>
      </c>
      <c r="AD33" s="1">
        <f>COUNTA(テーブル22[[#This Row],[握力]:[ボール投げ]])</f>
        <v>0</v>
      </c>
      <c r="AE33" s="1" t="str">
        <f>IF(テーブル22[[#This Row],[判定]]=$BD$10,"○","")</f>
        <v/>
      </c>
      <c r="AF33" s="1" t="str">
        <f>IF(AE33="","",COUNTIF($AE$6:AE33,"○"))</f>
        <v/>
      </c>
      <c r="AG33" s="1"/>
      <c r="BA33" s="121" t="s">
        <v>222</v>
      </c>
      <c r="BB33" s="121" t="s">
        <v>223</v>
      </c>
      <c r="BC33" s="121" t="s">
        <v>224</v>
      </c>
      <c r="BD33" s="121" t="s">
        <v>225</v>
      </c>
      <c r="BE33" s="121" t="s">
        <v>226</v>
      </c>
    </row>
    <row r="34" spans="1:57" ht="14.25" customHeight="1" x14ac:dyDescent="0.2">
      <c r="A34" s="40">
        <v>29</v>
      </c>
      <c r="B34" s="145"/>
      <c r="C34" s="148"/>
      <c r="D34" s="145"/>
      <c r="E34" s="156"/>
      <c r="F34" s="145"/>
      <c r="G34" s="145"/>
      <c r="H34" s="146"/>
      <c r="I34" s="146"/>
      <c r="J34" s="148"/>
      <c r="K34" s="145"/>
      <c r="L34" s="148"/>
      <c r="M34" s="149"/>
      <c r="N34" s="148"/>
      <c r="O34" s="150"/>
      <c r="P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 s="43" t="str">
        <f>IF(テーブル22[[#This Row],[得点]]="","",IF(テーブル22[[#This Row],[年齢]]&gt;10,LOOKUP(P34,$BG$6:$BG$10,$BD$6:$BD$10),IF(テーブル22[[#This Row],[年齢]]&gt;9,LOOKUP(P34,$BF$6:$BF$10,$BD$6:$BD$10),IF(テーブル22[[#This Row],[年齢]]&gt;8,LOOKUP(P34,$BE$6:$BE$10,$BD$6:$BD$10),IF(テーブル22[[#This Row],[年齢]]&gt;7,LOOKUP(P34,$BC$6:$BC$10,$BD$6:$BD$10),IF(テーブル22[[#This Row],[年齢]]&gt;6,LOOKUP(P34,$BB$6:$BB$10,$BD$6:$BD$10),LOOKUP(P34,$BA$6:$BA$10,$BD$6:$BD$10)))))))</f>
        <v/>
      </c>
      <c r="R34" s="42">
        <f>IF(H34="",0,(IF(テーブル22[[#This Row],[性別]]="男",LOOKUP(テーブル22[[#This Row],[握力]],$AH$6:$AI$15),LOOKUP(テーブル22[[#This Row],[握力]],$AH$20:$AI$29))))</f>
        <v>0</v>
      </c>
      <c r="S34" s="42">
        <f>IF(テーブル22[[#This Row],[上体]]="",0,(IF(テーブル22[[#This Row],[性別]]="男",LOOKUP(テーブル22[[#This Row],[上体]],$AJ$6:$AK$15),LOOKUP(テーブル22[[#This Row],[上体]],$AJ$20:$AK$29))))</f>
        <v>0</v>
      </c>
      <c r="T34" s="42">
        <f>IF(テーブル22[[#This Row],[長座]]="",0,(IF(テーブル22[[#This Row],[性別]]="男",LOOKUP(テーブル22[[#This Row],[長座]],$AL$6:$AM$15),LOOKUP(テーブル22[[#This Row],[長座]],$AL$20:$AM$29))))</f>
        <v>0</v>
      </c>
      <c r="U34" s="42">
        <f>IF(テーブル22[[#This Row],[反復]]="",0,(IF(テーブル22[[#This Row],[性別]]="男",LOOKUP(テーブル22[[#This Row],[反復]],$AN$6:$AO$15),LOOKUP(テーブル22[[#This Row],[反復]],$AN$20:$AO$29))))</f>
        <v>0</v>
      </c>
      <c r="V34" s="42">
        <f>IF(テーブル22[[#This Row],[ｼｬﾄﾙﾗﾝ]]="",0,(IF(テーブル22[[#This Row],[性別]]="男",LOOKUP(テーブル22[[#This Row],[ｼｬﾄﾙﾗﾝ]],$AR$6:$AS$15),LOOKUP(テーブル22[[#This Row],[ｼｬﾄﾙﾗﾝ]],$AR$20:$AS$29))))</f>
        <v>0</v>
      </c>
      <c r="W34" s="42">
        <f>IF(テーブル22[[#This Row],[50m走]]="",0,(IF(テーブル22[[#This Row],[性別]]="男",LOOKUP(テーブル22[[#This Row],[50m走]],$AT$6:$AU$15),LOOKUP(テーブル22[[#This Row],[50m走]],$AT$20:$AU$29))))</f>
        <v>0</v>
      </c>
      <c r="X34" s="42">
        <f>IF(テーブル22[[#This Row],[立幅とび]]="",0,(IF(テーブル22[[#This Row],[性別]]="男",LOOKUP(テーブル22[[#This Row],[立幅とび]],$AV$6:$AW$15),LOOKUP(テーブル22[[#This Row],[立幅とび]],$AV$20:$AW$29))))</f>
        <v>0</v>
      </c>
      <c r="Y34" s="42">
        <f>IF(テーブル22[[#This Row],[ボール投げ]]="",0,(IF(テーブル22[[#This Row],[性別]]="男",LOOKUP(テーブル22[[#This Row],[ボール投げ]],$AX$6:$AY$15),LOOKUP(テーブル22[[#This Row],[ボール投げ]],$AX$20:$AY$29))))</f>
        <v>0</v>
      </c>
      <c r="Z34" s="19" t="str">
        <f>IF(テーブル22[[#This Row],[学年]]=1,6,IF(テーブル22[[#This Row],[学年]]=2,7,IF(テーブル22[[#This Row],[学年]]=3,8,IF(テーブル22[[#This Row],[学年]]=4,9,IF(テーブル22[[#This Row],[学年]]=5,10,IF(テーブル22[[#This Row],[学年]]=6,11," "))))))</f>
        <v xml:space="preserve"> </v>
      </c>
      <c r="AA34" s="125" t="str">
        <f>IF(テーブル22[[#This Row],[肥満度数値]]="","",LOOKUP(AC34,$AW$39:$AW$44,$AX$39:$AX$44))</f>
        <v/>
      </c>
      <c r="AB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 s="124" t="str">
        <f>IF(テーブル22[[#This Row],[体重]]="","",(テーブル22[[#This Row],[体重]]-テーブル22[[#This Row],[標準体重]])/テーブル22[[#This Row],[標準体重]]*100)</f>
        <v/>
      </c>
      <c r="AD34" s="1">
        <f>COUNTA(テーブル22[[#This Row],[握力]:[ボール投げ]])</f>
        <v>0</v>
      </c>
      <c r="AE34" s="1" t="str">
        <f>IF(テーブル22[[#This Row],[判定]]=$BD$10,"○","")</f>
        <v/>
      </c>
      <c r="AF34" s="1" t="str">
        <f>IF(AE34="","",COUNTIF($AE$6:AE34,"○"))</f>
        <v/>
      </c>
      <c r="AG34" s="1"/>
      <c r="BA34" s="121" t="s">
        <v>227</v>
      </c>
      <c r="BB34" s="121" t="s">
        <v>228</v>
      </c>
      <c r="BC34" s="121" t="s">
        <v>229</v>
      </c>
      <c r="BD34" s="121" t="s">
        <v>230</v>
      </c>
      <c r="BE34" s="121" t="s">
        <v>231</v>
      </c>
    </row>
    <row r="35" spans="1:57" ht="14.25" customHeight="1" x14ac:dyDescent="0.2">
      <c r="A35" s="40">
        <v>30</v>
      </c>
      <c r="B35" s="145"/>
      <c r="C35" s="148"/>
      <c r="D35" s="145"/>
      <c r="E35" s="156"/>
      <c r="F35" s="145"/>
      <c r="G35" s="145"/>
      <c r="H35" s="146"/>
      <c r="I35" s="146"/>
      <c r="J35" s="148"/>
      <c r="K35" s="145"/>
      <c r="L35" s="148"/>
      <c r="M35" s="149"/>
      <c r="N35" s="148"/>
      <c r="O35" s="150"/>
      <c r="P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 s="43" t="str">
        <f>IF(テーブル22[[#This Row],[得点]]="","",IF(テーブル22[[#This Row],[年齢]]&gt;10,LOOKUP(P35,$BG$6:$BG$10,$BD$6:$BD$10),IF(テーブル22[[#This Row],[年齢]]&gt;9,LOOKUP(P35,$BF$6:$BF$10,$BD$6:$BD$10),IF(テーブル22[[#This Row],[年齢]]&gt;8,LOOKUP(P35,$BE$6:$BE$10,$BD$6:$BD$10),IF(テーブル22[[#This Row],[年齢]]&gt;7,LOOKUP(P35,$BC$6:$BC$10,$BD$6:$BD$10),IF(テーブル22[[#This Row],[年齢]]&gt;6,LOOKUP(P35,$BB$6:$BB$10,$BD$6:$BD$10),LOOKUP(P35,$BA$6:$BA$10,$BD$6:$BD$10)))))))</f>
        <v/>
      </c>
      <c r="R35" s="42">
        <f>IF(H35="",0,(IF(テーブル22[[#This Row],[性別]]="男",LOOKUP(テーブル22[[#This Row],[握力]],$AH$6:$AI$15),LOOKUP(テーブル22[[#This Row],[握力]],$AH$20:$AI$29))))</f>
        <v>0</v>
      </c>
      <c r="S35" s="42">
        <f>IF(テーブル22[[#This Row],[上体]]="",0,(IF(テーブル22[[#This Row],[性別]]="男",LOOKUP(テーブル22[[#This Row],[上体]],$AJ$6:$AK$15),LOOKUP(テーブル22[[#This Row],[上体]],$AJ$20:$AK$29))))</f>
        <v>0</v>
      </c>
      <c r="T35" s="42">
        <f>IF(テーブル22[[#This Row],[長座]]="",0,(IF(テーブル22[[#This Row],[性別]]="男",LOOKUP(テーブル22[[#This Row],[長座]],$AL$6:$AM$15),LOOKUP(テーブル22[[#This Row],[長座]],$AL$20:$AM$29))))</f>
        <v>0</v>
      </c>
      <c r="U35" s="42">
        <f>IF(テーブル22[[#This Row],[反復]]="",0,(IF(テーブル22[[#This Row],[性別]]="男",LOOKUP(テーブル22[[#This Row],[反復]],$AN$6:$AO$15),LOOKUP(テーブル22[[#This Row],[反復]],$AN$20:$AO$29))))</f>
        <v>0</v>
      </c>
      <c r="V35" s="42">
        <f>IF(テーブル22[[#This Row],[ｼｬﾄﾙﾗﾝ]]="",0,(IF(テーブル22[[#This Row],[性別]]="男",LOOKUP(テーブル22[[#This Row],[ｼｬﾄﾙﾗﾝ]],$AR$6:$AS$15),LOOKUP(テーブル22[[#This Row],[ｼｬﾄﾙﾗﾝ]],$AR$20:$AS$29))))</f>
        <v>0</v>
      </c>
      <c r="W35" s="42">
        <f>IF(テーブル22[[#This Row],[50m走]]="",0,(IF(テーブル22[[#This Row],[性別]]="男",LOOKUP(テーブル22[[#This Row],[50m走]],$AT$6:$AU$15),LOOKUP(テーブル22[[#This Row],[50m走]],$AT$20:$AU$29))))</f>
        <v>0</v>
      </c>
      <c r="X35" s="42">
        <f>IF(テーブル22[[#This Row],[立幅とび]]="",0,(IF(テーブル22[[#This Row],[性別]]="男",LOOKUP(テーブル22[[#This Row],[立幅とび]],$AV$6:$AW$15),LOOKUP(テーブル22[[#This Row],[立幅とび]],$AV$20:$AW$29))))</f>
        <v>0</v>
      </c>
      <c r="Y35" s="42">
        <f>IF(テーブル22[[#This Row],[ボール投げ]]="",0,(IF(テーブル22[[#This Row],[性別]]="男",LOOKUP(テーブル22[[#This Row],[ボール投げ]],$AX$6:$AY$15),LOOKUP(テーブル22[[#This Row],[ボール投げ]],$AX$20:$AY$29))))</f>
        <v>0</v>
      </c>
      <c r="Z35" s="19" t="str">
        <f>IF(テーブル22[[#This Row],[学年]]=1,6,IF(テーブル22[[#This Row],[学年]]=2,7,IF(テーブル22[[#This Row],[学年]]=3,8,IF(テーブル22[[#This Row],[学年]]=4,9,IF(テーブル22[[#This Row],[学年]]=5,10,IF(テーブル22[[#This Row],[学年]]=6,11," "))))))</f>
        <v xml:space="preserve"> </v>
      </c>
      <c r="AA35" s="125" t="str">
        <f>IF(テーブル22[[#This Row],[肥満度数値]]="","",LOOKUP(AC35,$AW$39:$AW$44,$AX$39:$AX$44))</f>
        <v/>
      </c>
      <c r="AB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 s="124" t="str">
        <f>IF(テーブル22[[#This Row],[体重]]="","",(テーブル22[[#This Row],[体重]]-テーブル22[[#This Row],[標準体重]])/テーブル22[[#This Row],[標準体重]]*100)</f>
        <v/>
      </c>
      <c r="AD35" s="1">
        <f>COUNTA(テーブル22[[#This Row],[握力]:[ボール投げ]])</f>
        <v>0</v>
      </c>
      <c r="AE35" s="1" t="str">
        <f>IF(テーブル22[[#This Row],[判定]]=$BD$10,"○","")</f>
        <v/>
      </c>
      <c r="AF35" s="1" t="str">
        <f>IF(AE35="","",COUNTIF($AE$6:AE35,"○"))</f>
        <v/>
      </c>
      <c r="AG35" s="1"/>
      <c r="BA35" s="57" t="s">
        <v>232</v>
      </c>
      <c r="BB35" s="57"/>
      <c r="BC35" s="57"/>
      <c r="BD35" s="57"/>
      <c r="BE35" s="57"/>
    </row>
    <row r="36" spans="1:57" ht="14.25" customHeight="1" x14ac:dyDescent="0.2">
      <c r="A36" s="40">
        <v>31</v>
      </c>
      <c r="B36" s="145"/>
      <c r="C36" s="148"/>
      <c r="D36" s="145"/>
      <c r="E36" s="156"/>
      <c r="F36" s="145"/>
      <c r="G36" s="145"/>
      <c r="H36" s="146"/>
      <c r="I36" s="146"/>
      <c r="J36" s="148"/>
      <c r="K36" s="145"/>
      <c r="L36" s="148"/>
      <c r="M36" s="149"/>
      <c r="N36" s="148"/>
      <c r="O36" s="150"/>
      <c r="P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 s="43" t="str">
        <f>IF(テーブル22[[#This Row],[得点]]="","",IF(テーブル22[[#This Row],[年齢]]&gt;10,LOOKUP(P36,$BG$6:$BG$10,$BD$6:$BD$10),IF(テーブル22[[#This Row],[年齢]]&gt;9,LOOKUP(P36,$BF$6:$BF$10,$BD$6:$BD$10),IF(テーブル22[[#This Row],[年齢]]&gt;8,LOOKUP(P36,$BE$6:$BE$10,$BD$6:$BD$10),IF(テーブル22[[#This Row],[年齢]]&gt;7,LOOKUP(P36,$BC$6:$BC$10,$BD$6:$BD$10),IF(テーブル22[[#This Row],[年齢]]&gt;6,LOOKUP(P36,$BB$6:$BB$10,$BD$6:$BD$10),LOOKUP(P36,$BA$6:$BA$10,$BD$6:$BD$10)))))))</f>
        <v/>
      </c>
      <c r="R36" s="42">
        <f>IF(H36="",0,(IF(テーブル22[[#This Row],[性別]]="男",LOOKUP(テーブル22[[#This Row],[握力]],$AH$6:$AI$15),LOOKUP(テーブル22[[#This Row],[握力]],$AH$20:$AI$29))))</f>
        <v>0</v>
      </c>
      <c r="S36" s="42">
        <f>IF(テーブル22[[#This Row],[上体]]="",0,(IF(テーブル22[[#This Row],[性別]]="男",LOOKUP(テーブル22[[#This Row],[上体]],$AJ$6:$AK$15),LOOKUP(テーブル22[[#This Row],[上体]],$AJ$20:$AK$29))))</f>
        <v>0</v>
      </c>
      <c r="T36" s="42">
        <f>IF(テーブル22[[#This Row],[長座]]="",0,(IF(テーブル22[[#This Row],[性別]]="男",LOOKUP(テーブル22[[#This Row],[長座]],$AL$6:$AM$15),LOOKUP(テーブル22[[#This Row],[長座]],$AL$20:$AM$29))))</f>
        <v>0</v>
      </c>
      <c r="U36" s="42">
        <f>IF(テーブル22[[#This Row],[反復]]="",0,(IF(テーブル22[[#This Row],[性別]]="男",LOOKUP(テーブル22[[#This Row],[反復]],$AN$6:$AO$15),LOOKUP(テーブル22[[#This Row],[反復]],$AN$20:$AO$29))))</f>
        <v>0</v>
      </c>
      <c r="V36" s="42">
        <f>IF(テーブル22[[#This Row],[ｼｬﾄﾙﾗﾝ]]="",0,(IF(テーブル22[[#This Row],[性別]]="男",LOOKUP(テーブル22[[#This Row],[ｼｬﾄﾙﾗﾝ]],$AR$6:$AS$15),LOOKUP(テーブル22[[#This Row],[ｼｬﾄﾙﾗﾝ]],$AR$20:$AS$29))))</f>
        <v>0</v>
      </c>
      <c r="W36" s="42">
        <f>IF(テーブル22[[#This Row],[50m走]]="",0,(IF(テーブル22[[#This Row],[性別]]="男",LOOKUP(テーブル22[[#This Row],[50m走]],$AT$6:$AU$15),LOOKUP(テーブル22[[#This Row],[50m走]],$AT$20:$AU$29))))</f>
        <v>0</v>
      </c>
      <c r="X36" s="42">
        <f>IF(テーブル22[[#This Row],[立幅とび]]="",0,(IF(テーブル22[[#This Row],[性別]]="男",LOOKUP(テーブル22[[#This Row],[立幅とび]],$AV$6:$AW$15),LOOKUP(テーブル22[[#This Row],[立幅とび]],$AV$20:$AW$29))))</f>
        <v>0</v>
      </c>
      <c r="Y36" s="42">
        <f>IF(テーブル22[[#This Row],[ボール投げ]]="",0,(IF(テーブル22[[#This Row],[性別]]="男",LOOKUP(テーブル22[[#This Row],[ボール投げ]],$AX$6:$AY$15),LOOKUP(テーブル22[[#This Row],[ボール投げ]],$AX$20:$AY$29))))</f>
        <v>0</v>
      </c>
      <c r="Z36" s="19" t="str">
        <f>IF(テーブル22[[#This Row],[学年]]=1,6,IF(テーブル22[[#This Row],[学年]]=2,7,IF(テーブル22[[#This Row],[学年]]=3,8,IF(テーブル22[[#This Row],[学年]]=4,9,IF(テーブル22[[#This Row],[学年]]=5,10,IF(テーブル22[[#This Row],[学年]]=6,11," "))))))</f>
        <v xml:space="preserve"> </v>
      </c>
      <c r="AA36" s="125" t="str">
        <f>IF(テーブル22[[#This Row],[肥満度数値]]="","",LOOKUP(AC36,$AW$39:$AW$44,$AX$39:$AX$44))</f>
        <v/>
      </c>
      <c r="AB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 s="124" t="str">
        <f>IF(テーブル22[[#This Row],[体重]]="","",(テーブル22[[#This Row],[体重]]-テーブル22[[#This Row],[標準体重]])/テーブル22[[#This Row],[標準体重]]*100)</f>
        <v/>
      </c>
      <c r="AD36" s="1">
        <f>COUNTA(テーブル22[[#This Row],[握力]:[ボール投げ]])</f>
        <v>0</v>
      </c>
      <c r="AE36" s="1" t="str">
        <f>IF(テーブル22[[#This Row],[判定]]=$BD$10,"○","")</f>
        <v/>
      </c>
      <c r="AF36" s="1" t="str">
        <f>IF(AE36="","",COUNTIF($AE$6:AE36,"○"))</f>
        <v/>
      </c>
      <c r="AG36" s="1"/>
      <c r="BA36" s="57"/>
      <c r="BB36" s="57"/>
      <c r="BC36" s="57" t="s">
        <v>233</v>
      </c>
      <c r="BD36" s="57"/>
      <c r="BE36" s="57"/>
    </row>
    <row r="37" spans="1:57" ht="14.25" customHeight="1" x14ac:dyDescent="0.2">
      <c r="A37" s="40">
        <v>32</v>
      </c>
      <c r="B37" s="145"/>
      <c r="C37" s="148"/>
      <c r="D37" s="145"/>
      <c r="E37" s="156"/>
      <c r="F37" s="145"/>
      <c r="G37" s="145"/>
      <c r="H37" s="146"/>
      <c r="I37" s="146"/>
      <c r="J37" s="148"/>
      <c r="K37" s="145"/>
      <c r="L37" s="148"/>
      <c r="M37" s="149"/>
      <c r="N37" s="148"/>
      <c r="O37" s="150"/>
      <c r="P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 s="43" t="str">
        <f>IF(テーブル22[[#This Row],[得点]]="","",IF(テーブル22[[#This Row],[年齢]]&gt;10,LOOKUP(P37,$BG$6:$BG$10,$BD$6:$BD$10),IF(テーブル22[[#This Row],[年齢]]&gt;9,LOOKUP(P37,$BF$6:$BF$10,$BD$6:$BD$10),IF(テーブル22[[#This Row],[年齢]]&gt;8,LOOKUP(P37,$BE$6:$BE$10,$BD$6:$BD$10),IF(テーブル22[[#This Row],[年齢]]&gt;7,LOOKUP(P37,$BC$6:$BC$10,$BD$6:$BD$10),IF(テーブル22[[#This Row],[年齢]]&gt;6,LOOKUP(P37,$BB$6:$BB$10,$BD$6:$BD$10),LOOKUP(P37,$BA$6:$BA$10,$BD$6:$BD$10)))))))</f>
        <v/>
      </c>
      <c r="R37" s="42">
        <f>IF(H37="",0,(IF(テーブル22[[#This Row],[性別]]="男",LOOKUP(テーブル22[[#This Row],[握力]],$AH$6:$AI$15),LOOKUP(テーブル22[[#This Row],[握力]],$AH$20:$AI$29))))</f>
        <v>0</v>
      </c>
      <c r="S37" s="42">
        <f>IF(テーブル22[[#This Row],[上体]]="",0,(IF(テーブル22[[#This Row],[性別]]="男",LOOKUP(テーブル22[[#This Row],[上体]],$AJ$6:$AK$15),LOOKUP(テーブル22[[#This Row],[上体]],$AJ$20:$AK$29))))</f>
        <v>0</v>
      </c>
      <c r="T37" s="42">
        <f>IF(テーブル22[[#This Row],[長座]]="",0,(IF(テーブル22[[#This Row],[性別]]="男",LOOKUP(テーブル22[[#This Row],[長座]],$AL$6:$AM$15),LOOKUP(テーブル22[[#This Row],[長座]],$AL$20:$AM$29))))</f>
        <v>0</v>
      </c>
      <c r="U37" s="42">
        <f>IF(テーブル22[[#This Row],[反復]]="",0,(IF(テーブル22[[#This Row],[性別]]="男",LOOKUP(テーブル22[[#This Row],[反復]],$AN$6:$AO$15),LOOKUP(テーブル22[[#This Row],[反復]],$AN$20:$AO$29))))</f>
        <v>0</v>
      </c>
      <c r="V37" s="42">
        <f>IF(テーブル22[[#This Row],[ｼｬﾄﾙﾗﾝ]]="",0,(IF(テーブル22[[#This Row],[性別]]="男",LOOKUP(テーブル22[[#This Row],[ｼｬﾄﾙﾗﾝ]],$AR$6:$AS$15),LOOKUP(テーブル22[[#This Row],[ｼｬﾄﾙﾗﾝ]],$AR$20:$AS$29))))</f>
        <v>0</v>
      </c>
      <c r="W37" s="42">
        <f>IF(テーブル22[[#This Row],[50m走]]="",0,(IF(テーブル22[[#This Row],[性別]]="男",LOOKUP(テーブル22[[#This Row],[50m走]],$AT$6:$AU$15),LOOKUP(テーブル22[[#This Row],[50m走]],$AT$20:$AU$29))))</f>
        <v>0</v>
      </c>
      <c r="X37" s="42">
        <f>IF(テーブル22[[#This Row],[立幅とび]]="",0,(IF(テーブル22[[#This Row],[性別]]="男",LOOKUP(テーブル22[[#This Row],[立幅とび]],$AV$6:$AW$15),LOOKUP(テーブル22[[#This Row],[立幅とび]],$AV$20:$AW$29))))</f>
        <v>0</v>
      </c>
      <c r="Y37" s="42">
        <f>IF(テーブル22[[#This Row],[ボール投げ]]="",0,(IF(テーブル22[[#This Row],[性別]]="男",LOOKUP(テーブル22[[#This Row],[ボール投げ]],$AX$6:$AY$15),LOOKUP(テーブル22[[#This Row],[ボール投げ]],$AX$20:$AY$29))))</f>
        <v>0</v>
      </c>
      <c r="Z37" s="19" t="str">
        <f>IF(テーブル22[[#This Row],[学年]]=1,6,IF(テーブル22[[#This Row],[学年]]=2,7,IF(テーブル22[[#This Row],[学年]]=3,8,IF(テーブル22[[#This Row],[学年]]=4,9,IF(テーブル22[[#This Row],[学年]]=5,10,IF(テーブル22[[#This Row],[学年]]=6,11," "))))))</f>
        <v xml:space="preserve"> </v>
      </c>
      <c r="AA37" s="125" t="str">
        <f>IF(テーブル22[[#This Row],[肥満度数値]]="","",LOOKUP(AC37,$AW$39:$AW$44,$AX$39:$AX$44))</f>
        <v/>
      </c>
      <c r="AB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 s="124" t="str">
        <f>IF(テーブル22[[#This Row],[体重]]="","",(テーブル22[[#This Row],[体重]]-テーブル22[[#This Row],[標準体重]])/テーブル22[[#This Row],[標準体重]]*100)</f>
        <v/>
      </c>
      <c r="AD37" s="1">
        <f>COUNTA(テーブル22[[#This Row],[握力]:[ボール投げ]])</f>
        <v>0</v>
      </c>
      <c r="AE37" s="1" t="str">
        <f>IF(テーブル22[[#This Row],[判定]]=$BD$10,"○","")</f>
        <v/>
      </c>
      <c r="AF37" s="1" t="str">
        <f>IF(AE37="","",COUNTIF($AE$6:AE37,"○"))</f>
        <v/>
      </c>
      <c r="AG37" s="1"/>
      <c r="BA37" s="57"/>
      <c r="BB37" s="122" t="s">
        <v>234</v>
      </c>
      <c r="BC37" s="57"/>
      <c r="BD37" s="57"/>
      <c r="BE37" s="57"/>
    </row>
    <row r="38" spans="1:57" ht="14.25" customHeight="1" x14ac:dyDescent="0.2">
      <c r="A38" s="40">
        <v>33</v>
      </c>
      <c r="B38" s="145"/>
      <c r="C38" s="148"/>
      <c r="D38" s="145"/>
      <c r="E38" s="156"/>
      <c r="F38" s="145"/>
      <c r="G38" s="145"/>
      <c r="H38" s="146"/>
      <c r="I38" s="146"/>
      <c r="J38" s="148"/>
      <c r="K38" s="145"/>
      <c r="L38" s="148"/>
      <c r="M38" s="149"/>
      <c r="N38" s="148"/>
      <c r="O38" s="150"/>
      <c r="P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 s="43" t="str">
        <f>IF(テーブル22[[#This Row],[得点]]="","",IF(テーブル22[[#This Row],[年齢]]&gt;10,LOOKUP(P38,$BG$6:$BG$10,$BD$6:$BD$10),IF(テーブル22[[#This Row],[年齢]]&gt;9,LOOKUP(P38,$BF$6:$BF$10,$BD$6:$BD$10),IF(テーブル22[[#This Row],[年齢]]&gt;8,LOOKUP(P38,$BE$6:$BE$10,$BD$6:$BD$10),IF(テーブル22[[#This Row],[年齢]]&gt;7,LOOKUP(P38,$BC$6:$BC$10,$BD$6:$BD$10),IF(テーブル22[[#This Row],[年齢]]&gt;6,LOOKUP(P38,$BB$6:$BB$10,$BD$6:$BD$10),LOOKUP(P38,$BA$6:$BA$10,$BD$6:$BD$10)))))))</f>
        <v/>
      </c>
      <c r="R38" s="42">
        <f>IF(H38="",0,(IF(テーブル22[[#This Row],[性別]]="男",LOOKUP(テーブル22[[#This Row],[握力]],$AH$6:$AI$15),LOOKUP(テーブル22[[#This Row],[握力]],$AH$20:$AI$29))))</f>
        <v>0</v>
      </c>
      <c r="S38" s="42">
        <f>IF(テーブル22[[#This Row],[上体]]="",0,(IF(テーブル22[[#This Row],[性別]]="男",LOOKUP(テーブル22[[#This Row],[上体]],$AJ$6:$AK$15),LOOKUP(テーブル22[[#This Row],[上体]],$AJ$20:$AK$29))))</f>
        <v>0</v>
      </c>
      <c r="T38" s="42">
        <f>IF(テーブル22[[#This Row],[長座]]="",0,(IF(テーブル22[[#This Row],[性別]]="男",LOOKUP(テーブル22[[#This Row],[長座]],$AL$6:$AM$15),LOOKUP(テーブル22[[#This Row],[長座]],$AL$20:$AM$29))))</f>
        <v>0</v>
      </c>
      <c r="U38" s="42">
        <f>IF(テーブル22[[#This Row],[反復]]="",0,(IF(テーブル22[[#This Row],[性別]]="男",LOOKUP(テーブル22[[#This Row],[反復]],$AN$6:$AO$15),LOOKUP(テーブル22[[#This Row],[反復]],$AN$20:$AO$29))))</f>
        <v>0</v>
      </c>
      <c r="V38" s="42">
        <f>IF(テーブル22[[#This Row],[ｼｬﾄﾙﾗﾝ]]="",0,(IF(テーブル22[[#This Row],[性別]]="男",LOOKUP(テーブル22[[#This Row],[ｼｬﾄﾙﾗﾝ]],$AR$6:$AS$15),LOOKUP(テーブル22[[#This Row],[ｼｬﾄﾙﾗﾝ]],$AR$20:$AS$29))))</f>
        <v>0</v>
      </c>
      <c r="W38" s="42">
        <f>IF(テーブル22[[#This Row],[50m走]]="",0,(IF(テーブル22[[#This Row],[性別]]="男",LOOKUP(テーブル22[[#This Row],[50m走]],$AT$6:$AU$15),LOOKUP(テーブル22[[#This Row],[50m走]],$AT$20:$AU$29))))</f>
        <v>0</v>
      </c>
      <c r="X38" s="42">
        <f>IF(テーブル22[[#This Row],[立幅とび]]="",0,(IF(テーブル22[[#This Row],[性別]]="男",LOOKUP(テーブル22[[#This Row],[立幅とび]],$AV$6:$AW$15),LOOKUP(テーブル22[[#This Row],[立幅とび]],$AV$20:$AW$29))))</f>
        <v>0</v>
      </c>
      <c r="Y38" s="42">
        <f>IF(テーブル22[[#This Row],[ボール投げ]]="",0,(IF(テーブル22[[#This Row],[性別]]="男",LOOKUP(テーブル22[[#This Row],[ボール投げ]],$AX$6:$AY$15),LOOKUP(テーブル22[[#This Row],[ボール投げ]],$AX$20:$AY$29))))</f>
        <v>0</v>
      </c>
      <c r="Z38" s="19" t="str">
        <f>IF(テーブル22[[#This Row],[学年]]=1,6,IF(テーブル22[[#This Row],[学年]]=2,7,IF(テーブル22[[#This Row],[学年]]=3,8,IF(テーブル22[[#This Row],[学年]]=4,9,IF(テーブル22[[#This Row],[学年]]=5,10,IF(テーブル22[[#This Row],[学年]]=6,11," "))))))</f>
        <v xml:space="preserve"> </v>
      </c>
      <c r="AA38" s="125" t="str">
        <f>IF(テーブル22[[#This Row],[肥満度数値]]="","",LOOKUP(AC38,$AW$39:$AW$44,$AX$39:$AX$44))</f>
        <v/>
      </c>
      <c r="AB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 s="124" t="str">
        <f>IF(テーブル22[[#This Row],[体重]]="","",(テーブル22[[#This Row],[体重]]-テーブル22[[#This Row],[標準体重]])/テーブル22[[#This Row],[標準体重]]*100)</f>
        <v/>
      </c>
      <c r="AD38" s="1">
        <f>COUNTA(テーブル22[[#This Row],[握力]:[ボール投げ]])</f>
        <v>0</v>
      </c>
      <c r="AE38" s="1" t="str">
        <f>IF(テーブル22[[#This Row],[判定]]=$BD$10,"○","")</f>
        <v/>
      </c>
      <c r="AF38" s="1" t="str">
        <f>IF(AE38="","",COUNTIF($AE$6:AE38,"○"))</f>
        <v/>
      </c>
      <c r="AG38" s="1"/>
      <c r="BA38" s="57"/>
      <c r="BB38" s="121" t="s">
        <v>235</v>
      </c>
      <c r="BC38" s="121" t="s">
        <v>236</v>
      </c>
      <c r="BD38" s="57"/>
      <c r="BE38" s="57"/>
    </row>
    <row r="39" spans="1:57" ht="14.25" customHeight="1" x14ac:dyDescent="0.2">
      <c r="A39" s="40">
        <v>34</v>
      </c>
      <c r="B39" s="145"/>
      <c r="C39" s="148"/>
      <c r="D39" s="145"/>
      <c r="E39" s="156"/>
      <c r="F39" s="145"/>
      <c r="G39" s="145"/>
      <c r="H39" s="146"/>
      <c r="I39" s="146"/>
      <c r="J39" s="148"/>
      <c r="K39" s="145"/>
      <c r="L39" s="148"/>
      <c r="M39" s="149"/>
      <c r="N39" s="148"/>
      <c r="O39" s="150"/>
      <c r="P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 s="43" t="str">
        <f>IF(テーブル22[[#This Row],[得点]]="","",IF(テーブル22[[#This Row],[年齢]]&gt;10,LOOKUP(P39,$BG$6:$BG$10,$BD$6:$BD$10),IF(テーブル22[[#This Row],[年齢]]&gt;9,LOOKUP(P39,$BF$6:$BF$10,$BD$6:$BD$10),IF(テーブル22[[#This Row],[年齢]]&gt;8,LOOKUP(P39,$BE$6:$BE$10,$BD$6:$BD$10),IF(テーブル22[[#This Row],[年齢]]&gt;7,LOOKUP(P39,$BC$6:$BC$10,$BD$6:$BD$10),IF(テーブル22[[#This Row],[年齢]]&gt;6,LOOKUP(P39,$BB$6:$BB$10,$BD$6:$BD$10),LOOKUP(P39,$BA$6:$BA$10,$BD$6:$BD$10)))))))</f>
        <v/>
      </c>
      <c r="R39" s="42">
        <f>IF(H39="",0,(IF(テーブル22[[#This Row],[性別]]="男",LOOKUP(テーブル22[[#This Row],[握力]],$AH$6:$AI$15),LOOKUP(テーブル22[[#This Row],[握力]],$AH$20:$AI$29))))</f>
        <v>0</v>
      </c>
      <c r="S39" s="42">
        <f>IF(テーブル22[[#This Row],[上体]]="",0,(IF(テーブル22[[#This Row],[性別]]="男",LOOKUP(テーブル22[[#This Row],[上体]],$AJ$6:$AK$15),LOOKUP(テーブル22[[#This Row],[上体]],$AJ$20:$AK$29))))</f>
        <v>0</v>
      </c>
      <c r="T39" s="42">
        <f>IF(テーブル22[[#This Row],[長座]]="",0,(IF(テーブル22[[#This Row],[性別]]="男",LOOKUP(テーブル22[[#This Row],[長座]],$AL$6:$AM$15),LOOKUP(テーブル22[[#This Row],[長座]],$AL$20:$AM$29))))</f>
        <v>0</v>
      </c>
      <c r="U39" s="42">
        <f>IF(テーブル22[[#This Row],[反復]]="",0,(IF(テーブル22[[#This Row],[性別]]="男",LOOKUP(テーブル22[[#This Row],[反復]],$AN$6:$AO$15),LOOKUP(テーブル22[[#This Row],[反復]],$AN$20:$AO$29))))</f>
        <v>0</v>
      </c>
      <c r="V39" s="42">
        <f>IF(テーブル22[[#This Row],[ｼｬﾄﾙﾗﾝ]]="",0,(IF(テーブル22[[#This Row],[性別]]="男",LOOKUP(テーブル22[[#This Row],[ｼｬﾄﾙﾗﾝ]],$AR$6:$AS$15),LOOKUP(テーブル22[[#This Row],[ｼｬﾄﾙﾗﾝ]],$AR$20:$AS$29))))</f>
        <v>0</v>
      </c>
      <c r="W39" s="42">
        <f>IF(テーブル22[[#This Row],[50m走]]="",0,(IF(テーブル22[[#This Row],[性別]]="男",LOOKUP(テーブル22[[#This Row],[50m走]],$AT$6:$AU$15),LOOKUP(テーブル22[[#This Row],[50m走]],$AT$20:$AU$29))))</f>
        <v>0</v>
      </c>
      <c r="X39" s="42">
        <f>IF(テーブル22[[#This Row],[立幅とび]]="",0,(IF(テーブル22[[#This Row],[性別]]="男",LOOKUP(テーブル22[[#This Row],[立幅とび]],$AV$6:$AW$15),LOOKUP(テーブル22[[#This Row],[立幅とび]],$AV$20:$AW$29))))</f>
        <v>0</v>
      </c>
      <c r="Y39" s="42">
        <f>IF(テーブル22[[#This Row],[ボール投げ]]="",0,(IF(テーブル22[[#This Row],[性別]]="男",LOOKUP(テーブル22[[#This Row],[ボール投げ]],$AX$6:$AY$15),LOOKUP(テーブル22[[#This Row],[ボール投げ]],$AX$20:$AY$29))))</f>
        <v>0</v>
      </c>
      <c r="Z39" s="19" t="str">
        <f>IF(テーブル22[[#This Row],[学年]]=1,6,IF(テーブル22[[#This Row],[学年]]=2,7,IF(テーブル22[[#This Row],[学年]]=3,8,IF(テーブル22[[#This Row],[学年]]=4,9,IF(テーブル22[[#This Row],[学年]]=5,10,IF(テーブル22[[#This Row],[学年]]=6,11," "))))))</f>
        <v xml:space="preserve"> </v>
      </c>
      <c r="AA39" s="125" t="str">
        <f>IF(テーブル22[[#This Row],[肥満度数値]]="","",LOOKUP(AC39,$AW$39:$AW$44,$AX$39:$AX$44))</f>
        <v/>
      </c>
      <c r="AB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 s="124" t="str">
        <f>IF(テーブル22[[#This Row],[体重]]="","",(テーブル22[[#This Row],[体重]]-テーブル22[[#This Row],[標準体重]])/テーブル22[[#This Row],[標準体重]]*100)</f>
        <v/>
      </c>
      <c r="AD39" s="1">
        <f>COUNTA(テーブル22[[#This Row],[握力]:[ボール投げ]])</f>
        <v>0</v>
      </c>
      <c r="AE39" s="1" t="str">
        <f>IF(テーブル22[[#This Row],[判定]]=$BD$10,"○","")</f>
        <v/>
      </c>
      <c r="AF39" s="1" t="str">
        <f>IF(AE39="","",COUNTIF($AE$6:AE39,"○"))</f>
        <v/>
      </c>
      <c r="AG39" s="1"/>
      <c r="AW39">
        <v>-100</v>
      </c>
      <c r="AX39" t="s">
        <v>251</v>
      </c>
      <c r="BA39" s="57">
        <v>1</v>
      </c>
      <c r="BB39" s="121">
        <v>50</v>
      </c>
      <c r="BC39" s="123" t="s">
        <v>237</v>
      </c>
      <c r="BD39" s="57"/>
      <c r="BE39" s="57"/>
    </row>
    <row r="40" spans="1:57" ht="14.25" customHeight="1" x14ac:dyDescent="0.2">
      <c r="A40" s="40">
        <v>35</v>
      </c>
      <c r="B40" s="145"/>
      <c r="C40" s="148"/>
      <c r="D40" s="145"/>
      <c r="E40" s="156"/>
      <c r="F40" s="145"/>
      <c r="G40" s="145"/>
      <c r="H40" s="146"/>
      <c r="I40" s="146"/>
      <c r="J40" s="148"/>
      <c r="K40" s="145"/>
      <c r="L40" s="148"/>
      <c r="M40" s="149"/>
      <c r="N40" s="148"/>
      <c r="O40" s="150"/>
      <c r="P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 s="43" t="str">
        <f>IF(テーブル22[[#This Row],[得点]]="","",IF(テーブル22[[#This Row],[年齢]]&gt;10,LOOKUP(P40,$BG$6:$BG$10,$BD$6:$BD$10),IF(テーブル22[[#This Row],[年齢]]&gt;9,LOOKUP(P40,$BF$6:$BF$10,$BD$6:$BD$10),IF(テーブル22[[#This Row],[年齢]]&gt;8,LOOKUP(P40,$BE$6:$BE$10,$BD$6:$BD$10),IF(テーブル22[[#This Row],[年齢]]&gt;7,LOOKUP(P40,$BC$6:$BC$10,$BD$6:$BD$10),IF(テーブル22[[#This Row],[年齢]]&gt;6,LOOKUP(P40,$BB$6:$BB$10,$BD$6:$BD$10),LOOKUP(P40,$BA$6:$BA$10,$BD$6:$BD$10)))))))</f>
        <v/>
      </c>
      <c r="R40" s="42">
        <f>IF(H40="",0,(IF(テーブル22[[#This Row],[性別]]="男",LOOKUP(テーブル22[[#This Row],[握力]],$AH$6:$AI$15),LOOKUP(テーブル22[[#This Row],[握力]],$AH$20:$AI$29))))</f>
        <v>0</v>
      </c>
      <c r="S40" s="42">
        <f>IF(テーブル22[[#This Row],[上体]]="",0,(IF(テーブル22[[#This Row],[性別]]="男",LOOKUP(テーブル22[[#This Row],[上体]],$AJ$6:$AK$15),LOOKUP(テーブル22[[#This Row],[上体]],$AJ$20:$AK$29))))</f>
        <v>0</v>
      </c>
      <c r="T40" s="42">
        <f>IF(テーブル22[[#This Row],[長座]]="",0,(IF(テーブル22[[#This Row],[性別]]="男",LOOKUP(テーブル22[[#This Row],[長座]],$AL$6:$AM$15),LOOKUP(テーブル22[[#This Row],[長座]],$AL$20:$AM$29))))</f>
        <v>0</v>
      </c>
      <c r="U40" s="42">
        <f>IF(テーブル22[[#This Row],[反復]]="",0,(IF(テーブル22[[#This Row],[性別]]="男",LOOKUP(テーブル22[[#This Row],[反復]],$AN$6:$AO$15),LOOKUP(テーブル22[[#This Row],[反復]],$AN$20:$AO$29))))</f>
        <v>0</v>
      </c>
      <c r="V40" s="42">
        <f>IF(テーブル22[[#This Row],[ｼｬﾄﾙﾗﾝ]]="",0,(IF(テーブル22[[#This Row],[性別]]="男",LOOKUP(テーブル22[[#This Row],[ｼｬﾄﾙﾗﾝ]],$AR$6:$AS$15),LOOKUP(テーブル22[[#This Row],[ｼｬﾄﾙﾗﾝ]],$AR$20:$AS$29))))</f>
        <v>0</v>
      </c>
      <c r="W40" s="42">
        <f>IF(テーブル22[[#This Row],[50m走]]="",0,(IF(テーブル22[[#This Row],[性別]]="男",LOOKUP(テーブル22[[#This Row],[50m走]],$AT$6:$AU$15),LOOKUP(テーブル22[[#This Row],[50m走]],$AT$20:$AU$29))))</f>
        <v>0</v>
      </c>
      <c r="X40" s="42">
        <f>IF(テーブル22[[#This Row],[立幅とび]]="",0,(IF(テーブル22[[#This Row],[性別]]="男",LOOKUP(テーブル22[[#This Row],[立幅とび]],$AV$6:$AW$15),LOOKUP(テーブル22[[#This Row],[立幅とび]],$AV$20:$AW$29))))</f>
        <v>0</v>
      </c>
      <c r="Y40" s="42">
        <f>IF(テーブル22[[#This Row],[ボール投げ]]="",0,(IF(テーブル22[[#This Row],[性別]]="男",LOOKUP(テーブル22[[#This Row],[ボール投げ]],$AX$6:$AY$15),LOOKUP(テーブル22[[#This Row],[ボール投げ]],$AX$20:$AY$29))))</f>
        <v>0</v>
      </c>
      <c r="Z40" s="19" t="str">
        <f>IF(テーブル22[[#This Row],[学年]]=1,6,IF(テーブル22[[#This Row],[学年]]=2,7,IF(テーブル22[[#This Row],[学年]]=3,8,IF(テーブル22[[#This Row],[学年]]=4,9,IF(テーブル22[[#This Row],[学年]]=5,10,IF(テーブル22[[#This Row],[学年]]=6,11," "))))))</f>
        <v xml:space="preserve"> </v>
      </c>
      <c r="AA40" s="125" t="str">
        <f>IF(テーブル22[[#This Row],[肥満度数値]]="","",LOOKUP(AC40,$AW$39:$AW$44,$AX$39:$AX$44))</f>
        <v/>
      </c>
      <c r="AB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 s="124" t="str">
        <f>IF(テーブル22[[#This Row],[体重]]="","",(テーブル22[[#This Row],[体重]]-テーブル22[[#This Row],[標準体重]])/テーブル22[[#This Row],[標準体重]]*100)</f>
        <v/>
      </c>
      <c r="AD40" s="1">
        <f>COUNTA(テーブル22[[#This Row],[握力]:[ボール投げ]])</f>
        <v>0</v>
      </c>
      <c r="AE40" s="1" t="str">
        <f>IF(テーブル22[[#This Row],[判定]]=$BD$10,"○","")</f>
        <v/>
      </c>
      <c r="AF40" s="1" t="str">
        <f>IF(AE40="","",COUNTIF($AE$6:AE40,"○"))</f>
        <v/>
      </c>
      <c r="AG40" s="1"/>
      <c r="AW40">
        <v>-29.9</v>
      </c>
      <c r="AX40" t="s">
        <v>250</v>
      </c>
      <c r="BA40" s="57">
        <v>2</v>
      </c>
      <c r="BB40" s="121">
        <v>30</v>
      </c>
      <c r="BC40" s="123" t="s">
        <v>238</v>
      </c>
      <c r="BD40" s="57"/>
      <c r="BE40" s="57"/>
    </row>
    <row r="41" spans="1:57" ht="14.25" customHeight="1" x14ac:dyDescent="0.2">
      <c r="A41" s="40">
        <v>36</v>
      </c>
      <c r="B41" s="145"/>
      <c r="C41" s="148"/>
      <c r="D41" s="145"/>
      <c r="E41" s="156"/>
      <c r="F41" s="145"/>
      <c r="G41" s="145"/>
      <c r="H41" s="146"/>
      <c r="I41" s="146"/>
      <c r="J41" s="148"/>
      <c r="K41" s="145"/>
      <c r="L41" s="148"/>
      <c r="M41" s="149"/>
      <c r="N41" s="148"/>
      <c r="O41" s="150"/>
      <c r="P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 s="43" t="str">
        <f>IF(テーブル22[[#This Row],[得点]]="","",IF(テーブル22[[#This Row],[年齢]]&gt;10,LOOKUP(P41,$BG$6:$BG$10,$BD$6:$BD$10),IF(テーブル22[[#This Row],[年齢]]&gt;9,LOOKUP(P41,$BF$6:$BF$10,$BD$6:$BD$10),IF(テーブル22[[#This Row],[年齢]]&gt;8,LOOKUP(P41,$BE$6:$BE$10,$BD$6:$BD$10),IF(テーブル22[[#This Row],[年齢]]&gt;7,LOOKUP(P41,$BC$6:$BC$10,$BD$6:$BD$10),IF(テーブル22[[#This Row],[年齢]]&gt;6,LOOKUP(P41,$BB$6:$BB$10,$BD$6:$BD$10),LOOKUP(P41,$BA$6:$BA$10,$BD$6:$BD$10)))))))</f>
        <v/>
      </c>
      <c r="R41" s="42">
        <f>IF(H41="",0,(IF(テーブル22[[#This Row],[性別]]="男",LOOKUP(テーブル22[[#This Row],[握力]],$AH$6:$AI$15),LOOKUP(テーブル22[[#This Row],[握力]],$AH$20:$AI$29))))</f>
        <v>0</v>
      </c>
      <c r="S41" s="42">
        <f>IF(テーブル22[[#This Row],[上体]]="",0,(IF(テーブル22[[#This Row],[性別]]="男",LOOKUP(テーブル22[[#This Row],[上体]],$AJ$6:$AK$15),LOOKUP(テーブル22[[#This Row],[上体]],$AJ$20:$AK$29))))</f>
        <v>0</v>
      </c>
      <c r="T41" s="42">
        <f>IF(テーブル22[[#This Row],[長座]]="",0,(IF(テーブル22[[#This Row],[性別]]="男",LOOKUP(テーブル22[[#This Row],[長座]],$AL$6:$AM$15),LOOKUP(テーブル22[[#This Row],[長座]],$AL$20:$AM$29))))</f>
        <v>0</v>
      </c>
      <c r="U41" s="42">
        <f>IF(テーブル22[[#This Row],[反復]]="",0,(IF(テーブル22[[#This Row],[性別]]="男",LOOKUP(テーブル22[[#This Row],[反復]],$AN$6:$AO$15),LOOKUP(テーブル22[[#This Row],[反復]],$AN$20:$AO$29))))</f>
        <v>0</v>
      </c>
      <c r="V41" s="42">
        <f>IF(テーブル22[[#This Row],[ｼｬﾄﾙﾗﾝ]]="",0,(IF(テーブル22[[#This Row],[性別]]="男",LOOKUP(テーブル22[[#This Row],[ｼｬﾄﾙﾗﾝ]],$AR$6:$AS$15),LOOKUP(テーブル22[[#This Row],[ｼｬﾄﾙﾗﾝ]],$AR$20:$AS$29))))</f>
        <v>0</v>
      </c>
      <c r="W41" s="42">
        <f>IF(テーブル22[[#This Row],[50m走]]="",0,(IF(テーブル22[[#This Row],[性別]]="男",LOOKUP(テーブル22[[#This Row],[50m走]],$AT$6:$AU$15),LOOKUP(テーブル22[[#This Row],[50m走]],$AT$20:$AU$29))))</f>
        <v>0</v>
      </c>
      <c r="X41" s="42">
        <f>IF(テーブル22[[#This Row],[立幅とび]]="",0,(IF(テーブル22[[#This Row],[性別]]="男",LOOKUP(テーブル22[[#This Row],[立幅とび]],$AV$6:$AW$15),LOOKUP(テーブル22[[#This Row],[立幅とび]],$AV$20:$AW$29))))</f>
        <v>0</v>
      </c>
      <c r="Y41" s="42">
        <f>IF(テーブル22[[#This Row],[ボール投げ]]="",0,(IF(テーブル22[[#This Row],[性別]]="男",LOOKUP(テーブル22[[#This Row],[ボール投げ]],$AX$6:$AY$15),LOOKUP(テーブル22[[#This Row],[ボール投げ]],$AX$20:$AY$29))))</f>
        <v>0</v>
      </c>
      <c r="Z41" s="19" t="str">
        <f>IF(テーブル22[[#This Row],[学年]]=1,6,IF(テーブル22[[#This Row],[学年]]=2,7,IF(テーブル22[[#This Row],[学年]]=3,8,IF(テーブル22[[#This Row],[学年]]=4,9,IF(テーブル22[[#This Row],[学年]]=5,10,IF(テーブル22[[#This Row],[学年]]=6,11," "))))))</f>
        <v xml:space="preserve"> </v>
      </c>
      <c r="AA41" s="125" t="str">
        <f>IF(テーブル22[[#This Row],[肥満度数値]]="","",LOOKUP(AC41,$AW$39:$AW$44,$AX$39:$AX$44))</f>
        <v/>
      </c>
      <c r="AB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 s="124" t="str">
        <f>IF(テーブル22[[#This Row],[体重]]="","",(テーブル22[[#This Row],[体重]]-テーブル22[[#This Row],[標準体重]])/テーブル22[[#This Row],[標準体重]]*100)</f>
        <v/>
      </c>
      <c r="AD41" s="1">
        <f>COUNTA(テーブル22[[#This Row],[握力]:[ボール投げ]])</f>
        <v>0</v>
      </c>
      <c r="AE41" s="1" t="str">
        <f>IF(テーブル22[[#This Row],[判定]]=$BD$10,"○","")</f>
        <v/>
      </c>
      <c r="AF41" s="1" t="str">
        <f>IF(AE41="","",COUNTIF($AE$6:AE41,"○"))</f>
        <v/>
      </c>
      <c r="AG41" s="1"/>
      <c r="AW41">
        <v>-19.899999999999999</v>
      </c>
      <c r="AX41" t="s">
        <v>249</v>
      </c>
      <c r="BA41" s="57">
        <v>3</v>
      </c>
      <c r="BB41" s="121">
        <v>20</v>
      </c>
      <c r="BC41" s="123" t="s">
        <v>239</v>
      </c>
      <c r="BD41" s="57"/>
      <c r="BE41" s="57"/>
    </row>
    <row r="42" spans="1:57" ht="14.25" customHeight="1" x14ac:dyDescent="0.2">
      <c r="A42" s="40">
        <v>37</v>
      </c>
      <c r="B42" s="145"/>
      <c r="C42" s="148"/>
      <c r="D42" s="145"/>
      <c r="E42" s="156"/>
      <c r="F42" s="145"/>
      <c r="G42" s="145"/>
      <c r="H42" s="146"/>
      <c r="I42" s="146"/>
      <c r="J42" s="148"/>
      <c r="K42" s="145"/>
      <c r="L42" s="148"/>
      <c r="M42" s="149"/>
      <c r="N42" s="148"/>
      <c r="O42" s="150"/>
      <c r="P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 s="43" t="str">
        <f>IF(テーブル22[[#This Row],[得点]]="","",IF(テーブル22[[#This Row],[年齢]]&gt;10,LOOKUP(P42,$BG$6:$BG$10,$BD$6:$BD$10),IF(テーブル22[[#This Row],[年齢]]&gt;9,LOOKUP(P42,$BF$6:$BF$10,$BD$6:$BD$10),IF(テーブル22[[#This Row],[年齢]]&gt;8,LOOKUP(P42,$BE$6:$BE$10,$BD$6:$BD$10),IF(テーブル22[[#This Row],[年齢]]&gt;7,LOOKUP(P42,$BC$6:$BC$10,$BD$6:$BD$10),IF(テーブル22[[#This Row],[年齢]]&gt;6,LOOKUP(P42,$BB$6:$BB$10,$BD$6:$BD$10),LOOKUP(P42,$BA$6:$BA$10,$BD$6:$BD$10)))))))</f>
        <v/>
      </c>
      <c r="R42" s="42">
        <f>IF(H42="",0,(IF(テーブル22[[#This Row],[性別]]="男",LOOKUP(テーブル22[[#This Row],[握力]],$AH$6:$AI$15),LOOKUP(テーブル22[[#This Row],[握力]],$AH$20:$AI$29))))</f>
        <v>0</v>
      </c>
      <c r="S42" s="42">
        <f>IF(テーブル22[[#This Row],[上体]]="",0,(IF(テーブル22[[#This Row],[性別]]="男",LOOKUP(テーブル22[[#This Row],[上体]],$AJ$6:$AK$15),LOOKUP(テーブル22[[#This Row],[上体]],$AJ$20:$AK$29))))</f>
        <v>0</v>
      </c>
      <c r="T42" s="42">
        <f>IF(テーブル22[[#This Row],[長座]]="",0,(IF(テーブル22[[#This Row],[性別]]="男",LOOKUP(テーブル22[[#This Row],[長座]],$AL$6:$AM$15),LOOKUP(テーブル22[[#This Row],[長座]],$AL$20:$AM$29))))</f>
        <v>0</v>
      </c>
      <c r="U42" s="42">
        <f>IF(テーブル22[[#This Row],[反復]]="",0,(IF(テーブル22[[#This Row],[性別]]="男",LOOKUP(テーブル22[[#This Row],[反復]],$AN$6:$AO$15),LOOKUP(テーブル22[[#This Row],[反復]],$AN$20:$AO$29))))</f>
        <v>0</v>
      </c>
      <c r="V42" s="42">
        <f>IF(テーブル22[[#This Row],[ｼｬﾄﾙﾗﾝ]]="",0,(IF(テーブル22[[#This Row],[性別]]="男",LOOKUP(テーブル22[[#This Row],[ｼｬﾄﾙﾗﾝ]],$AR$6:$AS$15),LOOKUP(テーブル22[[#This Row],[ｼｬﾄﾙﾗﾝ]],$AR$20:$AS$29))))</f>
        <v>0</v>
      </c>
      <c r="W42" s="42">
        <f>IF(テーブル22[[#This Row],[50m走]]="",0,(IF(テーブル22[[#This Row],[性別]]="男",LOOKUP(テーブル22[[#This Row],[50m走]],$AT$6:$AU$15),LOOKUP(テーブル22[[#This Row],[50m走]],$AT$20:$AU$29))))</f>
        <v>0</v>
      </c>
      <c r="X42" s="42">
        <f>IF(テーブル22[[#This Row],[立幅とび]]="",0,(IF(テーブル22[[#This Row],[性別]]="男",LOOKUP(テーブル22[[#This Row],[立幅とび]],$AV$6:$AW$15),LOOKUP(テーブル22[[#This Row],[立幅とび]],$AV$20:$AW$29))))</f>
        <v>0</v>
      </c>
      <c r="Y42" s="42">
        <f>IF(テーブル22[[#This Row],[ボール投げ]]="",0,(IF(テーブル22[[#This Row],[性別]]="男",LOOKUP(テーブル22[[#This Row],[ボール投げ]],$AX$6:$AY$15),LOOKUP(テーブル22[[#This Row],[ボール投げ]],$AX$20:$AY$29))))</f>
        <v>0</v>
      </c>
      <c r="Z42" s="19" t="str">
        <f>IF(テーブル22[[#This Row],[学年]]=1,6,IF(テーブル22[[#This Row],[学年]]=2,7,IF(テーブル22[[#This Row],[学年]]=3,8,IF(テーブル22[[#This Row],[学年]]=4,9,IF(テーブル22[[#This Row],[学年]]=5,10,IF(テーブル22[[#This Row],[学年]]=6,11," "))))))</f>
        <v xml:space="preserve"> </v>
      </c>
      <c r="AA42" s="125" t="str">
        <f>IF(テーブル22[[#This Row],[肥満度数値]]="","",LOOKUP(AC42,$AW$39:$AW$44,$AX$39:$AX$44))</f>
        <v/>
      </c>
      <c r="AB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 s="124" t="str">
        <f>IF(テーブル22[[#This Row],[体重]]="","",(テーブル22[[#This Row],[体重]]-テーブル22[[#This Row],[標準体重]])/テーブル22[[#This Row],[標準体重]]*100)</f>
        <v/>
      </c>
      <c r="AD42" s="1">
        <f>COUNTA(テーブル22[[#This Row],[握力]:[ボール投げ]])</f>
        <v>0</v>
      </c>
      <c r="AE42" s="1" t="str">
        <f>IF(テーブル22[[#This Row],[判定]]=$BD$10,"○","")</f>
        <v/>
      </c>
      <c r="AF42" s="1" t="str">
        <f>IF(AE42="","",COUNTIF($AE$6:AE42,"○"))</f>
        <v/>
      </c>
      <c r="AG42" s="1"/>
      <c r="AW42">
        <v>20</v>
      </c>
      <c r="AX42" t="s">
        <v>248</v>
      </c>
      <c r="BA42" s="57">
        <v>4</v>
      </c>
      <c r="BB42" s="121">
        <v>-19.899999999999999</v>
      </c>
      <c r="BC42" s="123" t="s">
        <v>240</v>
      </c>
      <c r="BD42" s="57"/>
      <c r="BE42" s="57"/>
    </row>
    <row r="43" spans="1:57" ht="14.25" customHeight="1" x14ac:dyDescent="0.2">
      <c r="A43" s="40">
        <v>38</v>
      </c>
      <c r="B43" s="145"/>
      <c r="C43" s="148"/>
      <c r="D43" s="145"/>
      <c r="E43" s="156"/>
      <c r="F43" s="145"/>
      <c r="G43" s="145"/>
      <c r="H43" s="146"/>
      <c r="I43" s="146"/>
      <c r="J43" s="148"/>
      <c r="K43" s="145"/>
      <c r="L43" s="148"/>
      <c r="M43" s="149"/>
      <c r="N43" s="148"/>
      <c r="O43" s="150"/>
      <c r="P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 s="43" t="str">
        <f>IF(テーブル22[[#This Row],[得点]]="","",IF(テーブル22[[#This Row],[年齢]]&gt;10,LOOKUP(P43,$BG$6:$BG$10,$BD$6:$BD$10),IF(テーブル22[[#This Row],[年齢]]&gt;9,LOOKUP(P43,$BF$6:$BF$10,$BD$6:$BD$10),IF(テーブル22[[#This Row],[年齢]]&gt;8,LOOKUP(P43,$BE$6:$BE$10,$BD$6:$BD$10),IF(テーブル22[[#This Row],[年齢]]&gt;7,LOOKUP(P43,$BC$6:$BC$10,$BD$6:$BD$10),IF(テーブル22[[#This Row],[年齢]]&gt;6,LOOKUP(P43,$BB$6:$BB$10,$BD$6:$BD$10),LOOKUP(P43,$BA$6:$BA$10,$BD$6:$BD$10)))))))</f>
        <v/>
      </c>
      <c r="R43" s="42">
        <f>IF(H43="",0,(IF(テーブル22[[#This Row],[性別]]="男",LOOKUP(テーブル22[[#This Row],[握力]],$AH$6:$AI$15),LOOKUP(テーブル22[[#This Row],[握力]],$AH$20:$AI$29))))</f>
        <v>0</v>
      </c>
      <c r="S43" s="42">
        <f>IF(テーブル22[[#This Row],[上体]]="",0,(IF(テーブル22[[#This Row],[性別]]="男",LOOKUP(テーブル22[[#This Row],[上体]],$AJ$6:$AK$15),LOOKUP(テーブル22[[#This Row],[上体]],$AJ$20:$AK$29))))</f>
        <v>0</v>
      </c>
      <c r="T43" s="42">
        <f>IF(テーブル22[[#This Row],[長座]]="",0,(IF(テーブル22[[#This Row],[性別]]="男",LOOKUP(テーブル22[[#This Row],[長座]],$AL$6:$AM$15),LOOKUP(テーブル22[[#This Row],[長座]],$AL$20:$AM$29))))</f>
        <v>0</v>
      </c>
      <c r="U43" s="42">
        <f>IF(テーブル22[[#This Row],[反復]]="",0,(IF(テーブル22[[#This Row],[性別]]="男",LOOKUP(テーブル22[[#This Row],[反復]],$AN$6:$AO$15),LOOKUP(テーブル22[[#This Row],[反復]],$AN$20:$AO$29))))</f>
        <v>0</v>
      </c>
      <c r="V43" s="42">
        <f>IF(テーブル22[[#This Row],[ｼｬﾄﾙﾗﾝ]]="",0,(IF(テーブル22[[#This Row],[性別]]="男",LOOKUP(テーブル22[[#This Row],[ｼｬﾄﾙﾗﾝ]],$AR$6:$AS$15),LOOKUP(テーブル22[[#This Row],[ｼｬﾄﾙﾗﾝ]],$AR$20:$AS$29))))</f>
        <v>0</v>
      </c>
      <c r="W43" s="42">
        <f>IF(テーブル22[[#This Row],[50m走]]="",0,(IF(テーブル22[[#This Row],[性別]]="男",LOOKUP(テーブル22[[#This Row],[50m走]],$AT$6:$AU$15),LOOKUP(テーブル22[[#This Row],[50m走]],$AT$20:$AU$29))))</f>
        <v>0</v>
      </c>
      <c r="X43" s="42">
        <f>IF(テーブル22[[#This Row],[立幅とび]]="",0,(IF(テーブル22[[#This Row],[性別]]="男",LOOKUP(テーブル22[[#This Row],[立幅とび]],$AV$6:$AW$15),LOOKUP(テーブル22[[#This Row],[立幅とび]],$AV$20:$AW$29))))</f>
        <v>0</v>
      </c>
      <c r="Y43" s="42">
        <f>IF(テーブル22[[#This Row],[ボール投げ]]="",0,(IF(テーブル22[[#This Row],[性別]]="男",LOOKUP(テーブル22[[#This Row],[ボール投げ]],$AX$6:$AY$15),LOOKUP(テーブル22[[#This Row],[ボール投げ]],$AX$20:$AY$29))))</f>
        <v>0</v>
      </c>
      <c r="Z43" s="19" t="str">
        <f>IF(テーブル22[[#This Row],[学年]]=1,6,IF(テーブル22[[#This Row],[学年]]=2,7,IF(テーブル22[[#This Row],[学年]]=3,8,IF(テーブル22[[#This Row],[学年]]=4,9,IF(テーブル22[[#This Row],[学年]]=5,10,IF(テーブル22[[#This Row],[学年]]=6,11," "))))))</f>
        <v xml:space="preserve"> </v>
      </c>
      <c r="AA43" s="125" t="str">
        <f>IF(テーブル22[[#This Row],[肥満度数値]]="","",LOOKUP(AC43,$AW$39:$AW$44,$AX$39:$AX$44))</f>
        <v/>
      </c>
      <c r="AB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 s="124" t="str">
        <f>IF(テーブル22[[#This Row],[体重]]="","",(テーブル22[[#This Row],[体重]]-テーブル22[[#This Row],[標準体重]])/テーブル22[[#This Row],[標準体重]]*100)</f>
        <v/>
      </c>
      <c r="AD43" s="1">
        <f>COUNTA(テーブル22[[#This Row],[握力]:[ボール投げ]])</f>
        <v>0</v>
      </c>
      <c r="AE43" s="1" t="str">
        <f>IF(テーブル22[[#This Row],[判定]]=$BD$10,"○","")</f>
        <v/>
      </c>
      <c r="AF43" s="1" t="str">
        <f>IF(AE43="","",COUNTIF($AE$6:AE43,"○"))</f>
        <v/>
      </c>
      <c r="AG43" s="1"/>
      <c r="AW43">
        <v>30</v>
      </c>
      <c r="AX43" t="s">
        <v>247</v>
      </c>
      <c r="BA43" s="57">
        <v>5</v>
      </c>
      <c r="BB43" s="121">
        <v>-29.9</v>
      </c>
      <c r="BC43" s="123" t="s">
        <v>241</v>
      </c>
      <c r="BD43" s="57"/>
      <c r="BE43" s="57"/>
    </row>
    <row r="44" spans="1:57" ht="14.25" customHeight="1" x14ac:dyDescent="0.2">
      <c r="A44" s="40">
        <v>39</v>
      </c>
      <c r="B44" s="145"/>
      <c r="C44" s="148"/>
      <c r="D44" s="145"/>
      <c r="E44" s="156"/>
      <c r="F44" s="145"/>
      <c r="G44" s="145"/>
      <c r="H44" s="146"/>
      <c r="I44" s="146"/>
      <c r="J44" s="148"/>
      <c r="K44" s="145"/>
      <c r="L44" s="148"/>
      <c r="M44" s="149"/>
      <c r="N44" s="148"/>
      <c r="O44" s="150"/>
      <c r="P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 s="43" t="str">
        <f>IF(テーブル22[[#This Row],[得点]]="","",IF(テーブル22[[#This Row],[年齢]]&gt;10,LOOKUP(P44,$BG$6:$BG$10,$BD$6:$BD$10),IF(テーブル22[[#This Row],[年齢]]&gt;9,LOOKUP(P44,$BF$6:$BF$10,$BD$6:$BD$10),IF(テーブル22[[#This Row],[年齢]]&gt;8,LOOKUP(P44,$BE$6:$BE$10,$BD$6:$BD$10),IF(テーブル22[[#This Row],[年齢]]&gt;7,LOOKUP(P44,$BC$6:$BC$10,$BD$6:$BD$10),IF(テーブル22[[#This Row],[年齢]]&gt;6,LOOKUP(P44,$BB$6:$BB$10,$BD$6:$BD$10),LOOKUP(P44,$BA$6:$BA$10,$BD$6:$BD$10)))))))</f>
        <v/>
      </c>
      <c r="R44" s="42">
        <f>IF(H44="",0,(IF(テーブル22[[#This Row],[性別]]="男",LOOKUP(テーブル22[[#This Row],[握力]],$AH$6:$AI$15),LOOKUP(テーブル22[[#This Row],[握力]],$AH$20:$AI$29))))</f>
        <v>0</v>
      </c>
      <c r="S44" s="42">
        <f>IF(テーブル22[[#This Row],[上体]]="",0,(IF(テーブル22[[#This Row],[性別]]="男",LOOKUP(テーブル22[[#This Row],[上体]],$AJ$6:$AK$15),LOOKUP(テーブル22[[#This Row],[上体]],$AJ$20:$AK$29))))</f>
        <v>0</v>
      </c>
      <c r="T44" s="42">
        <f>IF(テーブル22[[#This Row],[長座]]="",0,(IF(テーブル22[[#This Row],[性別]]="男",LOOKUP(テーブル22[[#This Row],[長座]],$AL$6:$AM$15),LOOKUP(テーブル22[[#This Row],[長座]],$AL$20:$AM$29))))</f>
        <v>0</v>
      </c>
      <c r="U44" s="42">
        <f>IF(テーブル22[[#This Row],[反復]]="",0,(IF(テーブル22[[#This Row],[性別]]="男",LOOKUP(テーブル22[[#This Row],[反復]],$AN$6:$AO$15),LOOKUP(テーブル22[[#This Row],[反復]],$AN$20:$AO$29))))</f>
        <v>0</v>
      </c>
      <c r="V44" s="42">
        <f>IF(テーブル22[[#This Row],[ｼｬﾄﾙﾗﾝ]]="",0,(IF(テーブル22[[#This Row],[性別]]="男",LOOKUP(テーブル22[[#This Row],[ｼｬﾄﾙﾗﾝ]],$AR$6:$AS$15),LOOKUP(テーブル22[[#This Row],[ｼｬﾄﾙﾗﾝ]],$AR$20:$AS$29))))</f>
        <v>0</v>
      </c>
      <c r="W44" s="42">
        <f>IF(テーブル22[[#This Row],[50m走]]="",0,(IF(テーブル22[[#This Row],[性別]]="男",LOOKUP(テーブル22[[#This Row],[50m走]],$AT$6:$AU$15),LOOKUP(テーブル22[[#This Row],[50m走]],$AT$20:$AU$29))))</f>
        <v>0</v>
      </c>
      <c r="X44" s="42">
        <f>IF(テーブル22[[#This Row],[立幅とび]]="",0,(IF(テーブル22[[#This Row],[性別]]="男",LOOKUP(テーブル22[[#This Row],[立幅とび]],$AV$6:$AW$15),LOOKUP(テーブル22[[#This Row],[立幅とび]],$AV$20:$AW$29))))</f>
        <v>0</v>
      </c>
      <c r="Y44" s="42">
        <f>IF(テーブル22[[#This Row],[ボール投げ]]="",0,(IF(テーブル22[[#This Row],[性別]]="男",LOOKUP(テーブル22[[#This Row],[ボール投げ]],$AX$6:$AY$15),LOOKUP(テーブル22[[#This Row],[ボール投げ]],$AX$20:$AY$29))))</f>
        <v>0</v>
      </c>
      <c r="Z44" s="19" t="str">
        <f>IF(テーブル22[[#This Row],[学年]]=1,6,IF(テーブル22[[#This Row],[学年]]=2,7,IF(テーブル22[[#This Row],[学年]]=3,8,IF(テーブル22[[#This Row],[学年]]=4,9,IF(テーブル22[[#This Row],[学年]]=5,10,IF(テーブル22[[#This Row],[学年]]=6,11," "))))))</f>
        <v xml:space="preserve"> </v>
      </c>
      <c r="AA44" s="125" t="str">
        <f>IF(テーブル22[[#This Row],[肥満度数値]]="","",LOOKUP(AC44,$AW$39:$AW$44,$AX$39:$AX$44))</f>
        <v/>
      </c>
      <c r="AB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 s="124" t="str">
        <f>IF(テーブル22[[#This Row],[体重]]="","",(テーブル22[[#This Row],[体重]]-テーブル22[[#This Row],[標準体重]])/テーブル22[[#This Row],[標準体重]]*100)</f>
        <v/>
      </c>
      <c r="AD44" s="1">
        <f>COUNTA(テーブル22[[#This Row],[握力]:[ボール投げ]])</f>
        <v>0</v>
      </c>
      <c r="AE44" s="1" t="str">
        <f>IF(テーブル22[[#This Row],[判定]]=$BD$10,"○","")</f>
        <v/>
      </c>
      <c r="AF44" s="1" t="str">
        <f>IF(AE44="","",COUNTIF($AE$6:AE44,"○"))</f>
        <v/>
      </c>
      <c r="AG44" s="1"/>
      <c r="AW44">
        <v>50</v>
      </c>
      <c r="AX44" t="s">
        <v>246</v>
      </c>
      <c r="BA44" s="57">
        <v>6</v>
      </c>
      <c r="BB44" s="121">
        <v>-30</v>
      </c>
      <c r="BC44" s="123" t="s">
        <v>242</v>
      </c>
      <c r="BD44" s="57"/>
      <c r="BE44" s="57"/>
    </row>
    <row r="45" spans="1:57" ht="14.25" customHeight="1" x14ac:dyDescent="0.2">
      <c r="A45" s="40">
        <v>40</v>
      </c>
      <c r="B45" s="145"/>
      <c r="C45" s="148"/>
      <c r="D45" s="145"/>
      <c r="E45" s="156"/>
      <c r="F45" s="145"/>
      <c r="G45" s="145"/>
      <c r="H45" s="146"/>
      <c r="I45" s="146"/>
      <c r="J45" s="148"/>
      <c r="K45" s="145"/>
      <c r="L45" s="148"/>
      <c r="M45" s="149"/>
      <c r="N45" s="148"/>
      <c r="O45" s="150"/>
      <c r="P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 s="43" t="str">
        <f>IF(テーブル22[[#This Row],[得点]]="","",IF(テーブル22[[#This Row],[年齢]]&gt;10,LOOKUP(P45,$BG$6:$BG$10,$BD$6:$BD$10),IF(テーブル22[[#This Row],[年齢]]&gt;9,LOOKUP(P45,$BF$6:$BF$10,$BD$6:$BD$10),IF(テーブル22[[#This Row],[年齢]]&gt;8,LOOKUP(P45,$BE$6:$BE$10,$BD$6:$BD$10),IF(テーブル22[[#This Row],[年齢]]&gt;7,LOOKUP(P45,$BC$6:$BC$10,$BD$6:$BD$10),IF(テーブル22[[#This Row],[年齢]]&gt;6,LOOKUP(P45,$BB$6:$BB$10,$BD$6:$BD$10),LOOKUP(P45,$BA$6:$BA$10,$BD$6:$BD$10)))))))</f>
        <v/>
      </c>
      <c r="R45" s="42">
        <f>IF(H45="",0,(IF(テーブル22[[#This Row],[性別]]="男",LOOKUP(テーブル22[[#This Row],[握力]],$AH$6:$AI$15),LOOKUP(テーブル22[[#This Row],[握力]],$AH$20:$AI$29))))</f>
        <v>0</v>
      </c>
      <c r="S45" s="42">
        <f>IF(テーブル22[[#This Row],[上体]]="",0,(IF(テーブル22[[#This Row],[性別]]="男",LOOKUP(テーブル22[[#This Row],[上体]],$AJ$6:$AK$15),LOOKUP(テーブル22[[#This Row],[上体]],$AJ$20:$AK$29))))</f>
        <v>0</v>
      </c>
      <c r="T45" s="42">
        <f>IF(テーブル22[[#This Row],[長座]]="",0,(IF(テーブル22[[#This Row],[性別]]="男",LOOKUP(テーブル22[[#This Row],[長座]],$AL$6:$AM$15),LOOKUP(テーブル22[[#This Row],[長座]],$AL$20:$AM$29))))</f>
        <v>0</v>
      </c>
      <c r="U45" s="42">
        <f>IF(テーブル22[[#This Row],[反復]]="",0,(IF(テーブル22[[#This Row],[性別]]="男",LOOKUP(テーブル22[[#This Row],[反復]],$AN$6:$AO$15),LOOKUP(テーブル22[[#This Row],[反復]],$AN$20:$AO$29))))</f>
        <v>0</v>
      </c>
      <c r="V45" s="42">
        <f>IF(テーブル22[[#This Row],[ｼｬﾄﾙﾗﾝ]]="",0,(IF(テーブル22[[#This Row],[性別]]="男",LOOKUP(テーブル22[[#This Row],[ｼｬﾄﾙﾗﾝ]],$AR$6:$AS$15),LOOKUP(テーブル22[[#This Row],[ｼｬﾄﾙﾗﾝ]],$AR$20:$AS$29))))</f>
        <v>0</v>
      </c>
      <c r="W45" s="42">
        <f>IF(テーブル22[[#This Row],[50m走]]="",0,(IF(テーブル22[[#This Row],[性別]]="男",LOOKUP(テーブル22[[#This Row],[50m走]],$AT$6:$AU$15),LOOKUP(テーブル22[[#This Row],[50m走]],$AT$20:$AU$29))))</f>
        <v>0</v>
      </c>
      <c r="X45" s="42">
        <f>IF(テーブル22[[#This Row],[立幅とび]]="",0,(IF(テーブル22[[#This Row],[性別]]="男",LOOKUP(テーブル22[[#This Row],[立幅とび]],$AV$6:$AW$15),LOOKUP(テーブル22[[#This Row],[立幅とび]],$AV$20:$AW$29))))</f>
        <v>0</v>
      </c>
      <c r="Y45" s="42">
        <f>IF(テーブル22[[#This Row],[ボール投げ]]="",0,(IF(テーブル22[[#This Row],[性別]]="男",LOOKUP(テーブル22[[#This Row],[ボール投げ]],$AX$6:$AY$15),LOOKUP(テーブル22[[#This Row],[ボール投げ]],$AX$20:$AY$29))))</f>
        <v>0</v>
      </c>
      <c r="Z45" s="19" t="str">
        <f>IF(テーブル22[[#This Row],[学年]]=1,6,IF(テーブル22[[#This Row],[学年]]=2,7,IF(テーブル22[[#This Row],[学年]]=3,8,IF(テーブル22[[#This Row],[学年]]=4,9,IF(テーブル22[[#This Row],[学年]]=5,10,IF(テーブル22[[#This Row],[学年]]=6,11," "))))))</f>
        <v xml:space="preserve"> </v>
      </c>
      <c r="AA45" s="125" t="str">
        <f>IF(テーブル22[[#This Row],[肥満度数値]]="","",LOOKUP(AC45,$AW$39:$AW$44,$AX$39:$AX$44))</f>
        <v/>
      </c>
      <c r="AB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 s="124" t="str">
        <f>IF(テーブル22[[#This Row],[体重]]="","",(テーブル22[[#This Row],[体重]]-テーブル22[[#This Row],[標準体重]])/テーブル22[[#This Row],[標準体重]]*100)</f>
        <v/>
      </c>
      <c r="AD45" s="1">
        <f>COUNTA(テーブル22[[#This Row],[握力]:[ボール投げ]])</f>
        <v>0</v>
      </c>
      <c r="AE45" s="1" t="str">
        <f>IF(テーブル22[[#This Row],[判定]]=$BD$10,"○","")</f>
        <v/>
      </c>
      <c r="AF45" s="1" t="str">
        <f>IF(AE45="","",COUNTIF($AE$6:AE45,"○"))</f>
        <v/>
      </c>
      <c r="AG45" s="1"/>
    </row>
    <row r="46" spans="1:57" ht="14.25" customHeight="1" x14ac:dyDescent="0.2">
      <c r="A46" s="40">
        <v>41</v>
      </c>
      <c r="B46" s="145"/>
      <c r="C46" s="148"/>
      <c r="D46" s="145"/>
      <c r="E46" s="156"/>
      <c r="F46" s="145"/>
      <c r="G46" s="145"/>
      <c r="H46" s="146"/>
      <c r="I46" s="146"/>
      <c r="J46" s="148"/>
      <c r="K46" s="145"/>
      <c r="L46" s="148"/>
      <c r="M46" s="149"/>
      <c r="N46" s="148"/>
      <c r="O46" s="150"/>
      <c r="P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 s="43" t="str">
        <f>IF(テーブル22[[#This Row],[得点]]="","",IF(テーブル22[[#This Row],[年齢]]&gt;10,LOOKUP(P46,$BG$6:$BG$10,$BD$6:$BD$10),IF(テーブル22[[#This Row],[年齢]]&gt;9,LOOKUP(P46,$BF$6:$BF$10,$BD$6:$BD$10),IF(テーブル22[[#This Row],[年齢]]&gt;8,LOOKUP(P46,$BE$6:$BE$10,$BD$6:$BD$10),IF(テーブル22[[#This Row],[年齢]]&gt;7,LOOKUP(P46,$BC$6:$BC$10,$BD$6:$BD$10),IF(テーブル22[[#This Row],[年齢]]&gt;6,LOOKUP(P46,$BB$6:$BB$10,$BD$6:$BD$10),LOOKUP(P46,$BA$6:$BA$10,$BD$6:$BD$10)))))))</f>
        <v/>
      </c>
      <c r="R46" s="42">
        <f>IF(H46="",0,(IF(テーブル22[[#This Row],[性別]]="男",LOOKUP(テーブル22[[#This Row],[握力]],$AH$6:$AI$15),LOOKUP(テーブル22[[#This Row],[握力]],$AH$20:$AI$29))))</f>
        <v>0</v>
      </c>
      <c r="S46" s="42">
        <f>IF(テーブル22[[#This Row],[上体]]="",0,(IF(テーブル22[[#This Row],[性別]]="男",LOOKUP(テーブル22[[#This Row],[上体]],$AJ$6:$AK$15),LOOKUP(テーブル22[[#This Row],[上体]],$AJ$20:$AK$29))))</f>
        <v>0</v>
      </c>
      <c r="T46" s="42">
        <f>IF(テーブル22[[#This Row],[長座]]="",0,(IF(テーブル22[[#This Row],[性別]]="男",LOOKUP(テーブル22[[#This Row],[長座]],$AL$6:$AM$15),LOOKUP(テーブル22[[#This Row],[長座]],$AL$20:$AM$29))))</f>
        <v>0</v>
      </c>
      <c r="U46" s="42">
        <f>IF(テーブル22[[#This Row],[反復]]="",0,(IF(テーブル22[[#This Row],[性別]]="男",LOOKUP(テーブル22[[#This Row],[反復]],$AN$6:$AO$15),LOOKUP(テーブル22[[#This Row],[反復]],$AN$20:$AO$29))))</f>
        <v>0</v>
      </c>
      <c r="V46" s="42">
        <f>IF(テーブル22[[#This Row],[ｼｬﾄﾙﾗﾝ]]="",0,(IF(テーブル22[[#This Row],[性別]]="男",LOOKUP(テーブル22[[#This Row],[ｼｬﾄﾙﾗﾝ]],$AR$6:$AS$15),LOOKUP(テーブル22[[#This Row],[ｼｬﾄﾙﾗﾝ]],$AR$20:$AS$29))))</f>
        <v>0</v>
      </c>
      <c r="W46" s="42">
        <f>IF(テーブル22[[#This Row],[50m走]]="",0,(IF(テーブル22[[#This Row],[性別]]="男",LOOKUP(テーブル22[[#This Row],[50m走]],$AT$6:$AU$15),LOOKUP(テーブル22[[#This Row],[50m走]],$AT$20:$AU$29))))</f>
        <v>0</v>
      </c>
      <c r="X46" s="42">
        <f>IF(テーブル22[[#This Row],[立幅とび]]="",0,(IF(テーブル22[[#This Row],[性別]]="男",LOOKUP(テーブル22[[#This Row],[立幅とび]],$AV$6:$AW$15),LOOKUP(テーブル22[[#This Row],[立幅とび]],$AV$20:$AW$29))))</f>
        <v>0</v>
      </c>
      <c r="Y46" s="42">
        <f>IF(テーブル22[[#This Row],[ボール投げ]]="",0,(IF(テーブル22[[#This Row],[性別]]="男",LOOKUP(テーブル22[[#This Row],[ボール投げ]],$AX$6:$AY$15),LOOKUP(テーブル22[[#This Row],[ボール投げ]],$AX$20:$AY$29))))</f>
        <v>0</v>
      </c>
      <c r="Z46" s="19" t="str">
        <f>IF(テーブル22[[#This Row],[学年]]=1,6,IF(テーブル22[[#This Row],[学年]]=2,7,IF(テーブル22[[#This Row],[学年]]=3,8,IF(テーブル22[[#This Row],[学年]]=4,9,IF(テーブル22[[#This Row],[学年]]=5,10,IF(テーブル22[[#This Row],[学年]]=6,11," "))))))</f>
        <v xml:space="preserve"> </v>
      </c>
      <c r="AA46" s="125" t="str">
        <f>IF(テーブル22[[#This Row],[肥満度数値]]="","",LOOKUP(AC46,$AW$39:$AW$44,$AX$39:$AX$44))</f>
        <v/>
      </c>
      <c r="AB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 s="124" t="str">
        <f>IF(テーブル22[[#This Row],[体重]]="","",(テーブル22[[#This Row],[体重]]-テーブル22[[#This Row],[標準体重]])/テーブル22[[#This Row],[標準体重]]*100)</f>
        <v/>
      </c>
      <c r="AD46" s="1">
        <f>COUNTA(テーブル22[[#This Row],[握力]:[ボール投げ]])</f>
        <v>0</v>
      </c>
      <c r="AE46" s="1" t="str">
        <f>IF(テーブル22[[#This Row],[判定]]=$BD$10,"○","")</f>
        <v/>
      </c>
      <c r="AF46" s="1" t="str">
        <f>IF(AE46="","",COUNTIF($AE$6:AE46,"○"))</f>
        <v/>
      </c>
      <c r="AG46" s="1"/>
    </row>
    <row r="47" spans="1:57" ht="14.25" customHeight="1" x14ac:dyDescent="0.2">
      <c r="A47" s="40">
        <v>42</v>
      </c>
      <c r="B47" s="145"/>
      <c r="C47" s="148"/>
      <c r="D47" s="145"/>
      <c r="E47" s="156"/>
      <c r="F47" s="145"/>
      <c r="G47" s="145"/>
      <c r="H47" s="146"/>
      <c r="I47" s="146"/>
      <c r="J47" s="148"/>
      <c r="K47" s="145"/>
      <c r="L47" s="148"/>
      <c r="M47" s="149"/>
      <c r="N47" s="148"/>
      <c r="O47" s="150"/>
      <c r="P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 s="43" t="str">
        <f>IF(テーブル22[[#This Row],[得点]]="","",IF(テーブル22[[#This Row],[年齢]]&gt;10,LOOKUP(P47,$BG$6:$BG$10,$BD$6:$BD$10),IF(テーブル22[[#This Row],[年齢]]&gt;9,LOOKUP(P47,$BF$6:$BF$10,$BD$6:$BD$10),IF(テーブル22[[#This Row],[年齢]]&gt;8,LOOKUP(P47,$BE$6:$BE$10,$BD$6:$BD$10),IF(テーブル22[[#This Row],[年齢]]&gt;7,LOOKUP(P47,$BC$6:$BC$10,$BD$6:$BD$10),IF(テーブル22[[#This Row],[年齢]]&gt;6,LOOKUP(P47,$BB$6:$BB$10,$BD$6:$BD$10),LOOKUP(P47,$BA$6:$BA$10,$BD$6:$BD$10)))))))</f>
        <v/>
      </c>
      <c r="R47" s="42">
        <f>IF(H47="",0,(IF(テーブル22[[#This Row],[性別]]="男",LOOKUP(テーブル22[[#This Row],[握力]],$AH$6:$AI$15),LOOKUP(テーブル22[[#This Row],[握力]],$AH$20:$AI$29))))</f>
        <v>0</v>
      </c>
      <c r="S47" s="42">
        <f>IF(テーブル22[[#This Row],[上体]]="",0,(IF(テーブル22[[#This Row],[性別]]="男",LOOKUP(テーブル22[[#This Row],[上体]],$AJ$6:$AK$15),LOOKUP(テーブル22[[#This Row],[上体]],$AJ$20:$AK$29))))</f>
        <v>0</v>
      </c>
      <c r="T47" s="42">
        <f>IF(テーブル22[[#This Row],[長座]]="",0,(IF(テーブル22[[#This Row],[性別]]="男",LOOKUP(テーブル22[[#This Row],[長座]],$AL$6:$AM$15),LOOKUP(テーブル22[[#This Row],[長座]],$AL$20:$AM$29))))</f>
        <v>0</v>
      </c>
      <c r="U47" s="42">
        <f>IF(テーブル22[[#This Row],[反復]]="",0,(IF(テーブル22[[#This Row],[性別]]="男",LOOKUP(テーブル22[[#This Row],[反復]],$AN$6:$AO$15),LOOKUP(テーブル22[[#This Row],[反復]],$AN$20:$AO$29))))</f>
        <v>0</v>
      </c>
      <c r="V47" s="42">
        <f>IF(テーブル22[[#This Row],[ｼｬﾄﾙﾗﾝ]]="",0,(IF(テーブル22[[#This Row],[性別]]="男",LOOKUP(テーブル22[[#This Row],[ｼｬﾄﾙﾗﾝ]],$AR$6:$AS$15),LOOKUP(テーブル22[[#This Row],[ｼｬﾄﾙﾗﾝ]],$AR$20:$AS$29))))</f>
        <v>0</v>
      </c>
      <c r="W47" s="42">
        <f>IF(テーブル22[[#This Row],[50m走]]="",0,(IF(テーブル22[[#This Row],[性別]]="男",LOOKUP(テーブル22[[#This Row],[50m走]],$AT$6:$AU$15),LOOKUP(テーブル22[[#This Row],[50m走]],$AT$20:$AU$29))))</f>
        <v>0</v>
      </c>
      <c r="X47" s="42">
        <f>IF(テーブル22[[#This Row],[立幅とび]]="",0,(IF(テーブル22[[#This Row],[性別]]="男",LOOKUP(テーブル22[[#This Row],[立幅とび]],$AV$6:$AW$15),LOOKUP(テーブル22[[#This Row],[立幅とび]],$AV$20:$AW$29))))</f>
        <v>0</v>
      </c>
      <c r="Y47" s="42">
        <f>IF(テーブル22[[#This Row],[ボール投げ]]="",0,(IF(テーブル22[[#This Row],[性別]]="男",LOOKUP(テーブル22[[#This Row],[ボール投げ]],$AX$6:$AY$15),LOOKUP(テーブル22[[#This Row],[ボール投げ]],$AX$20:$AY$29))))</f>
        <v>0</v>
      </c>
      <c r="Z47" s="19" t="str">
        <f>IF(テーブル22[[#This Row],[学年]]=1,6,IF(テーブル22[[#This Row],[学年]]=2,7,IF(テーブル22[[#This Row],[学年]]=3,8,IF(テーブル22[[#This Row],[学年]]=4,9,IF(テーブル22[[#This Row],[学年]]=5,10,IF(テーブル22[[#This Row],[学年]]=6,11," "))))))</f>
        <v xml:space="preserve"> </v>
      </c>
      <c r="AA47" s="125" t="str">
        <f>IF(テーブル22[[#This Row],[肥満度数値]]="","",LOOKUP(AC47,$AW$39:$AW$44,$AX$39:$AX$44))</f>
        <v/>
      </c>
      <c r="AB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 s="124" t="str">
        <f>IF(テーブル22[[#This Row],[体重]]="","",(テーブル22[[#This Row],[体重]]-テーブル22[[#This Row],[標準体重]])/テーブル22[[#This Row],[標準体重]]*100)</f>
        <v/>
      </c>
      <c r="AD47" s="1">
        <f>COUNTA(テーブル22[[#This Row],[握力]:[ボール投げ]])</f>
        <v>0</v>
      </c>
      <c r="AE47" s="1" t="str">
        <f>IF(テーブル22[[#This Row],[判定]]=$BD$10,"○","")</f>
        <v/>
      </c>
      <c r="AF47" s="1" t="str">
        <f>IF(AE47="","",COUNTIF($AE$6:AE47,"○"))</f>
        <v/>
      </c>
      <c r="AG47" s="1"/>
    </row>
    <row r="48" spans="1:57" ht="14.25" customHeight="1" x14ac:dyDescent="0.2">
      <c r="A48" s="40">
        <v>43</v>
      </c>
      <c r="B48" s="145"/>
      <c r="C48" s="148"/>
      <c r="D48" s="145"/>
      <c r="E48" s="156"/>
      <c r="F48" s="145"/>
      <c r="G48" s="145"/>
      <c r="H48" s="146"/>
      <c r="I48" s="146"/>
      <c r="J48" s="148"/>
      <c r="K48" s="145"/>
      <c r="L48" s="148"/>
      <c r="M48" s="149"/>
      <c r="N48" s="148"/>
      <c r="O48" s="150"/>
      <c r="P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 s="43" t="str">
        <f>IF(テーブル22[[#This Row],[得点]]="","",IF(テーブル22[[#This Row],[年齢]]&gt;10,LOOKUP(P48,$BG$6:$BG$10,$BD$6:$BD$10),IF(テーブル22[[#This Row],[年齢]]&gt;9,LOOKUP(P48,$BF$6:$BF$10,$BD$6:$BD$10),IF(テーブル22[[#This Row],[年齢]]&gt;8,LOOKUP(P48,$BE$6:$BE$10,$BD$6:$BD$10),IF(テーブル22[[#This Row],[年齢]]&gt;7,LOOKUP(P48,$BC$6:$BC$10,$BD$6:$BD$10),IF(テーブル22[[#This Row],[年齢]]&gt;6,LOOKUP(P48,$BB$6:$BB$10,$BD$6:$BD$10),LOOKUP(P48,$BA$6:$BA$10,$BD$6:$BD$10)))))))</f>
        <v/>
      </c>
      <c r="R48" s="42">
        <f>IF(H48="",0,(IF(テーブル22[[#This Row],[性別]]="男",LOOKUP(テーブル22[[#This Row],[握力]],$AH$6:$AI$15),LOOKUP(テーブル22[[#This Row],[握力]],$AH$20:$AI$29))))</f>
        <v>0</v>
      </c>
      <c r="S48" s="42">
        <f>IF(テーブル22[[#This Row],[上体]]="",0,(IF(テーブル22[[#This Row],[性別]]="男",LOOKUP(テーブル22[[#This Row],[上体]],$AJ$6:$AK$15),LOOKUP(テーブル22[[#This Row],[上体]],$AJ$20:$AK$29))))</f>
        <v>0</v>
      </c>
      <c r="T48" s="42">
        <f>IF(テーブル22[[#This Row],[長座]]="",0,(IF(テーブル22[[#This Row],[性別]]="男",LOOKUP(テーブル22[[#This Row],[長座]],$AL$6:$AM$15),LOOKUP(テーブル22[[#This Row],[長座]],$AL$20:$AM$29))))</f>
        <v>0</v>
      </c>
      <c r="U48" s="42">
        <f>IF(テーブル22[[#This Row],[反復]]="",0,(IF(テーブル22[[#This Row],[性別]]="男",LOOKUP(テーブル22[[#This Row],[反復]],$AN$6:$AO$15),LOOKUP(テーブル22[[#This Row],[反復]],$AN$20:$AO$29))))</f>
        <v>0</v>
      </c>
      <c r="V48" s="42">
        <f>IF(テーブル22[[#This Row],[ｼｬﾄﾙﾗﾝ]]="",0,(IF(テーブル22[[#This Row],[性別]]="男",LOOKUP(テーブル22[[#This Row],[ｼｬﾄﾙﾗﾝ]],$AR$6:$AS$15),LOOKUP(テーブル22[[#This Row],[ｼｬﾄﾙﾗﾝ]],$AR$20:$AS$29))))</f>
        <v>0</v>
      </c>
      <c r="W48" s="42">
        <f>IF(テーブル22[[#This Row],[50m走]]="",0,(IF(テーブル22[[#This Row],[性別]]="男",LOOKUP(テーブル22[[#This Row],[50m走]],$AT$6:$AU$15),LOOKUP(テーブル22[[#This Row],[50m走]],$AT$20:$AU$29))))</f>
        <v>0</v>
      </c>
      <c r="X48" s="42">
        <f>IF(テーブル22[[#This Row],[立幅とび]]="",0,(IF(テーブル22[[#This Row],[性別]]="男",LOOKUP(テーブル22[[#This Row],[立幅とび]],$AV$6:$AW$15),LOOKUP(テーブル22[[#This Row],[立幅とび]],$AV$20:$AW$29))))</f>
        <v>0</v>
      </c>
      <c r="Y48" s="42">
        <f>IF(テーブル22[[#This Row],[ボール投げ]]="",0,(IF(テーブル22[[#This Row],[性別]]="男",LOOKUP(テーブル22[[#This Row],[ボール投げ]],$AX$6:$AY$15),LOOKUP(テーブル22[[#This Row],[ボール投げ]],$AX$20:$AY$29))))</f>
        <v>0</v>
      </c>
      <c r="Z48" s="19" t="str">
        <f>IF(テーブル22[[#This Row],[学年]]=1,6,IF(テーブル22[[#This Row],[学年]]=2,7,IF(テーブル22[[#This Row],[学年]]=3,8,IF(テーブル22[[#This Row],[学年]]=4,9,IF(テーブル22[[#This Row],[学年]]=5,10,IF(テーブル22[[#This Row],[学年]]=6,11," "))))))</f>
        <v xml:space="preserve"> </v>
      </c>
      <c r="AA48" s="125" t="str">
        <f>IF(テーブル22[[#This Row],[肥満度数値]]="","",LOOKUP(AC48,$AW$39:$AW$44,$AX$39:$AX$44))</f>
        <v/>
      </c>
      <c r="AB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 s="124" t="str">
        <f>IF(テーブル22[[#This Row],[体重]]="","",(テーブル22[[#This Row],[体重]]-テーブル22[[#This Row],[標準体重]])/テーブル22[[#This Row],[標準体重]]*100)</f>
        <v/>
      </c>
      <c r="AD48" s="1">
        <f>COUNTA(テーブル22[[#This Row],[握力]:[ボール投げ]])</f>
        <v>0</v>
      </c>
      <c r="AE48" s="1" t="str">
        <f>IF(テーブル22[[#This Row],[判定]]=$BD$10,"○","")</f>
        <v/>
      </c>
      <c r="AF48" s="1" t="str">
        <f>IF(AE48="","",COUNTIF($AE$6:AE48,"○"))</f>
        <v/>
      </c>
      <c r="AG48" s="1"/>
    </row>
    <row r="49" spans="1:33" ht="14.25" customHeight="1" x14ac:dyDescent="0.2">
      <c r="A49" s="40">
        <v>44</v>
      </c>
      <c r="B49" s="145"/>
      <c r="C49" s="148"/>
      <c r="D49" s="145"/>
      <c r="E49" s="156"/>
      <c r="F49" s="145"/>
      <c r="G49" s="145"/>
      <c r="H49" s="146"/>
      <c r="I49" s="146"/>
      <c r="J49" s="148"/>
      <c r="K49" s="145"/>
      <c r="L49" s="148"/>
      <c r="M49" s="149"/>
      <c r="N49" s="148"/>
      <c r="O49" s="150"/>
      <c r="P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 s="43" t="str">
        <f>IF(テーブル22[[#This Row],[得点]]="","",IF(テーブル22[[#This Row],[年齢]]&gt;10,LOOKUP(P49,$BG$6:$BG$10,$BD$6:$BD$10),IF(テーブル22[[#This Row],[年齢]]&gt;9,LOOKUP(P49,$BF$6:$BF$10,$BD$6:$BD$10),IF(テーブル22[[#This Row],[年齢]]&gt;8,LOOKUP(P49,$BE$6:$BE$10,$BD$6:$BD$10),IF(テーブル22[[#This Row],[年齢]]&gt;7,LOOKUP(P49,$BC$6:$BC$10,$BD$6:$BD$10),IF(テーブル22[[#This Row],[年齢]]&gt;6,LOOKUP(P49,$BB$6:$BB$10,$BD$6:$BD$10),LOOKUP(P49,$BA$6:$BA$10,$BD$6:$BD$10)))))))</f>
        <v/>
      </c>
      <c r="R49" s="42">
        <f>IF(H49="",0,(IF(テーブル22[[#This Row],[性別]]="男",LOOKUP(テーブル22[[#This Row],[握力]],$AH$6:$AI$15),LOOKUP(テーブル22[[#This Row],[握力]],$AH$20:$AI$29))))</f>
        <v>0</v>
      </c>
      <c r="S49" s="42">
        <f>IF(テーブル22[[#This Row],[上体]]="",0,(IF(テーブル22[[#This Row],[性別]]="男",LOOKUP(テーブル22[[#This Row],[上体]],$AJ$6:$AK$15),LOOKUP(テーブル22[[#This Row],[上体]],$AJ$20:$AK$29))))</f>
        <v>0</v>
      </c>
      <c r="T49" s="42">
        <f>IF(テーブル22[[#This Row],[長座]]="",0,(IF(テーブル22[[#This Row],[性別]]="男",LOOKUP(テーブル22[[#This Row],[長座]],$AL$6:$AM$15),LOOKUP(テーブル22[[#This Row],[長座]],$AL$20:$AM$29))))</f>
        <v>0</v>
      </c>
      <c r="U49" s="42">
        <f>IF(テーブル22[[#This Row],[反復]]="",0,(IF(テーブル22[[#This Row],[性別]]="男",LOOKUP(テーブル22[[#This Row],[反復]],$AN$6:$AO$15),LOOKUP(テーブル22[[#This Row],[反復]],$AN$20:$AO$29))))</f>
        <v>0</v>
      </c>
      <c r="V49" s="42">
        <f>IF(テーブル22[[#This Row],[ｼｬﾄﾙﾗﾝ]]="",0,(IF(テーブル22[[#This Row],[性別]]="男",LOOKUP(テーブル22[[#This Row],[ｼｬﾄﾙﾗﾝ]],$AR$6:$AS$15),LOOKUP(テーブル22[[#This Row],[ｼｬﾄﾙﾗﾝ]],$AR$20:$AS$29))))</f>
        <v>0</v>
      </c>
      <c r="W49" s="42">
        <f>IF(テーブル22[[#This Row],[50m走]]="",0,(IF(テーブル22[[#This Row],[性別]]="男",LOOKUP(テーブル22[[#This Row],[50m走]],$AT$6:$AU$15),LOOKUP(テーブル22[[#This Row],[50m走]],$AT$20:$AU$29))))</f>
        <v>0</v>
      </c>
      <c r="X49" s="42">
        <f>IF(テーブル22[[#This Row],[立幅とび]]="",0,(IF(テーブル22[[#This Row],[性別]]="男",LOOKUP(テーブル22[[#This Row],[立幅とび]],$AV$6:$AW$15),LOOKUP(テーブル22[[#This Row],[立幅とび]],$AV$20:$AW$29))))</f>
        <v>0</v>
      </c>
      <c r="Y49" s="42">
        <f>IF(テーブル22[[#This Row],[ボール投げ]]="",0,(IF(テーブル22[[#This Row],[性別]]="男",LOOKUP(テーブル22[[#This Row],[ボール投げ]],$AX$6:$AY$15),LOOKUP(テーブル22[[#This Row],[ボール投げ]],$AX$20:$AY$29))))</f>
        <v>0</v>
      </c>
      <c r="Z49" s="19" t="str">
        <f>IF(テーブル22[[#This Row],[学年]]=1,6,IF(テーブル22[[#This Row],[学年]]=2,7,IF(テーブル22[[#This Row],[学年]]=3,8,IF(テーブル22[[#This Row],[学年]]=4,9,IF(テーブル22[[#This Row],[学年]]=5,10,IF(テーブル22[[#This Row],[学年]]=6,11," "))))))</f>
        <v xml:space="preserve"> </v>
      </c>
      <c r="AA49" s="125" t="str">
        <f>IF(テーブル22[[#This Row],[肥満度数値]]="","",LOOKUP(AC49,$AW$39:$AW$44,$AX$39:$AX$44))</f>
        <v/>
      </c>
      <c r="AB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 s="124" t="str">
        <f>IF(テーブル22[[#This Row],[体重]]="","",(テーブル22[[#This Row],[体重]]-テーブル22[[#This Row],[標準体重]])/テーブル22[[#This Row],[標準体重]]*100)</f>
        <v/>
      </c>
      <c r="AD49" s="1">
        <f>COUNTA(テーブル22[[#This Row],[握力]:[ボール投げ]])</f>
        <v>0</v>
      </c>
      <c r="AE49" s="1" t="str">
        <f>IF(テーブル22[[#This Row],[判定]]=$BD$10,"○","")</f>
        <v/>
      </c>
      <c r="AF49" s="1" t="str">
        <f>IF(AE49="","",COUNTIF($AE$6:AE49,"○"))</f>
        <v/>
      </c>
      <c r="AG49" s="1"/>
    </row>
    <row r="50" spans="1:33" ht="14.25" customHeight="1" x14ac:dyDescent="0.2">
      <c r="A50" s="40">
        <v>45</v>
      </c>
      <c r="B50" s="145"/>
      <c r="C50" s="148"/>
      <c r="D50" s="145"/>
      <c r="E50" s="156"/>
      <c r="F50" s="145"/>
      <c r="G50" s="145"/>
      <c r="H50" s="146"/>
      <c r="I50" s="146"/>
      <c r="J50" s="148"/>
      <c r="K50" s="145"/>
      <c r="L50" s="148"/>
      <c r="M50" s="149"/>
      <c r="N50" s="148"/>
      <c r="O50" s="150"/>
      <c r="P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 s="43" t="str">
        <f>IF(テーブル22[[#This Row],[得点]]="","",IF(テーブル22[[#This Row],[年齢]]&gt;10,LOOKUP(P50,$BG$6:$BG$10,$BD$6:$BD$10),IF(テーブル22[[#This Row],[年齢]]&gt;9,LOOKUP(P50,$BF$6:$BF$10,$BD$6:$BD$10),IF(テーブル22[[#This Row],[年齢]]&gt;8,LOOKUP(P50,$BE$6:$BE$10,$BD$6:$BD$10),IF(テーブル22[[#This Row],[年齢]]&gt;7,LOOKUP(P50,$BC$6:$BC$10,$BD$6:$BD$10),IF(テーブル22[[#This Row],[年齢]]&gt;6,LOOKUP(P50,$BB$6:$BB$10,$BD$6:$BD$10),LOOKUP(P50,$BA$6:$BA$10,$BD$6:$BD$10)))))))</f>
        <v/>
      </c>
      <c r="R50" s="42">
        <f>IF(H50="",0,(IF(テーブル22[[#This Row],[性別]]="男",LOOKUP(テーブル22[[#This Row],[握力]],$AH$6:$AI$15),LOOKUP(テーブル22[[#This Row],[握力]],$AH$20:$AI$29))))</f>
        <v>0</v>
      </c>
      <c r="S50" s="42">
        <f>IF(テーブル22[[#This Row],[上体]]="",0,(IF(テーブル22[[#This Row],[性別]]="男",LOOKUP(テーブル22[[#This Row],[上体]],$AJ$6:$AK$15),LOOKUP(テーブル22[[#This Row],[上体]],$AJ$20:$AK$29))))</f>
        <v>0</v>
      </c>
      <c r="T50" s="42">
        <f>IF(テーブル22[[#This Row],[長座]]="",0,(IF(テーブル22[[#This Row],[性別]]="男",LOOKUP(テーブル22[[#This Row],[長座]],$AL$6:$AM$15),LOOKUP(テーブル22[[#This Row],[長座]],$AL$20:$AM$29))))</f>
        <v>0</v>
      </c>
      <c r="U50" s="42">
        <f>IF(テーブル22[[#This Row],[反復]]="",0,(IF(テーブル22[[#This Row],[性別]]="男",LOOKUP(テーブル22[[#This Row],[反復]],$AN$6:$AO$15),LOOKUP(テーブル22[[#This Row],[反復]],$AN$20:$AO$29))))</f>
        <v>0</v>
      </c>
      <c r="V50" s="42">
        <f>IF(テーブル22[[#This Row],[ｼｬﾄﾙﾗﾝ]]="",0,(IF(テーブル22[[#This Row],[性別]]="男",LOOKUP(テーブル22[[#This Row],[ｼｬﾄﾙﾗﾝ]],$AR$6:$AS$15),LOOKUP(テーブル22[[#This Row],[ｼｬﾄﾙﾗﾝ]],$AR$20:$AS$29))))</f>
        <v>0</v>
      </c>
      <c r="W50" s="42">
        <f>IF(テーブル22[[#This Row],[50m走]]="",0,(IF(テーブル22[[#This Row],[性別]]="男",LOOKUP(テーブル22[[#This Row],[50m走]],$AT$6:$AU$15),LOOKUP(テーブル22[[#This Row],[50m走]],$AT$20:$AU$29))))</f>
        <v>0</v>
      </c>
      <c r="X50" s="42">
        <f>IF(テーブル22[[#This Row],[立幅とび]]="",0,(IF(テーブル22[[#This Row],[性別]]="男",LOOKUP(テーブル22[[#This Row],[立幅とび]],$AV$6:$AW$15),LOOKUP(テーブル22[[#This Row],[立幅とび]],$AV$20:$AW$29))))</f>
        <v>0</v>
      </c>
      <c r="Y50" s="42">
        <f>IF(テーブル22[[#This Row],[ボール投げ]]="",0,(IF(テーブル22[[#This Row],[性別]]="男",LOOKUP(テーブル22[[#This Row],[ボール投げ]],$AX$6:$AY$15),LOOKUP(テーブル22[[#This Row],[ボール投げ]],$AX$20:$AY$29))))</f>
        <v>0</v>
      </c>
      <c r="Z50" s="19" t="str">
        <f>IF(テーブル22[[#This Row],[学年]]=1,6,IF(テーブル22[[#This Row],[学年]]=2,7,IF(テーブル22[[#This Row],[学年]]=3,8,IF(テーブル22[[#This Row],[学年]]=4,9,IF(テーブル22[[#This Row],[学年]]=5,10,IF(テーブル22[[#This Row],[学年]]=6,11," "))))))</f>
        <v xml:space="preserve"> </v>
      </c>
      <c r="AA50" s="125" t="str">
        <f>IF(テーブル22[[#This Row],[肥満度数値]]="","",LOOKUP(AC50,$AW$39:$AW$44,$AX$39:$AX$44))</f>
        <v/>
      </c>
      <c r="AB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 s="124" t="str">
        <f>IF(テーブル22[[#This Row],[体重]]="","",(テーブル22[[#This Row],[体重]]-テーブル22[[#This Row],[標準体重]])/テーブル22[[#This Row],[標準体重]]*100)</f>
        <v/>
      </c>
      <c r="AD50" s="1">
        <f>COUNTA(テーブル22[[#This Row],[握力]:[ボール投げ]])</f>
        <v>0</v>
      </c>
      <c r="AE50" s="1" t="str">
        <f>IF(テーブル22[[#This Row],[判定]]=$BD$10,"○","")</f>
        <v/>
      </c>
      <c r="AF50" s="1" t="str">
        <f>IF(AE50="","",COUNTIF($AE$6:AE50,"○"))</f>
        <v/>
      </c>
      <c r="AG50" s="1"/>
    </row>
    <row r="51" spans="1:33" ht="14.25" customHeight="1" x14ac:dyDescent="0.2">
      <c r="A51" s="40">
        <v>46</v>
      </c>
      <c r="B51" s="145"/>
      <c r="C51" s="148"/>
      <c r="D51" s="145"/>
      <c r="E51" s="156"/>
      <c r="F51" s="145"/>
      <c r="G51" s="145"/>
      <c r="H51" s="146"/>
      <c r="I51" s="146"/>
      <c r="J51" s="148"/>
      <c r="K51" s="145"/>
      <c r="L51" s="148"/>
      <c r="M51" s="149"/>
      <c r="N51" s="148"/>
      <c r="O51" s="150"/>
      <c r="P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1" s="43" t="str">
        <f>IF(テーブル22[[#This Row],[得点]]="","",IF(テーブル22[[#This Row],[年齢]]&gt;10,LOOKUP(P51,$BG$6:$BG$10,$BD$6:$BD$10),IF(テーブル22[[#This Row],[年齢]]&gt;9,LOOKUP(P51,$BF$6:$BF$10,$BD$6:$BD$10),IF(テーブル22[[#This Row],[年齢]]&gt;8,LOOKUP(P51,$BE$6:$BE$10,$BD$6:$BD$10),IF(テーブル22[[#This Row],[年齢]]&gt;7,LOOKUP(P51,$BC$6:$BC$10,$BD$6:$BD$10),IF(テーブル22[[#This Row],[年齢]]&gt;6,LOOKUP(P51,$BB$6:$BB$10,$BD$6:$BD$10),LOOKUP(P51,$BA$6:$BA$10,$BD$6:$BD$10)))))))</f>
        <v/>
      </c>
      <c r="R51" s="42">
        <f>IF(H51="",0,(IF(テーブル22[[#This Row],[性別]]="男",LOOKUP(テーブル22[[#This Row],[握力]],$AH$6:$AI$15),LOOKUP(テーブル22[[#This Row],[握力]],$AH$20:$AI$29))))</f>
        <v>0</v>
      </c>
      <c r="S51" s="42">
        <f>IF(テーブル22[[#This Row],[上体]]="",0,(IF(テーブル22[[#This Row],[性別]]="男",LOOKUP(テーブル22[[#This Row],[上体]],$AJ$6:$AK$15),LOOKUP(テーブル22[[#This Row],[上体]],$AJ$20:$AK$29))))</f>
        <v>0</v>
      </c>
      <c r="T51" s="42">
        <f>IF(テーブル22[[#This Row],[長座]]="",0,(IF(テーブル22[[#This Row],[性別]]="男",LOOKUP(テーブル22[[#This Row],[長座]],$AL$6:$AM$15),LOOKUP(テーブル22[[#This Row],[長座]],$AL$20:$AM$29))))</f>
        <v>0</v>
      </c>
      <c r="U51" s="42">
        <f>IF(テーブル22[[#This Row],[反復]]="",0,(IF(テーブル22[[#This Row],[性別]]="男",LOOKUP(テーブル22[[#This Row],[反復]],$AN$6:$AO$15),LOOKUP(テーブル22[[#This Row],[反復]],$AN$20:$AO$29))))</f>
        <v>0</v>
      </c>
      <c r="V51" s="42">
        <f>IF(テーブル22[[#This Row],[ｼｬﾄﾙﾗﾝ]]="",0,(IF(テーブル22[[#This Row],[性別]]="男",LOOKUP(テーブル22[[#This Row],[ｼｬﾄﾙﾗﾝ]],$AR$6:$AS$15),LOOKUP(テーブル22[[#This Row],[ｼｬﾄﾙﾗﾝ]],$AR$20:$AS$29))))</f>
        <v>0</v>
      </c>
      <c r="W51" s="42">
        <f>IF(テーブル22[[#This Row],[50m走]]="",0,(IF(テーブル22[[#This Row],[性別]]="男",LOOKUP(テーブル22[[#This Row],[50m走]],$AT$6:$AU$15),LOOKUP(テーブル22[[#This Row],[50m走]],$AT$20:$AU$29))))</f>
        <v>0</v>
      </c>
      <c r="X51" s="42">
        <f>IF(テーブル22[[#This Row],[立幅とび]]="",0,(IF(テーブル22[[#This Row],[性別]]="男",LOOKUP(テーブル22[[#This Row],[立幅とび]],$AV$6:$AW$15),LOOKUP(テーブル22[[#This Row],[立幅とび]],$AV$20:$AW$29))))</f>
        <v>0</v>
      </c>
      <c r="Y51" s="42">
        <f>IF(テーブル22[[#This Row],[ボール投げ]]="",0,(IF(テーブル22[[#This Row],[性別]]="男",LOOKUP(テーブル22[[#This Row],[ボール投げ]],$AX$6:$AY$15),LOOKUP(テーブル22[[#This Row],[ボール投げ]],$AX$20:$AY$29))))</f>
        <v>0</v>
      </c>
      <c r="Z51" s="19" t="str">
        <f>IF(テーブル22[[#This Row],[学年]]=1,6,IF(テーブル22[[#This Row],[学年]]=2,7,IF(テーブル22[[#This Row],[学年]]=3,8,IF(テーブル22[[#This Row],[学年]]=4,9,IF(テーブル22[[#This Row],[学年]]=5,10,IF(テーブル22[[#This Row],[学年]]=6,11," "))))))</f>
        <v xml:space="preserve"> </v>
      </c>
      <c r="AA51" s="125" t="str">
        <f>IF(テーブル22[[#This Row],[肥満度数値]]="","",LOOKUP(AC51,$AW$39:$AW$44,$AX$39:$AX$44))</f>
        <v/>
      </c>
      <c r="AB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1" s="124" t="str">
        <f>IF(テーブル22[[#This Row],[体重]]="","",(テーブル22[[#This Row],[体重]]-テーブル22[[#This Row],[標準体重]])/テーブル22[[#This Row],[標準体重]]*100)</f>
        <v/>
      </c>
      <c r="AD51" s="1">
        <f>COUNTA(テーブル22[[#This Row],[握力]:[ボール投げ]])</f>
        <v>0</v>
      </c>
      <c r="AE51" s="1" t="str">
        <f>IF(テーブル22[[#This Row],[判定]]=$BD$10,"○","")</f>
        <v/>
      </c>
      <c r="AF51" s="1" t="str">
        <f>IF(AE51="","",COUNTIF($AE$6:AE51,"○"))</f>
        <v/>
      </c>
      <c r="AG51" s="1"/>
    </row>
    <row r="52" spans="1:33" ht="14.25" customHeight="1" x14ac:dyDescent="0.2">
      <c r="A52" s="40">
        <v>47</v>
      </c>
      <c r="B52" s="145"/>
      <c r="C52" s="148"/>
      <c r="D52" s="145"/>
      <c r="E52" s="156"/>
      <c r="F52" s="145"/>
      <c r="G52" s="145"/>
      <c r="H52" s="146"/>
      <c r="I52" s="146"/>
      <c r="J52" s="148"/>
      <c r="K52" s="145"/>
      <c r="L52" s="148"/>
      <c r="M52" s="149"/>
      <c r="N52" s="148"/>
      <c r="O52" s="150"/>
      <c r="P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2" s="43" t="str">
        <f>IF(テーブル22[[#This Row],[得点]]="","",IF(テーブル22[[#This Row],[年齢]]&gt;10,LOOKUP(P52,$BG$6:$BG$10,$BD$6:$BD$10),IF(テーブル22[[#This Row],[年齢]]&gt;9,LOOKUP(P52,$BF$6:$BF$10,$BD$6:$BD$10),IF(テーブル22[[#This Row],[年齢]]&gt;8,LOOKUP(P52,$BE$6:$BE$10,$BD$6:$BD$10),IF(テーブル22[[#This Row],[年齢]]&gt;7,LOOKUP(P52,$BC$6:$BC$10,$BD$6:$BD$10),IF(テーブル22[[#This Row],[年齢]]&gt;6,LOOKUP(P52,$BB$6:$BB$10,$BD$6:$BD$10),LOOKUP(P52,$BA$6:$BA$10,$BD$6:$BD$10)))))))</f>
        <v/>
      </c>
      <c r="R52" s="42">
        <f>IF(H52="",0,(IF(テーブル22[[#This Row],[性別]]="男",LOOKUP(テーブル22[[#This Row],[握力]],$AH$6:$AI$15),LOOKUP(テーブル22[[#This Row],[握力]],$AH$20:$AI$29))))</f>
        <v>0</v>
      </c>
      <c r="S52" s="42">
        <f>IF(テーブル22[[#This Row],[上体]]="",0,(IF(テーブル22[[#This Row],[性別]]="男",LOOKUP(テーブル22[[#This Row],[上体]],$AJ$6:$AK$15),LOOKUP(テーブル22[[#This Row],[上体]],$AJ$20:$AK$29))))</f>
        <v>0</v>
      </c>
      <c r="T52" s="42">
        <f>IF(テーブル22[[#This Row],[長座]]="",0,(IF(テーブル22[[#This Row],[性別]]="男",LOOKUP(テーブル22[[#This Row],[長座]],$AL$6:$AM$15),LOOKUP(テーブル22[[#This Row],[長座]],$AL$20:$AM$29))))</f>
        <v>0</v>
      </c>
      <c r="U52" s="42">
        <f>IF(テーブル22[[#This Row],[反復]]="",0,(IF(テーブル22[[#This Row],[性別]]="男",LOOKUP(テーブル22[[#This Row],[反復]],$AN$6:$AO$15),LOOKUP(テーブル22[[#This Row],[反復]],$AN$20:$AO$29))))</f>
        <v>0</v>
      </c>
      <c r="V52" s="42">
        <f>IF(テーブル22[[#This Row],[ｼｬﾄﾙﾗﾝ]]="",0,(IF(テーブル22[[#This Row],[性別]]="男",LOOKUP(テーブル22[[#This Row],[ｼｬﾄﾙﾗﾝ]],$AR$6:$AS$15),LOOKUP(テーブル22[[#This Row],[ｼｬﾄﾙﾗﾝ]],$AR$20:$AS$29))))</f>
        <v>0</v>
      </c>
      <c r="W52" s="42">
        <f>IF(テーブル22[[#This Row],[50m走]]="",0,(IF(テーブル22[[#This Row],[性別]]="男",LOOKUP(テーブル22[[#This Row],[50m走]],$AT$6:$AU$15),LOOKUP(テーブル22[[#This Row],[50m走]],$AT$20:$AU$29))))</f>
        <v>0</v>
      </c>
      <c r="X52" s="42">
        <f>IF(テーブル22[[#This Row],[立幅とび]]="",0,(IF(テーブル22[[#This Row],[性別]]="男",LOOKUP(テーブル22[[#This Row],[立幅とび]],$AV$6:$AW$15),LOOKUP(テーブル22[[#This Row],[立幅とび]],$AV$20:$AW$29))))</f>
        <v>0</v>
      </c>
      <c r="Y52" s="42">
        <f>IF(テーブル22[[#This Row],[ボール投げ]]="",0,(IF(テーブル22[[#This Row],[性別]]="男",LOOKUP(テーブル22[[#This Row],[ボール投げ]],$AX$6:$AY$15),LOOKUP(テーブル22[[#This Row],[ボール投げ]],$AX$20:$AY$29))))</f>
        <v>0</v>
      </c>
      <c r="Z52" s="19" t="str">
        <f>IF(テーブル22[[#This Row],[学年]]=1,6,IF(テーブル22[[#This Row],[学年]]=2,7,IF(テーブル22[[#This Row],[学年]]=3,8,IF(テーブル22[[#This Row],[学年]]=4,9,IF(テーブル22[[#This Row],[学年]]=5,10,IF(テーブル22[[#This Row],[学年]]=6,11," "))))))</f>
        <v xml:space="preserve"> </v>
      </c>
      <c r="AA52" s="125" t="str">
        <f>IF(テーブル22[[#This Row],[肥満度数値]]="","",LOOKUP(AC52,$AW$39:$AW$44,$AX$39:$AX$44))</f>
        <v/>
      </c>
      <c r="AB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2" s="124" t="str">
        <f>IF(テーブル22[[#This Row],[体重]]="","",(テーブル22[[#This Row],[体重]]-テーブル22[[#This Row],[標準体重]])/テーブル22[[#This Row],[標準体重]]*100)</f>
        <v/>
      </c>
      <c r="AD52" s="1">
        <f>COUNTA(テーブル22[[#This Row],[握力]:[ボール投げ]])</f>
        <v>0</v>
      </c>
      <c r="AE52" s="1" t="str">
        <f>IF(テーブル22[[#This Row],[判定]]=$BD$10,"○","")</f>
        <v/>
      </c>
      <c r="AF52" s="1" t="str">
        <f>IF(AE52="","",COUNTIF($AE$6:AE52,"○"))</f>
        <v/>
      </c>
      <c r="AG52" s="1"/>
    </row>
    <row r="53" spans="1:33" ht="14.25" customHeight="1" x14ac:dyDescent="0.2">
      <c r="A53" s="40">
        <v>48</v>
      </c>
      <c r="B53" s="145"/>
      <c r="C53" s="148"/>
      <c r="D53" s="145"/>
      <c r="E53" s="156"/>
      <c r="F53" s="145"/>
      <c r="G53" s="145"/>
      <c r="H53" s="146"/>
      <c r="I53" s="146"/>
      <c r="J53" s="148"/>
      <c r="K53" s="145"/>
      <c r="L53" s="148"/>
      <c r="M53" s="149"/>
      <c r="N53" s="148"/>
      <c r="O53" s="150"/>
      <c r="P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3" s="43" t="str">
        <f>IF(テーブル22[[#This Row],[得点]]="","",IF(テーブル22[[#This Row],[年齢]]&gt;10,LOOKUP(P53,$BG$6:$BG$10,$BD$6:$BD$10),IF(テーブル22[[#This Row],[年齢]]&gt;9,LOOKUP(P53,$BF$6:$BF$10,$BD$6:$BD$10),IF(テーブル22[[#This Row],[年齢]]&gt;8,LOOKUP(P53,$BE$6:$BE$10,$BD$6:$BD$10),IF(テーブル22[[#This Row],[年齢]]&gt;7,LOOKUP(P53,$BC$6:$BC$10,$BD$6:$BD$10),IF(テーブル22[[#This Row],[年齢]]&gt;6,LOOKUP(P53,$BB$6:$BB$10,$BD$6:$BD$10),LOOKUP(P53,$BA$6:$BA$10,$BD$6:$BD$10)))))))</f>
        <v/>
      </c>
      <c r="R53" s="42">
        <f>IF(H53="",0,(IF(テーブル22[[#This Row],[性別]]="男",LOOKUP(テーブル22[[#This Row],[握力]],$AH$6:$AI$15),LOOKUP(テーブル22[[#This Row],[握力]],$AH$20:$AI$29))))</f>
        <v>0</v>
      </c>
      <c r="S53" s="42">
        <f>IF(テーブル22[[#This Row],[上体]]="",0,(IF(テーブル22[[#This Row],[性別]]="男",LOOKUP(テーブル22[[#This Row],[上体]],$AJ$6:$AK$15),LOOKUP(テーブル22[[#This Row],[上体]],$AJ$20:$AK$29))))</f>
        <v>0</v>
      </c>
      <c r="T53" s="42">
        <f>IF(テーブル22[[#This Row],[長座]]="",0,(IF(テーブル22[[#This Row],[性別]]="男",LOOKUP(テーブル22[[#This Row],[長座]],$AL$6:$AM$15),LOOKUP(テーブル22[[#This Row],[長座]],$AL$20:$AM$29))))</f>
        <v>0</v>
      </c>
      <c r="U53" s="42">
        <f>IF(テーブル22[[#This Row],[反復]]="",0,(IF(テーブル22[[#This Row],[性別]]="男",LOOKUP(テーブル22[[#This Row],[反復]],$AN$6:$AO$15),LOOKUP(テーブル22[[#This Row],[反復]],$AN$20:$AO$29))))</f>
        <v>0</v>
      </c>
      <c r="V53" s="42">
        <f>IF(テーブル22[[#This Row],[ｼｬﾄﾙﾗﾝ]]="",0,(IF(テーブル22[[#This Row],[性別]]="男",LOOKUP(テーブル22[[#This Row],[ｼｬﾄﾙﾗﾝ]],$AR$6:$AS$15),LOOKUP(テーブル22[[#This Row],[ｼｬﾄﾙﾗﾝ]],$AR$20:$AS$29))))</f>
        <v>0</v>
      </c>
      <c r="W53" s="42">
        <f>IF(テーブル22[[#This Row],[50m走]]="",0,(IF(テーブル22[[#This Row],[性別]]="男",LOOKUP(テーブル22[[#This Row],[50m走]],$AT$6:$AU$15),LOOKUP(テーブル22[[#This Row],[50m走]],$AT$20:$AU$29))))</f>
        <v>0</v>
      </c>
      <c r="X53" s="42">
        <f>IF(テーブル22[[#This Row],[立幅とび]]="",0,(IF(テーブル22[[#This Row],[性別]]="男",LOOKUP(テーブル22[[#This Row],[立幅とび]],$AV$6:$AW$15),LOOKUP(テーブル22[[#This Row],[立幅とび]],$AV$20:$AW$29))))</f>
        <v>0</v>
      </c>
      <c r="Y53" s="42">
        <f>IF(テーブル22[[#This Row],[ボール投げ]]="",0,(IF(テーブル22[[#This Row],[性別]]="男",LOOKUP(テーブル22[[#This Row],[ボール投げ]],$AX$6:$AY$15),LOOKUP(テーブル22[[#This Row],[ボール投げ]],$AX$20:$AY$29))))</f>
        <v>0</v>
      </c>
      <c r="Z53" s="19" t="str">
        <f>IF(テーブル22[[#This Row],[学年]]=1,6,IF(テーブル22[[#This Row],[学年]]=2,7,IF(テーブル22[[#This Row],[学年]]=3,8,IF(テーブル22[[#This Row],[学年]]=4,9,IF(テーブル22[[#This Row],[学年]]=5,10,IF(テーブル22[[#This Row],[学年]]=6,11," "))))))</f>
        <v xml:space="preserve"> </v>
      </c>
      <c r="AA53" s="125" t="str">
        <f>IF(テーブル22[[#This Row],[肥満度数値]]="","",LOOKUP(AC53,$AW$39:$AW$44,$AX$39:$AX$44))</f>
        <v/>
      </c>
      <c r="AB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3" s="124" t="str">
        <f>IF(テーブル22[[#This Row],[体重]]="","",(テーブル22[[#This Row],[体重]]-テーブル22[[#This Row],[標準体重]])/テーブル22[[#This Row],[標準体重]]*100)</f>
        <v/>
      </c>
      <c r="AD53" s="1">
        <f>COUNTA(テーブル22[[#This Row],[握力]:[ボール投げ]])</f>
        <v>0</v>
      </c>
      <c r="AE53" s="1" t="str">
        <f>IF(テーブル22[[#This Row],[判定]]=$BD$10,"○","")</f>
        <v/>
      </c>
      <c r="AF53" s="1" t="str">
        <f>IF(AE53="","",COUNTIF($AE$6:AE53,"○"))</f>
        <v/>
      </c>
      <c r="AG53" s="1"/>
    </row>
    <row r="54" spans="1:33" ht="14.25" customHeight="1" x14ac:dyDescent="0.2">
      <c r="A54" s="40">
        <v>49</v>
      </c>
      <c r="B54" s="145"/>
      <c r="C54" s="148"/>
      <c r="D54" s="145"/>
      <c r="E54" s="156"/>
      <c r="F54" s="145"/>
      <c r="G54" s="145"/>
      <c r="H54" s="146"/>
      <c r="I54" s="146"/>
      <c r="J54" s="148"/>
      <c r="K54" s="145"/>
      <c r="L54" s="148"/>
      <c r="M54" s="149"/>
      <c r="N54" s="148"/>
      <c r="O54" s="150"/>
      <c r="P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4" s="43" t="str">
        <f>IF(テーブル22[[#This Row],[得点]]="","",IF(テーブル22[[#This Row],[年齢]]&gt;10,LOOKUP(P54,$BG$6:$BG$10,$BD$6:$BD$10),IF(テーブル22[[#This Row],[年齢]]&gt;9,LOOKUP(P54,$BF$6:$BF$10,$BD$6:$BD$10),IF(テーブル22[[#This Row],[年齢]]&gt;8,LOOKUP(P54,$BE$6:$BE$10,$BD$6:$BD$10),IF(テーブル22[[#This Row],[年齢]]&gt;7,LOOKUP(P54,$BC$6:$BC$10,$BD$6:$BD$10),IF(テーブル22[[#This Row],[年齢]]&gt;6,LOOKUP(P54,$BB$6:$BB$10,$BD$6:$BD$10),LOOKUP(P54,$BA$6:$BA$10,$BD$6:$BD$10)))))))</f>
        <v/>
      </c>
      <c r="R54" s="42">
        <f>IF(H54="",0,(IF(テーブル22[[#This Row],[性別]]="男",LOOKUP(テーブル22[[#This Row],[握力]],$AH$6:$AI$15),LOOKUP(テーブル22[[#This Row],[握力]],$AH$20:$AI$29))))</f>
        <v>0</v>
      </c>
      <c r="S54" s="42">
        <f>IF(テーブル22[[#This Row],[上体]]="",0,(IF(テーブル22[[#This Row],[性別]]="男",LOOKUP(テーブル22[[#This Row],[上体]],$AJ$6:$AK$15),LOOKUP(テーブル22[[#This Row],[上体]],$AJ$20:$AK$29))))</f>
        <v>0</v>
      </c>
      <c r="T54" s="42">
        <f>IF(テーブル22[[#This Row],[長座]]="",0,(IF(テーブル22[[#This Row],[性別]]="男",LOOKUP(テーブル22[[#This Row],[長座]],$AL$6:$AM$15),LOOKUP(テーブル22[[#This Row],[長座]],$AL$20:$AM$29))))</f>
        <v>0</v>
      </c>
      <c r="U54" s="42">
        <f>IF(テーブル22[[#This Row],[反復]]="",0,(IF(テーブル22[[#This Row],[性別]]="男",LOOKUP(テーブル22[[#This Row],[反復]],$AN$6:$AO$15),LOOKUP(テーブル22[[#This Row],[反復]],$AN$20:$AO$29))))</f>
        <v>0</v>
      </c>
      <c r="V54" s="42">
        <f>IF(テーブル22[[#This Row],[ｼｬﾄﾙﾗﾝ]]="",0,(IF(テーブル22[[#This Row],[性別]]="男",LOOKUP(テーブル22[[#This Row],[ｼｬﾄﾙﾗﾝ]],$AR$6:$AS$15),LOOKUP(テーブル22[[#This Row],[ｼｬﾄﾙﾗﾝ]],$AR$20:$AS$29))))</f>
        <v>0</v>
      </c>
      <c r="W54" s="42">
        <f>IF(テーブル22[[#This Row],[50m走]]="",0,(IF(テーブル22[[#This Row],[性別]]="男",LOOKUP(テーブル22[[#This Row],[50m走]],$AT$6:$AU$15),LOOKUP(テーブル22[[#This Row],[50m走]],$AT$20:$AU$29))))</f>
        <v>0</v>
      </c>
      <c r="X54" s="42">
        <f>IF(テーブル22[[#This Row],[立幅とび]]="",0,(IF(テーブル22[[#This Row],[性別]]="男",LOOKUP(テーブル22[[#This Row],[立幅とび]],$AV$6:$AW$15),LOOKUP(テーブル22[[#This Row],[立幅とび]],$AV$20:$AW$29))))</f>
        <v>0</v>
      </c>
      <c r="Y54" s="42">
        <f>IF(テーブル22[[#This Row],[ボール投げ]]="",0,(IF(テーブル22[[#This Row],[性別]]="男",LOOKUP(テーブル22[[#This Row],[ボール投げ]],$AX$6:$AY$15),LOOKUP(テーブル22[[#This Row],[ボール投げ]],$AX$20:$AY$29))))</f>
        <v>0</v>
      </c>
      <c r="Z54" s="19" t="str">
        <f>IF(テーブル22[[#This Row],[学年]]=1,6,IF(テーブル22[[#This Row],[学年]]=2,7,IF(テーブル22[[#This Row],[学年]]=3,8,IF(テーブル22[[#This Row],[学年]]=4,9,IF(テーブル22[[#This Row],[学年]]=5,10,IF(テーブル22[[#This Row],[学年]]=6,11," "))))))</f>
        <v xml:space="preserve"> </v>
      </c>
      <c r="AA54" s="125" t="str">
        <f>IF(テーブル22[[#This Row],[肥満度数値]]="","",LOOKUP(AC54,$AW$39:$AW$44,$AX$39:$AX$44))</f>
        <v/>
      </c>
      <c r="AB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4" s="124" t="str">
        <f>IF(テーブル22[[#This Row],[体重]]="","",(テーブル22[[#This Row],[体重]]-テーブル22[[#This Row],[標準体重]])/テーブル22[[#This Row],[標準体重]]*100)</f>
        <v/>
      </c>
      <c r="AD54" s="1">
        <f>COUNTA(テーブル22[[#This Row],[握力]:[ボール投げ]])</f>
        <v>0</v>
      </c>
      <c r="AE54" s="1" t="str">
        <f>IF(テーブル22[[#This Row],[判定]]=$BD$10,"○","")</f>
        <v/>
      </c>
      <c r="AF54" s="1" t="str">
        <f>IF(AE54="","",COUNTIF($AE$6:AE54,"○"))</f>
        <v/>
      </c>
      <c r="AG54" s="1"/>
    </row>
    <row r="55" spans="1:33" ht="14.25" customHeight="1" x14ac:dyDescent="0.2">
      <c r="A55" s="40">
        <v>50</v>
      </c>
      <c r="B55" s="145"/>
      <c r="C55" s="148"/>
      <c r="D55" s="145"/>
      <c r="E55" s="156"/>
      <c r="F55" s="145"/>
      <c r="G55" s="145"/>
      <c r="H55" s="146"/>
      <c r="I55" s="146"/>
      <c r="J55" s="148"/>
      <c r="K55" s="145"/>
      <c r="L55" s="148"/>
      <c r="M55" s="149"/>
      <c r="N55" s="148"/>
      <c r="O55" s="150"/>
      <c r="P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5" s="43" t="str">
        <f>IF(テーブル22[[#This Row],[得点]]="","",IF(テーブル22[[#This Row],[年齢]]&gt;10,LOOKUP(P55,$BG$6:$BG$10,$BD$6:$BD$10),IF(テーブル22[[#This Row],[年齢]]&gt;9,LOOKUP(P55,$BF$6:$BF$10,$BD$6:$BD$10),IF(テーブル22[[#This Row],[年齢]]&gt;8,LOOKUP(P55,$BE$6:$BE$10,$BD$6:$BD$10),IF(テーブル22[[#This Row],[年齢]]&gt;7,LOOKUP(P55,$BC$6:$BC$10,$BD$6:$BD$10),IF(テーブル22[[#This Row],[年齢]]&gt;6,LOOKUP(P55,$BB$6:$BB$10,$BD$6:$BD$10),LOOKUP(P55,$BA$6:$BA$10,$BD$6:$BD$10)))))))</f>
        <v/>
      </c>
      <c r="R55" s="42">
        <f>IF(H55="",0,(IF(テーブル22[[#This Row],[性別]]="男",LOOKUP(テーブル22[[#This Row],[握力]],$AH$6:$AI$15),LOOKUP(テーブル22[[#This Row],[握力]],$AH$20:$AI$29))))</f>
        <v>0</v>
      </c>
      <c r="S55" s="42">
        <f>IF(テーブル22[[#This Row],[上体]]="",0,(IF(テーブル22[[#This Row],[性別]]="男",LOOKUP(テーブル22[[#This Row],[上体]],$AJ$6:$AK$15),LOOKUP(テーブル22[[#This Row],[上体]],$AJ$20:$AK$29))))</f>
        <v>0</v>
      </c>
      <c r="T55" s="42">
        <f>IF(テーブル22[[#This Row],[長座]]="",0,(IF(テーブル22[[#This Row],[性別]]="男",LOOKUP(テーブル22[[#This Row],[長座]],$AL$6:$AM$15),LOOKUP(テーブル22[[#This Row],[長座]],$AL$20:$AM$29))))</f>
        <v>0</v>
      </c>
      <c r="U55" s="42">
        <f>IF(テーブル22[[#This Row],[反復]]="",0,(IF(テーブル22[[#This Row],[性別]]="男",LOOKUP(テーブル22[[#This Row],[反復]],$AN$6:$AO$15),LOOKUP(テーブル22[[#This Row],[反復]],$AN$20:$AO$29))))</f>
        <v>0</v>
      </c>
      <c r="V55" s="42">
        <f>IF(テーブル22[[#This Row],[ｼｬﾄﾙﾗﾝ]]="",0,(IF(テーブル22[[#This Row],[性別]]="男",LOOKUP(テーブル22[[#This Row],[ｼｬﾄﾙﾗﾝ]],$AR$6:$AS$15),LOOKUP(テーブル22[[#This Row],[ｼｬﾄﾙﾗﾝ]],$AR$20:$AS$29))))</f>
        <v>0</v>
      </c>
      <c r="W55" s="42">
        <f>IF(テーブル22[[#This Row],[50m走]]="",0,(IF(テーブル22[[#This Row],[性別]]="男",LOOKUP(テーブル22[[#This Row],[50m走]],$AT$6:$AU$15),LOOKUP(テーブル22[[#This Row],[50m走]],$AT$20:$AU$29))))</f>
        <v>0</v>
      </c>
      <c r="X55" s="42">
        <f>IF(テーブル22[[#This Row],[立幅とび]]="",0,(IF(テーブル22[[#This Row],[性別]]="男",LOOKUP(テーブル22[[#This Row],[立幅とび]],$AV$6:$AW$15),LOOKUP(テーブル22[[#This Row],[立幅とび]],$AV$20:$AW$29))))</f>
        <v>0</v>
      </c>
      <c r="Y55" s="42">
        <f>IF(テーブル22[[#This Row],[ボール投げ]]="",0,(IF(テーブル22[[#This Row],[性別]]="男",LOOKUP(テーブル22[[#This Row],[ボール投げ]],$AX$6:$AY$15),LOOKUP(テーブル22[[#This Row],[ボール投げ]],$AX$20:$AY$29))))</f>
        <v>0</v>
      </c>
      <c r="Z55" s="19" t="str">
        <f>IF(テーブル22[[#This Row],[学年]]=1,6,IF(テーブル22[[#This Row],[学年]]=2,7,IF(テーブル22[[#This Row],[学年]]=3,8,IF(テーブル22[[#This Row],[学年]]=4,9,IF(テーブル22[[#This Row],[学年]]=5,10,IF(テーブル22[[#This Row],[学年]]=6,11," "))))))</f>
        <v xml:space="preserve"> </v>
      </c>
      <c r="AA55" s="125" t="str">
        <f>IF(テーブル22[[#This Row],[肥満度数値]]="","",LOOKUP(AC55,$AW$39:$AW$44,$AX$39:$AX$44))</f>
        <v/>
      </c>
      <c r="AB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5" s="124" t="str">
        <f>IF(テーブル22[[#This Row],[体重]]="","",(テーブル22[[#This Row],[体重]]-テーブル22[[#This Row],[標準体重]])/テーブル22[[#This Row],[標準体重]]*100)</f>
        <v/>
      </c>
      <c r="AD55" s="1">
        <f>COUNTA(テーブル22[[#This Row],[握力]:[ボール投げ]])</f>
        <v>0</v>
      </c>
      <c r="AE55" s="1" t="str">
        <f>IF(テーブル22[[#This Row],[判定]]=$BD$10,"○","")</f>
        <v/>
      </c>
      <c r="AF55" s="1" t="str">
        <f>IF(AE55="","",COUNTIF($AE$6:AE55,"○"))</f>
        <v/>
      </c>
      <c r="AG55" s="1"/>
    </row>
    <row r="56" spans="1:33" x14ac:dyDescent="0.2">
      <c r="A56" s="40">
        <v>51</v>
      </c>
      <c r="B56" s="145"/>
      <c r="C56" s="148"/>
      <c r="D56" s="145"/>
      <c r="E56" s="156"/>
      <c r="F56" s="145"/>
      <c r="G56" s="145"/>
      <c r="H56" s="146"/>
      <c r="I56" s="146"/>
      <c r="J56" s="148"/>
      <c r="K56" s="145"/>
      <c r="L56" s="148"/>
      <c r="M56" s="149"/>
      <c r="N56" s="148"/>
      <c r="O56" s="150"/>
      <c r="P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6" s="43" t="str">
        <f>IF(テーブル22[[#This Row],[得点]]="","",IF(テーブル22[[#This Row],[年齢]]&gt;10,LOOKUP(P56,$BG$6:$BG$10,$BD$6:$BD$10),IF(テーブル22[[#This Row],[年齢]]&gt;9,LOOKUP(P56,$BF$6:$BF$10,$BD$6:$BD$10),IF(テーブル22[[#This Row],[年齢]]&gt;8,LOOKUP(P56,$BE$6:$BE$10,$BD$6:$BD$10),IF(テーブル22[[#This Row],[年齢]]&gt;7,LOOKUP(P56,$BC$6:$BC$10,$BD$6:$BD$10),IF(テーブル22[[#This Row],[年齢]]&gt;6,LOOKUP(P56,$BB$6:$BB$10,$BD$6:$BD$10),LOOKUP(P56,$BA$6:$BA$10,$BD$6:$BD$10)))))))</f>
        <v/>
      </c>
      <c r="R56" s="42">
        <f>IF(H56="",0,(IF(テーブル22[[#This Row],[性別]]="男",LOOKUP(テーブル22[[#This Row],[握力]],$AH$6:$AI$15),LOOKUP(テーブル22[[#This Row],[握力]],$AH$20:$AI$29))))</f>
        <v>0</v>
      </c>
      <c r="S56" s="42">
        <f>IF(テーブル22[[#This Row],[上体]]="",0,(IF(テーブル22[[#This Row],[性別]]="男",LOOKUP(テーブル22[[#This Row],[上体]],$AJ$6:$AK$15),LOOKUP(テーブル22[[#This Row],[上体]],$AJ$20:$AK$29))))</f>
        <v>0</v>
      </c>
      <c r="T56" s="42">
        <f>IF(テーブル22[[#This Row],[長座]]="",0,(IF(テーブル22[[#This Row],[性別]]="男",LOOKUP(テーブル22[[#This Row],[長座]],$AL$6:$AM$15),LOOKUP(テーブル22[[#This Row],[長座]],$AL$20:$AM$29))))</f>
        <v>0</v>
      </c>
      <c r="U56" s="42">
        <f>IF(テーブル22[[#This Row],[反復]]="",0,(IF(テーブル22[[#This Row],[性別]]="男",LOOKUP(テーブル22[[#This Row],[反復]],$AN$6:$AO$15),LOOKUP(テーブル22[[#This Row],[反復]],$AN$20:$AO$29))))</f>
        <v>0</v>
      </c>
      <c r="V56" s="42">
        <f>IF(テーブル22[[#This Row],[ｼｬﾄﾙﾗﾝ]]="",0,(IF(テーブル22[[#This Row],[性別]]="男",LOOKUP(テーブル22[[#This Row],[ｼｬﾄﾙﾗﾝ]],$AR$6:$AS$15),LOOKUP(テーブル22[[#This Row],[ｼｬﾄﾙﾗﾝ]],$AR$20:$AS$29))))</f>
        <v>0</v>
      </c>
      <c r="W56" s="42">
        <f>IF(テーブル22[[#This Row],[50m走]]="",0,(IF(テーブル22[[#This Row],[性別]]="男",LOOKUP(テーブル22[[#This Row],[50m走]],$AT$6:$AU$15),LOOKUP(テーブル22[[#This Row],[50m走]],$AT$20:$AU$29))))</f>
        <v>0</v>
      </c>
      <c r="X56" s="42">
        <f>IF(テーブル22[[#This Row],[立幅とび]]="",0,(IF(テーブル22[[#This Row],[性別]]="男",LOOKUP(テーブル22[[#This Row],[立幅とび]],$AV$6:$AW$15),LOOKUP(テーブル22[[#This Row],[立幅とび]],$AV$20:$AW$29))))</f>
        <v>0</v>
      </c>
      <c r="Y56" s="42">
        <f>IF(テーブル22[[#This Row],[ボール投げ]]="",0,(IF(テーブル22[[#This Row],[性別]]="男",LOOKUP(テーブル22[[#This Row],[ボール投げ]],$AX$6:$AY$15),LOOKUP(テーブル22[[#This Row],[ボール投げ]],$AX$20:$AY$29))))</f>
        <v>0</v>
      </c>
      <c r="Z56" s="19" t="str">
        <f>IF(テーブル22[[#This Row],[学年]]=1,6,IF(テーブル22[[#This Row],[学年]]=2,7,IF(テーブル22[[#This Row],[学年]]=3,8,IF(テーブル22[[#This Row],[学年]]=4,9,IF(テーブル22[[#This Row],[学年]]=5,10,IF(テーブル22[[#This Row],[学年]]=6,11," "))))))</f>
        <v xml:space="preserve"> </v>
      </c>
      <c r="AA56" s="125" t="str">
        <f>IF(テーブル22[[#This Row],[肥満度数値]]="","",LOOKUP(AC56,$AW$39:$AW$44,$AX$39:$AX$44))</f>
        <v/>
      </c>
      <c r="AB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6" s="124" t="str">
        <f>IF(テーブル22[[#This Row],[体重]]="","",(テーブル22[[#This Row],[体重]]-テーブル22[[#This Row],[標準体重]])/テーブル22[[#This Row],[標準体重]]*100)</f>
        <v/>
      </c>
      <c r="AD56" s="1">
        <f>COUNTA(テーブル22[[#This Row],[握力]:[ボール投げ]])</f>
        <v>0</v>
      </c>
      <c r="AE56" s="1" t="str">
        <f>IF(テーブル22[[#This Row],[判定]]=$BD$10,"○","")</f>
        <v/>
      </c>
      <c r="AF56" s="1" t="str">
        <f>IF(AE56="","",COUNTIF($AE$6:AE56,"○"))</f>
        <v/>
      </c>
    </row>
    <row r="57" spans="1:33" x14ac:dyDescent="0.2">
      <c r="A57" s="40">
        <v>52</v>
      </c>
      <c r="B57" s="145"/>
      <c r="C57" s="148"/>
      <c r="D57" s="145"/>
      <c r="E57" s="156"/>
      <c r="F57" s="145"/>
      <c r="G57" s="145"/>
      <c r="H57" s="146"/>
      <c r="I57" s="146"/>
      <c r="J57" s="148"/>
      <c r="K57" s="145"/>
      <c r="L57" s="148"/>
      <c r="M57" s="149"/>
      <c r="N57" s="148"/>
      <c r="O57" s="150"/>
      <c r="P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7" s="43" t="str">
        <f>IF(テーブル22[[#This Row],[得点]]="","",IF(テーブル22[[#This Row],[年齢]]&gt;10,LOOKUP(P57,$BG$6:$BG$10,$BD$6:$BD$10),IF(テーブル22[[#This Row],[年齢]]&gt;9,LOOKUP(P57,$BF$6:$BF$10,$BD$6:$BD$10),IF(テーブル22[[#This Row],[年齢]]&gt;8,LOOKUP(P57,$BE$6:$BE$10,$BD$6:$BD$10),IF(テーブル22[[#This Row],[年齢]]&gt;7,LOOKUP(P57,$BC$6:$BC$10,$BD$6:$BD$10),IF(テーブル22[[#This Row],[年齢]]&gt;6,LOOKUP(P57,$BB$6:$BB$10,$BD$6:$BD$10),LOOKUP(P57,$BA$6:$BA$10,$BD$6:$BD$10)))))))</f>
        <v/>
      </c>
      <c r="R57" s="42">
        <f>IF(H57="",0,(IF(テーブル22[[#This Row],[性別]]="男",LOOKUP(テーブル22[[#This Row],[握力]],$AH$6:$AI$15),LOOKUP(テーブル22[[#This Row],[握力]],$AH$20:$AI$29))))</f>
        <v>0</v>
      </c>
      <c r="S57" s="42">
        <f>IF(テーブル22[[#This Row],[上体]]="",0,(IF(テーブル22[[#This Row],[性別]]="男",LOOKUP(テーブル22[[#This Row],[上体]],$AJ$6:$AK$15),LOOKUP(テーブル22[[#This Row],[上体]],$AJ$20:$AK$29))))</f>
        <v>0</v>
      </c>
      <c r="T57" s="42">
        <f>IF(テーブル22[[#This Row],[長座]]="",0,(IF(テーブル22[[#This Row],[性別]]="男",LOOKUP(テーブル22[[#This Row],[長座]],$AL$6:$AM$15),LOOKUP(テーブル22[[#This Row],[長座]],$AL$20:$AM$29))))</f>
        <v>0</v>
      </c>
      <c r="U57" s="42">
        <f>IF(テーブル22[[#This Row],[反復]]="",0,(IF(テーブル22[[#This Row],[性別]]="男",LOOKUP(テーブル22[[#This Row],[反復]],$AN$6:$AO$15),LOOKUP(テーブル22[[#This Row],[反復]],$AN$20:$AO$29))))</f>
        <v>0</v>
      </c>
      <c r="V57" s="42">
        <f>IF(テーブル22[[#This Row],[ｼｬﾄﾙﾗﾝ]]="",0,(IF(テーブル22[[#This Row],[性別]]="男",LOOKUP(テーブル22[[#This Row],[ｼｬﾄﾙﾗﾝ]],$AR$6:$AS$15),LOOKUP(テーブル22[[#This Row],[ｼｬﾄﾙﾗﾝ]],$AR$20:$AS$29))))</f>
        <v>0</v>
      </c>
      <c r="W57" s="42">
        <f>IF(テーブル22[[#This Row],[50m走]]="",0,(IF(テーブル22[[#This Row],[性別]]="男",LOOKUP(テーブル22[[#This Row],[50m走]],$AT$6:$AU$15),LOOKUP(テーブル22[[#This Row],[50m走]],$AT$20:$AU$29))))</f>
        <v>0</v>
      </c>
      <c r="X57" s="42">
        <f>IF(テーブル22[[#This Row],[立幅とび]]="",0,(IF(テーブル22[[#This Row],[性別]]="男",LOOKUP(テーブル22[[#This Row],[立幅とび]],$AV$6:$AW$15),LOOKUP(テーブル22[[#This Row],[立幅とび]],$AV$20:$AW$29))))</f>
        <v>0</v>
      </c>
      <c r="Y57" s="42">
        <f>IF(テーブル22[[#This Row],[ボール投げ]]="",0,(IF(テーブル22[[#This Row],[性別]]="男",LOOKUP(テーブル22[[#This Row],[ボール投げ]],$AX$6:$AY$15),LOOKUP(テーブル22[[#This Row],[ボール投げ]],$AX$20:$AY$29))))</f>
        <v>0</v>
      </c>
      <c r="Z57" s="19" t="str">
        <f>IF(テーブル22[[#This Row],[学年]]=1,6,IF(テーブル22[[#This Row],[学年]]=2,7,IF(テーブル22[[#This Row],[学年]]=3,8,IF(テーブル22[[#This Row],[学年]]=4,9,IF(テーブル22[[#This Row],[学年]]=5,10,IF(テーブル22[[#This Row],[学年]]=6,11," "))))))</f>
        <v xml:space="preserve"> </v>
      </c>
      <c r="AA57" s="125" t="str">
        <f>IF(テーブル22[[#This Row],[肥満度数値]]="","",LOOKUP(AC57,$AW$39:$AW$44,$AX$39:$AX$44))</f>
        <v/>
      </c>
      <c r="AB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7" s="124" t="str">
        <f>IF(テーブル22[[#This Row],[体重]]="","",(テーブル22[[#This Row],[体重]]-テーブル22[[#This Row],[標準体重]])/テーブル22[[#This Row],[標準体重]]*100)</f>
        <v/>
      </c>
      <c r="AD57" s="1">
        <f>COUNTA(テーブル22[[#This Row],[握力]:[ボール投げ]])</f>
        <v>0</v>
      </c>
      <c r="AE57" s="1" t="str">
        <f>IF(テーブル22[[#This Row],[判定]]=$BD$10,"○","")</f>
        <v/>
      </c>
      <c r="AF57" s="1" t="str">
        <f>IF(AE57="","",COUNTIF($AE$6:AE57,"○"))</f>
        <v/>
      </c>
    </row>
    <row r="58" spans="1:33" x14ac:dyDescent="0.2">
      <c r="A58" s="40">
        <v>53</v>
      </c>
      <c r="B58" s="145"/>
      <c r="C58" s="148"/>
      <c r="D58" s="145"/>
      <c r="E58" s="156"/>
      <c r="F58" s="145"/>
      <c r="G58" s="145"/>
      <c r="H58" s="146"/>
      <c r="I58" s="146"/>
      <c r="J58" s="148"/>
      <c r="K58" s="145"/>
      <c r="L58" s="148"/>
      <c r="M58" s="149"/>
      <c r="N58" s="148"/>
      <c r="O58" s="150"/>
      <c r="P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8" s="43" t="str">
        <f>IF(テーブル22[[#This Row],[得点]]="","",IF(テーブル22[[#This Row],[年齢]]&gt;10,LOOKUP(P58,$BG$6:$BG$10,$BD$6:$BD$10),IF(テーブル22[[#This Row],[年齢]]&gt;9,LOOKUP(P58,$BF$6:$BF$10,$BD$6:$BD$10),IF(テーブル22[[#This Row],[年齢]]&gt;8,LOOKUP(P58,$BE$6:$BE$10,$BD$6:$BD$10),IF(テーブル22[[#This Row],[年齢]]&gt;7,LOOKUP(P58,$BC$6:$BC$10,$BD$6:$BD$10),IF(テーブル22[[#This Row],[年齢]]&gt;6,LOOKUP(P58,$BB$6:$BB$10,$BD$6:$BD$10),LOOKUP(P58,$BA$6:$BA$10,$BD$6:$BD$10)))))))</f>
        <v/>
      </c>
      <c r="R58" s="42">
        <f>IF(H58="",0,(IF(テーブル22[[#This Row],[性別]]="男",LOOKUP(テーブル22[[#This Row],[握力]],$AH$6:$AI$15),LOOKUP(テーブル22[[#This Row],[握力]],$AH$20:$AI$29))))</f>
        <v>0</v>
      </c>
      <c r="S58" s="42">
        <f>IF(テーブル22[[#This Row],[上体]]="",0,(IF(テーブル22[[#This Row],[性別]]="男",LOOKUP(テーブル22[[#This Row],[上体]],$AJ$6:$AK$15),LOOKUP(テーブル22[[#This Row],[上体]],$AJ$20:$AK$29))))</f>
        <v>0</v>
      </c>
      <c r="T58" s="42">
        <f>IF(テーブル22[[#This Row],[長座]]="",0,(IF(テーブル22[[#This Row],[性別]]="男",LOOKUP(テーブル22[[#This Row],[長座]],$AL$6:$AM$15),LOOKUP(テーブル22[[#This Row],[長座]],$AL$20:$AM$29))))</f>
        <v>0</v>
      </c>
      <c r="U58" s="42">
        <f>IF(テーブル22[[#This Row],[反復]]="",0,(IF(テーブル22[[#This Row],[性別]]="男",LOOKUP(テーブル22[[#This Row],[反復]],$AN$6:$AO$15),LOOKUP(テーブル22[[#This Row],[反復]],$AN$20:$AO$29))))</f>
        <v>0</v>
      </c>
      <c r="V58" s="42">
        <f>IF(テーブル22[[#This Row],[ｼｬﾄﾙﾗﾝ]]="",0,(IF(テーブル22[[#This Row],[性別]]="男",LOOKUP(テーブル22[[#This Row],[ｼｬﾄﾙﾗﾝ]],$AR$6:$AS$15),LOOKUP(テーブル22[[#This Row],[ｼｬﾄﾙﾗﾝ]],$AR$20:$AS$29))))</f>
        <v>0</v>
      </c>
      <c r="W58" s="42">
        <f>IF(テーブル22[[#This Row],[50m走]]="",0,(IF(テーブル22[[#This Row],[性別]]="男",LOOKUP(テーブル22[[#This Row],[50m走]],$AT$6:$AU$15),LOOKUP(テーブル22[[#This Row],[50m走]],$AT$20:$AU$29))))</f>
        <v>0</v>
      </c>
      <c r="X58" s="42">
        <f>IF(テーブル22[[#This Row],[立幅とび]]="",0,(IF(テーブル22[[#This Row],[性別]]="男",LOOKUP(テーブル22[[#This Row],[立幅とび]],$AV$6:$AW$15),LOOKUP(テーブル22[[#This Row],[立幅とび]],$AV$20:$AW$29))))</f>
        <v>0</v>
      </c>
      <c r="Y58" s="42">
        <f>IF(テーブル22[[#This Row],[ボール投げ]]="",0,(IF(テーブル22[[#This Row],[性別]]="男",LOOKUP(テーブル22[[#This Row],[ボール投げ]],$AX$6:$AY$15),LOOKUP(テーブル22[[#This Row],[ボール投げ]],$AX$20:$AY$29))))</f>
        <v>0</v>
      </c>
      <c r="Z58" s="19" t="str">
        <f>IF(テーブル22[[#This Row],[学年]]=1,6,IF(テーブル22[[#This Row],[学年]]=2,7,IF(テーブル22[[#This Row],[学年]]=3,8,IF(テーブル22[[#This Row],[学年]]=4,9,IF(テーブル22[[#This Row],[学年]]=5,10,IF(テーブル22[[#This Row],[学年]]=6,11," "))))))</f>
        <v xml:space="preserve"> </v>
      </c>
      <c r="AA58" s="125" t="str">
        <f>IF(テーブル22[[#This Row],[肥満度数値]]="","",LOOKUP(AC58,$AW$39:$AW$44,$AX$39:$AX$44))</f>
        <v/>
      </c>
      <c r="AB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8" s="124" t="str">
        <f>IF(テーブル22[[#This Row],[体重]]="","",(テーブル22[[#This Row],[体重]]-テーブル22[[#This Row],[標準体重]])/テーブル22[[#This Row],[標準体重]]*100)</f>
        <v/>
      </c>
      <c r="AD58" s="1">
        <f>COUNTA(テーブル22[[#This Row],[握力]:[ボール投げ]])</f>
        <v>0</v>
      </c>
      <c r="AE58" s="1" t="str">
        <f>IF(テーブル22[[#This Row],[判定]]=$BD$10,"○","")</f>
        <v/>
      </c>
      <c r="AF58" s="1" t="str">
        <f>IF(AE58="","",COUNTIF($AE$6:AE58,"○"))</f>
        <v/>
      </c>
    </row>
    <row r="59" spans="1:33" x14ac:dyDescent="0.2">
      <c r="A59" s="40">
        <v>54</v>
      </c>
      <c r="B59" s="145"/>
      <c r="C59" s="148"/>
      <c r="D59" s="145"/>
      <c r="E59" s="156"/>
      <c r="F59" s="145"/>
      <c r="G59" s="145"/>
      <c r="H59" s="146"/>
      <c r="I59" s="146"/>
      <c r="J59" s="148"/>
      <c r="K59" s="145"/>
      <c r="L59" s="148"/>
      <c r="M59" s="149"/>
      <c r="N59" s="148"/>
      <c r="O59" s="150"/>
      <c r="P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9" s="43" t="str">
        <f>IF(テーブル22[[#This Row],[得点]]="","",IF(テーブル22[[#This Row],[年齢]]&gt;10,LOOKUP(P59,$BG$6:$BG$10,$BD$6:$BD$10),IF(テーブル22[[#This Row],[年齢]]&gt;9,LOOKUP(P59,$BF$6:$BF$10,$BD$6:$BD$10),IF(テーブル22[[#This Row],[年齢]]&gt;8,LOOKUP(P59,$BE$6:$BE$10,$BD$6:$BD$10),IF(テーブル22[[#This Row],[年齢]]&gt;7,LOOKUP(P59,$BC$6:$BC$10,$BD$6:$BD$10),IF(テーブル22[[#This Row],[年齢]]&gt;6,LOOKUP(P59,$BB$6:$BB$10,$BD$6:$BD$10),LOOKUP(P59,$BA$6:$BA$10,$BD$6:$BD$10)))))))</f>
        <v/>
      </c>
      <c r="R59" s="42">
        <f>IF(H59="",0,(IF(テーブル22[[#This Row],[性別]]="男",LOOKUP(テーブル22[[#This Row],[握力]],$AH$6:$AI$15),LOOKUP(テーブル22[[#This Row],[握力]],$AH$20:$AI$29))))</f>
        <v>0</v>
      </c>
      <c r="S59" s="42">
        <f>IF(テーブル22[[#This Row],[上体]]="",0,(IF(テーブル22[[#This Row],[性別]]="男",LOOKUP(テーブル22[[#This Row],[上体]],$AJ$6:$AK$15),LOOKUP(テーブル22[[#This Row],[上体]],$AJ$20:$AK$29))))</f>
        <v>0</v>
      </c>
      <c r="T59" s="42">
        <f>IF(テーブル22[[#This Row],[長座]]="",0,(IF(テーブル22[[#This Row],[性別]]="男",LOOKUP(テーブル22[[#This Row],[長座]],$AL$6:$AM$15),LOOKUP(テーブル22[[#This Row],[長座]],$AL$20:$AM$29))))</f>
        <v>0</v>
      </c>
      <c r="U59" s="42">
        <f>IF(テーブル22[[#This Row],[反復]]="",0,(IF(テーブル22[[#This Row],[性別]]="男",LOOKUP(テーブル22[[#This Row],[反復]],$AN$6:$AO$15),LOOKUP(テーブル22[[#This Row],[反復]],$AN$20:$AO$29))))</f>
        <v>0</v>
      </c>
      <c r="V59" s="42">
        <f>IF(テーブル22[[#This Row],[ｼｬﾄﾙﾗﾝ]]="",0,(IF(テーブル22[[#This Row],[性別]]="男",LOOKUP(テーブル22[[#This Row],[ｼｬﾄﾙﾗﾝ]],$AR$6:$AS$15),LOOKUP(テーブル22[[#This Row],[ｼｬﾄﾙﾗﾝ]],$AR$20:$AS$29))))</f>
        <v>0</v>
      </c>
      <c r="W59" s="42">
        <f>IF(テーブル22[[#This Row],[50m走]]="",0,(IF(テーブル22[[#This Row],[性別]]="男",LOOKUP(テーブル22[[#This Row],[50m走]],$AT$6:$AU$15),LOOKUP(テーブル22[[#This Row],[50m走]],$AT$20:$AU$29))))</f>
        <v>0</v>
      </c>
      <c r="X59" s="42">
        <f>IF(テーブル22[[#This Row],[立幅とび]]="",0,(IF(テーブル22[[#This Row],[性別]]="男",LOOKUP(テーブル22[[#This Row],[立幅とび]],$AV$6:$AW$15),LOOKUP(テーブル22[[#This Row],[立幅とび]],$AV$20:$AW$29))))</f>
        <v>0</v>
      </c>
      <c r="Y59" s="42">
        <f>IF(テーブル22[[#This Row],[ボール投げ]]="",0,(IF(テーブル22[[#This Row],[性別]]="男",LOOKUP(テーブル22[[#This Row],[ボール投げ]],$AX$6:$AY$15),LOOKUP(テーブル22[[#This Row],[ボール投げ]],$AX$20:$AY$29))))</f>
        <v>0</v>
      </c>
      <c r="Z59" s="19" t="str">
        <f>IF(テーブル22[[#This Row],[学年]]=1,6,IF(テーブル22[[#This Row],[学年]]=2,7,IF(テーブル22[[#This Row],[学年]]=3,8,IF(テーブル22[[#This Row],[学年]]=4,9,IF(テーブル22[[#This Row],[学年]]=5,10,IF(テーブル22[[#This Row],[学年]]=6,11," "))))))</f>
        <v xml:space="preserve"> </v>
      </c>
      <c r="AA59" s="125" t="str">
        <f>IF(テーブル22[[#This Row],[肥満度数値]]="","",LOOKUP(AC59,$AW$39:$AW$44,$AX$39:$AX$44))</f>
        <v/>
      </c>
      <c r="AB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9" s="124" t="str">
        <f>IF(テーブル22[[#This Row],[体重]]="","",(テーブル22[[#This Row],[体重]]-テーブル22[[#This Row],[標準体重]])/テーブル22[[#This Row],[標準体重]]*100)</f>
        <v/>
      </c>
      <c r="AD59" s="1">
        <f>COUNTA(テーブル22[[#This Row],[握力]:[ボール投げ]])</f>
        <v>0</v>
      </c>
      <c r="AE59" s="1" t="str">
        <f>IF(テーブル22[[#This Row],[判定]]=$BD$10,"○","")</f>
        <v/>
      </c>
      <c r="AF59" s="1" t="str">
        <f>IF(AE59="","",COUNTIF($AE$6:AE59,"○"))</f>
        <v/>
      </c>
    </row>
    <row r="60" spans="1:33" x14ac:dyDescent="0.2">
      <c r="A60" s="40">
        <v>55</v>
      </c>
      <c r="B60" s="145"/>
      <c r="C60" s="148"/>
      <c r="D60" s="145"/>
      <c r="E60" s="156"/>
      <c r="F60" s="145"/>
      <c r="G60" s="145"/>
      <c r="H60" s="146"/>
      <c r="I60" s="146"/>
      <c r="J60" s="148"/>
      <c r="K60" s="145"/>
      <c r="L60" s="148"/>
      <c r="M60" s="149"/>
      <c r="N60" s="148"/>
      <c r="O60" s="150"/>
      <c r="P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0" s="43" t="str">
        <f>IF(テーブル22[[#This Row],[得点]]="","",IF(テーブル22[[#This Row],[年齢]]&gt;10,LOOKUP(P60,$BG$6:$BG$10,$BD$6:$BD$10),IF(テーブル22[[#This Row],[年齢]]&gt;9,LOOKUP(P60,$BF$6:$BF$10,$BD$6:$BD$10),IF(テーブル22[[#This Row],[年齢]]&gt;8,LOOKUP(P60,$BE$6:$BE$10,$BD$6:$BD$10),IF(テーブル22[[#This Row],[年齢]]&gt;7,LOOKUP(P60,$BC$6:$BC$10,$BD$6:$BD$10),IF(テーブル22[[#This Row],[年齢]]&gt;6,LOOKUP(P60,$BB$6:$BB$10,$BD$6:$BD$10),LOOKUP(P60,$BA$6:$BA$10,$BD$6:$BD$10)))))))</f>
        <v/>
      </c>
      <c r="R60" s="42">
        <f>IF(H60="",0,(IF(テーブル22[[#This Row],[性別]]="男",LOOKUP(テーブル22[[#This Row],[握力]],$AH$6:$AI$15),LOOKUP(テーブル22[[#This Row],[握力]],$AH$20:$AI$29))))</f>
        <v>0</v>
      </c>
      <c r="S60" s="42">
        <f>IF(テーブル22[[#This Row],[上体]]="",0,(IF(テーブル22[[#This Row],[性別]]="男",LOOKUP(テーブル22[[#This Row],[上体]],$AJ$6:$AK$15),LOOKUP(テーブル22[[#This Row],[上体]],$AJ$20:$AK$29))))</f>
        <v>0</v>
      </c>
      <c r="T60" s="42">
        <f>IF(テーブル22[[#This Row],[長座]]="",0,(IF(テーブル22[[#This Row],[性別]]="男",LOOKUP(テーブル22[[#This Row],[長座]],$AL$6:$AM$15),LOOKUP(テーブル22[[#This Row],[長座]],$AL$20:$AM$29))))</f>
        <v>0</v>
      </c>
      <c r="U60" s="42">
        <f>IF(テーブル22[[#This Row],[反復]]="",0,(IF(テーブル22[[#This Row],[性別]]="男",LOOKUP(テーブル22[[#This Row],[反復]],$AN$6:$AO$15),LOOKUP(テーブル22[[#This Row],[反復]],$AN$20:$AO$29))))</f>
        <v>0</v>
      </c>
      <c r="V60" s="42">
        <f>IF(テーブル22[[#This Row],[ｼｬﾄﾙﾗﾝ]]="",0,(IF(テーブル22[[#This Row],[性別]]="男",LOOKUP(テーブル22[[#This Row],[ｼｬﾄﾙﾗﾝ]],$AR$6:$AS$15),LOOKUP(テーブル22[[#This Row],[ｼｬﾄﾙﾗﾝ]],$AR$20:$AS$29))))</f>
        <v>0</v>
      </c>
      <c r="W60" s="42">
        <f>IF(テーブル22[[#This Row],[50m走]]="",0,(IF(テーブル22[[#This Row],[性別]]="男",LOOKUP(テーブル22[[#This Row],[50m走]],$AT$6:$AU$15),LOOKUP(テーブル22[[#This Row],[50m走]],$AT$20:$AU$29))))</f>
        <v>0</v>
      </c>
      <c r="X60" s="42">
        <f>IF(テーブル22[[#This Row],[立幅とび]]="",0,(IF(テーブル22[[#This Row],[性別]]="男",LOOKUP(テーブル22[[#This Row],[立幅とび]],$AV$6:$AW$15),LOOKUP(テーブル22[[#This Row],[立幅とび]],$AV$20:$AW$29))))</f>
        <v>0</v>
      </c>
      <c r="Y60" s="42">
        <f>IF(テーブル22[[#This Row],[ボール投げ]]="",0,(IF(テーブル22[[#This Row],[性別]]="男",LOOKUP(テーブル22[[#This Row],[ボール投げ]],$AX$6:$AY$15),LOOKUP(テーブル22[[#This Row],[ボール投げ]],$AX$20:$AY$29))))</f>
        <v>0</v>
      </c>
      <c r="Z60" s="19" t="str">
        <f>IF(テーブル22[[#This Row],[学年]]=1,6,IF(テーブル22[[#This Row],[学年]]=2,7,IF(テーブル22[[#This Row],[学年]]=3,8,IF(テーブル22[[#This Row],[学年]]=4,9,IF(テーブル22[[#This Row],[学年]]=5,10,IF(テーブル22[[#This Row],[学年]]=6,11," "))))))</f>
        <v xml:space="preserve"> </v>
      </c>
      <c r="AA60" s="125" t="str">
        <f>IF(テーブル22[[#This Row],[肥満度数値]]="","",LOOKUP(AC60,$AW$39:$AW$44,$AX$39:$AX$44))</f>
        <v/>
      </c>
      <c r="AB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0" s="124" t="str">
        <f>IF(テーブル22[[#This Row],[体重]]="","",(テーブル22[[#This Row],[体重]]-テーブル22[[#This Row],[標準体重]])/テーブル22[[#This Row],[標準体重]]*100)</f>
        <v/>
      </c>
      <c r="AD60" s="1">
        <f>COUNTA(テーブル22[[#This Row],[握力]:[ボール投げ]])</f>
        <v>0</v>
      </c>
      <c r="AE60" s="1" t="str">
        <f>IF(テーブル22[[#This Row],[判定]]=$BD$10,"○","")</f>
        <v/>
      </c>
      <c r="AF60" s="1" t="str">
        <f>IF(AE60="","",COUNTIF($AE$6:AE60,"○"))</f>
        <v/>
      </c>
    </row>
    <row r="61" spans="1:33" x14ac:dyDescent="0.2">
      <c r="A61" s="40">
        <v>56</v>
      </c>
      <c r="B61" s="145"/>
      <c r="C61" s="148"/>
      <c r="D61" s="145"/>
      <c r="E61" s="156"/>
      <c r="F61" s="145"/>
      <c r="G61" s="145"/>
      <c r="H61" s="146"/>
      <c r="I61" s="146"/>
      <c r="J61" s="148"/>
      <c r="K61" s="145"/>
      <c r="L61" s="148"/>
      <c r="M61" s="149"/>
      <c r="N61" s="148"/>
      <c r="O61" s="150"/>
      <c r="P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1" s="43" t="str">
        <f>IF(テーブル22[[#This Row],[得点]]="","",IF(テーブル22[[#This Row],[年齢]]&gt;10,LOOKUP(P61,$BG$6:$BG$10,$BD$6:$BD$10),IF(テーブル22[[#This Row],[年齢]]&gt;9,LOOKUP(P61,$BF$6:$BF$10,$BD$6:$BD$10),IF(テーブル22[[#This Row],[年齢]]&gt;8,LOOKUP(P61,$BE$6:$BE$10,$BD$6:$BD$10),IF(テーブル22[[#This Row],[年齢]]&gt;7,LOOKUP(P61,$BC$6:$BC$10,$BD$6:$BD$10),IF(テーブル22[[#This Row],[年齢]]&gt;6,LOOKUP(P61,$BB$6:$BB$10,$BD$6:$BD$10),LOOKUP(P61,$BA$6:$BA$10,$BD$6:$BD$10)))))))</f>
        <v/>
      </c>
      <c r="R61" s="42">
        <f>IF(H61="",0,(IF(テーブル22[[#This Row],[性別]]="男",LOOKUP(テーブル22[[#This Row],[握力]],$AH$6:$AI$15),LOOKUP(テーブル22[[#This Row],[握力]],$AH$20:$AI$29))))</f>
        <v>0</v>
      </c>
      <c r="S61" s="42">
        <f>IF(テーブル22[[#This Row],[上体]]="",0,(IF(テーブル22[[#This Row],[性別]]="男",LOOKUP(テーブル22[[#This Row],[上体]],$AJ$6:$AK$15),LOOKUP(テーブル22[[#This Row],[上体]],$AJ$20:$AK$29))))</f>
        <v>0</v>
      </c>
      <c r="T61" s="42">
        <f>IF(テーブル22[[#This Row],[長座]]="",0,(IF(テーブル22[[#This Row],[性別]]="男",LOOKUP(テーブル22[[#This Row],[長座]],$AL$6:$AM$15),LOOKUP(テーブル22[[#This Row],[長座]],$AL$20:$AM$29))))</f>
        <v>0</v>
      </c>
      <c r="U61" s="42">
        <f>IF(テーブル22[[#This Row],[反復]]="",0,(IF(テーブル22[[#This Row],[性別]]="男",LOOKUP(テーブル22[[#This Row],[反復]],$AN$6:$AO$15),LOOKUP(テーブル22[[#This Row],[反復]],$AN$20:$AO$29))))</f>
        <v>0</v>
      </c>
      <c r="V61" s="42">
        <f>IF(テーブル22[[#This Row],[ｼｬﾄﾙﾗﾝ]]="",0,(IF(テーブル22[[#This Row],[性別]]="男",LOOKUP(テーブル22[[#This Row],[ｼｬﾄﾙﾗﾝ]],$AR$6:$AS$15),LOOKUP(テーブル22[[#This Row],[ｼｬﾄﾙﾗﾝ]],$AR$20:$AS$29))))</f>
        <v>0</v>
      </c>
      <c r="W61" s="42">
        <f>IF(テーブル22[[#This Row],[50m走]]="",0,(IF(テーブル22[[#This Row],[性別]]="男",LOOKUP(テーブル22[[#This Row],[50m走]],$AT$6:$AU$15),LOOKUP(テーブル22[[#This Row],[50m走]],$AT$20:$AU$29))))</f>
        <v>0</v>
      </c>
      <c r="X61" s="42">
        <f>IF(テーブル22[[#This Row],[立幅とび]]="",0,(IF(テーブル22[[#This Row],[性別]]="男",LOOKUP(テーブル22[[#This Row],[立幅とび]],$AV$6:$AW$15),LOOKUP(テーブル22[[#This Row],[立幅とび]],$AV$20:$AW$29))))</f>
        <v>0</v>
      </c>
      <c r="Y61" s="42">
        <f>IF(テーブル22[[#This Row],[ボール投げ]]="",0,(IF(テーブル22[[#This Row],[性別]]="男",LOOKUP(テーブル22[[#This Row],[ボール投げ]],$AX$6:$AY$15),LOOKUP(テーブル22[[#This Row],[ボール投げ]],$AX$20:$AY$29))))</f>
        <v>0</v>
      </c>
      <c r="Z61" s="19" t="str">
        <f>IF(テーブル22[[#This Row],[学年]]=1,6,IF(テーブル22[[#This Row],[学年]]=2,7,IF(テーブル22[[#This Row],[学年]]=3,8,IF(テーブル22[[#This Row],[学年]]=4,9,IF(テーブル22[[#This Row],[学年]]=5,10,IF(テーブル22[[#This Row],[学年]]=6,11," "))))))</f>
        <v xml:space="preserve"> </v>
      </c>
      <c r="AA61" s="125" t="str">
        <f>IF(テーブル22[[#This Row],[肥満度数値]]="","",LOOKUP(AC61,$AW$39:$AW$44,$AX$39:$AX$44))</f>
        <v/>
      </c>
      <c r="AB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1" s="124" t="str">
        <f>IF(テーブル22[[#This Row],[体重]]="","",(テーブル22[[#This Row],[体重]]-テーブル22[[#This Row],[標準体重]])/テーブル22[[#This Row],[標準体重]]*100)</f>
        <v/>
      </c>
      <c r="AD61" s="1">
        <f>COUNTA(テーブル22[[#This Row],[握力]:[ボール投げ]])</f>
        <v>0</v>
      </c>
      <c r="AE61" s="1" t="str">
        <f>IF(テーブル22[[#This Row],[判定]]=$BD$10,"○","")</f>
        <v/>
      </c>
      <c r="AF61" s="1" t="str">
        <f>IF(AE61="","",COUNTIF($AE$6:AE61,"○"))</f>
        <v/>
      </c>
    </row>
    <row r="62" spans="1:33" x14ac:dyDescent="0.2">
      <c r="A62" s="40">
        <v>57</v>
      </c>
      <c r="B62" s="145"/>
      <c r="C62" s="148"/>
      <c r="D62" s="145"/>
      <c r="E62" s="156"/>
      <c r="F62" s="145"/>
      <c r="G62" s="145"/>
      <c r="H62" s="146"/>
      <c r="I62" s="146"/>
      <c r="J62" s="148"/>
      <c r="K62" s="145"/>
      <c r="L62" s="148"/>
      <c r="M62" s="149"/>
      <c r="N62" s="148"/>
      <c r="O62" s="150"/>
      <c r="P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2" s="43" t="str">
        <f>IF(テーブル22[[#This Row],[得点]]="","",IF(テーブル22[[#This Row],[年齢]]&gt;10,LOOKUP(P62,$BG$6:$BG$10,$BD$6:$BD$10),IF(テーブル22[[#This Row],[年齢]]&gt;9,LOOKUP(P62,$BF$6:$BF$10,$BD$6:$BD$10),IF(テーブル22[[#This Row],[年齢]]&gt;8,LOOKUP(P62,$BE$6:$BE$10,$BD$6:$BD$10),IF(テーブル22[[#This Row],[年齢]]&gt;7,LOOKUP(P62,$BC$6:$BC$10,$BD$6:$BD$10),IF(テーブル22[[#This Row],[年齢]]&gt;6,LOOKUP(P62,$BB$6:$BB$10,$BD$6:$BD$10),LOOKUP(P62,$BA$6:$BA$10,$BD$6:$BD$10)))))))</f>
        <v/>
      </c>
      <c r="R62" s="42">
        <f>IF(H62="",0,(IF(テーブル22[[#This Row],[性別]]="男",LOOKUP(テーブル22[[#This Row],[握力]],$AH$6:$AI$15),LOOKUP(テーブル22[[#This Row],[握力]],$AH$20:$AI$29))))</f>
        <v>0</v>
      </c>
      <c r="S62" s="42">
        <f>IF(テーブル22[[#This Row],[上体]]="",0,(IF(テーブル22[[#This Row],[性別]]="男",LOOKUP(テーブル22[[#This Row],[上体]],$AJ$6:$AK$15),LOOKUP(テーブル22[[#This Row],[上体]],$AJ$20:$AK$29))))</f>
        <v>0</v>
      </c>
      <c r="T62" s="42">
        <f>IF(テーブル22[[#This Row],[長座]]="",0,(IF(テーブル22[[#This Row],[性別]]="男",LOOKUP(テーブル22[[#This Row],[長座]],$AL$6:$AM$15),LOOKUP(テーブル22[[#This Row],[長座]],$AL$20:$AM$29))))</f>
        <v>0</v>
      </c>
      <c r="U62" s="42">
        <f>IF(テーブル22[[#This Row],[反復]]="",0,(IF(テーブル22[[#This Row],[性別]]="男",LOOKUP(テーブル22[[#This Row],[反復]],$AN$6:$AO$15),LOOKUP(テーブル22[[#This Row],[反復]],$AN$20:$AO$29))))</f>
        <v>0</v>
      </c>
      <c r="V62" s="42">
        <f>IF(テーブル22[[#This Row],[ｼｬﾄﾙﾗﾝ]]="",0,(IF(テーブル22[[#This Row],[性別]]="男",LOOKUP(テーブル22[[#This Row],[ｼｬﾄﾙﾗﾝ]],$AR$6:$AS$15),LOOKUP(テーブル22[[#This Row],[ｼｬﾄﾙﾗﾝ]],$AR$20:$AS$29))))</f>
        <v>0</v>
      </c>
      <c r="W62" s="42">
        <f>IF(テーブル22[[#This Row],[50m走]]="",0,(IF(テーブル22[[#This Row],[性別]]="男",LOOKUP(テーブル22[[#This Row],[50m走]],$AT$6:$AU$15),LOOKUP(テーブル22[[#This Row],[50m走]],$AT$20:$AU$29))))</f>
        <v>0</v>
      </c>
      <c r="X62" s="42">
        <f>IF(テーブル22[[#This Row],[立幅とび]]="",0,(IF(テーブル22[[#This Row],[性別]]="男",LOOKUP(テーブル22[[#This Row],[立幅とび]],$AV$6:$AW$15),LOOKUP(テーブル22[[#This Row],[立幅とび]],$AV$20:$AW$29))))</f>
        <v>0</v>
      </c>
      <c r="Y62" s="42">
        <f>IF(テーブル22[[#This Row],[ボール投げ]]="",0,(IF(テーブル22[[#This Row],[性別]]="男",LOOKUP(テーブル22[[#This Row],[ボール投げ]],$AX$6:$AY$15),LOOKUP(テーブル22[[#This Row],[ボール投げ]],$AX$20:$AY$29))))</f>
        <v>0</v>
      </c>
      <c r="Z62" s="19" t="str">
        <f>IF(テーブル22[[#This Row],[学年]]=1,6,IF(テーブル22[[#This Row],[学年]]=2,7,IF(テーブル22[[#This Row],[学年]]=3,8,IF(テーブル22[[#This Row],[学年]]=4,9,IF(テーブル22[[#This Row],[学年]]=5,10,IF(テーブル22[[#This Row],[学年]]=6,11," "))))))</f>
        <v xml:space="preserve"> </v>
      </c>
      <c r="AA62" s="125" t="str">
        <f>IF(テーブル22[[#This Row],[肥満度数値]]="","",LOOKUP(AC62,$AW$39:$AW$44,$AX$39:$AX$44))</f>
        <v/>
      </c>
      <c r="AB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2" s="124" t="str">
        <f>IF(テーブル22[[#This Row],[体重]]="","",(テーブル22[[#This Row],[体重]]-テーブル22[[#This Row],[標準体重]])/テーブル22[[#This Row],[標準体重]]*100)</f>
        <v/>
      </c>
      <c r="AD62" s="1">
        <f>COUNTA(テーブル22[[#This Row],[握力]:[ボール投げ]])</f>
        <v>0</v>
      </c>
      <c r="AE62" s="1" t="str">
        <f>IF(テーブル22[[#This Row],[判定]]=$BD$10,"○","")</f>
        <v/>
      </c>
      <c r="AF62" s="1" t="str">
        <f>IF(AE62="","",COUNTIF($AE$6:AE62,"○"))</f>
        <v/>
      </c>
    </row>
    <row r="63" spans="1:33" x14ac:dyDescent="0.2">
      <c r="A63" s="40">
        <v>58</v>
      </c>
      <c r="B63" s="145"/>
      <c r="C63" s="148"/>
      <c r="D63" s="145"/>
      <c r="E63" s="156"/>
      <c r="F63" s="145"/>
      <c r="G63" s="145"/>
      <c r="H63" s="146"/>
      <c r="I63" s="146"/>
      <c r="J63" s="148"/>
      <c r="K63" s="145"/>
      <c r="L63" s="148"/>
      <c r="M63" s="149"/>
      <c r="N63" s="148"/>
      <c r="O63" s="150"/>
      <c r="P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3" s="43" t="str">
        <f>IF(テーブル22[[#This Row],[得点]]="","",IF(テーブル22[[#This Row],[年齢]]&gt;10,LOOKUP(P63,$BG$6:$BG$10,$BD$6:$BD$10),IF(テーブル22[[#This Row],[年齢]]&gt;9,LOOKUP(P63,$BF$6:$BF$10,$BD$6:$BD$10),IF(テーブル22[[#This Row],[年齢]]&gt;8,LOOKUP(P63,$BE$6:$BE$10,$BD$6:$BD$10),IF(テーブル22[[#This Row],[年齢]]&gt;7,LOOKUP(P63,$BC$6:$BC$10,$BD$6:$BD$10),IF(テーブル22[[#This Row],[年齢]]&gt;6,LOOKUP(P63,$BB$6:$BB$10,$BD$6:$BD$10),LOOKUP(P63,$BA$6:$BA$10,$BD$6:$BD$10)))))))</f>
        <v/>
      </c>
      <c r="R63" s="42">
        <f>IF(H63="",0,(IF(テーブル22[[#This Row],[性別]]="男",LOOKUP(テーブル22[[#This Row],[握力]],$AH$6:$AI$15),LOOKUP(テーブル22[[#This Row],[握力]],$AH$20:$AI$29))))</f>
        <v>0</v>
      </c>
      <c r="S63" s="42">
        <f>IF(テーブル22[[#This Row],[上体]]="",0,(IF(テーブル22[[#This Row],[性別]]="男",LOOKUP(テーブル22[[#This Row],[上体]],$AJ$6:$AK$15),LOOKUP(テーブル22[[#This Row],[上体]],$AJ$20:$AK$29))))</f>
        <v>0</v>
      </c>
      <c r="T63" s="42">
        <f>IF(テーブル22[[#This Row],[長座]]="",0,(IF(テーブル22[[#This Row],[性別]]="男",LOOKUP(テーブル22[[#This Row],[長座]],$AL$6:$AM$15),LOOKUP(テーブル22[[#This Row],[長座]],$AL$20:$AM$29))))</f>
        <v>0</v>
      </c>
      <c r="U63" s="42">
        <f>IF(テーブル22[[#This Row],[反復]]="",0,(IF(テーブル22[[#This Row],[性別]]="男",LOOKUP(テーブル22[[#This Row],[反復]],$AN$6:$AO$15),LOOKUP(テーブル22[[#This Row],[反復]],$AN$20:$AO$29))))</f>
        <v>0</v>
      </c>
      <c r="V63" s="42">
        <f>IF(テーブル22[[#This Row],[ｼｬﾄﾙﾗﾝ]]="",0,(IF(テーブル22[[#This Row],[性別]]="男",LOOKUP(テーブル22[[#This Row],[ｼｬﾄﾙﾗﾝ]],$AR$6:$AS$15),LOOKUP(テーブル22[[#This Row],[ｼｬﾄﾙﾗﾝ]],$AR$20:$AS$29))))</f>
        <v>0</v>
      </c>
      <c r="W63" s="42">
        <f>IF(テーブル22[[#This Row],[50m走]]="",0,(IF(テーブル22[[#This Row],[性別]]="男",LOOKUP(テーブル22[[#This Row],[50m走]],$AT$6:$AU$15),LOOKUP(テーブル22[[#This Row],[50m走]],$AT$20:$AU$29))))</f>
        <v>0</v>
      </c>
      <c r="X63" s="42">
        <f>IF(テーブル22[[#This Row],[立幅とび]]="",0,(IF(テーブル22[[#This Row],[性別]]="男",LOOKUP(テーブル22[[#This Row],[立幅とび]],$AV$6:$AW$15),LOOKUP(テーブル22[[#This Row],[立幅とび]],$AV$20:$AW$29))))</f>
        <v>0</v>
      </c>
      <c r="Y63" s="42">
        <f>IF(テーブル22[[#This Row],[ボール投げ]]="",0,(IF(テーブル22[[#This Row],[性別]]="男",LOOKUP(テーブル22[[#This Row],[ボール投げ]],$AX$6:$AY$15),LOOKUP(テーブル22[[#This Row],[ボール投げ]],$AX$20:$AY$29))))</f>
        <v>0</v>
      </c>
      <c r="Z63" s="19" t="str">
        <f>IF(テーブル22[[#This Row],[学年]]=1,6,IF(テーブル22[[#This Row],[学年]]=2,7,IF(テーブル22[[#This Row],[学年]]=3,8,IF(テーブル22[[#This Row],[学年]]=4,9,IF(テーブル22[[#This Row],[学年]]=5,10,IF(テーブル22[[#This Row],[学年]]=6,11," "))))))</f>
        <v xml:space="preserve"> </v>
      </c>
      <c r="AA63" s="125" t="str">
        <f>IF(テーブル22[[#This Row],[肥満度数値]]="","",LOOKUP(AC63,$AW$39:$AW$44,$AX$39:$AX$44))</f>
        <v/>
      </c>
      <c r="AB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3" s="124" t="str">
        <f>IF(テーブル22[[#This Row],[体重]]="","",(テーブル22[[#This Row],[体重]]-テーブル22[[#This Row],[標準体重]])/テーブル22[[#This Row],[標準体重]]*100)</f>
        <v/>
      </c>
      <c r="AD63" s="1">
        <f>COUNTA(テーブル22[[#This Row],[握力]:[ボール投げ]])</f>
        <v>0</v>
      </c>
      <c r="AE63" s="1" t="str">
        <f>IF(テーブル22[[#This Row],[判定]]=$BD$10,"○","")</f>
        <v/>
      </c>
      <c r="AF63" s="1" t="str">
        <f>IF(AE63="","",COUNTIF($AE$6:AE63,"○"))</f>
        <v/>
      </c>
    </row>
    <row r="64" spans="1:33" x14ac:dyDescent="0.2">
      <c r="A64" s="40">
        <v>59</v>
      </c>
      <c r="B64" s="145"/>
      <c r="C64" s="148"/>
      <c r="D64" s="145"/>
      <c r="E64" s="156"/>
      <c r="F64" s="145"/>
      <c r="G64" s="145"/>
      <c r="H64" s="146"/>
      <c r="I64" s="146"/>
      <c r="J64" s="148"/>
      <c r="K64" s="145"/>
      <c r="L64" s="148"/>
      <c r="M64" s="149"/>
      <c r="N64" s="148"/>
      <c r="O64" s="150"/>
      <c r="P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4" s="43" t="str">
        <f>IF(テーブル22[[#This Row],[得点]]="","",IF(テーブル22[[#This Row],[年齢]]&gt;10,LOOKUP(P64,$BG$6:$BG$10,$BD$6:$BD$10),IF(テーブル22[[#This Row],[年齢]]&gt;9,LOOKUP(P64,$BF$6:$BF$10,$BD$6:$BD$10),IF(テーブル22[[#This Row],[年齢]]&gt;8,LOOKUP(P64,$BE$6:$BE$10,$BD$6:$BD$10),IF(テーブル22[[#This Row],[年齢]]&gt;7,LOOKUP(P64,$BC$6:$BC$10,$BD$6:$BD$10),IF(テーブル22[[#This Row],[年齢]]&gt;6,LOOKUP(P64,$BB$6:$BB$10,$BD$6:$BD$10),LOOKUP(P64,$BA$6:$BA$10,$BD$6:$BD$10)))))))</f>
        <v/>
      </c>
      <c r="R64" s="42">
        <f>IF(H64="",0,(IF(テーブル22[[#This Row],[性別]]="男",LOOKUP(テーブル22[[#This Row],[握力]],$AH$6:$AI$15),LOOKUP(テーブル22[[#This Row],[握力]],$AH$20:$AI$29))))</f>
        <v>0</v>
      </c>
      <c r="S64" s="42">
        <f>IF(テーブル22[[#This Row],[上体]]="",0,(IF(テーブル22[[#This Row],[性別]]="男",LOOKUP(テーブル22[[#This Row],[上体]],$AJ$6:$AK$15),LOOKUP(テーブル22[[#This Row],[上体]],$AJ$20:$AK$29))))</f>
        <v>0</v>
      </c>
      <c r="T64" s="42">
        <f>IF(テーブル22[[#This Row],[長座]]="",0,(IF(テーブル22[[#This Row],[性別]]="男",LOOKUP(テーブル22[[#This Row],[長座]],$AL$6:$AM$15),LOOKUP(テーブル22[[#This Row],[長座]],$AL$20:$AM$29))))</f>
        <v>0</v>
      </c>
      <c r="U64" s="42">
        <f>IF(テーブル22[[#This Row],[反復]]="",0,(IF(テーブル22[[#This Row],[性別]]="男",LOOKUP(テーブル22[[#This Row],[反復]],$AN$6:$AO$15),LOOKUP(テーブル22[[#This Row],[反復]],$AN$20:$AO$29))))</f>
        <v>0</v>
      </c>
      <c r="V64" s="42">
        <f>IF(テーブル22[[#This Row],[ｼｬﾄﾙﾗﾝ]]="",0,(IF(テーブル22[[#This Row],[性別]]="男",LOOKUP(テーブル22[[#This Row],[ｼｬﾄﾙﾗﾝ]],$AR$6:$AS$15),LOOKUP(テーブル22[[#This Row],[ｼｬﾄﾙﾗﾝ]],$AR$20:$AS$29))))</f>
        <v>0</v>
      </c>
      <c r="W64" s="42">
        <f>IF(テーブル22[[#This Row],[50m走]]="",0,(IF(テーブル22[[#This Row],[性別]]="男",LOOKUP(テーブル22[[#This Row],[50m走]],$AT$6:$AU$15),LOOKUP(テーブル22[[#This Row],[50m走]],$AT$20:$AU$29))))</f>
        <v>0</v>
      </c>
      <c r="X64" s="42">
        <f>IF(テーブル22[[#This Row],[立幅とび]]="",0,(IF(テーブル22[[#This Row],[性別]]="男",LOOKUP(テーブル22[[#This Row],[立幅とび]],$AV$6:$AW$15),LOOKUP(テーブル22[[#This Row],[立幅とび]],$AV$20:$AW$29))))</f>
        <v>0</v>
      </c>
      <c r="Y64" s="42">
        <f>IF(テーブル22[[#This Row],[ボール投げ]]="",0,(IF(テーブル22[[#This Row],[性別]]="男",LOOKUP(テーブル22[[#This Row],[ボール投げ]],$AX$6:$AY$15),LOOKUP(テーブル22[[#This Row],[ボール投げ]],$AX$20:$AY$29))))</f>
        <v>0</v>
      </c>
      <c r="Z64" s="19" t="str">
        <f>IF(テーブル22[[#This Row],[学年]]=1,6,IF(テーブル22[[#This Row],[学年]]=2,7,IF(テーブル22[[#This Row],[学年]]=3,8,IF(テーブル22[[#This Row],[学年]]=4,9,IF(テーブル22[[#This Row],[学年]]=5,10,IF(テーブル22[[#This Row],[学年]]=6,11," "))))))</f>
        <v xml:space="preserve"> </v>
      </c>
      <c r="AA64" s="125" t="str">
        <f>IF(テーブル22[[#This Row],[肥満度数値]]="","",LOOKUP(AC64,$AW$39:$AW$44,$AX$39:$AX$44))</f>
        <v/>
      </c>
      <c r="AB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4" s="124" t="str">
        <f>IF(テーブル22[[#This Row],[体重]]="","",(テーブル22[[#This Row],[体重]]-テーブル22[[#This Row],[標準体重]])/テーブル22[[#This Row],[標準体重]]*100)</f>
        <v/>
      </c>
      <c r="AD64" s="1">
        <f>COUNTA(テーブル22[[#This Row],[握力]:[ボール投げ]])</f>
        <v>0</v>
      </c>
      <c r="AE64" s="1" t="str">
        <f>IF(テーブル22[[#This Row],[判定]]=$BD$10,"○","")</f>
        <v/>
      </c>
      <c r="AF64" s="1" t="str">
        <f>IF(AE64="","",COUNTIF($AE$6:AE64,"○"))</f>
        <v/>
      </c>
    </row>
    <row r="65" spans="1:32" x14ac:dyDescent="0.2">
      <c r="A65" s="40">
        <v>60</v>
      </c>
      <c r="B65" s="145"/>
      <c r="C65" s="148"/>
      <c r="D65" s="145"/>
      <c r="E65" s="156"/>
      <c r="F65" s="145"/>
      <c r="G65" s="145"/>
      <c r="H65" s="146"/>
      <c r="I65" s="146"/>
      <c r="J65" s="148"/>
      <c r="K65" s="145"/>
      <c r="L65" s="148"/>
      <c r="M65" s="149"/>
      <c r="N65" s="148"/>
      <c r="O65" s="150"/>
      <c r="P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5" s="43" t="str">
        <f>IF(テーブル22[[#This Row],[得点]]="","",IF(テーブル22[[#This Row],[年齢]]&gt;10,LOOKUP(P65,$BG$6:$BG$10,$BD$6:$BD$10),IF(テーブル22[[#This Row],[年齢]]&gt;9,LOOKUP(P65,$BF$6:$BF$10,$BD$6:$BD$10),IF(テーブル22[[#This Row],[年齢]]&gt;8,LOOKUP(P65,$BE$6:$BE$10,$BD$6:$BD$10),IF(テーブル22[[#This Row],[年齢]]&gt;7,LOOKUP(P65,$BC$6:$BC$10,$BD$6:$BD$10),IF(テーブル22[[#This Row],[年齢]]&gt;6,LOOKUP(P65,$BB$6:$BB$10,$BD$6:$BD$10),LOOKUP(P65,$BA$6:$BA$10,$BD$6:$BD$10)))))))</f>
        <v/>
      </c>
      <c r="R65" s="42">
        <f>IF(H65="",0,(IF(テーブル22[[#This Row],[性別]]="男",LOOKUP(テーブル22[[#This Row],[握力]],$AH$6:$AI$15),LOOKUP(テーブル22[[#This Row],[握力]],$AH$20:$AI$29))))</f>
        <v>0</v>
      </c>
      <c r="S65" s="42">
        <f>IF(テーブル22[[#This Row],[上体]]="",0,(IF(テーブル22[[#This Row],[性別]]="男",LOOKUP(テーブル22[[#This Row],[上体]],$AJ$6:$AK$15),LOOKUP(テーブル22[[#This Row],[上体]],$AJ$20:$AK$29))))</f>
        <v>0</v>
      </c>
      <c r="T65" s="42">
        <f>IF(テーブル22[[#This Row],[長座]]="",0,(IF(テーブル22[[#This Row],[性別]]="男",LOOKUP(テーブル22[[#This Row],[長座]],$AL$6:$AM$15),LOOKUP(テーブル22[[#This Row],[長座]],$AL$20:$AM$29))))</f>
        <v>0</v>
      </c>
      <c r="U65" s="42">
        <f>IF(テーブル22[[#This Row],[反復]]="",0,(IF(テーブル22[[#This Row],[性別]]="男",LOOKUP(テーブル22[[#This Row],[反復]],$AN$6:$AO$15),LOOKUP(テーブル22[[#This Row],[反復]],$AN$20:$AO$29))))</f>
        <v>0</v>
      </c>
      <c r="V65" s="42">
        <f>IF(テーブル22[[#This Row],[ｼｬﾄﾙﾗﾝ]]="",0,(IF(テーブル22[[#This Row],[性別]]="男",LOOKUP(テーブル22[[#This Row],[ｼｬﾄﾙﾗﾝ]],$AR$6:$AS$15),LOOKUP(テーブル22[[#This Row],[ｼｬﾄﾙﾗﾝ]],$AR$20:$AS$29))))</f>
        <v>0</v>
      </c>
      <c r="W65" s="42">
        <f>IF(テーブル22[[#This Row],[50m走]]="",0,(IF(テーブル22[[#This Row],[性別]]="男",LOOKUP(テーブル22[[#This Row],[50m走]],$AT$6:$AU$15),LOOKUP(テーブル22[[#This Row],[50m走]],$AT$20:$AU$29))))</f>
        <v>0</v>
      </c>
      <c r="X65" s="42">
        <f>IF(テーブル22[[#This Row],[立幅とび]]="",0,(IF(テーブル22[[#This Row],[性別]]="男",LOOKUP(テーブル22[[#This Row],[立幅とび]],$AV$6:$AW$15),LOOKUP(テーブル22[[#This Row],[立幅とび]],$AV$20:$AW$29))))</f>
        <v>0</v>
      </c>
      <c r="Y65" s="42">
        <f>IF(テーブル22[[#This Row],[ボール投げ]]="",0,(IF(テーブル22[[#This Row],[性別]]="男",LOOKUP(テーブル22[[#This Row],[ボール投げ]],$AX$6:$AY$15),LOOKUP(テーブル22[[#This Row],[ボール投げ]],$AX$20:$AY$29))))</f>
        <v>0</v>
      </c>
      <c r="Z65" s="19" t="str">
        <f>IF(テーブル22[[#This Row],[学年]]=1,6,IF(テーブル22[[#This Row],[学年]]=2,7,IF(テーブル22[[#This Row],[学年]]=3,8,IF(テーブル22[[#This Row],[学年]]=4,9,IF(テーブル22[[#This Row],[学年]]=5,10,IF(テーブル22[[#This Row],[学年]]=6,11," "))))))</f>
        <v xml:space="preserve"> </v>
      </c>
      <c r="AA65" s="125" t="str">
        <f>IF(テーブル22[[#This Row],[肥満度数値]]="","",LOOKUP(AC65,$AW$39:$AW$44,$AX$39:$AX$44))</f>
        <v/>
      </c>
      <c r="AB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5" s="124" t="str">
        <f>IF(テーブル22[[#This Row],[体重]]="","",(テーブル22[[#This Row],[体重]]-テーブル22[[#This Row],[標準体重]])/テーブル22[[#This Row],[標準体重]]*100)</f>
        <v/>
      </c>
      <c r="AD65" s="1">
        <f>COUNTA(テーブル22[[#This Row],[握力]:[ボール投げ]])</f>
        <v>0</v>
      </c>
      <c r="AE65" s="1" t="str">
        <f>IF(テーブル22[[#This Row],[判定]]=$BD$10,"○","")</f>
        <v/>
      </c>
      <c r="AF65" s="1" t="str">
        <f>IF(AE65="","",COUNTIF($AE$6:AE65,"○"))</f>
        <v/>
      </c>
    </row>
    <row r="66" spans="1:32" x14ac:dyDescent="0.2">
      <c r="A66" s="40">
        <v>61</v>
      </c>
      <c r="B66" s="145"/>
      <c r="C66" s="148"/>
      <c r="D66" s="145"/>
      <c r="E66" s="156"/>
      <c r="F66" s="145"/>
      <c r="G66" s="145"/>
      <c r="H66" s="146"/>
      <c r="I66" s="146"/>
      <c r="J66" s="148"/>
      <c r="K66" s="145"/>
      <c r="L66" s="148"/>
      <c r="M66" s="149"/>
      <c r="N66" s="148"/>
      <c r="O66" s="150"/>
      <c r="P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6" s="43" t="str">
        <f>IF(テーブル22[[#This Row],[得点]]="","",IF(テーブル22[[#This Row],[年齢]]&gt;10,LOOKUP(P66,$BG$6:$BG$10,$BD$6:$BD$10),IF(テーブル22[[#This Row],[年齢]]&gt;9,LOOKUP(P66,$BF$6:$BF$10,$BD$6:$BD$10),IF(テーブル22[[#This Row],[年齢]]&gt;8,LOOKUP(P66,$BE$6:$BE$10,$BD$6:$BD$10),IF(テーブル22[[#This Row],[年齢]]&gt;7,LOOKUP(P66,$BC$6:$BC$10,$BD$6:$BD$10),IF(テーブル22[[#This Row],[年齢]]&gt;6,LOOKUP(P66,$BB$6:$BB$10,$BD$6:$BD$10),LOOKUP(P66,$BA$6:$BA$10,$BD$6:$BD$10)))))))</f>
        <v/>
      </c>
      <c r="R66" s="42">
        <f>IF(H66="",0,(IF(テーブル22[[#This Row],[性別]]="男",LOOKUP(テーブル22[[#This Row],[握力]],$AH$6:$AI$15),LOOKUP(テーブル22[[#This Row],[握力]],$AH$20:$AI$29))))</f>
        <v>0</v>
      </c>
      <c r="S66" s="42">
        <f>IF(テーブル22[[#This Row],[上体]]="",0,(IF(テーブル22[[#This Row],[性別]]="男",LOOKUP(テーブル22[[#This Row],[上体]],$AJ$6:$AK$15),LOOKUP(テーブル22[[#This Row],[上体]],$AJ$20:$AK$29))))</f>
        <v>0</v>
      </c>
      <c r="T66" s="42">
        <f>IF(テーブル22[[#This Row],[長座]]="",0,(IF(テーブル22[[#This Row],[性別]]="男",LOOKUP(テーブル22[[#This Row],[長座]],$AL$6:$AM$15),LOOKUP(テーブル22[[#This Row],[長座]],$AL$20:$AM$29))))</f>
        <v>0</v>
      </c>
      <c r="U66" s="42">
        <f>IF(テーブル22[[#This Row],[反復]]="",0,(IF(テーブル22[[#This Row],[性別]]="男",LOOKUP(テーブル22[[#This Row],[反復]],$AN$6:$AO$15),LOOKUP(テーブル22[[#This Row],[反復]],$AN$20:$AO$29))))</f>
        <v>0</v>
      </c>
      <c r="V66" s="42">
        <f>IF(テーブル22[[#This Row],[ｼｬﾄﾙﾗﾝ]]="",0,(IF(テーブル22[[#This Row],[性別]]="男",LOOKUP(テーブル22[[#This Row],[ｼｬﾄﾙﾗﾝ]],$AR$6:$AS$15),LOOKUP(テーブル22[[#This Row],[ｼｬﾄﾙﾗﾝ]],$AR$20:$AS$29))))</f>
        <v>0</v>
      </c>
      <c r="W66" s="42">
        <f>IF(テーブル22[[#This Row],[50m走]]="",0,(IF(テーブル22[[#This Row],[性別]]="男",LOOKUP(テーブル22[[#This Row],[50m走]],$AT$6:$AU$15),LOOKUP(テーブル22[[#This Row],[50m走]],$AT$20:$AU$29))))</f>
        <v>0</v>
      </c>
      <c r="X66" s="42">
        <f>IF(テーブル22[[#This Row],[立幅とび]]="",0,(IF(テーブル22[[#This Row],[性別]]="男",LOOKUP(テーブル22[[#This Row],[立幅とび]],$AV$6:$AW$15),LOOKUP(テーブル22[[#This Row],[立幅とび]],$AV$20:$AW$29))))</f>
        <v>0</v>
      </c>
      <c r="Y66" s="42">
        <f>IF(テーブル22[[#This Row],[ボール投げ]]="",0,(IF(テーブル22[[#This Row],[性別]]="男",LOOKUP(テーブル22[[#This Row],[ボール投げ]],$AX$6:$AY$15),LOOKUP(テーブル22[[#This Row],[ボール投げ]],$AX$20:$AY$29))))</f>
        <v>0</v>
      </c>
      <c r="Z66" s="19" t="str">
        <f>IF(テーブル22[[#This Row],[学年]]=1,6,IF(テーブル22[[#This Row],[学年]]=2,7,IF(テーブル22[[#This Row],[学年]]=3,8,IF(テーブル22[[#This Row],[学年]]=4,9,IF(テーブル22[[#This Row],[学年]]=5,10,IF(テーブル22[[#This Row],[学年]]=6,11," "))))))</f>
        <v xml:space="preserve"> </v>
      </c>
      <c r="AA66" s="125" t="str">
        <f>IF(テーブル22[[#This Row],[肥満度数値]]="","",LOOKUP(AC66,$AW$39:$AW$44,$AX$39:$AX$44))</f>
        <v/>
      </c>
      <c r="AB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6" s="124" t="str">
        <f>IF(テーブル22[[#This Row],[体重]]="","",(テーブル22[[#This Row],[体重]]-テーブル22[[#This Row],[標準体重]])/テーブル22[[#This Row],[標準体重]]*100)</f>
        <v/>
      </c>
      <c r="AD66" s="1">
        <f>COUNTA(テーブル22[[#This Row],[握力]:[ボール投げ]])</f>
        <v>0</v>
      </c>
      <c r="AE66" s="1" t="str">
        <f>IF(テーブル22[[#This Row],[判定]]=$BD$10,"○","")</f>
        <v/>
      </c>
      <c r="AF66" s="1" t="str">
        <f>IF(AE66="","",COUNTIF($AE$6:AE66,"○"))</f>
        <v/>
      </c>
    </row>
    <row r="67" spans="1:32" x14ac:dyDescent="0.2">
      <c r="A67" s="40">
        <v>62</v>
      </c>
      <c r="B67" s="145"/>
      <c r="C67" s="148"/>
      <c r="D67" s="145"/>
      <c r="E67" s="156"/>
      <c r="F67" s="145"/>
      <c r="G67" s="145"/>
      <c r="H67" s="146"/>
      <c r="I67" s="146"/>
      <c r="J67" s="148"/>
      <c r="K67" s="145"/>
      <c r="L67" s="148"/>
      <c r="M67" s="149"/>
      <c r="N67" s="148"/>
      <c r="O67" s="150"/>
      <c r="P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7" s="43" t="str">
        <f>IF(テーブル22[[#This Row],[得点]]="","",IF(テーブル22[[#This Row],[年齢]]&gt;10,LOOKUP(P67,$BG$6:$BG$10,$BD$6:$BD$10),IF(テーブル22[[#This Row],[年齢]]&gt;9,LOOKUP(P67,$BF$6:$BF$10,$BD$6:$BD$10),IF(テーブル22[[#This Row],[年齢]]&gt;8,LOOKUP(P67,$BE$6:$BE$10,$BD$6:$BD$10),IF(テーブル22[[#This Row],[年齢]]&gt;7,LOOKUP(P67,$BC$6:$BC$10,$BD$6:$BD$10),IF(テーブル22[[#This Row],[年齢]]&gt;6,LOOKUP(P67,$BB$6:$BB$10,$BD$6:$BD$10),LOOKUP(P67,$BA$6:$BA$10,$BD$6:$BD$10)))))))</f>
        <v/>
      </c>
      <c r="R67" s="42">
        <f>IF(H67="",0,(IF(テーブル22[[#This Row],[性別]]="男",LOOKUP(テーブル22[[#This Row],[握力]],$AH$6:$AI$15),LOOKUP(テーブル22[[#This Row],[握力]],$AH$20:$AI$29))))</f>
        <v>0</v>
      </c>
      <c r="S67" s="42">
        <f>IF(テーブル22[[#This Row],[上体]]="",0,(IF(テーブル22[[#This Row],[性別]]="男",LOOKUP(テーブル22[[#This Row],[上体]],$AJ$6:$AK$15),LOOKUP(テーブル22[[#This Row],[上体]],$AJ$20:$AK$29))))</f>
        <v>0</v>
      </c>
      <c r="T67" s="42">
        <f>IF(テーブル22[[#This Row],[長座]]="",0,(IF(テーブル22[[#This Row],[性別]]="男",LOOKUP(テーブル22[[#This Row],[長座]],$AL$6:$AM$15),LOOKUP(テーブル22[[#This Row],[長座]],$AL$20:$AM$29))))</f>
        <v>0</v>
      </c>
      <c r="U67" s="42">
        <f>IF(テーブル22[[#This Row],[反復]]="",0,(IF(テーブル22[[#This Row],[性別]]="男",LOOKUP(テーブル22[[#This Row],[反復]],$AN$6:$AO$15),LOOKUP(テーブル22[[#This Row],[反復]],$AN$20:$AO$29))))</f>
        <v>0</v>
      </c>
      <c r="V67" s="42">
        <f>IF(テーブル22[[#This Row],[ｼｬﾄﾙﾗﾝ]]="",0,(IF(テーブル22[[#This Row],[性別]]="男",LOOKUP(テーブル22[[#This Row],[ｼｬﾄﾙﾗﾝ]],$AR$6:$AS$15),LOOKUP(テーブル22[[#This Row],[ｼｬﾄﾙﾗﾝ]],$AR$20:$AS$29))))</f>
        <v>0</v>
      </c>
      <c r="W67" s="42">
        <f>IF(テーブル22[[#This Row],[50m走]]="",0,(IF(テーブル22[[#This Row],[性別]]="男",LOOKUP(テーブル22[[#This Row],[50m走]],$AT$6:$AU$15),LOOKUP(テーブル22[[#This Row],[50m走]],$AT$20:$AU$29))))</f>
        <v>0</v>
      </c>
      <c r="X67" s="42">
        <f>IF(テーブル22[[#This Row],[立幅とび]]="",0,(IF(テーブル22[[#This Row],[性別]]="男",LOOKUP(テーブル22[[#This Row],[立幅とび]],$AV$6:$AW$15),LOOKUP(テーブル22[[#This Row],[立幅とび]],$AV$20:$AW$29))))</f>
        <v>0</v>
      </c>
      <c r="Y67" s="42">
        <f>IF(テーブル22[[#This Row],[ボール投げ]]="",0,(IF(テーブル22[[#This Row],[性別]]="男",LOOKUP(テーブル22[[#This Row],[ボール投げ]],$AX$6:$AY$15),LOOKUP(テーブル22[[#This Row],[ボール投げ]],$AX$20:$AY$29))))</f>
        <v>0</v>
      </c>
      <c r="Z67" s="19" t="str">
        <f>IF(テーブル22[[#This Row],[学年]]=1,6,IF(テーブル22[[#This Row],[学年]]=2,7,IF(テーブル22[[#This Row],[学年]]=3,8,IF(テーブル22[[#This Row],[学年]]=4,9,IF(テーブル22[[#This Row],[学年]]=5,10,IF(テーブル22[[#This Row],[学年]]=6,11," "))))))</f>
        <v xml:space="preserve"> </v>
      </c>
      <c r="AA67" s="125" t="str">
        <f>IF(テーブル22[[#This Row],[肥満度数値]]="","",LOOKUP(AC67,$AW$39:$AW$44,$AX$39:$AX$44))</f>
        <v/>
      </c>
      <c r="AB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7" s="124" t="str">
        <f>IF(テーブル22[[#This Row],[体重]]="","",(テーブル22[[#This Row],[体重]]-テーブル22[[#This Row],[標準体重]])/テーブル22[[#This Row],[標準体重]]*100)</f>
        <v/>
      </c>
      <c r="AD67" s="1">
        <f>COUNTA(テーブル22[[#This Row],[握力]:[ボール投げ]])</f>
        <v>0</v>
      </c>
      <c r="AE67" s="1" t="str">
        <f>IF(テーブル22[[#This Row],[判定]]=$BD$10,"○","")</f>
        <v/>
      </c>
      <c r="AF67" s="1" t="str">
        <f>IF(AE67="","",COUNTIF($AE$6:AE67,"○"))</f>
        <v/>
      </c>
    </row>
    <row r="68" spans="1:32" x14ac:dyDescent="0.2">
      <c r="A68" s="40">
        <v>63</v>
      </c>
      <c r="B68" s="145"/>
      <c r="C68" s="148"/>
      <c r="D68" s="145"/>
      <c r="E68" s="156"/>
      <c r="F68" s="145"/>
      <c r="G68" s="145"/>
      <c r="H68" s="146"/>
      <c r="I68" s="146"/>
      <c r="J68" s="148"/>
      <c r="K68" s="145"/>
      <c r="L68" s="148"/>
      <c r="M68" s="149"/>
      <c r="N68" s="148"/>
      <c r="O68" s="150"/>
      <c r="P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8" s="43" t="str">
        <f>IF(テーブル22[[#This Row],[得点]]="","",IF(テーブル22[[#This Row],[年齢]]&gt;10,LOOKUP(P68,$BG$6:$BG$10,$BD$6:$BD$10),IF(テーブル22[[#This Row],[年齢]]&gt;9,LOOKUP(P68,$BF$6:$BF$10,$BD$6:$BD$10),IF(テーブル22[[#This Row],[年齢]]&gt;8,LOOKUP(P68,$BE$6:$BE$10,$BD$6:$BD$10),IF(テーブル22[[#This Row],[年齢]]&gt;7,LOOKUP(P68,$BC$6:$BC$10,$BD$6:$BD$10),IF(テーブル22[[#This Row],[年齢]]&gt;6,LOOKUP(P68,$BB$6:$BB$10,$BD$6:$BD$10),LOOKUP(P68,$BA$6:$BA$10,$BD$6:$BD$10)))))))</f>
        <v/>
      </c>
      <c r="R68" s="42">
        <f>IF(H68="",0,(IF(テーブル22[[#This Row],[性別]]="男",LOOKUP(テーブル22[[#This Row],[握力]],$AH$6:$AI$15),LOOKUP(テーブル22[[#This Row],[握力]],$AH$20:$AI$29))))</f>
        <v>0</v>
      </c>
      <c r="S68" s="42">
        <f>IF(テーブル22[[#This Row],[上体]]="",0,(IF(テーブル22[[#This Row],[性別]]="男",LOOKUP(テーブル22[[#This Row],[上体]],$AJ$6:$AK$15),LOOKUP(テーブル22[[#This Row],[上体]],$AJ$20:$AK$29))))</f>
        <v>0</v>
      </c>
      <c r="T68" s="42">
        <f>IF(テーブル22[[#This Row],[長座]]="",0,(IF(テーブル22[[#This Row],[性別]]="男",LOOKUP(テーブル22[[#This Row],[長座]],$AL$6:$AM$15),LOOKUP(テーブル22[[#This Row],[長座]],$AL$20:$AM$29))))</f>
        <v>0</v>
      </c>
      <c r="U68" s="42">
        <f>IF(テーブル22[[#This Row],[反復]]="",0,(IF(テーブル22[[#This Row],[性別]]="男",LOOKUP(テーブル22[[#This Row],[反復]],$AN$6:$AO$15),LOOKUP(テーブル22[[#This Row],[反復]],$AN$20:$AO$29))))</f>
        <v>0</v>
      </c>
      <c r="V68" s="42">
        <f>IF(テーブル22[[#This Row],[ｼｬﾄﾙﾗﾝ]]="",0,(IF(テーブル22[[#This Row],[性別]]="男",LOOKUP(テーブル22[[#This Row],[ｼｬﾄﾙﾗﾝ]],$AR$6:$AS$15),LOOKUP(テーブル22[[#This Row],[ｼｬﾄﾙﾗﾝ]],$AR$20:$AS$29))))</f>
        <v>0</v>
      </c>
      <c r="W68" s="42">
        <f>IF(テーブル22[[#This Row],[50m走]]="",0,(IF(テーブル22[[#This Row],[性別]]="男",LOOKUP(テーブル22[[#This Row],[50m走]],$AT$6:$AU$15),LOOKUP(テーブル22[[#This Row],[50m走]],$AT$20:$AU$29))))</f>
        <v>0</v>
      </c>
      <c r="X68" s="42">
        <f>IF(テーブル22[[#This Row],[立幅とび]]="",0,(IF(テーブル22[[#This Row],[性別]]="男",LOOKUP(テーブル22[[#This Row],[立幅とび]],$AV$6:$AW$15),LOOKUP(テーブル22[[#This Row],[立幅とび]],$AV$20:$AW$29))))</f>
        <v>0</v>
      </c>
      <c r="Y68" s="42">
        <f>IF(テーブル22[[#This Row],[ボール投げ]]="",0,(IF(テーブル22[[#This Row],[性別]]="男",LOOKUP(テーブル22[[#This Row],[ボール投げ]],$AX$6:$AY$15),LOOKUP(テーブル22[[#This Row],[ボール投げ]],$AX$20:$AY$29))))</f>
        <v>0</v>
      </c>
      <c r="Z68" s="19" t="str">
        <f>IF(テーブル22[[#This Row],[学年]]=1,6,IF(テーブル22[[#This Row],[学年]]=2,7,IF(テーブル22[[#This Row],[学年]]=3,8,IF(テーブル22[[#This Row],[学年]]=4,9,IF(テーブル22[[#This Row],[学年]]=5,10,IF(テーブル22[[#This Row],[学年]]=6,11," "))))))</f>
        <v xml:space="preserve"> </v>
      </c>
      <c r="AA68" s="125" t="str">
        <f>IF(テーブル22[[#This Row],[肥満度数値]]="","",LOOKUP(AC68,$AW$39:$AW$44,$AX$39:$AX$44))</f>
        <v/>
      </c>
      <c r="AB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8" s="124" t="str">
        <f>IF(テーブル22[[#This Row],[体重]]="","",(テーブル22[[#This Row],[体重]]-テーブル22[[#This Row],[標準体重]])/テーブル22[[#This Row],[標準体重]]*100)</f>
        <v/>
      </c>
      <c r="AD68" s="1">
        <f>COUNTA(テーブル22[[#This Row],[握力]:[ボール投げ]])</f>
        <v>0</v>
      </c>
      <c r="AE68" s="1" t="str">
        <f>IF(テーブル22[[#This Row],[判定]]=$BD$10,"○","")</f>
        <v/>
      </c>
      <c r="AF68" s="1" t="str">
        <f>IF(AE68="","",COUNTIF($AE$6:AE68,"○"))</f>
        <v/>
      </c>
    </row>
    <row r="69" spans="1:32" x14ac:dyDescent="0.2">
      <c r="A69" s="40">
        <v>64</v>
      </c>
      <c r="B69" s="145"/>
      <c r="C69" s="148"/>
      <c r="D69" s="145"/>
      <c r="E69" s="156"/>
      <c r="F69" s="145"/>
      <c r="G69" s="145"/>
      <c r="H69" s="146"/>
      <c r="I69" s="146"/>
      <c r="J69" s="148"/>
      <c r="K69" s="145"/>
      <c r="L69" s="148"/>
      <c r="M69" s="149"/>
      <c r="N69" s="148"/>
      <c r="O69" s="150"/>
      <c r="P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69" s="43" t="str">
        <f>IF(テーブル22[[#This Row],[得点]]="","",IF(テーブル22[[#This Row],[年齢]]&gt;10,LOOKUP(P69,$BG$6:$BG$10,$BD$6:$BD$10),IF(テーブル22[[#This Row],[年齢]]&gt;9,LOOKUP(P69,$BF$6:$BF$10,$BD$6:$BD$10),IF(テーブル22[[#This Row],[年齢]]&gt;8,LOOKUP(P69,$BE$6:$BE$10,$BD$6:$BD$10),IF(テーブル22[[#This Row],[年齢]]&gt;7,LOOKUP(P69,$BC$6:$BC$10,$BD$6:$BD$10),IF(テーブル22[[#This Row],[年齢]]&gt;6,LOOKUP(P69,$BB$6:$BB$10,$BD$6:$BD$10),LOOKUP(P69,$BA$6:$BA$10,$BD$6:$BD$10)))))))</f>
        <v/>
      </c>
      <c r="R69" s="42">
        <f>IF(H69="",0,(IF(テーブル22[[#This Row],[性別]]="男",LOOKUP(テーブル22[[#This Row],[握力]],$AH$6:$AI$15),LOOKUP(テーブル22[[#This Row],[握力]],$AH$20:$AI$29))))</f>
        <v>0</v>
      </c>
      <c r="S69" s="42">
        <f>IF(テーブル22[[#This Row],[上体]]="",0,(IF(テーブル22[[#This Row],[性別]]="男",LOOKUP(テーブル22[[#This Row],[上体]],$AJ$6:$AK$15),LOOKUP(テーブル22[[#This Row],[上体]],$AJ$20:$AK$29))))</f>
        <v>0</v>
      </c>
      <c r="T69" s="42">
        <f>IF(テーブル22[[#This Row],[長座]]="",0,(IF(テーブル22[[#This Row],[性別]]="男",LOOKUP(テーブル22[[#This Row],[長座]],$AL$6:$AM$15),LOOKUP(テーブル22[[#This Row],[長座]],$AL$20:$AM$29))))</f>
        <v>0</v>
      </c>
      <c r="U69" s="42">
        <f>IF(テーブル22[[#This Row],[反復]]="",0,(IF(テーブル22[[#This Row],[性別]]="男",LOOKUP(テーブル22[[#This Row],[反復]],$AN$6:$AO$15),LOOKUP(テーブル22[[#This Row],[反復]],$AN$20:$AO$29))))</f>
        <v>0</v>
      </c>
      <c r="V69" s="42">
        <f>IF(テーブル22[[#This Row],[ｼｬﾄﾙﾗﾝ]]="",0,(IF(テーブル22[[#This Row],[性別]]="男",LOOKUP(テーブル22[[#This Row],[ｼｬﾄﾙﾗﾝ]],$AR$6:$AS$15),LOOKUP(テーブル22[[#This Row],[ｼｬﾄﾙﾗﾝ]],$AR$20:$AS$29))))</f>
        <v>0</v>
      </c>
      <c r="W69" s="42">
        <f>IF(テーブル22[[#This Row],[50m走]]="",0,(IF(テーブル22[[#This Row],[性別]]="男",LOOKUP(テーブル22[[#This Row],[50m走]],$AT$6:$AU$15),LOOKUP(テーブル22[[#This Row],[50m走]],$AT$20:$AU$29))))</f>
        <v>0</v>
      </c>
      <c r="X69" s="42">
        <f>IF(テーブル22[[#This Row],[立幅とび]]="",0,(IF(テーブル22[[#This Row],[性別]]="男",LOOKUP(テーブル22[[#This Row],[立幅とび]],$AV$6:$AW$15),LOOKUP(テーブル22[[#This Row],[立幅とび]],$AV$20:$AW$29))))</f>
        <v>0</v>
      </c>
      <c r="Y69" s="42">
        <f>IF(テーブル22[[#This Row],[ボール投げ]]="",0,(IF(テーブル22[[#This Row],[性別]]="男",LOOKUP(テーブル22[[#This Row],[ボール投げ]],$AX$6:$AY$15),LOOKUP(テーブル22[[#This Row],[ボール投げ]],$AX$20:$AY$29))))</f>
        <v>0</v>
      </c>
      <c r="Z69" s="19" t="str">
        <f>IF(テーブル22[[#This Row],[学年]]=1,6,IF(テーブル22[[#This Row],[学年]]=2,7,IF(テーブル22[[#This Row],[学年]]=3,8,IF(テーブル22[[#This Row],[学年]]=4,9,IF(テーブル22[[#This Row],[学年]]=5,10,IF(テーブル22[[#This Row],[学年]]=6,11," "))))))</f>
        <v xml:space="preserve"> </v>
      </c>
      <c r="AA69" s="125" t="str">
        <f>IF(テーブル22[[#This Row],[肥満度数値]]="","",LOOKUP(AC69,$AW$39:$AW$44,$AX$39:$AX$44))</f>
        <v/>
      </c>
      <c r="AB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69" s="124" t="str">
        <f>IF(テーブル22[[#This Row],[体重]]="","",(テーブル22[[#This Row],[体重]]-テーブル22[[#This Row],[標準体重]])/テーブル22[[#This Row],[標準体重]]*100)</f>
        <v/>
      </c>
      <c r="AD69" s="1">
        <f>COUNTA(テーブル22[[#This Row],[握力]:[ボール投げ]])</f>
        <v>0</v>
      </c>
      <c r="AE69" s="1" t="str">
        <f>IF(テーブル22[[#This Row],[判定]]=$BD$10,"○","")</f>
        <v/>
      </c>
      <c r="AF69" s="1" t="str">
        <f>IF(AE69="","",COUNTIF($AE$6:AE69,"○"))</f>
        <v/>
      </c>
    </row>
    <row r="70" spans="1:32" x14ac:dyDescent="0.2">
      <c r="A70" s="40">
        <v>65</v>
      </c>
      <c r="B70" s="145"/>
      <c r="C70" s="148"/>
      <c r="D70" s="145"/>
      <c r="E70" s="156"/>
      <c r="F70" s="145"/>
      <c r="G70" s="145"/>
      <c r="H70" s="146"/>
      <c r="I70" s="146"/>
      <c r="J70" s="148"/>
      <c r="K70" s="145"/>
      <c r="L70" s="148"/>
      <c r="M70" s="149"/>
      <c r="N70" s="148"/>
      <c r="O70" s="150"/>
      <c r="P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0" s="43" t="str">
        <f>IF(テーブル22[[#This Row],[得点]]="","",IF(テーブル22[[#This Row],[年齢]]&gt;10,LOOKUP(P70,$BG$6:$BG$10,$BD$6:$BD$10),IF(テーブル22[[#This Row],[年齢]]&gt;9,LOOKUP(P70,$BF$6:$BF$10,$BD$6:$BD$10),IF(テーブル22[[#This Row],[年齢]]&gt;8,LOOKUP(P70,$BE$6:$BE$10,$BD$6:$BD$10),IF(テーブル22[[#This Row],[年齢]]&gt;7,LOOKUP(P70,$BC$6:$BC$10,$BD$6:$BD$10),IF(テーブル22[[#This Row],[年齢]]&gt;6,LOOKUP(P70,$BB$6:$BB$10,$BD$6:$BD$10),LOOKUP(P70,$BA$6:$BA$10,$BD$6:$BD$10)))))))</f>
        <v/>
      </c>
      <c r="R70" s="42">
        <f>IF(H70="",0,(IF(テーブル22[[#This Row],[性別]]="男",LOOKUP(テーブル22[[#This Row],[握力]],$AH$6:$AI$15),LOOKUP(テーブル22[[#This Row],[握力]],$AH$20:$AI$29))))</f>
        <v>0</v>
      </c>
      <c r="S70" s="42">
        <f>IF(テーブル22[[#This Row],[上体]]="",0,(IF(テーブル22[[#This Row],[性別]]="男",LOOKUP(テーブル22[[#This Row],[上体]],$AJ$6:$AK$15),LOOKUP(テーブル22[[#This Row],[上体]],$AJ$20:$AK$29))))</f>
        <v>0</v>
      </c>
      <c r="T70" s="42">
        <f>IF(テーブル22[[#This Row],[長座]]="",0,(IF(テーブル22[[#This Row],[性別]]="男",LOOKUP(テーブル22[[#This Row],[長座]],$AL$6:$AM$15),LOOKUP(テーブル22[[#This Row],[長座]],$AL$20:$AM$29))))</f>
        <v>0</v>
      </c>
      <c r="U70" s="42">
        <f>IF(テーブル22[[#This Row],[反復]]="",0,(IF(テーブル22[[#This Row],[性別]]="男",LOOKUP(テーブル22[[#This Row],[反復]],$AN$6:$AO$15),LOOKUP(テーブル22[[#This Row],[反復]],$AN$20:$AO$29))))</f>
        <v>0</v>
      </c>
      <c r="V70" s="42">
        <f>IF(テーブル22[[#This Row],[ｼｬﾄﾙﾗﾝ]]="",0,(IF(テーブル22[[#This Row],[性別]]="男",LOOKUP(テーブル22[[#This Row],[ｼｬﾄﾙﾗﾝ]],$AR$6:$AS$15),LOOKUP(テーブル22[[#This Row],[ｼｬﾄﾙﾗﾝ]],$AR$20:$AS$29))))</f>
        <v>0</v>
      </c>
      <c r="W70" s="42">
        <f>IF(テーブル22[[#This Row],[50m走]]="",0,(IF(テーブル22[[#This Row],[性別]]="男",LOOKUP(テーブル22[[#This Row],[50m走]],$AT$6:$AU$15),LOOKUP(テーブル22[[#This Row],[50m走]],$AT$20:$AU$29))))</f>
        <v>0</v>
      </c>
      <c r="X70" s="42">
        <f>IF(テーブル22[[#This Row],[立幅とび]]="",0,(IF(テーブル22[[#This Row],[性別]]="男",LOOKUP(テーブル22[[#This Row],[立幅とび]],$AV$6:$AW$15),LOOKUP(テーブル22[[#This Row],[立幅とび]],$AV$20:$AW$29))))</f>
        <v>0</v>
      </c>
      <c r="Y70" s="42">
        <f>IF(テーブル22[[#This Row],[ボール投げ]]="",0,(IF(テーブル22[[#This Row],[性別]]="男",LOOKUP(テーブル22[[#This Row],[ボール投げ]],$AX$6:$AY$15),LOOKUP(テーブル22[[#This Row],[ボール投げ]],$AX$20:$AY$29))))</f>
        <v>0</v>
      </c>
      <c r="Z70" s="19" t="str">
        <f>IF(テーブル22[[#This Row],[学年]]=1,6,IF(テーブル22[[#This Row],[学年]]=2,7,IF(テーブル22[[#This Row],[学年]]=3,8,IF(テーブル22[[#This Row],[学年]]=4,9,IF(テーブル22[[#This Row],[学年]]=5,10,IF(テーブル22[[#This Row],[学年]]=6,11," "))))))</f>
        <v xml:space="preserve"> </v>
      </c>
      <c r="AA70" s="125" t="str">
        <f>IF(テーブル22[[#This Row],[肥満度数値]]="","",LOOKUP(AC70,$AW$39:$AW$44,$AX$39:$AX$44))</f>
        <v/>
      </c>
      <c r="AB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0" s="124" t="str">
        <f>IF(テーブル22[[#This Row],[体重]]="","",(テーブル22[[#This Row],[体重]]-テーブル22[[#This Row],[標準体重]])/テーブル22[[#This Row],[標準体重]]*100)</f>
        <v/>
      </c>
      <c r="AD70" s="1">
        <f>COUNTA(テーブル22[[#This Row],[握力]:[ボール投げ]])</f>
        <v>0</v>
      </c>
      <c r="AE70" s="1" t="str">
        <f>IF(テーブル22[[#This Row],[判定]]=$BD$10,"○","")</f>
        <v/>
      </c>
      <c r="AF70" s="1" t="str">
        <f>IF(AE70="","",COUNTIF($AE$6:AE70,"○"))</f>
        <v/>
      </c>
    </row>
    <row r="71" spans="1:32" x14ac:dyDescent="0.2">
      <c r="A71" s="40">
        <v>66</v>
      </c>
      <c r="B71" s="145"/>
      <c r="C71" s="148"/>
      <c r="D71" s="145"/>
      <c r="E71" s="156"/>
      <c r="F71" s="145"/>
      <c r="G71" s="145"/>
      <c r="H71" s="146"/>
      <c r="I71" s="146"/>
      <c r="J71" s="148"/>
      <c r="K71" s="145"/>
      <c r="L71" s="148"/>
      <c r="M71" s="149"/>
      <c r="N71" s="148"/>
      <c r="O71" s="150"/>
      <c r="P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1" s="43" t="str">
        <f>IF(テーブル22[[#This Row],[得点]]="","",IF(テーブル22[[#This Row],[年齢]]&gt;10,LOOKUP(P71,$BG$6:$BG$10,$BD$6:$BD$10),IF(テーブル22[[#This Row],[年齢]]&gt;9,LOOKUP(P71,$BF$6:$BF$10,$BD$6:$BD$10),IF(テーブル22[[#This Row],[年齢]]&gt;8,LOOKUP(P71,$BE$6:$BE$10,$BD$6:$BD$10),IF(テーブル22[[#This Row],[年齢]]&gt;7,LOOKUP(P71,$BC$6:$BC$10,$BD$6:$BD$10),IF(テーブル22[[#This Row],[年齢]]&gt;6,LOOKUP(P71,$BB$6:$BB$10,$BD$6:$BD$10),LOOKUP(P71,$BA$6:$BA$10,$BD$6:$BD$10)))))))</f>
        <v/>
      </c>
      <c r="R71" s="42">
        <f>IF(H71="",0,(IF(テーブル22[[#This Row],[性別]]="男",LOOKUP(テーブル22[[#This Row],[握力]],$AH$6:$AI$15),LOOKUP(テーブル22[[#This Row],[握力]],$AH$20:$AI$29))))</f>
        <v>0</v>
      </c>
      <c r="S71" s="42">
        <f>IF(テーブル22[[#This Row],[上体]]="",0,(IF(テーブル22[[#This Row],[性別]]="男",LOOKUP(テーブル22[[#This Row],[上体]],$AJ$6:$AK$15),LOOKUP(テーブル22[[#This Row],[上体]],$AJ$20:$AK$29))))</f>
        <v>0</v>
      </c>
      <c r="T71" s="42">
        <f>IF(テーブル22[[#This Row],[長座]]="",0,(IF(テーブル22[[#This Row],[性別]]="男",LOOKUP(テーブル22[[#This Row],[長座]],$AL$6:$AM$15),LOOKUP(テーブル22[[#This Row],[長座]],$AL$20:$AM$29))))</f>
        <v>0</v>
      </c>
      <c r="U71" s="42">
        <f>IF(テーブル22[[#This Row],[反復]]="",0,(IF(テーブル22[[#This Row],[性別]]="男",LOOKUP(テーブル22[[#This Row],[反復]],$AN$6:$AO$15),LOOKUP(テーブル22[[#This Row],[反復]],$AN$20:$AO$29))))</f>
        <v>0</v>
      </c>
      <c r="V71" s="42">
        <f>IF(テーブル22[[#This Row],[ｼｬﾄﾙﾗﾝ]]="",0,(IF(テーブル22[[#This Row],[性別]]="男",LOOKUP(テーブル22[[#This Row],[ｼｬﾄﾙﾗﾝ]],$AR$6:$AS$15),LOOKUP(テーブル22[[#This Row],[ｼｬﾄﾙﾗﾝ]],$AR$20:$AS$29))))</f>
        <v>0</v>
      </c>
      <c r="W71" s="42">
        <f>IF(テーブル22[[#This Row],[50m走]]="",0,(IF(テーブル22[[#This Row],[性別]]="男",LOOKUP(テーブル22[[#This Row],[50m走]],$AT$6:$AU$15),LOOKUP(テーブル22[[#This Row],[50m走]],$AT$20:$AU$29))))</f>
        <v>0</v>
      </c>
      <c r="X71" s="42">
        <f>IF(テーブル22[[#This Row],[立幅とび]]="",0,(IF(テーブル22[[#This Row],[性別]]="男",LOOKUP(テーブル22[[#This Row],[立幅とび]],$AV$6:$AW$15),LOOKUP(テーブル22[[#This Row],[立幅とび]],$AV$20:$AW$29))))</f>
        <v>0</v>
      </c>
      <c r="Y71" s="42">
        <f>IF(テーブル22[[#This Row],[ボール投げ]]="",0,(IF(テーブル22[[#This Row],[性別]]="男",LOOKUP(テーブル22[[#This Row],[ボール投げ]],$AX$6:$AY$15),LOOKUP(テーブル22[[#This Row],[ボール投げ]],$AX$20:$AY$29))))</f>
        <v>0</v>
      </c>
      <c r="Z71" s="19" t="str">
        <f>IF(テーブル22[[#This Row],[学年]]=1,6,IF(テーブル22[[#This Row],[学年]]=2,7,IF(テーブル22[[#This Row],[学年]]=3,8,IF(テーブル22[[#This Row],[学年]]=4,9,IF(テーブル22[[#This Row],[学年]]=5,10,IF(テーブル22[[#This Row],[学年]]=6,11," "))))))</f>
        <v xml:space="preserve"> </v>
      </c>
      <c r="AA71" s="125" t="str">
        <f>IF(テーブル22[[#This Row],[肥満度数値]]="","",LOOKUP(AC71,$AW$39:$AW$44,$AX$39:$AX$44))</f>
        <v/>
      </c>
      <c r="AB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1" s="124" t="str">
        <f>IF(テーブル22[[#This Row],[体重]]="","",(テーブル22[[#This Row],[体重]]-テーブル22[[#This Row],[標準体重]])/テーブル22[[#This Row],[標準体重]]*100)</f>
        <v/>
      </c>
      <c r="AD71" s="1">
        <f>COUNTA(テーブル22[[#This Row],[握力]:[ボール投げ]])</f>
        <v>0</v>
      </c>
      <c r="AE71" s="1" t="str">
        <f>IF(テーブル22[[#This Row],[判定]]=$BD$10,"○","")</f>
        <v/>
      </c>
      <c r="AF71" s="1" t="str">
        <f>IF(AE71="","",COUNTIF($AE$6:AE71,"○"))</f>
        <v/>
      </c>
    </row>
    <row r="72" spans="1:32" x14ac:dyDescent="0.2">
      <c r="A72" s="40">
        <v>67</v>
      </c>
      <c r="B72" s="145"/>
      <c r="C72" s="148"/>
      <c r="D72" s="145"/>
      <c r="E72" s="156"/>
      <c r="F72" s="145"/>
      <c r="G72" s="145"/>
      <c r="H72" s="146"/>
      <c r="I72" s="146"/>
      <c r="J72" s="148"/>
      <c r="K72" s="145"/>
      <c r="L72" s="148"/>
      <c r="M72" s="149"/>
      <c r="N72" s="148"/>
      <c r="O72" s="150"/>
      <c r="P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2" s="43" t="str">
        <f>IF(テーブル22[[#This Row],[得点]]="","",IF(テーブル22[[#This Row],[年齢]]&gt;10,LOOKUP(P72,$BG$6:$BG$10,$BD$6:$BD$10),IF(テーブル22[[#This Row],[年齢]]&gt;9,LOOKUP(P72,$BF$6:$BF$10,$BD$6:$BD$10),IF(テーブル22[[#This Row],[年齢]]&gt;8,LOOKUP(P72,$BE$6:$BE$10,$BD$6:$BD$10),IF(テーブル22[[#This Row],[年齢]]&gt;7,LOOKUP(P72,$BC$6:$BC$10,$BD$6:$BD$10),IF(テーブル22[[#This Row],[年齢]]&gt;6,LOOKUP(P72,$BB$6:$BB$10,$BD$6:$BD$10),LOOKUP(P72,$BA$6:$BA$10,$BD$6:$BD$10)))))))</f>
        <v/>
      </c>
      <c r="R72" s="42">
        <f>IF(H72="",0,(IF(テーブル22[[#This Row],[性別]]="男",LOOKUP(テーブル22[[#This Row],[握力]],$AH$6:$AI$15),LOOKUP(テーブル22[[#This Row],[握力]],$AH$20:$AI$29))))</f>
        <v>0</v>
      </c>
      <c r="S72" s="42">
        <f>IF(テーブル22[[#This Row],[上体]]="",0,(IF(テーブル22[[#This Row],[性別]]="男",LOOKUP(テーブル22[[#This Row],[上体]],$AJ$6:$AK$15),LOOKUP(テーブル22[[#This Row],[上体]],$AJ$20:$AK$29))))</f>
        <v>0</v>
      </c>
      <c r="T72" s="42">
        <f>IF(テーブル22[[#This Row],[長座]]="",0,(IF(テーブル22[[#This Row],[性別]]="男",LOOKUP(テーブル22[[#This Row],[長座]],$AL$6:$AM$15),LOOKUP(テーブル22[[#This Row],[長座]],$AL$20:$AM$29))))</f>
        <v>0</v>
      </c>
      <c r="U72" s="42">
        <f>IF(テーブル22[[#This Row],[反復]]="",0,(IF(テーブル22[[#This Row],[性別]]="男",LOOKUP(テーブル22[[#This Row],[反復]],$AN$6:$AO$15),LOOKUP(テーブル22[[#This Row],[反復]],$AN$20:$AO$29))))</f>
        <v>0</v>
      </c>
      <c r="V72" s="42">
        <f>IF(テーブル22[[#This Row],[ｼｬﾄﾙﾗﾝ]]="",0,(IF(テーブル22[[#This Row],[性別]]="男",LOOKUP(テーブル22[[#This Row],[ｼｬﾄﾙﾗﾝ]],$AR$6:$AS$15),LOOKUP(テーブル22[[#This Row],[ｼｬﾄﾙﾗﾝ]],$AR$20:$AS$29))))</f>
        <v>0</v>
      </c>
      <c r="W72" s="42">
        <f>IF(テーブル22[[#This Row],[50m走]]="",0,(IF(テーブル22[[#This Row],[性別]]="男",LOOKUP(テーブル22[[#This Row],[50m走]],$AT$6:$AU$15),LOOKUP(テーブル22[[#This Row],[50m走]],$AT$20:$AU$29))))</f>
        <v>0</v>
      </c>
      <c r="X72" s="42">
        <f>IF(テーブル22[[#This Row],[立幅とび]]="",0,(IF(テーブル22[[#This Row],[性別]]="男",LOOKUP(テーブル22[[#This Row],[立幅とび]],$AV$6:$AW$15),LOOKUP(テーブル22[[#This Row],[立幅とび]],$AV$20:$AW$29))))</f>
        <v>0</v>
      </c>
      <c r="Y72" s="42">
        <f>IF(テーブル22[[#This Row],[ボール投げ]]="",0,(IF(テーブル22[[#This Row],[性別]]="男",LOOKUP(テーブル22[[#This Row],[ボール投げ]],$AX$6:$AY$15),LOOKUP(テーブル22[[#This Row],[ボール投げ]],$AX$20:$AY$29))))</f>
        <v>0</v>
      </c>
      <c r="Z72" s="19" t="str">
        <f>IF(テーブル22[[#This Row],[学年]]=1,6,IF(テーブル22[[#This Row],[学年]]=2,7,IF(テーブル22[[#This Row],[学年]]=3,8,IF(テーブル22[[#This Row],[学年]]=4,9,IF(テーブル22[[#This Row],[学年]]=5,10,IF(テーブル22[[#This Row],[学年]]=6,11," "))))))</f>
        <v xml:space="preserve"> </v>
      </c>
      <c r="AA72" s="125" t="str">
        <f>IF(テーブル22[[#This Row],[肥満度数値]]="","",LOOKUP(AC72,$AW$39:$AW$44,$AX$39:$AX$44))</f>
        <v/>
      </c>
      <c r="AB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2" s="124" t="str">
        <f>IF(テーブル22[[#This Row],[体重]]="","",(テーブル22[[#This Row],[体重]]-テーブル22[[#This Row],[標準体重]])/テーブル22[[#This Row],[標準体重]]*100)</f>
        <v/>
      </c>
      <c r="AD72" s="1">
        <f>COUNTA(テーブル22[[#This Row],[握力]:[ボール投げ]])</f>
        <v>0</v>
      </c>
      <c r="AE72" s="1" t="str">
        <f>IF(テーブル22[[#This Row],[判定]]=$BD$10,"○","")</f>
        <v/>
      </c>
      <c r="AF72" s="1" t="str">
        <f>IF(AE72="","",COUNTIF($AE$6:AE72,"○"))</f>
        <v/>
      </c>
    </row>
    <row r="73" spans="1:32" x14ac:dyDescent="0.2">
      <c r="A73" s="40">
        <v>68</v>
      </c>
      <c r="B73" s="145"/>
      <c r="C73" s="148"/>
      <c r="D73" s="145"/>
      <c r="E73" s="156"/>
      <c r="F73" s="145"/>
      <c r="G73" s="145"/>
      <c r="H73" s="146"/>
      <c r="I73" s="146"/>
      <c r="J73" s="148"/>
      <c r="K73" s="145"/>
      <c r="L73" s="148"/>
      <c r="M73" s="149"/>
      <c r="N73" s="148"/>
      <c r="O73" s="150"/>
      <c r="P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3" s="43" t="str">
        <f>IF(テーブル22[[#This Row],[得点]]="","",IF(テーブル22[[#This Row],[年齢]]&gt;10,LOOKUP(P73,$BG$6:$BG$10,$BD$6:$BD$10),IF(テーブル22[[#This Row],[年齢]]&gt;9,LOOKUP(P73,$BF$6:$BF$10,$BD$6:$BD$10),IF(テーブル22[[#This Row],[年齢]]&gt;8,LOOKUP(P73,$BE$6:$BE$10,$BD$6:$BD$10),IF(テーブル22[[#This Row],[年齢]]&gt;7,LOOKUP(P73,$BC$6:$BC$10,$BD$6:$BD$10),IF(テーブル22[[#This Row],[年齢]]&gt;6,LOOKUP(P73,$BB$6:$BB$10,$BD$6:$BD$10),LOOKUP(P73,$BA$6:$BA$10,$BD$6:$BD$10)))))))</f>
        <v/>
      </c>
      <c r="R73" s="42">
        <f>IF(H73="",0,(IF(テーブル22[[#This Row],[性別]]="男",LOOKUP(テーブル22[[#This Row],[握力]],$AH$6:$AI$15),LOOKUP(テーブル22[[#This Row],[握力]],$AH$20:$AI$29))))</f>
        <v>0</v>
      </c>
      <c r="S73" s="42">
        <f>IF(テーブル22[[#This Row],[上体]]="",0,(IF(テーブル22[[#This Row],[性別]]="男",LOOKUP(テーブル22[[#This Row],[上体]],$AJ$6:$AK$15),LOOKUP(テーブル22[[#This Row],[上体]],$AJ$20:$AK$29))))</f>
        <v>0</v>
      </c>
      <c r="T73" s="42">
        <f>IF(テーブル22[[#This Row],[長座]]="",0,(IF(テーブル22[[#This Row],[性別]]="男",LOOKUP(テーブル22[[#This Row],[長座]],$AL$6:$AM$15),LOOKUP(テーブル22[[#This Row],[長座]],$AL$20:$AM$29))))</f>
        <v>0</v>
      </c>
      <c r="U73" s="42">
        <f>IF(テーブル22[[#This Row],[反復]]="",0,(IF(テーブル22[[#This Row],[性別]]="男",LOOKUP(テーブル22[[#This Row],[反復]],$AN$6:$AO$15),LOOKUP(テーブル22[[#This Row],[反復]],$AN$20:$AO$29))))</f>
        <v>0</v>
      </c>
      <c r="V73" s="42">
        <f>IF(テーブル22[[#This Row],[ｼｬﾄﾙﾗﾝ]]="",0,(IF(テーブル22[[#This Row],[性別]]="男",LOOKUP(テーブル22[[#This Row],[ｼｬﾄﾙﾗﾝ]],$AR$6:$AS$15),LOOKUP(テーブル22[[#This Row],[ｼｬﾄﾙﾗﾝ]],$AR$20:$AS$29))))</f>
        <v>0</v>
      </c>
      <c r="W73" s="42">
        <f>IF(テーブル22[[#This Row],[50m走]]="",0,(IF(テーブル22[[#This Row],[性別]]="男",LOOKUP(テーブル22[[#This Row],[50m走]],$AT$6:$AU$15),LOOKUP(テーブル22[[#This Row],[50m走]],$AT$20:$AU$29))))</f>
        <v>0</v>
      </c>
      <c r="X73" s="42">
        <f>IF(テーブル22[[#This Row],[立幅とび]]="",0,(IF(テーブル22[[#This Row],[性別]]="男",LOOKUP(テーブル22[[#This Row],[立幅とび]],$AV$6:$AW$15),LOOKUP(テーブル22[[#This Row],[立幅とび]],$AV$20:$AW$29))))</f>
        <v>0</v>
      </c>
      <c r="Y73" s="42">
        <f>IF(テーブル22[[#This Row],[ボール投げ]]="",0,(IF(テーブル22[[#This Row],[性別]]="男",LOOKUP(テーブル22[[#This Row],[ボール投げ]],$AX$6:$AY$15),LOOKUP(テーブル22[[#This Row],[ボール投げ]],$AX$20:$AY$29))))</f>
        <v>0</v>
      </c>
      <c r="Z73" s="19" t="str">
        <f>IF(テーブル22[[#This Row],[学年]]=1,6,IF(テーブル22[[#This Row],[学年]]=2,7,IF(テーブル22[[#This Row],[学年]]=3,8,IF(テーブル22[[#This Row],[学年]]=4,9,IF(テーブル22[[#This Row],[学年]]=5,10,IF(テーブル22[[#This Row],[学年]]=6,11," "))))))</f>
        <v xml:space="preserve"> </v>
      </c>
      <c r="AA73" s="125" t="str">
        <f>IF(テーブル22[[#This Row],[肥満度数値]]="","",LOOKUP(AC73,$AW$39:$AW$44,$AX$39:$AX$44))</f>
        <v/>
      </c>
      <c r="AB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3" s="124" t="str">
        <f>IF(テーブル22[[#This Row],[体重]]="","",(テーブル22[[#This Row],[体重]]-テーブル22[[#This Row],[標準体重]])/テーブル22[[#This Row],[標準体重]]*100)</f>
        <v/>
      </c>
      <c r="AD73" s="1">
        <f>COUNTA(テーブル22[[#This Row],[握力]:[ボール投げ]])</f>
        <v>0</v>
      </c>
      <c r="AE73" s="1" t="str">
        <f>IF(テーブル22[[#This Row],[判定]]=$BD$10,"○","")</f>
        <v/>
      </c>
      <c r="AF73" s="1" t="str">
        <f>IF(AE73="","",COUNTIF($AE$6:AE73,"○"))</f>
        <v/>
      </c>
    </row>
    <row r="74" spans="1:32" x14ac:dyDescent="0.2">
      <c r="A74" s="40">
        <v>69</v>
      </c>
      <c r="B74" s="145"/>
      <c r="C74" s="148"/>
      <c r="D74" s="145"/>
      <c r="E74" s="156"/>
      <c r="F74" s="145"/>
      <c r="G74" s="145"/>
      <c r="H74" s="146"/>
      <c r="I74" s="146"/>
      <c r="J74" s="148"/>
      <c r="K74" s="145"/>
      <c r="L74" s="148"/>
      <c r="M74" s="149"/>
      <c r="N74" s="148"/>
      <c r="O74" s="150"/>
      <c r="P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4" s="43" t="str">
        <f>IF(テーブル22[[#This Row],[得点]]="","",IF(テーブル22[[#This Row],[年齢]]&gt;10,LOOKUP(P74,$BG$6:$BG$10,$BD$6:$BD$10),IF(テーブル22[[#This Row],[年齢]]&gt;9,LOOKUP(P74,$BF$6:$BF$10,$BD$6:$BD$10),IF(テーブル22[[#This Row],[年齢]]&gt;8,LOOKUP(P74,$BE$6:$BE$10,$BD$6:$BD$10),IF(テーブル22[[#This Row],[年齢]]&gt;7,LOOKUP(P74,$BC$6:$BC$10,$BD$6:$BD$10),IF(テーブル22[[#This Row],[年齢]]&gt;6,LOOKUP(P74,$BB$6:$BB$10,$BD$6:$BD$10),LOOKUP(P74,$BA$6:$BA$10,$BD$6:$BD$10)))))))</f>
        <v/>
      </c>
      <c r="R74" s="42">
        <f>IF(H74="",0,(IF(テーブル22[[#This Row],[性別]]="男",LOOKUP(テーブル22[[#This Row],[握力]],$AH$6:$AI$15),LOOKUP(テーブル22[[#This Row],[握力]],$AH$20:$AI$29))))</f>
        <v>0</v>
      </c>
      <c r="S74" s="42">
        <f>IF(テーブル22[[#This Row],[上体]]="",0,(IF(テーブル22[[#This Row],[性別]]="男",LOOKUP(テーブル22[[#This Row],[上体]],$AJ$6:$AK$15),LOOKUP(テーブル22[[#This Row],[上体]],$AJ$20:$AK$29))))</f>
        <v>0</v>
      </c>
      <c r="T74" s="42">
        <f>IF(テーブル22[[#This Row],[長座]]="",0,(IF(テーブル22[[#This Row],[性別]]="男",LOOKUP(テーブル22[[#This Row],[長座]],$AL$6:$AM$15),LOOKUP(テーブル22[[#This Row],[長座]],$AL$20:$AM$29))))</f>
        <v>0</v>
      </c>
      <c r="U74" s="42">
        <f>IF(テーブル22[[#This Row],[反復]]="",0,(IF(テーブル22[[#This Row],[性別]]="男",LOOKUP(テーブル22[[#This Row],[反復]],$AN$6:$AO$15),LOOKUP(テーブル22[[#This Row],[反復]],$AN$20:$AO$29))))</f>
        <v>0</v>
      </c>
      <c r="V74" s="42">
        <f>IF(テーブル22[[#This Row],[ｼｬﾄﾙﾗﾝ]]="",0,(IF(テーブル22[[#This Row],[性別]]="男",LOOKUP(テーブル22[[#This Row],[ｼｬﾄﾙﾗﾝ]],$AR$6:$AS$15),LOOKUP(テーブル22[[#This Row],[ｼｬﾄﾙﾗﾝ]],$AR$20:$AS$29))))</f>
        <v>0</v>
      </c>
      <c r="W74" s="42">
        <f>IF(テーブル22[[#This Row],[50m走]]="",0,(IF(テーブル22[[#This Row],[性別]]="男",LOOKUP(テーブル22[[#This Row],[50m走]],$AT$6:$AU$15),LOOKUP(テーブル22[[#This Row],[50m走]],$AT$20:$AU$29))))</f>
        <v>0</v>
      </c>
      <c r="X74" s="42">
        <f>IF(テーブル22[[#This Row],[立幅とび]]="",0,(IF(テーブル22[[#This Row],[性別]]="男",LOOKUP(テーブル22[[#This Row],[立幅とび]],$AV$6:$AW$15),LOOKUP(テーブル22[[#This Row],[立幅とび]],$AV$20:$AW$29))))</f>
        <v>0</v>
      </c>
      <c r="Y74" s="42">
        <f>IF(テーブル22[[#This Row],[ボール投げ]]="",0,(IF(テーブル22[[#This Row],[性別]]="男",LOOKUP(テーブル22[[#This Row],[ボール投げ]],$AX$6:$AY$15),LOOKUP(テーブル22[[#This Row],[ボール投げ]],$AX$20:$AY$29))))</f>
        <v>0</v>
      </c>
      <c r="Z74" s="19" t="str">
        <f>IF(テーブル22[[#This Row],[学年]]=1,6,IF(テーブル22[[#This Row],[学年]]=2,7,IF(テーブル22[[#This Row],[学年]]=3,8,IF(テーブル22[[#This Row],[学年]]=4,9,IF(テーブル22[[#This Row],[学年]]=5,10,IF(テーブル22[[#This Row],[学年]]=6,11," "))))))</f>
        <v xml:space="preserve"> </v>
      </c>
      <c r="AA74" s="125" t="str">
        <f>IF(テーブル22[[#This Row],[肥満度数値]]="","",LOOKUP(AC74,$AW$39:$AW$44,$AX$39:$AX$44))</f>
        <v/>
      </c>
      <c r="AB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4" s="124" t="str">
        <f>IF(テーブル22[[#This Row],[体重]]="","",(テーブル22[[#This Row],[体重]]-テーブル22[[#This Row],[標準体重]])/テーブル22[[#This Row],[標準体重]]*100)</f>
        <v/>
      </c>
      <c r="AD74" s="1">
        <f>COUNTA(テーブル22[[#This Row],[握力]:[ボール投げ]])</f>
        <v>0</v>
      </c>
      <c r="AE74" s="1" t="str">
        <f>IF(テーブル22[[#This Row],[判定]]=$BD$10,"○","")</f>
        <v/>
      </c>
      <c r="AF74" s="1" t="str">
        <f>IF(AE74="","",COUNTIF($AE$6:AE74,"○"))</f>
        <v/>
      </c>
    </row>
    <row r="75" spans="1:32" x14ac:dyDescent="0.2">
      <c r="A75" s="40">
        <v>70</v>
      </c>
      <c r="B75" s="145"/>
      <c r="C75" s="148"/>
      <c r="D75" s="145"/>
      <c r="E75" s="156"/>
      <c r="F75" s="145"/>
      <c r="G75" s="145"/>
      <c r="H75" s="146"/>
      <c r="I75" s="146"/>
      <c r="J75" s="148"/>
      <c r="K75" s="145"/>
      <c r="L75" s="148"/>
      <c r="M75" s="149"/>
      <c r="N75" s="148"/>
      <c r="O75" s="150"/>
      <c r="P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5" s="43" t="str">
        <f>IF(テーブル22[[#This Row],[得点]]="","",IF(テーブル22[[#This Row],[年齢]]&gt;10,LOOKUP(P75,$BG$6:$BG$10,$BD$6:$BD$10),IF(テーブル22[[#This Row],[年齢]]&gt;9,LOOKUP(P75,$BF$6:$BF$10,$BD$6:$BD$10),IF(テーブル22[[#This Row],[年齢]]&gt;8,LOOKUP(P75,$BE$6:$BE$10,$BD$6:$BD$10),IF(テーブル22[[#This Row],[年齢]]&gt;7,LOOKUP(P75,$BC$6:$BC$10,$BD$6:$BD$10),IF(テーブル22[[#This Row],[年齢]]&gt;6,LOOKUP(P75,$BB$6:$BB$10,$BD$6:$BD$10),LOOKUP(P75,$BA$6:$BA$10,$BD$6:$BD$10)))))))</f>
        <v/>
      </c>
      <c r="R75" s="42">
        <f>IF(H75="",0,(IF(テーブル22[[#This Row],[性別]]="男",LOOKUP(テーブル22[[#This Row],[握力]],$AH$6:$AI$15),LOOKUP(テーブル22[[#This Row],[握力]],$AH$20:$AI$29))))</f>
        <v>0</v>
      </c>
      <c r="S75" s="42">
        <f>IF(テーブル22[[#This Row],[上体]]="",0,(IF(テーブル22[[#This Row],[性別]]="男",LOOKUP(テーブル22[[#This Row],[上体]],$AJ$6:$AK$15),LOOKUP(テーブル22[[#This Row],[上体]],$AJ$20:$AK$29))))</f>
        <v>0</v>
      </c>
      <c r="T75" s="42">
        <f>IF(テーブル22[[#This Row],[長座]]="",0,(IF(テーブル22[[#This Row],[性別]]="男",LOOKUP(テーブル22[[#This Row],[長座]],$AL$6:$AM$15),LOOKUP(テーブル22[[#This Row],[長座]],$AL$20:$AM$29))))</f>
        <v>0</v>
      </c>
      <c r="U75" s="42">
        <f>IF(テーブル22[[#This Row],[反復]]="",0,(IF(テーブル22[[#This Row],[性別]]="男",LOOKUP(テーブル22[[#This Row],[反復]],$AN$6:$AO$15),LOOKUP(テーブル22[[#This Row],[反復]],$AN$20:$AO$29))))</f>
        <v>0</v>
      </c>
      <c r="V75" s="42">
        <f>IF(テーブル22[[#This Row],[ｼｬﾄﾙﾗﾝ]]="",0,(IF(テーブル22[[#This Row],[性別]]="男",LOOKUP(テーブル22[[#This Row],[ｼｬﾄﾙﾗﾝ]],$AR$6:$AS$15),LOOKUP(テーブル22[[#This Row],[ｼｬﾄﾙﾗﾝ]],$AR$20:$AS$29))))</f>
        <v>0</v>
      </c>
      <c r="W75" s="42">
        <f>IF(テーブル22[[#This Row],[50m走]]="",0,(IF(テーブル22[[#This Row],[性別]]="男",LOOKUP(テーブル22[[#This Row],[50m走]],$AT$6:$AU$15),LOOKUP(テーブル22[[#This Row],[50m走]],$AT$20:$AU$29))))</f>
        <v>0</v>
      </c>
      <c r="X75" s="42">
        <f>IF(テーブル22[[#This Row],[立幅とび]]="",0,(IF(テーブル22[[#This Row],[性別]]="男",LOOKUP(テーブル22[[#This Row],[立幅とび]],$AV$6:$AW$15),LOOKUP(テーブル22[[#This Row],[立幅とび]],$AV$20:$AW$29))))</f>
        <v>0</v>
      </c>
      <c r="Y75" s="42">
        <f>IF(テーブル22[[#This Row],[ボール投げ]]="",0,(IF(テーブル22[[#This Row],[性別]]="男",LOOKUP(テーブル22[[#This Row],[ボール投げ]],$AX$6:$AY$15),LOOKUP(テーブル22[[#This Row],[ボール投げ]],$AX$20:$AY$29))))</f>
        <v>0</v>
      </c>
      <c r="Z75" s="19" t="str">
        <f>IF(テーブル22[[#This Row],[学年]]=1,6,IF(テーブル22[[#This Row],[学年]]=2,7,IF(テーブル22[[#This Row],[学年]]=3,8,IF(テーブル22[[#This Row],[学年]]=4,9,IF(テーブル22[[#This Row],[学年]]=5,10,IF(テーブル22[[#This Row],[学年]]=6,11," "))))))</f>
        <v xml:space="preserve"> </v>
      </c>
      <c r="AA75" s="125" t="str">
        <f>IF(テーブル22[[#This Row],[肥満度数値]]="","",LOOKUP(AC75,$AW$39:$AW$44,$AX$39:$AX$44))</f>
        <v/>
      </c>
      <c r="AB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5" s="124" t="str">
        <f>IF(テーブル22[[#This Row],[体重]]="","",(テーブル22[[#This Row],[体重]]-テーブル22[[#This Row],[標準体重]])/テーブル22[[#This Row],[標準体重]]*100)</f>
        <v/>
      </c>
      <c r="AD75" s="1">
        <f>COUNTA(テーブル22[[#This Row],[握力]:[ボール投げ]])</f>
        <v>0</v>
      </c>
      <c r="AE75" s="1" t="str">
        <f>IF(テーブル22[[#This Row],[判定]]=$BD$10,"○","")</f>
        <v/>
      </c>
      <c r="AF75" s="1" t="str">
        <f>IF(AE75="","",COUNTIF($AE$6:AE75,"○"))</f>
        <v/>
      </c>
    </row>
    <row r="76" spans="1:32" x14ac:dyDescent="0.2">
      <c r="A76" s="40">
        <v>71</v>
      </c>
      <c r="B76" s="145"/>
      <c r="C76" s="148"/>
      <c r="D76" s="145"/>
      <c r="E76" s="156"/>
      <c r="F76" s="145"/>
      <c r="G76" s="145"/>
      <c r="H76" s="146"/>
      <c r="I76" s="146"/>
      <c r="J76" s="148"/>
      <c r="K76" s="145"/>
      <c r="L76" s="148"/>
      <c r="M76" s="149"/>
      <c r="N76" s="148"/>
      <c r="O76" s="150"/>
      <c r="P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6" s="43" t="str">
        <f>IF(テーブル22[[#This Row],[得点]]="","",IF(テーブル22[[#This Row],[年齢]]&gt;10,LOOKUP(P76,$BG$6:$BG$10,$BD$6:$BD$10),IF(テーブル22[[#This Row],[年齢]]&gt;9,LOOKUP(P76,$BF$6:$BF$10,$BD$6:$BD$10),IF(テーブル22[[#This Row],[年齢]]&gt;8,LOOKUP(P76,$BE$6:$BE$10,$BD$6:$BD$10),IF(テーブル22[[#This Row],[年齢]]&gt;7,LOOKUP(P76,$BC$6:$BC$10,$BD$6:$BD$10),IF(テーブル22[[#This Row],[年齢]]&gt;6,LOOKUP(P76,$BB$6:$BB$10,$BD$6:$BD$10),LOOKUP(P76,$BA$6:$BA$10,$BD$6:$BD$10)))))))</f>
        <v/>
      </c>
      <c r="R76" s="42">
        <f>IF(H76="",0,(IF(テーブル22[[#This Row],[性別]]="男",LOOKUP(テーブル22[[#This Row],[握力]],$AH$6:$AI$15),LOOKUP(テーブル22[[#This Row],[握力]],$AH$20:$AI$29))))</f>
        <v>0</v>
      </c>
      <c r="S76" s="42">
        <f>IF(テーブル22[[#This Row],[上体]]="",0,(IF(テーブル22[[#This Row],[性別]]="男",LOOKUP(テーブル22[[#This Row],[上体]],$AJ$6:$AK$15),LOOKUP(テーブル22[[#This Row],[上体]],$AJ$20:$AK$29))))</f>
        <v>0</v>
      </c>
      <c r="T76" s="42">
        <f>IF(テーブル22[[#This Row],[長座]]="",0,(IF(テーブル22[[#This Row],[性別]]="男",LOOKUP(テーブル22[[#This Row],[長座]],$AL$6:$AM$15),LOOKUP(テーブル22[[#This Row],[長座]],$AL$20:$AM$29))))</f>
        <v>0</v>
      </c>
      <c r="U76" s="42">
        <f>IF(テーブル22[[#This Row],[反復]]="",0,(IF(テーブル22[[#This Row],[性別]]="男",LOOKUP(テーブル22[[#This Row],[反復]],$AN$6:$AO$15),LOOKUP(テーブル22[[#This Row],[反復]],$AN$20:$AO$29))))</f>
        <v>0</v>
      </c>
      <c r="V76" s="42">
        <f>IF(テーブル22[[#This Row],[ｼｬﾄﾙﾗﾝ]]="",0,(IF(テーブル22[[#This Row],[性別]]="男",LOOKUP(テーブル22[[#This Row],[ｼｬﾄﾙﾗﾝ]],$AR$6:$AS$15),LOOKUP(テーブル22[[#This Row],[ｼｬﾄﾙﾗﾝ]],$AR$20:$AS$29))))</f>
        <v>0</v>
      </c>
      <c r="W76" s="42">
        <f>IF(テーブル22[[#This Row],[50m走]]="",0,(IF(テーブル22[[#This Row],[性別]]="男",LOOKUP(テーブル22[[#This Row],[50m走]],$AT$6:$AU$15),LOOKUP(テーブル22[[#This Row],[50m走]],$AT$20:$AU$29))))</f>
        <v>0</v>
      </c>
      <c r="X76" s="42">
        <f>IF(テーブル22[[#This Row],[立幅とび]]="",0,(IF(テーブル22[[#This Row],[性別]]="男",LOOKUP(テーブル22[[#This Row],[立幅とび]],$AV$6:$AW$15),LOOKUP(テーブル22[[#This Row],[立幅とび]],$AV$20:$AW$29))))</f>
        <v>0</v>
      </c>
      <c r="Y76" s="42">
        <f>IF(テーブル22[[#This Row],[ボール投げ]]="",0,(IF(テーブル22[[#This Row],[性別]]="男",LOOKUP(テーブル22[[#This Row],[ボール投げ]],$AX$6:$AY$15),LOOKUP(テーブル22[[#This Row],[ボール投げ]],$AX$20:$AY$29))))</f>
        <v>0</v>
      </c>
      <c r="Z76" s="19" t="str">
        <f>IF(テーブル22[[#This Row],[学年]]=1,6,IF(テーブル22[[#This Row],[学年]]=2,7,IF(テーブル22[[#This Row],[学年]]=3,8,IF(テーブル22[[#This Row],[学年]]=4,9,IF(テーブル22[[#This Row],[学年]]=5,10,IF(テーブル22[[#This Row],[学年]]=6,11," "))))))</f>
        <v xml:space="preserve"> </v>
      </c>
      <c r="AA76" s="125" t="str">
        <f>IF(テーブル22[[#This Row],[肥満度数値]]="","",LOOKUP(AC76,$AW$39:$AW$44,$AX$39:$AX$44))</f>
        <v/>
      </c>
      <c r="AB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6" s="124" t="str">
        <f>IF(テーブル22[[#This Row],[体重]]="","",(テーブル22[[#This Row],[体重]]-テーブル22[[#This Row],[標準体重]])/テーブル22[[#This Row],[標準体重]]*100)</f>
        <v/>
      </c>
      <c r="AD76" s="1">
        <f>COUNTA(テーブル22[[#This Row],[握力]:[ボール投げ]])</f>
        <v>0</v>
      </c>
      <c r="AE76" s="1" t="str">
        <f>IF(テーブル22[[#This Row],[判定]]=$BD$10,"○","")</f>
        <v/>
      </c>
      <c r="AF76" s="1" t="str">
        <f>IF(AE76="","",COUNTIF($AE$6:AE76,"○"))</f>
        <v/>
      </c>
    </row>
    <row r="77" spans="1:32" x14ac:dyDescent="0.2">
      <c r="A77" s="40">
        <v>72</v>
      </c>
      <c r="B77" s="145"/>
      <c r="C77" s="148"/>
      <c r="D77" s="145"/>
      <c r="E77" s="156"/>
      <c r="F77" s="145"/>
      <c r="G77" s="145"/>
      <c r="H77" s="146"/>
      <c r="I77" s="146"/>
      <c r="J77" s="148"/>
      <c r="K77" s="145"/>
      <c r="L77" s="148"/>
      <c r="M77" s="149"/>
      <c r="N77" s="148"/>
      <c r="O77" s="150"/>
      <c r="P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7" s="43" t="str">
        <f>IF(テーブル22[[#This Row],[得点]]="","",IF(テーブル22[[#This Row],[年齢]]&gt;10,LOOKUP(P77,$BG$6:$BG$10,$BD$6:$BD$10),IF(テーブル22[[#This Row],[年齢]]&gt;9,LOOKUP(P77,$BF$6:$BF$10,$BD$6:$BD$10),IF(テーブル22[[#This Row],[年齢]]&gt;8,LOOKUP(P77,$BE$6:$BE$10,$BD$6:$BD$10),IF(テーブル22[[#This Row],[年齢]]&gt;7,LOOKUP(P77,$BC$6:$BC$10,$BD$6:$BD$10),IF(テーブル22[[#This Row],[年齢]]&gt;6,LOOKUP(P77,$BB$6:$BB$10,$BD$6:$BD$10),LOOKUP(P77,$BA$6:$BA$10,$BD$6:$BD$10)))))))</f>
        <v/>
      </c>
      <c r="R77" s="42">
        <f>IF(H77="",0,(IF(テーブル22[[#This Row],[性別]]="男",LOOKUP(テーブル22[[#This Row],[握力]],$AH$6:$AI$15),LOOKUP(テーブル22[[#This Row],[握力]],$AH$20:$AI$29))))</f>
        <v>0</v>
      </c>
      <c r="S77" s="42">
        <f>IF(テーブル22[[#This Row],[上体]]="",0,(IF(テーブル22[[#This Row],[性別]]="男",LOOKUP(テーブル22[[#This Row],[上体]],$AJ$6:$AK$15),LOOKUP(テーブル22[[#This Row],[上体]],$AJ$20:$AK$29))))</f>
        <v>0</v>
      </c>
      <c r="T77" s="42">
        <f>IF(テーブル22[[#This Row],[長座]]="",0,(IF(テーブル22[[#This Row],[性別]]="男",LOOKUP(テーブル22[[#This Row],[長座]],$AL$6:$AM$15),LOOKUP(テーブル22[[#This Row],[長座]],$AL$20:$AM$29))))</f>
        <v>0</v>
      </c>
      <c r="U77" s="42">
        <f>IF(テーブル22[[#This Row],[反復]]="",0,(IF(テーブル22[[#This Row],[性別]]="男",LOOKUP(テーブル22[[#This Row],[反復]],$AN$6:$AO$15),LOOKUP(テーブル22[[#This Row],[反復]],$AN$20:$AO$29))))</f>
        <v>0</v>
      </c>
      <c r="V77" s="42">
        <f>IF(テーブル22[[#This Row],[ｼｬﾄﾙﾗﾝ]]="",0,(IF(テーブル22[[#This Row],[性別]]="男",LOOKUP(テーブル22[[#This Row],[ｼｬﾄﾙﾗﾝ]],$AR$6:$AS$15),LOOKUP(テーブル22[[#This Row],[ｼｬﾄﾙﾗﾝ]],$AR$20:$AS$29))))</f>
        <v>0</v>
      </c>
      <c r="W77" s="42">
        <f>IF(テーブル22[[#This Row],[50m走]]="",0,(IF(テーブル22[[#This Row],[性別]]="男",LOOKUP(テーブル22[[#This Row],[50m走]],$AT$6:$AU$15),LOOKUP(テーブル22[[#This Row],[50m走]],$AT$20:$AU$29))))</f>
        <v>0</v>
      </c>
      <c r="X77" s="42">
        <f>IF(テーブル22[[#This Row],[立幅とび]]="",0,(IF(テーブル22[[#This Row],[性別]]="男",LOOKUP(テーブル22[[#This Row],[立幅とび]],$AV$6:$AW$15),LOOKUP(テーブル22[[#This Row],[立幅とび]],$AV$20:$AW$29))))</f>
        <v>0</v>
      </c>
      <c r="Y77" s="42">
        <f>IF(テーブル22[[#This Row],[ボール投げ]]="",0,(IF(テーブル22[[#This Row],[性別]]="男",LOOKUP(テーブル22[[#This Row],[ボール投げ]],$AX$6:$AY$15),LOOKUP(テーブル22[[#This Row],[ボール投げ]],$AX$20:$AY$29))))</f>
        <v>0</v>
      </c>
      <c r="Z77" s="19" t="str">
        <f>IF(テーブル22[[#This Row],[学年]]=1,6,IF(テーブル22[[#This Row],[学年]]=2,7,IF(テーブル22[[#This Row],[学年]]=3,8,IF(テーブル22[[#This Row],[学年]]=4,9,IF(テーブル22[[#This Row],[学年]]=5,10,IF(テーブル22[[#This Row],[学年]]=6,11," "))))))</f>
        <v xml:space="preserve"> </v>
      </c>
      <c r="AA77" s="125" t="str">
        <f>IF(テーブル22[[#This Row],[肥満度数値]]="","",LOOKUP(AC77,$AW$39:$AW$44,$AX$39:$AX$44))</f>
        <v/>
      </c>
      <c r="AB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7" s="124" t="str">
        <f>IF(テーブル22[[#This Row],[体重]]="","",(テーブル22[[#This Row],[体重]]-テーブル22[[#This Row],[標準体重]])/テーブル22[[#This Row],[標準体重]]*100)</f>
        <v/>
      </c>
      <c r="AD77" s="1">
        <f>COUNTA(テーブル22[[#This Row],[握力]:[ボール投げ]])</f>
        <v>0</v>
      </c>
      <c r="AE77" s="1" t="str">
        <f>IF(テーブル22[[#This Row],[判定]]=$BD$10,"○","")</f>
        <v/>
      </c>
      <c r="AF77" s="1" t="str">
        <f>IF(AE77="","",COUNTIF($AE$6:AE77,"○"))</f>
        <v/>
      </c>
    </row>
    <row r="78" spans="1:32" x14ac:dyDescent="0.2">
      <c r="A78" s="40">
        <v>73</v>
      </c>
      <c r="B78" s="145"/>
      <c r="C78" s="148"/>
      <c r="D78" s="145"/>
      <c r="E78" s="156"/>
      <c r="F78" s="145"/>
      <c r="G78" s="145"/>
      <c r="H78" s="146"/>
      <c r="I78" s="146"/>
      <c r="J78" s="148"/>
      <c r="K78" s="145"/>
      <c r="L78" s="148"/>
      <c r="M78" s="149"/>
      <c r="N78" s="148"/>
      <c r="O78" s="150"/>
      <c r="P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8" s="43" t="str">
        <f>IF(テーブル22[[#This Row],[得点]]="","",IF(テーブル22[[#This Row],[年齢]]&gt;10,LOOKUP(P78,$BG$6:$BG$10,$BD$6:$BD$10),IF(テーブル22[[#This Row],[年齢]]&gt;9,LOOKUP(P78,$BF$6:$BF$10,$BD$6:$BD$10),IF(テーブル22[[#This Row],[年齢]]&gt;8,LOOKUP(P78,$BE$6:$BE$10,$BD$6:$BD$10),IF(テーブル22[[#This Row],[年齢]]&gt;7,LOOKUP(P78,$BC$6:$BC$10,$BD$6:$BD$10),IF(テーブル22[[#This Row],[年齢]]&gt;6,LOOKUP(P78,$BB$6:$BB$10,$BD$6:$BD$10),LOOKUP(P78,$BA$6:$BA$10,$BD$6:$BD$10)))))))</f>
        <v/>
      </c>
      <c r="R78" s="42">
        <f>IF(H78="",0,(IF(テーブル22[[#This Row],[性別]]="男",LOOKUP(テーブル22[[#This Row],[握力]],$AH$6:$AI$15),LOOKUP(テーブル22[[#This Row],[握力]],$AH$20:$AI$29))))</f>
        <v>0</v>
      </c>
      <c r="S78" s="42">
        <f>IF(テーブル22[[#This Row],[上体]]="",0,(IF(テーブル22[[#This Row],[性別]]="男",LOOKUP(テーブル22[[#This Row],[上体]],$AJ$6:$AK$15),LOOKUP(テーブル22[[#This Row],[上体]],$AJ$20:$AK$29))))</f>
        <v>0</v>
      </c>
      <c r="T78" s="42">
        <f>IF(テーブル22[[#This Row],[長座]]="",0,(IF(テーブル22[[#This Row],[性別]]="男",LOOKUP(テーブル22[[#This Row],[長座]],$AL$6:$AM$15),LOOKUP(テーブル22[[#This Row],[長座]],$AL$20:$AM$29))))</f>
        <v>0</v>
      </c>
      <c r="U78" s="42">
        <f>IF(テーブル22[[#This Row],[反復]]="",0,(IF(テーブル22[[#This Row],[性別]]="男",LOOKUP(テーブル22[[#This Row],[反復]],$AN$6:$AO$15),LOOKUP(テーブル22[[#This Row],[反復]],$AN$20:$AO$29))))</f>
        <v>0</v>
      </c>
      <c r="V78" s="42">
        <f>IF(テーブル22[[#This Row],[ｼｬﾄﾙﾗﾝ]]="",0,(IF(テーブル22[[#This Row],[性別]]="男",LOOKUP(テーブル22[[#This Row],[ｼｬﾄﾙﾗﾝ]],$AR$6:$AS$15),LOOKUP(テーブル22[[#This Row],[ｼｬﾄﾙﾗﾝ]],$AR$20:$AS$29))))</f>
        <v>0</v>
      </c>
      <c r="W78" s="42">
        <f>IF(テーブル22[[#This Row],[50m走]]="",0,(IF(テーブル22[[#This Row],[性別]]="男",LOOKUP(テーブル22[[#This Row],[50m走]],$AT$6:$AU$15),LOOKUP(テーブル22[[#This Row],[50m走]],$AT$20:$AU$29))))</f>
        <v>0</v>
      </c>
      <c r="X78" s="42">
        <f>IF(テーブル22[[#This Row],[立幅とび]]="",0,(IF(テーブル22[[#This Row],[性別]]="男",LOOKUP(テーブル22[[#This Row],[立幅とび]],$AV$6:$AW$15),LOOKUP(テーブル22[[#This Row],[立幅とび]],$AV$20:$AW$29))))</f>
        <v>0</v>
      </c>
      <c r="Y78" s="42">
        <f>IF(テーブル22[[#This Row],[ボール投げ]]="",0,(IF(テーブル22[[#This Row],[性別]]="男",LOOKUP(テーブル22[[#This Row],[ボール投げ]],$AX$6:$AY$15),LOOKUP(テーブル22[[#This Row],[ボール投げ]],$AX$20:$AY$29))))</f>
        <v>0</v>
      </c>
      <c r="Z78" s="19" t="str">
        <f>IF(テーブル22[[#This Row],[学年]]=1,6,IF(テーブル22[[#This Row],[学年]]=2,7,IF(テーブル22[[#This Row],[学年]]=3,8,IF(テーブル22[[#This Row],[学年]]=4,9,IF(テーブル22[[#This Row],[学年]]=5,10,IF(テーブル22[[#This Row],[学年]]=6,11," "))))))</f>
        <v xml:space="preserve"> </v>
      </c>
      <c r="AA78" s="125" t="str">
        <f>IF(テーブル22[[#This Row],[肥満度数値]]="","",LOOKUP(AC78,$AW$39:$AW$44,$AX$39:$AX$44))</f>
        <v/>
      </c>
      <c r="AB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8" s="124" t="str">
        <f>IF(テーブル22[[#This Row],[体重]]="","",(テーブル22[[#This Row],[体重]]-テーブル22[[#This Row],[標準体重]])/テーブル22[[#This Row],[標準体重]]*100)</f>
        <v/>
      </c>
      <c r="AD78" s="1">
        <f>COUNTA(テーブル22[[#This Row],[握力]:[ボール投げ]])</f>
        <v>0</v>
      </c>
      <c r="AE78" s="1" t="str">
        <f>IF(テーブル22[[#This Row],[判定]]=$BD$10,"○","")</f>
        <v/>
      </c>
      <c r="AF78" s="1" t="str">
        <f>IF(AE78="","",COUNTIF($AE$6:AE78,"○"))</f>
        <v/>
      </c>
    </row>
    <row r="79" spans="1:32" x14ac:dyDescent="0.2">
      <c r="A79" s="40">
        <v>74</v>
      </c>
      <c r="B79" s="145"/>
      <c r="C79" s="148"/>
      <c r="D79" s="145"/>
      <c r="E79" s="156"/>
      <c r="F79" s="145"/>
      <c r="G79" s="145"/>
      <c r="H79" s="146"/>
      <c r="I79" s="146"/>
      <c r="J79" s="148"/>
      <c r="K79" s="145"/>
      <c r="L79" s="148"/>
      <c r="M79" s="149"/>
      <c r="N79" s="148"/>
      <c r="O79" s="150"/>
      <c r="P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79" s="43" t="str">
        <f>IF(テーブル22[[#This Row],[得点]]="","",IF(テーブル22[[#This Row],[年齢]]&gt;10,LOOKUP(P79,$BG$6:$BG$10,$BD$6:$BD$10),IF(テーブル22[[#This Row],[年齢]]&gt;9,LOOKUP(P79,$BF$6:$BF$10,$BD$6:$BD$10),IF(テーブル22[[#This Row],[年齢]]&gt;8,LOOKUP(P79,$BE$6:$BE$10,$BD$6:$BD$10),IF(テーブル22[[#This Row],[年齢]]&gt;7,LOOKUP(P79,$BC$6:$BC$10,$BD$6:$BD$10),IF(テーブル22[[#This Row],[年齢]]&gt;6,LOOKUP(P79,$BB$6:$BB$10,$BD$6:$BD$10),LOOKUP(P79,$BA$6:$BA$10,$BD$6:$BD$10)))))))</f>
        <v/>
      </c>
      <c r="R79" s="42">
        <f>IF(H79="",0,(IF(テーブル22[[#This Row],[性別]]="男",LOOKUP(テーブル22[[#This Row],[握力]],$AH$6:$AI$15),LOOKUP(テーブル22[[#This Row],[握力]],$AH$20:$AI$29))))</f>
        <v>0</v>
      </c>
      <c r="S79" s="42">
        <f>IF(テーブル22[[#This Row],[上体]]="",0,(IF(テーブル22[[#This Row],[性別]]="男",LOOKUP(テーブル22[[#This Row],[上体]],$AJ$6:$AK$15),LOOKUP(テーブル22[[#This Row],[上体]],$AJ$20:$AK$29))))</f>
        <v>0</v>
      </c>
      <c r="T79" s="42">
        <f>IF(テーブル22[[#This Row],[長座]]="",0,(IF(テーブル22[[#This Row],[性別]]="男",LOOKUP(テーブル22[[#This Row],[長座]],$AL$6:$AM$15),LOOKUP(テーブル22[[#This Row],[長座]],$AL$20:$AM$29))))</f>
        <v>0</v>
      </c>
      <c r="U79" s="42">
        <f>IF(テーブル22[[#This Row],[反復]]="",0,(IF(テーブル22[[#This Row],[性別]]="男",LOOKUP(テーブル22[[#This Row],[反復]],$AN$6:$AO$15),LOOKUP(テーブル22[[#This Row],[反復]],$AN$20:$AO$29))))</f>
        <v>0</v>
      </c>
      <c r="V79" s="42">
        <f>IF(テーブル22[[#This Row],[ｼｬﾄﾙﾗﾝ]]="",0,(IF(テーブル22[[#This Row],[性別]]="男",LOOKUP(テーブル22[[#This Row],[ｼｬﾄﾙﾗﾝ]],$AR$6:$AS$15),LOOKUP(テーブル22[[#This Row],[ｼｬﾄﾙﾗﾝ]],$AR$20:$AS$29))))</f>
        <v>0</v>
      </c>
      <c r="W79" s="42">
        <f>IF(テーブル22[[#This Row],[50m走]]="",0,(IF(テーブル22[[#This Row],[性別]]="男",LOOKUP(テーブル22[[#This Row],[50m走]],$AT$6:$AU$15),LOOKUP(テーブル22[[#This Row],[50m走]],$AT$20:$AU$29))))</f>
        <v>0</v>
      </c>
      <c r="X79" s="42">
        <f>IF(テーブル22[[#This Row],[立幅とび]]="",0,(IF(テーブル22[[#This Row],[性別]]="男",LOOKUP(テーブル22[[#This Row],[立幅とび]],$AV$6:$AW$15),LOOKUP(テーブル22[[#This Row],[立幅とび]],$AV$20:$AW$29))))</f>
        <v>0</v>
      </c>
      <c r="Y79" s="42">
        <f>IF(テーブル22[[#This Row],[ボール投げ]]="",0,(IF(テーブル22[[#This Row],[性別]]="男",LOOKUP(テーブル22[[#This Row],[ボール投げ]],$AX$6:$AY$15),LOOKUP(テーブル22[[#This Row],[ボール投げ]],$AX$20:$AY$29))))</f>
        <v>0</v>
      </c>
      <c r="Z79" s="19" t="str">
        <f>IF(テーブル22[[#This Row],[学年]]=1,6,IF(テーブル22[[#This Row],[学年]]=2,7,IF(テーブル22[[#This Row],[学年]]=3,8,IF(テーブル22[[#This Row],[学年]]=4,9,IF(テーブル22[[#This Row],[学年]]=5,10,IF(テーブル22[[#This Row],[学年]]=6,11," "))))))</f>
        <v xml:space="preserve"> </v>
      </c>
      <c r="AA79" s="125" t="str">
        <f>IF(テーブル22[[#This Row],[肥満度数値]]="","",LOOKUP(AC79,$AW$39:$AW$44,$AX$39:$AX$44))</f>
        <v/>
      </c>
      <c r="AB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79" s="124" t="str">
        <f>IF(テーブル22[[#This Row],[体重]]="","",(テーブル22[[#This Row],[体重]]-テーブル22[[#This Row],[標準体重]])/テーブル22[[#This Row],[標準体重]]*100)</f>
        <v/>
      </c>
      <c r="AD79" s="1">
        <f>COUNTA(テーブル22[[#This Row],[握力]:[ボール投げ]])</f>
        <v>0</v>
      </c>
      <c r="AE79" s="1" t="str">
        <f>IF(テーブル22[[#This Row],[判定]]=$BD$10,"○","")</f>
        <v/>
      </c>
      <c r="AF79" s="1" t="str">
        <f>IF(AE79="","",COUNTIF($AE$6:AE79,"○"))</f>
        <v/>
      </c>
    </row>
    <row r="80" spans="1:32" x14ac:dyDescent="0.2">
      <c r="A80" s="40">
        <v>75</v>
      </c>
      <c r="B80" s="145"/>
      <c r="C80" s="148"/>
      <c r="D80" s="145"/>
      <c r="E80" s="156"/>
      <c r="F80" s="145"/>
      <c r="G80" s="145"/>
      <c r="H80" s="146"/>
      <c r="I80" s="146"/>
      <c r="J80" s="148"/>
      <c r="K80" s="145"/>
      <c r="L80" s="148"/>
      <c r="M80" s="149"/>
      <c r="N80" s="148"/>
      <c r="O80" s="150"/>
      <c r="P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0" s="43" t="str">
        <f>IF(テーブル22[[#This Row],[得点]]="","",IF(テーブル22[[#This Row],[年齢]]&gt;10,LOOKUP(P80,$BG$6:$BG$10,$BD$6:$BD$10),IF(テーブル22[[#This Row],[年齢]]&gt;9,LOOKUP(P80,$BF$6:$BF$10,$BD$6:$BD$10),IF(テーブル22[[#This Row],[年齢]]&gt;8,LOOKUP(P80,$BE$6:$BE$10,$BD$6:$BD$10),IF(テーブル22[[#This Row],[年齢]]&gt;7,LOOKUP(P80,$BC$6:$BC$10,$BD$6:$BD$10),IF(テーブル22[[#This Row],[年齢]]&gt;6,LOOKUP(P80,$BB$6:$BB$10,$BD$6:$BD$10),LOOKUP(P80,$BA$6:$BA$10,$BD$6:$BD$10)))))))</f>
        <v/>
      </c>
      <c r="R80" s="42">
        <f>IF(H80="",0,(IF(テーブル22[[#This Row],[性別]]="男",LOOKUP(テーブル22[[#This Row],[握力]],$AH$6:$AI$15),LOOKUP(テーブル22[[#This Row],[握力]],$AH$20:$AI$29))))</f>
        <v>0</v>
      </c>
      <c r="S80" s="42">
        <f>IF(テーブル22[[#This Row],[上体]]="",0,(IF(テーブル22[[#This Row],[性別]]="男",LOOKUP(テーブル22[[#This Row],[上体]],$AJ$6:$AK$15),LOOKUP(テーブル22[[#This Row],[上体]],$AJ$20:$AK$29))))</f>
        <v>0</v>
      </c>
      <c r="T80" s="42">
        <f>IF(テーブル22[[#This Row],[長座]]="",0,(IF(テーブル22[[#This Row],[性別]]="男",LOOKUP(テーブル22[[#This Row],[長座]],$AL$6:$AM$15),LOOKUP(テーブル22[[#This Row],[長座]],$AL$20:$AM$29))))</f>
        <v>0</v>
      </c>
      <c r="U80" s="42">
        <f>IF(テーブル22[[#This Row],[反復]]="",0,(IF(テーブル22[[#This Row],[性別]]="男",LOOKUP(テーブル22[[#This Row],[反復]],$AN$6:$AO$15),LOOKUP(テーブル22[[#This Row],[反復]],$AN$20:$AO$29))))</f>
        <v>0</v>
      </c>
      <c r="V80" s="42">
        <f>IF(テーブル22[[#This Row],[ｼｬﾄﾙﾗﾝ]]="",0,(IF(テーブル22[[#This Row],[性別]]="男",LOOKUP(テーブル22[[#This Row],[ｼｬﾄﾙﾗﾝ]],$AR$6:$AS$15),LOOKUP(テーブル22[[#This Row],[ｼｬﾄﾙﾗﾝ]],$AR$20:$AS$29))))</f>
        <v>0</v>
      </c>
      <c r="W80" s="42">
        <f>IF(テーブル22[[#This Row],[50m走]]="",0,(IF(テーブル22[[#This Row],[性別]]="男",LOOKUP(テーブル22[[#This Row],[50m走]],$AT$6:$AU$15),LOOKUP(テーブル22[[#This Row],[50m走]],$AT$20:$AU$29))))</f>
        <v>0</v>
      </c>
      <c r="X80" s="42">
        <f>IF(テーブル22[[#This Row],[立幅とび]]="",0,(IF(テーブル22[[#This Row],[性別]]="男",LOOKUP(テーブル22[[#This Row],[立幅とび]],$AV$6:$AW$15),LOOKUP(テーブル22[[#This Row],[立幅とび]],$AV$20:$AW$29))))</f>
        <v>0</v>
      </c>
      <c r="Y80" s="42">
        <f>IF(テーブル22[[#This Row],[ボール投げ]]="",0,(IF(テーブル22[[#This Row],[性別]]="男",LOOKUP(テーブル22[[#This Row],[ボール投げ]],$AX$6:$AY$15),LOOKUP(テーブル22[[#This Row],[ボール投げ]],$AX$20:$AY$29))))</f>
        <v>0</v>
      </c>
      <c r="Z80" s="19" t="str">
        <f>IF(テーブル22[[#This Row],[学年]]=1,6,IF(テーブル22[[#This Row],[学年]]=2,7,IF(テーブル22[[#This Row],[学年]]=3,8,IF(テーブル22[[#This Row],[学年]]=4,9,IF(テーブル22[[#This Row],[学年]]=5,10,IF(テーブル22[[#This Row],[学年]]=6,11," "))))))</f>
        <v xml:space="preserve"> </v>
      </c>
      <c r="AA80" s="125" t="str">
        <f>IF(テーブル22[[#This Row],[肥満度数値]]="","",LOOKUP(AC80,$AW$39:$AW$44,$AX$39:$AX$44))</f>
        <v/>
      </c>
      <c r="AB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0" s="124" t="str">
        <f>IF(テーブル22[[#This Row],[体重]]="","",(テーブル22[[#This Row],[体重]]-テーブル22[[#This Row],[標準体重]])/テーブル22[[#This Row],[標準体重]]*100)</f>
        <v/>
      </c>
      <c r="AD80" s="1">
        <f>COUNTA(テーブル22[[#This Row],[握力]:[ボール投げ]])</f>
        <v>0</v>
      </c>
      <c r="AE80" s="1" t="str">
        <f>IF(テーブル22[[#This Row],[判定]]=$BD$10,"○","")</f>
        <v/>
      </c>
      <c r="AF80" s="1" t="str">
        <f>IF(AE80="","",COUNTIF($AE$6:AE80,"○"))</f>
        <v/>
      </c>
    </row>
    <row r="81" spans="1:32" x14ac:dyDescent="0.2">
      <c r="A81" s="40">
        <v>76</v>
      </c>
      <c r="B81" s="145"/>
      <c r="C81" s="148"/>
      <c r="D81" s="145"/>
      <c r="E81" s="156"/>
      <c r="F81" s="145"/>
      <c r="G81" s="145"/>
      <c r="H81" s="146"/>
      <c r="I81" s="146"/>
      <c r="J81" s="148"/>
      <c r="K81" s="145"/>
      <c r="L81" s="148"/>
      <c r="M81" s="149"/>
      <c r="N81" s="148"/>
      <c r="O81" s="150"/>
      <c r="P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1" s="43" t="str">
        <f>IF(テーブル22[[#This Row],[得点]]="","",IF(テーブル22[[#This Row],[年齢]]&gt;10,LOOKUP(P81,$BG$6:$BG$10,$BD$6:$BD$10),IF(テーブル22[[#This Row],[年齢]]&gt;9,LOOKUP(P81,$BF$6:$BF$10,$BD$6:$BD$10),IF(テーブル22[[#This Row],[年齢]]&gt;8,LOOKUP(P81,$BE$6:$BE$10,$BD$6:$BD$10),IF(テーブル22[[#This Row],[年齢]]&gt;7,LOOKUP(P81,$BC$6:$BC$10,$BD$6:$BD$10),IF(テーブル22[[#This Row],[年齢]]&gt;6,LOOKUP(P81,$BB$6:$BB$10,$BD$6:$BD$10),LOOKUP(P81,$BA$6:$BA$10,$BD$6:$BD$10)))))))</f>
        <v/>
      </c>
      <c r="R81" s="42">
        <f>IF(H81="",0,(IF(テーブル22[[#This Row],[性別]]="男",LOOKUP(テーブル22[[#This Row],[握力]],$AH$6:$AI$15),LOOKUP(テーブル22[[#This Row],[握力]],$AH$20:$AI$29))))</f>
        <v>0</v>
      </c>
      <c r="S81" s="42">
        <f>IF(テーブル22[[#This Row],[上体]]="",0,(IF(テーブル22[[#This Row],[性別]]="男",LOOKUP(テーブル22[[#This Row],[上体]],$AJ$6:$AK$15),LOOKUP(テーブル22[[#This Row],[上体]],$AJ$20:$AK$29))))</f>
        <v>0</v>
      </c>
      <c r="T81" s="42">
        <f>IF(テーブル22[[#This Row],[長座]]="",0,(IF(テーブル22[[#This Row],[性別]]="男",LOOKUP(テーブル22[[#This Row],[長座]],$AL$6:$AM$15),LOOKUP(テーブル22[[#This Row],[長座]],$AL$20:$AM$29))))</f>
        <v>0</v>
      </c>
      <c r="U81" s="42">
        <f>IF(テーブル22[[#This Row],[反復]]="",0,(IF(テーブル22[[#This Row],[性別]]="男",LOOKUP(テーブル22[[#This Row],[反復]],$AN$6:$AO$15),LOOKUP(テーブル22[[#This Row],[反復]],$AN$20:$AO$29))))</f>
        <v>0</v>
      </c>
      <c r="V81" s="42">
        <f>IF(テーブル22[[#This Row],[ｼｬﾄﾙﾗﾝ]]="",0,(IF(テーブル22[[#This Row],[性別]]="男",LOOKUP(テーブル22[[#This Row],[ｼｬﾄﾙﾗﾝ]],$AR$6:$AS$15),LOOKUP(テーブル22[[#This Row],[ｼｬﾄﾙﾗﾝ]],$AR$20:$AS$29))))</f>
        <v>0</v>
      </c>
      <c r="W81" s="42">
        <f>IF(テーブル22[[#This Row],[50m走]]="",0,(IF(テーブル22[[#This Row],[性別]]="男",LOOKUP(テーブル22[[#This Row],[50m走]],$AT$6:$AU$15),LOOKUP(テーブル22[[#This Row],[50m走]],$AT$20:$AU$29))))</f>
        <v>0</v>
      </c>
      <c r="X81" s="42">
        <f>IF(テーブル22[[#This Row],[立幅とび]]="",0,(IF(テーブル22[[#This Row],[性別]]="男",LOOKUP(テーブル22[[#This Row],[立幅とび]],$AV$6:$AW$15),LOOKUP(テーブル22[[#This Row],[立幅とび]],$AV$20:$AW$29))))</f>
        <v>0</v>
      </c>
      <c r="Y81" s="42">
        <f>IF(テーブル22[[#This Row],[ボール投げ]]="",0,(IF(テーブル22[[#This Row],[性別]]="男",LOOKUP(テーブル22[[#This Row],[ボール投げ]],$AX$6:$AY$15),LOOKUP(テーブル22[[#This Row],[ボール投げ]],$AX$20:$AY$29))))</f>
        <v>0</v>
      </c>
      <c r="Z81" s="19" t="str">
        <f>IF(テーブル22[[#This Row],[学年]]=1,6,IF(テーブル22[[#This Row],[学年]]=2,7,IF(テーブル22[[#This Row],[学年]]=3,8,IF(テーブル22[[#This Row],[学年]]=4,9,IF(テーブル22[[#This Row],[学年]]=5,10,IF(テーブル22[[#This Row],[学年]]=6,11," "))))))</f>
        <v xml:space="preserve"> </v>
      </c>
      <c r="AA81" s="125" t="str">
        <f>IF(テーブル22[[#This Row],[肥満度数値]]="","",LOOKUP(AC81,$AW$39:$AW$44,$AX$39:$AX$44))</f>
        <v/>
      </c>
      <c r="AB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1" s="124" t="str">
        <f>IF(テーブル22[[#This Row],[体重]]="","",(テーブル22[[#This Row],[体重]]-テーブル22[[#This Row],[標準体重]])/テーブル22[[#This Row],[標準体重]]*100)</f>
        <v/>
      </c>
      <c r="AD81" s="1">
        <f>COUNTA(テーブル22[[#This Row],[握力]:[ボール投げ]])</f>
        <v>0</v>
      </c>
      <c r="AE81" s="1" t="str">
        <f>IF(テーブル22[[#This Row],[判定]]=$BD$10,"○","")</f>
        <v/>
      </c>
      <c r="AF81" s="1" t="str">
        <f>IF(AE81="","",COUNTIF($AE$6:AE81,"○"))</f>
        <v/>
      </c>
    </row>
    <row r="82" spans="1:32" x14ac:dyDescent="0.2">
      <c r="A82" s="40">
        <v>77</v>
      </c>
      <c r="B82" s="145"/>
      <c r="C82" s="148"/>
      <c r="D82" s="145"/>
      <c r="E82" s="156"/>
      <c r="F82" s="145"/>
      <c r="G82" s="145"/>
      <c r="H82" s="146"/>
      <c r="I82" s="146"/>
      <c r="J82" s="148"/>
      <c r="K82" s="145"/>
      <c r="L82" s="148"/>
      <c r="M82" s="149"/>
      <c r="N82" s="148"/>
      <c r="O82" s="150"/>
      <c r="P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2" s="43" t="str">
        <f>IF(テーブル22[[#This Row],[得点]]="","",IF(テーブル22[[#This Row],[年齢]]&gt;10,LOOKUP(P82,$BG$6:$BG$10,$BD$6:$BD$10),IF(テーブル22[[#This Row],[年齢]]&gt;9,LOOKUP(P82,$BF$6:$BF$10,$BD$6:$BD$10),IF(テーブル22[[#This Row],[年齢]]&gt;8,LOOKUP(P82,$BE$6:$BE$10,$BD$6:$BD$10),IF(テーブル22[[#This Row],[年齢]]&gt;7,LOOKUP(P82,$BC$6:$BC$10,$BD$6:$BD$10),IF(テーブル22[[#This Row],[年齢]]&gt;6,LOOKUP(P82,$BB$6:$BB$10,$BD$6:$BD$10),LOOKUP(P82,$BA$6:$BA$10,$BD$6:$BD$10)))))))</f>
        <v/>
      </c>
      <c r="R82" s="42">
        <f>IF(H82="",0,(IF(テーブル22[[#This Row],[性別]]="男",LOOKUP(テーブル22[[#This Row],[握力]],$AH$6:$AI$15),LOOKUP(テーブル22[[#This Row],[握力]],$AH$20:$AI$29))))</f>
        <v>0</v>
      </c>
      <c r="S82" s="42">
        <f>IF(テーブル22[[#This Row],[上体]]="",0,(IF(テーブル22[[#This Row],[性別]]="男",LOOKUP(テーブル22[[#This Row],[上体]],$AJ$6:$AK$15),LOOKUP(テーブル22[[#This Row],[上体]],$AJ$20:$AK$29))))</f>
        <v>0</v>
      </c>
      <c r="T82" s="42">
        <f>IF(テーブル22[[#This Row],[長座]]="",0,(IF(テーブル22[[#This Row],[性別]]="男",LOOKUP(テーブル22[[#This Row],[長座]],$AL$6:$AM$15),LOOKUP(テーブル22[[#This Row],[長座]],$AL$20:$AM$29))))</f>
        <v>0</v>
      </c>
      <c r="U82" s="42">
        <f>IF(テーブル22[[#This Row],[反復]]="",0,(IF(テーブル22[[#This Row],[性別]]="男",LOOKUP(テーブル22[[#This Row],[反復]],$AN$6:$AO$15),LOOKUP(テーブル22[[#This Row],[反復]],$AN$20:$AO$29))))</f>
        <v>0</v>
      </c>
      <c r="V82" s="42">
        <f>IF(テーブル22[[#This Row],[ｼｬﾄﾙﾗﾝ]]="",0,(IF(テーブル22[[#This Row],[性別]]="男",LOOKUP(テーブル22[[#This Row],[ｼｬﾄﾙﾗﾝ]],$AR$6:$AS$15),LOOKUP(テーブル22[[#This Row],[ｼｬﾄﾙﾗﾝ]],$AR$20:$AS$29))))</f>
        <v>0</v>
      </c>
      <c r="W82" s="42">
        <f>IF(テーブル22[[#This Row],[50m走]]="",0,(IF(テーブル22[[#This Row],[性別]]="男",LOOKUP(テーブル22[[#This Row],[50m走]],$AT$6:$AU$15),LOOKUP(テーブル22[[#This Row],[50m走]],$AT$20:$AU$29))))</f>
        <v>0</v>
      </c>
      <c r="X82" s="42">
        <f>IF(テーブル22[[#This Row],[立幅とび]]="",0,(IF(テーブル22[[#This Row],[性別]]="男",LOOKUP(テーブル22[[#This Row],[立幅とび]],$AV$6:$AW$15),LOOKUP(テーブル22[[#This Row],[立幅とび]],$AV$20:$AW$29))))</f>
        <v>0</v>
      </c>
      <c r="Y82" s="42">
        <f>IF(テーブル22[[#This Row],[ボール投げ]]="",0,(IF(テーブル22[[#This Row],[性別]]="男",LOOKUP(テーブル22[[#This Row],[ボール投げ]],$AX$6:$AY$15),LOOKUP(テーブル22[[#This Row],[ボール投げ]],$AX$20:$AY$29))))</f>
        <v>0</v>
      </c>
      <c r="Z82" s="19" t="str">
        <f>IF(テーブル22[[#This Row],[学年]]=1,6,IF(テーブル22[[#This Row],[学年]]=2,7,IF(テーブル22[[#This Row],[学年]]=3,8,IF(テーブル22[[#This Row],[学年]]=4,9,IF(テーブル22[[#This Row],[学年]]=5,10,IF(テーブル22[[#This Row],[学年]]=6,11," "))))))</f>
        <v xml:space="preserve"> </v>
      </c>
      <c r="AA82" s="125" t="str">
        <f>IF(テーブル22[[#This Row],[肥満度数値]]="","",LOOKUP(AC82,$AW$39:$AW$44,$AX$39:$AX$44))</f>
        <v/>
      </c>
      <c r="AB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2" s="124" t="str">
        <f>IF(テーブル22[[#This Row],[体重]]="","",(テーブル22[[#This Row],[体重]]-テーブル22[[#This Row],[標準体重]])/テーブル22[[#This Row],[標準体重]]*100)</f>
        <v/>
      </c>
      <c r="AD82" s="1">
        <f>COUNTA(テーブル22[[#This Row],[握力]:[ボール投げ]])</f>
        <v>0</v>
      </c>
      <c r="AE82" s="1" t="str">
        <f>IF(テーブル22[[#This Row],[判定]]=$BD$10,"○","")</f>
        <v/>
      </c>
      <c r="AF82" s="1" t="str">
        <f>IF(AE82="","",COUNTIF($AE$6:AE82,"○"))</f>
        <v/>
      </c>
    </row>
    <row r="83" spans="1:32" x14ac:dyDescent="0.2">
      <c r="A83" s="40">
        <v>78</v>
      </c>
      <c r="B83" s="145"/>
      <c r="C83" s="148"/>
      <c r="D83" s="145"/>
      <c r="E83" s="156"/>
      <c r="F83" s="145"/>
      <c r="G83" s="145"/>
      <c r="H83" s="146"/>
      <c r="I83" s="146"/>
      <c r="J83" s="148"/>
      <c r="K83" s="145"/>
      <c r="L83" s="148"/>
      <c r="M83" s="149"/>
      <c r="N83" s="148"/>
      <c r="O83" s="150"/>
      <c r="P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3" s="43" t="str">
        <f>IF(テーブル22[[#This Row],[得点]]="","",IF(テーブル22[[#This Row],[年齢]]&gt;10,LOOKUP(P83,$BG$6:$BG$10,$BD$6:$BD$10),IF(テーブル22[[#This Row],[年齢]]&gt;9,LOOKUP(P83,$BF$6:$BF$10,$BD$6:$BD$10),IF(テーブル22[[#This Row],[年齢]]&gt;8,LOOKUP(P83,$BE$6:$BE$10,$BD$6:$BD$10),IF(テーブル22[[#This Row],[年齢]]&gt;7,LOOKUP(P83,$BC$6:$BC$10,$BD$6:$BD$10),IF(テーブル22[[#This Row],[年齢]]&gt;6,LOOKUP(P83,$BB$6:$BB$10,$BD$6:$BD$10),LOOKUP(P83,$BA$6:$BA$10,$BD$6:$BD$10)))))))</f>
        <v/>
      </c>
      <c r="R83" s="42">
        <f>IF(H83="",0,(IF(テーブル22[[#This Row],[性別]]="男",LOOKUP(テーブル22[[#This Row],[握力]],$AH$6:$AI$15),LOOKUP(テーブル22[[#This Row],[握力]],$AH$20:$AI$29))))</f>
        <v>0</v>
      </c>
      <c r="S83" s="42">
        <f>IF(テーブル22[[#This Row],[上体]]="",0,(IF(テーブル22[[#This Row],[性別]]="男",LOOKUP(テーブル22[[#This Row],[上体]],$AJ$6:$AK$15),LOOKUP(テーブル22[[#This Row],[上体]],$AJ$20:$AK$29))))</f>
        <v>0</v>
      </c>
      <c r="T83" s="42">
        <f>IF(テーブル22[[#This Row],[長座]]="",0,(IF(テーブル22[[#This Row],[性別]]="男",LOOKUP(テーブル22[[#This Row],[長座]],$AL$6:$AM$15),LOOKUP(テーブル22[[#This Row],[長座]],$AL$20:$AM$29))))</f>
        <v>0</v>
      </c>
      <c r="U83" s="42">
        <f>IF(テーブル22[[#This Row],[反復]]="",0,(IF(テーブル22[[#This Row],[性別]]="男",LOOKUP(テーブル22[[#This Row],[反復]],$AN$6:$AO$15),LOOKUP(テーブル22[[#This Row],[反復]],$AN$20:$AO$29))))</f>
        <v>0</v>
      </c>
      <c r="V83" s="42">
        <f>IF(テーブル22[[#This Row],[ｼｬﾄﾙﾗﾝ]]="",0,(IF(テーブル22[[#This Row],[性別]]="男",LOOKUP(テーブル22[[#This Row],[ｼｬﾄﾙﾗﾝ]],$AR$6:$AS$15),LOOKUP(テーブル22[[#This Row],[ｼｬﾄﾙﾗﾝ]],$AR$20:$AS$29))))</f>
        <v>0</v>
      </c>
      <c r="W83" s="42">
        <f>IF(テーブル22[[#This Row],[50m走]]="",0,(IF(テーブル22[[#This Row],[性別]]="男",LOOKUP(テーブル22[[#This Row],[50m走]],$AT$6:$AU$15),LOOKUP(テーブル22[[#This Row],[50m走]],$AT$20:$AU$29))))</f>
        <v>0</v>
      </c>
      <c r="X83" s="42">
        <f>IF(テーブル22[[#This Row],[立幅とび]]="",0,(IF(テーブル22[[#This Row],[性別]]="男",LOOKUP(テーブル22[[#This Row],[立幅とび]],$AV$6:$AW$15),LOOKUP(テーブル22[[#This Row],[立幅とび]],$AV$20:$AW$29))))</f>
        <v>0</v>
      </c>
      <c r="Y83" s="42">
        <f>IF(テーブル22[[#This Row],[ボール投げ]]="",0,(IF(テーブル22[[#This Row],[性別]]="男",LOOKUP(テーブル22[[#This Row],[ボール投げ]],$AX$6:$AY$15),LOOKUP(テーブル22[[#This Row],[ボール投げ]],$AX$20:$AY$29))))</f>
        <v>0</v>
      </c>
      <c r="Z83" s="19" t="str">
        <f>IF(テーブル22[[#This Row],[学年]]=1,6,IF(テーブル22[[#This Row],[学年]]=2,7,IF(テーブル22[[#This Row],[学年]]=3,8,IF(テーブル22[[#This Row],[学年]]=4,9,IF(テーブル22[[#This Row],[学年]]=5,10,IF(テーブル22[[#This Row],[学年]]=6,11," "))))))</f>
        <v xml:space="preserve"> </v>
      </c>
      <c r="AA83" s="125" t="str">
        <f>IF(テーブル22[[#This Row],[肥満度数値]]="","",LOOKUP(AC83,$AW$39:$AW$44,$AX$39:$AX$44))</f>
        <v/>
      </c>
      <c r="AB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3" s="124" t="str">
        <f>IF(テーブル22[[#This Row],[体重]]="","",(テーブル22[[#This Row],[体重]]-テーブル22[[#This Row],[標準体重]])/テーブル22[[#This Row],[標準体重]]*100)</f>
        <v/>
      </c>
      <c r="AD83" s="1">
        <f>COUNTA(テーブル22[[#This Row],[握力]:[ボール投げ]])</f>
        <v>0</v>
      </c>
      <c r="AE83" s="1" t="str">
        <f>IF(テーブル22[[#This Row],[判定]]=$BD$10,"○","")</f>
        <v/>
      </c>
      <c r="AF83" s="1" t="str">
        <f>IF(AE83="","",COUNTIF($AE$6:AE83,"○"))</f>
        <v/>
      </c>
    </row>
    <row r="84" spans="1:32" x14ac:dyDescent="0.2">
      <c r="A84" s="40">
        <v>79</v>
      </c>
      <c r="B84" s="145"/>
      <c r="C84" s="148"/>
      <c r="D84" s="145"/>
      <c r="E84" s="156"/>
      <c r="F84" s="145"/>
      <c r="G84" s="145"/>
      <c r="H84" s="146"/>
      <c r="I84" s="146"/>
      <c r="J84" s="148"/>
      <c r="K84" s="145"/>
      <c r="L84" s="148"/>
      <c r="M84" s="149"/>
      <c r="N84" s="148"/>
      <c r="O84" s="150"/>
      <c r="P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4" s="43" t="str">
        <f>IF(テーブル22[[#This Row],[得点]]="","",IF(テーブル22[[#This Row],[年齢]]&gt;10,LOOKUP(P84,$BG$6:$BG$10,$BD$6:$BD$10),IF(テーブル22[[#This Row],[年齢]]&gt;9,LOOKUP(P84,$BF$6:$BF$10,$BD$6:$BD$10),IF(テーブル22[[#This Row],[年齢]]&gt;8,LOOKUP(P84,$BE$6:$BE$10,$BD$6:$BD$10),IF(テーブル22[[#This Row],[年齢]]&gt;7,LOOKUP(P84,$BC$6:$BC$10,$BD$6:$BD$10),IF(テーブル22[[#This Row],[年齢]]&gt;6,LOOKUP(P84,$BB$6:$BB$10,$BD$6:$BD$10),LOOKUP(P84,$BA$6:$BA$10,$BD$6:$BD$10)))))))</f>
        <v/>
      </c>
      <c r="R84" s="42">
        <f>IF(H84="",0,(IF(テーブル22[[#This Row],[性別]]="男",LOOKUP(テーブル22[[#This Row],[握力]],$AH$6:$AI$15),LOOKUP(テーブル22[[#This Row],[握力]],$AH$20:$AI$29))))</f>
        <v>0</v>
      </c>
      <c r="S84" s="42">
        <f>IF(テーブル22[[#This Row],[上体]]="",0,(IF(テーブル22[[#This Row],[性別]]="男",LOOKUP(テーブル22[[#This Row],[上体]],$AJ$6:$AK$15),LOOKUP(テーブル22[[#This Row],[上体]],$AJ$20:$AK$29))))</f>
        <v>0</v>
      </c>
      <c r="T84" s="42">
        <f>IF(テーブル22[[#This Row],[長座]]="",0,(IF(テーブル22[[#This Row],[性別]]="男",LOOKUP(テーブル22[[#This Row],[長座]],$AL$6:$AM$15),LOOKUP(テーブル22[[#This Row],[長座]],$AL$20:$AM$29))))</f>
        <v>0</v>
      </c>
      <c r="U84" s="42">
        <f>IF(テーブル22[[#This Row],[反復]]="",0,(IF(テーブル22[[#This Row],[性別]]="男",LOOKUP(テーブル22[[#This Row],[反復]],$AN$6:$AO$15),LOOKUP(テーブル22[[#This Row],[反復]],$AN$20:$AO$29))))</f>
        <v>0</v>
      </c>
      <c r="V84" s="42">
        <f>IF(テーブル22[[#This Row],[ｼｬﾄﾙﾗﾝ]]="",0,(IF(テーブル22[[#This Row],[性別]]="男",LOOKUP(テーブル22[[#This Row],[ｼｬﾄﾙﾗﾝ]],$AR$6:$AS$15),LOOKUP(テーブル22[[#This Row],[ｼｬﾄﾙﾗﾝ]],$AR$20:$AS$29))))</f>
        <v>0</v>
      </c>
      <c r="W84" s="42">
        <f>IF(テーブル22[[#This Row],[50m走]]="",0,(IF(テーブル22[[#This Row],[性別]]="男",LOOKUP(テーブル22[[#This Row],[50m走]],$AT$6:$AU$15),LOOKUP(テーブル22[[#This Row],[50m走]],$AT$20:$AU$29))))</f>
        <v>0</v>
      </c>
      <c r="X84" s="42">
        <f>IF(テーブル22[[#This Row],[立幅とび]]="",0,(IF(テーブル22[[#This Row],[性別]]="男",LOOKUP(テーブル22[[#This Row],[立幅とび]],$AV$6:$AW$15),LOOKUP(テーブル22[[#This Row],[立幅とび]],$AV$20:$AW$29))))</f>
        <v>0</v>
      </c>
      <c r="Y84" s="42">
        <f>IF(テーブル22[[#This Row],[ボール投げ]]="",0,(IF(テーブル22[[#This Row],[性別]]="男",LOOKUP(テーブル22[[#This Row],[ボール投げ]],$AX$6:$AY$15),LOOKUP(テーブル22[[#This Row],[ボール投げ]],$AX$20:$AY$29))))</f>
        <v>0</v>
      </c>
      <c r="Z84" s="19" t="str">
        <f>IF(テーブル22[[#This Row],[学年]]=1,6,IF(テーブル22[[#This Row],[学年]]=2,7,IF(テーブル22[[#This Row],[学年]]=3,8,IF(テーブル22[[#This Row],[学年]]=4,9,IF(テーブル22[[#This Row],[学年]]=5,10,IF(テーブル22[[#This Row],[学年]]=6,11," "))))))</f>
        <v xml:space="preserve"> </v>
      </c>
      <c r="AA84" s="125" t="str">
        <f>IF(テーブル22[[#This Row],[肥満度数値]]="","",LOOKUP(AC84,$AW$39:$AW$44,$AX$39:$AX$44))</f>
        <v/>
      </c>
      <c r="AB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4" s="124" t="str">
        <f>IF(テーブル22[[#This Row],[体重]]="","",(テーブル22[[#This Row],[体重]]-テーブル22[[#This Row],[標準体重]])/テーブル22[[#This Row],[標準体重]]*100)</f>
        <v/>
      </c>
      <c r="AD84" s="1">
        <f>COUNTA(テーブル22[[#This Row],[握力]:[ボール投げ]])</f>
        <v>0</v>
      </c>
      <c r="AE84" s="1" t="str">
        <f>IF(テーブル22[[#This Row],[判定]]=$BD$10,"○","")</f>
        <v/>
      </c>
      <c r="AF84" s="1" t="str">
        <f>IF(AE84="","",COUNTIF($AE$6:AE84,"○"))</f>
        <v/>
      </c>
    </row>
    <row r="85" spans="1:32" x14ac:dyDescent="0.2">
      <c r="A85" s="40">
        <v>80</v>
      </c>
      <c r="B85" s="145"/>
      <c r="C85" s="148"/>
      <c r="D85" s="145"/>
      <c r="E85" s="156"/>
      <c r="F85" s="145"/>
      <c r="G85" s="145"/>
      <c r="H85" s="146"/>
      <c r="I85" s="146"/>
      <c r="J85" s="148"/>
      <c r="K85" s="145"/>
      <c r="L85" s="148"/>
      <c r="M85" s="149"/>
      <c r="N85" s="148"/>
      <c r="O85" s="150"/>
      <c r="P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5" s="43" t="str">
        <f>IF(テーブル22[[#This Row],[得点]]="","",IF(テーブル22[[#This Row],[年齢]]&gt;10,LOOKUP(P85,$BG$6:$BG$10,$BD$6:$BD$10),IF(テーブル22[[#This Row],[年齢]]&gt;9,LOOKUP(P85,$BF$6:$BF$10,$BD$6:$BD$10),IF(テーブル22[[#This Row],[年齢]]&gt;8,LOOKUP(P85,$BE$6:$BE$10,$BD$6:$BD$10),IF(テーブル22[[#This Row],[年齢]]&gt;7,LOOKUP(P85,$BC$6:$BC$10,$BD$6:$BD$10),IF(テーブル22[[#This Row],[年齢]]&gt;6,LOOKUP(P85,$BB$6:$BB$10,$BD$6:$BD$10),LOOKUP(P85,$BA$6:$BA$10,$BD$6:$BD$10)))))))</f>
        <v/>
      </c>
      <c r="R85" s="42">
        <f>IF(H85="",0,(IF(テーブル22[[#This Row],[性別]]="男",LOOKUP(テーブル22[[#This Row],[握力]],$AH$6:$AI$15),LOOKUP(テーブル22[[#This Row],[握力]],$AH$20:$AI$29))))</f>
        <v>0</v>
      </c>
      <c r="S85" s="42">
        <f>IF(テーブル22[[#This Row],[上体]]="",0,(IF(テーブル22[[#This Row],[性別]]="男",LOOKUP(テーブル22[[#This Row],[上体]],$AJ$6:$AK$15),LOOKUP(テーブル22[[#This Row],[上体]],$AJ$20:$AK$29))))</f>
        <v>0</v>
      </c>
      <c r="T85" s="42">
        <f>IF(テーブル22[[#This Row],[長座]]="",0,(IF(テーブル22[[#This Row],[性別]]="男",LOOKUP(テーブル22[[#This Row],[長座]],$AL$6:$AM$15),LOOKUP(テーブル22[[#This Row],[長座]],$AL$20:$AM$29))))</f>
        <v>0</v>
      </c>
      <c r="U85" s="42">
        <f>IF(テーブル22[[#This Row],[反復]]="",0,(IF(テーブル22[[#This Row],[性別]]="男",LOOKUP(テーブル22[[#This Row],[反復]],$AN$6:$AO$15),LOOKUP(テーブル22[[#This Row],[反復]],$AN$20:$AO$29))))</f>
        <v>0</v>
      </c>
      <c r="V85" s="42">
        <f>IF(テーブル22[[#This Row],[ｼｬﾄﾙﾗﾝ]]="",0,(IF(テーブル22[[#This Row],[性別]]="男",LOOKUP(テーブル22[[#This Row],[ｼｬﾄﾙﾗﾝ]],$AR$6:$AS$15),LOOKUP(テーブル22[[#This Row],[ｼｬﾄﾙﾗﾝ]],$AR$20:$AS$29))))</f>
        <v>0</v>
      </c>
      <c r="W85" s="42">
        <f>IF(テーブル22[[#This Row],[50m走]]="",0,(IF(テーブル22[[#This Row],[性別]]="男",LOOKUP(テーブル22[[#This Row],[50m走]],$AT$6:$AU$15),LOOKUP(テーブル22[[#This Row],[50m走]],$AT$20:$AU$29))))</f>
        <v>0</v>
      </c>
      <c r="X85" s="42">
        <f>IF(テーブル22[[#This Row],[立幅とび]]="",0,(IF(テーブル22[[#This Row],[性別]]="男",LOOKUP(テーブル22[[#This Row],[立幅とび]],$AV$6:$AW$15),LOOKUP(テーブル22[[#This Row],[立幅とび]],$AV$20:$AW$29))))</f>
        <v>0</v>
      </c>
      <c r="Y85" s="42">
        <f>IF(テーブル22[[#This Row],[ボール投げ]]="",0,(IF(テーブル22[[#This Row],[性別]]="男",LOOKUP(テーブル22[[#This Row],[ボール投げ]],$AX$6:$AY$15),LOOKUP(テーブル22[[#This Row],[ボール投げ]],$AX$20:$AY$29))))</f>
        <v>0</v>
      </c>
      <c r="Z85" s="19" t="str">
        <f>IF(テーブル22[[#This Row],[学年]]=1,6,IF(テーブル22[[#This Row],[学年]]=2,7,IF(テーブル22[[#This Row],[学年]]=3,8,IF(テーブル22[[#This Row],[学年]]=4,9,IF(テーブル22[[#This Row],[学年]]=5,10,IF(テーブル22[[#This Row],[学年]]=6,11," "))))))</f>
        <v xml:space="preserve"> </v>
      </c>
      <c r="AA85" s="125" t="str">
        <f>IF(テーブル22[[#This Row],[肥満度数値]]="","",LOOKUP(AC85,$AW$39:$AW$44,$AX$39:$AX$44))</f>
        <v/>
      </c>
      <c r="AB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5" s="124" t="str">
        <f>IF(テーブル22[[#This Row],[体重]]="","",(テーブル22[[#This Row],[体重]]-テーブル22[[#This Row],[標準体重]])/テーブル22[[#This Row],[標準体重]]*100)</f>
        <v/>
      </c>
      <c r="AD85" s="1">
        <f>COUNTA(テーブル22[[#This Row],[握力]:[ボール投げ]])</f>
        <v>0</v>
      </c>
      <c r="AE85" s="1" t="str">
        <f>IF(テーブル22[[#This Row],[判定]]=$BD$10,"○","")</f>
        <v/>
      </c>
      <c r="AF85" s="1" t="str">
        <f>IF(AE85="","",COUNTIF($AE$6:AE85,"○"))</f>
        <v/>
      </c>
    </row>
    <row r="86" spans="1:32" x14ac:dyDescent="0.2">
      <c r="A86" s="40">
        <v>81</v>
      </c>
      <c r="B86" s="145"/>
      <c r="C86" s="148"/>
      <c r="D86" s="145"/>
      <c r="E86" s="156"/>
      <c r="F86" s="145"/>
      <c r="G86" s="145"/>
      <c r="H86" s="146"/>
      <c r="I86" s="146"/>
      <c r="J86" s="148"/>
      <c r="K86" s="145"/>
      <c r="L86" s="148"/>
      <c r="M86" s="149"/>
      <c r="N86" s="148"/>
      <c r="O86" s="150"/>
      <c r="P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6" s="43" t="str">
        <f>IF(テーブル22[[#This Row],[得点]]="","",IF(テーブル22[[#This Row],[年齢]]&gt;10,LOOKUP(P86,$BG$6:$BG$10,$BD$6:$BD$10),IF(テーブル22[[#This Row],[年齢]]&gt;9,LOOKUP(P86,$BF$6:$BF$10,$BD$6:$BD$10),IF(テーブル22[[#This Row],[年齢]]&gt;8,LOOKUP(P86,$BE$6:$BE$10,$BD$6:$BD$10),IF(テーブル22[[#This Row],[年齢]]&gt;7,LOOKUP(P86,$BC$6:$BC$10,$BD$6:$BD$10),IF(テーブル22[[#This Row],[年齢]]&gt;6,LOOKUP(P86,$BB$6:$BB$10,$BD$6:$BD$10),LOOKUP(P86,$BA$6:$BA$10,$BD$6:$BD$10)))))))</f>
        <v/>
      </c>
      <c r="R86" s="42">
        <f>IF(H86="",0,(IF(テーブル22[[#This Row],[性別]]="男",LOOKUP(テーブル22[[#This Row],[握力]],$AH$6:$AI$15),LOOKUP(テーブル22[[#This Row],[握力]],$AH$20:$AI$29))))</f>
        <v>0</v>
      </c>
      <c r="S86" s="42">
        <f>IF(テーブル22[[#This Row],[上体]]="",0,(IF(テーブル22[[#This Row],[性別]]="男",LOOKUP(テーブル22[[#This Row],[上体]],$AJ$6:$AK$15),LOOKUP(テーブル22[[#This Row],[上体]],$AJ$20:$AK$29))))</f>
        <v>0</v>
      </c>
      <c r="T86" s="42">
        <f>IF(テーブル22[[#This Row],[長座]]="",0,(IF(テーブル22[[#This Row],[性別]]="男",LOOKUP(テーブル22[[#This Row],[長座]],$AL$6:$AM$15),LOOKUP(テーブル22[[#This Row],[長座]],$AL$20:$AM$29))))</f>
        <v>0</v>
      </c>
      <c r="U86" s="42">
        <f>IF(テーブル22[[#This Row],[反復]]="",0,(IF(テーブル22[[#This Row],[性別]]="男",LOOKUP(テーブル22[[#This Row],[反復]],$AN$6:$AO$15),LOOKUP(テーブル22[[#This Row],[反復]],$AN$20:$AO$29))))</f>
        <v>0</v>
      </c>
      <c r="V86" s="42">
        <f>IF(テーブル22[[#This Row],[ｼｬﾄﾙﾗﾝ]]="",0,(IF(テーブル22[[#This Row],[性別]]="男",LOOKUP(テーブル22[[#This Row],[ｼｬﾄﾙﾗﾝ]],$AR$6:$AS$15),LOOKUP(テーブル22[[#This Row],[ｼｬﾄﾙﾗﾝ]],$AR$20:$AS$29))))</f>
        <v>0</v>
      </c>
      <c r="W86" s="42">
        <f>IF(テーブル22[[#This Row],[50m走]]="",0,(IF(テーブル22[[#This Row],[性別]]="男",LOOKUP(テーブル22[[#This Row],[50m走]],$AT$6:$AU$15),LOOKUP(テーブル22[[#This Row],[50m走]],$AT$20:$AU$29))))</f>
        <v>0</v>
      </c>
      <c r="X86" s="42">
        <f>IF(テーブル22[[#This Row],[立幅とび]]="",0,(IF(テーブル22[[#This Row],[性別]]="男",LOOKUP(テーブル22[[#This Row],[立幅とび]],$AV$6:$AW$15),LOOKUP(テーブル22[[#This Row],[立幅とび]],$AV$20:$AW$29))))</f>
        <v>0</v>
      </c>
      <c r="Y86" s="42">
        <f>IF(テーブル22[[#This Row],[ボール投げ]]="",0,(IF(テーブル22[[#This Row],[性別]]="男",LOOKUP(テーブル22[[#This Row],[ボール投げ]],$AX$6:$AY$15),LOOKUP(テーブル22[[#This Row],[ボール投げ]],$AX$20:$AY$29))))</f>
        <v>0</v>
      </c>
      <c r="Z86" s="19" t="str">
        <f>IF(テーブル22[[#This Row],[学年]]=1,6,IF(テーブル22[[#This Row],[学年]]=2,7,IF(テーブル22[[#This Row],[学年]]=3,8,IF(テーブル22[[#This Row],[学年]]=4,9,IF(テーブル22[[#This Row],[学年]]=5,10,IF(テーブル22[[#This Row],[学年]]=6,11," "))))))</f>
        <v xml:space="preserve"> </v>
      </c>
      <c r="AA86" s="125" t="str">
        <f>IF(テーブル22[[#This Row],[肥満度数値]]="","",LOOKUP(AC86,$AW$39:$AW$44,$AX$39:$AX$44))</f>
        <v/>
      </c>
      <c r="AB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6" s="124" t="str">
        <f>IF(テーブル22[[#This Row],[体重]]="","",(テーブル22[[#This Row],[体重]]-テーブル22[[#This Row],[標準体重]])/テーブル22[[#This Row],[標準体重]]*100)</f>
        <v/>
      </c>
      <c r="AD86" s="1">
        <f>COUNTA(テーブル22[[#This Row],[握力]:[ボール投げ]])</f>
        <v>0</v>
      </c>
      <c r="AE86" s="1" t="str">
        <f>IF(テーブル22[[#This Row],[判定]]=$BD$10,"○","")</f>
        <v/>
      </c>
      <c r="AF86" s="1" t="str">
        <f>IF(AE86="","",COUNTIF($AE$6:AE86,"○"))</f>
        <v/>
      </c>
    </row>
    <row r="87" spans="1:32" x14ac:dyDescent="0.2">
      <c r="A87" s="40">
        <v>82</v>
      </c>
      <c r="B87" s="145"/>
      <c r="C87" s="148"/>
      <c r="D87" s="145"/>
      <c r="E87" s="156"/>
      <c r="F87" s="145"/>
      <c r="G87" s="145"/>
      <c r="H87" s="146"/>
      <c r="I87" s="146"/>
      <c r="J87" s="148"/>
      <c r="K87" s="145"/>
      <c r="L87" s="148"/>
      <c r="M87" s="149"/>
      <c r="N87" s="148"/>
      <c r="O87" s="150"/>
      <c r="P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7" s="43" t="str">
        <f>IF(テーブル22[[#This Row],[得点]]="","",IF(テーブル22[[#This Row],[年齢]]&gt;10,LOOKUP(P87,$BG$6:$BG$10,$BD$6:$BD$10),IF(テーブル22[[#This Row],[年齢]]&gt;9,LOOKUP(P87,$BF$6:$BF$10,$BD$6:$BD$10),IF(テーブル22[[#This Row],[年齢]]&gt;8,LOOKUP(P87,$BE$6:$BE$10,$BD$6:$BD$10),IF(テーブル22[[#This Row],[年齢]]&gt;7,LOOKUP(P87,$BC$6:$BC$10,$BD$6:$BD$10),IF(テーブル22[[#This Row],[年齢]]&gt;6,LOOKUP(P87,$BB$6:$BB$10,$BD$6:$BD$10),LOOKUP(P87,$BA$6:$BA$10,$BD$6:$BD$10)))))))</f>
        <v/>
      </c>
      <c r="R87" s="42">
        <f>IF(H87="",0,(IF(テーブル22[[#This Row],[性別]]="男",LOOKUP(テーブル22[[#This Row],[握力]],$AH$6:$AI$15),LOOKUP(テーブル22[[#This Row],[握力]],$AH$20:$AI$29))))</f>
        <v>0</v>
      </c>
      <c r="S87" s="42">
        <f>IF(テーブル22[[#This Row],[上体]]="",0,(IF(テーブル22[[#This Row],[性別]]="男",LOOKUP(テーブル22[[#This Row],[上体]],$AJ$6:$AK$15),LOOKUP(テーブル22[[#This Row],[上体]],$AJ$20:$AK$29))))</f>
        <v>0</v>
      </c>
      <c r="T87" s="42">
        <f>IF(テーブル22[[#This Row],[長座]]="",0,(IF(テーブル22[[#This Row],[性別]]="男",LOOKUP(テーブル22[[#This Row],[長座]],$AL$6:$AM$15),LOOKUP(テーブル22[[#This Row],[長座]],$AL$20:$AM$29))))</f>
        <v>0</v>
      </c>
      <c r="U87" s="42">
        <f>IF(テーブル22[[#This Row],[反復]]="",0,(IF(テーブル22[[#This Row],[性別]]="男",LOOKUP(テーブル22[[#This Row],[反復]],$AN$6:$AO$15),LOOKUP(テーブル22[[#This Row],[反復]],$AN$20:$AO$29))))</f>
        <v>0</v>
      </c>
      <c r="V87" s="42">
        <f>IF(テーブル22[[#This Row],[ｼｬﾄﾙﾗﾝ]]="",0,(IF(テーブル22[[#This Row],[性別]]="男",LOOKUP(テーブル22[[#This Row],[ｼｬﾄﾙﾗﾝ]],$AR$6:$AS$15),LOOKUP(テーブル22[[#This Row],[ｼｬﾄﾙﾗﾝ]],$AR$20:$AS$29))))</f>
        <v>0</v>
      </c>
      <c r="W87" s="42">
        <f>IF(テーブル22[[#This Row],[50m走]]="",0,(IF(テーブル22[[#This Row],[性別]]="男",LOOKUP(テーブル22[[#This Row],[50m走]],$AT$6:$AU$15),LOOKUP(テーブル22[[#This Row],[50m走]],$AT$20:$AU$29))))</f>
        <v>0</v>
      </c>
      <c r="X87" s="42">
        <f>IF(テーブル22[[#This Row],[立幅とび]]="",0,(IF(テーブル22[[#This Row],[性別]]="男",LOOKUP(テーブル22[[#This Row],[立幅とび]],$AV$6:$AW$15),LOOKUP(テーブル22[[#This Row],[立幅とび]],$AV$20:$AW$29))))</f>
        <v>0</v>
      </c>
      <c r="Y87" s="42">
        <f>IF(テーブル22[[#This Row],[ボール投げ]]="",0,(IF(テーブル22[[#This Row],[性別]]="男",LOOKUP(テーブル22[[#This Row],[ボール投げ]],$AX$6:$AY$15),LOOKUP(テーブル22[[#This Row],[ボール投げ]],$AX$20:$AY$29))))</f>
        <v>0</v>
      </c>
      <c r="Z87" s="19" t="str">
        <f>IF(テーブル22[[#This Row],[学年]]=1,6,IF(テーブル22[[#This Row],[学年]]=2,7,IF(テーブル22[[#This Row],[学年]]=3,8,IF(テーブル22[[#This Row],[学年]]=4,9,IF(テーブル22[[#This Row],[学年]]=5,10,IF(テーブル22[[#This Row],[学年]]=6,11," "))))))</f>
        <v xml:space="preserve"> </v>
      </c>
      <c r="AA87" s="125" t="str">
        <f>IF(テーブル22[[#This Row],[肥満度数値]]="","",LOOKUP(AC87,$AW$39:$AW$44,$AX$39:$AX$44))</f>
        <v/>
      </c>
      <c r="AB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7" s="124" t="str">
        <f>IF(テーブル22[[#This Row],[体重]]="","",(テーブル22[[#This Row],[体重]]-テーブル22[[#This Row],[標準体重]])/テーブル22[[#This Row],[標準体重]]*100)</f>
        <v/>
      </c>
      <c r="AD87" s="1">
        <f>COUNTA(テーブル22[[#This Row],[握力]:[ボール投げ]])</f>
        <v>0</v>
      </c>
      <c r="AE87" s="1" t="str">
        <f>IF(テーブル22[[#This Row],[判定]]=$BD$10,"○","")</f>
        <v/>
      </c>
      <c r="AF87" s="1" t="str">
        <f>IF(AE87="","",COUNTIF($AE$6:AE87,"○"))</f>
        <v/>
      </c>
    </row>
    <row r="88" spans="1:32" x14ac:dyDescent="0.2">
      <c r="A88" s="40">
        <v>83</v>
      </c>
      <c r="B88" s="145"/>
      <c r="C88" s="148"/>
      <c r="D88" s="145"/>
      <c r="E88" s="156"/>
      <c r="F88" s="145"/>
      <c r="G88" s="145"/>
      <c r="H88" s="146"/>
      <c r="I88" s="146"/>
      <c r="J88" s="148"/>
      <c r="K88" s="145"/>
      <c r="L88" s="148"/>
      <c r="M88" s="149"/>
      <c r="N88" s="148"/>
      <c r="O88" s="150"/>
      <c r="P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8" s="43" t="str">
        <f>IF(テーブル22[[#This Row],[得点]]="","",IF(テーブル22[[#This Row],[年齢]]&gt;10,LOOKUP(P88,$BG$6:$BG$10,$BD$6:$BD$10),IF(テーブル22[[#This Row],[年齢]]&gt;9,LOOKUP(P88,$BF$6:$BF$10,$BD$6:$BD$10),IF(テーブル22[[#This Row],[年齢]]&gt;8,LOOKUP(P88,$BE$6:$BE$10,$BD$6:$BD$10),IF(テーブル22[[#This Row],[年齢]]&gt;7,LOOKUP(P88,$BC$6:$BC$10,$BD$6:$BD$10),IF(テーブル22[[#This Row],[年齢]]&gt;6,LOOKUP(P88,$BB$6:$BB$10,$BD$6:$BD$10),LOOKUP(P88,$BA$6:$BA$10,$BD$6:$BD$10)))))))</f>
        <v/>
      </c>
      <c r="R88" s="42">
        <f>IF(H88="",0,(IF(テーブル22[[#This Row],[性別]]="男",LOOKUP(テーブル22[[#This Row],[握力]],$AH$6:$AI$15),LOOKUP(テーブル22[[#This Row],[握力]],$AH$20:$AI$29))))</f>
        <v>0</v>
      </c>
      <c r="S88" s="42">
        <f>IF(テーブル22[[#This Row],[上体]]="",0,(IF(テーブル22[[#This Row],[性別]]="男",LOOKUP(テーブル22[[#This Row],[上体]],$AJ$6:$AK$15),LOOKUP(テーブル22[[#This Row],[上体]],$AJ$20:$AK$29))))</f>
        <v>0</v>
      </c>
      <c r="T88" s="42">
        <f>IF(テーブル22[[#This Row],[長座]]="",0,(IF(テーブル22[[#This Row],[性別]]="男",LOOKUP(テーブル22[[#This Row],[長座]],$AL$6:$AM$15),LOOKUP(テーブル22[[#This Row],[長座]],$AL$20:$AM$29))))</f>
        <v>0</v>
      </c>
      <c r="U88" s="42">
        <f>IF(テーブル22[[#This Row],[反復]]="",0,(IF(テーブル22[[#This Row],[性別]]="男",LOOKUP(テーブル22[[#This Row],[反復]],$AN$6:$AO$15),LOOKUP(テーブル22[[#This Row],[反復]],$AN$20:$AO$29))))</f>
        <v>0</v>
      </c>
      <c r="V88" s="42">
        <f>IF(テーブル22[[#This Row],[ｼｬﾄﾙﾗﾝ]]="",0,(IF(テーブル22[[#This Row],[性別]]="男",LOOKUP(テーブル22[[#This Row],[ｼｬﾄﾙﾗﾝ]],$AR$6:$AS$15),LOOKUP(テーブル22[[#This Row],[ｼｬﾄﾙﾗﾝ]],$AR$20:$AS$29))))</f>
        <v>0</v>
      </c>
      <c r="W88" s="42">
        <f>IF(テーブル22[[#This Row],[50m走]]="",0,(IF(テーブル22[[#This Row],[性別]]="男",LOOKUP(テーブル22[[#This Row],[50m走]],$AT$6:$AU$15),LOOKUP(テーブル22[[#This Row],[50m走]],$AT$20:$AU$29))))</f>
        <v>0</v>
      </c>
      <c r="X88" s="42">
        <f>IF(テーブル22[[#This Row],[立幅とび]]="",0,(IF(テーブル22[[#This Row],[性別]]="男",LOOKUP(テーブル22[[#This Row],[立幅とび]],$AV$6:$AW$15),LOOKUP(テーブル22[[#This Row],[立幅とび]],$AV$20:$AW$29))))</f>
        <v>0</v>
      </c>
      <c r="Y88" s="42">
        <f>IF(テーブル22[[#This Row],[ボール投げ]]="",0,(IF(テーブル22[[#This Row],[性別]]="男",LOOKUP(テーブル22[[#This Row],[ボール投げ]],$AX$6:$AY$15),LOOKUP(テーブル22[[#This Row],[ボール投げ]],$AX$20:$AY$29))))</f>
        <v>0</v>
      </c>
      <c r="Z88" s="19" t="str">
        <f>IF(テーブル22[[#This Row],[学年]]=1,6,IF(テーブル22[[#This Row],[学年]]=2,7,IF(テーブル22[[#This Row],[学年]]=3,8,IF(テーブル22[[#This Row],[学年]]=4,9,IF(テーブル22[[#This Row],[学年]]=5,10,IF(テーブル22[[#This Row],[学年]]=6,11," "))))))</f>
        <v xml:space="preserve"> </v>
      </c>
      <c r="AA88" s="125" t="str">
        <f>IF(テーブル22[[#This Row],[肥満度数値]]="","",LOOKUP(AC88,$AW$39:$AW$44,$AX$39:$AX$44))</f>
        <v/>
      </c>
      <c r="AB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8" s="124" t="str">
        <f>IF(テーブル22[[#This Row],[体重]]="","",(テーブル22[[#This Row],[体重]]-テーブル22[[#This Row],[標準体重]])/テーブル22[[#This Row],[標準体重]]*100)</f>
        <v/>
      </c>
      <c r="AD88" s="1">
        <f>COUNTA(テーブル22[[#This Row],[握力]:[ボール投げ]])</f>
        <v>0</v>
      </c>
      <c r="AE88" s="1" t="str">
        <f>IF(テーブル22[[#This Row],[判定]]=$BD$10,"○","")</f>
        <v/>
      </c>
      <c r="AF88" s="1" t="str">
        <f>IF(AE88="","",COUNTIF($AE$6:AE88,"○"))</f>
        <v/>
      </c>
    </row>
    <row r="89" spans="1:32" x14ac:dyDescent="0.2">
      <c r="A89" s="40">
        <v>84</v>
      </c>
      <c r="B89" s="145"/>
      <c r="C89" s="148"/>
      <c r="D89" s="145"/>
      <c r="E89" s="156"/>
      <c r="F89" s="145"/>
      <c r="G89" s="145"/>
      <c r="H89" s="146"/>
      <c r="I89" s="146"/>
      <c r="J89" s="148"/>
      <c r="K89" s="145"/>
      <c r="L89" s="148"/>
      <c r="M89" s="149"/>
      <c r="N89" s="148"/>
      <c r="O89" s="150"/>
      <c r="P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89" s="43" t="str">
        <f>IF(テーブル22[[#This Row],[得点]]="","",IF(テーブル22[[#This Row],[年齢]]&gt;10,LOOKUP(P89,$BG$6:$BG$10,$BD$6:$BD$10),IF(テーブル22[[#This Row],[年齢]]&gt;9,LOOKUP(P89,$BF$6:$BF$10,$BD$6:$BD$10),IF(テーブル22[[#This Row],[年齢]]&gt;8,LOOKUP(P89,$BE$6:$BE$10,$BD$6:$BD$10),IF(テーブル22[[#This Row],[年齢]]&gt;7,LOOKUP(P89,$BC$6:$BC$10,$BD$6:$BD$10),IF(テーブル22[[#This Row],[年齢]]&gt;6,LOOKUP(P89,$BB$6:$BB$10,$BD$6:$BD$10),LOOKUP(P89,$BA$6:$BA$10,$BD$6:$BD$10)))))))</f>
        <v/>
      </c>
      <c r="R89" s="42">
        <f>IF(H89="",0,(IF(テーブル22[[#This Row],[性別]]="男",LOOKUP(テーブル22[[#This Row],[握力]],$AH$6:$AI$15),LOOKUP(テーブル22[[#This Row],[握力]],$AH$20:$AI$29))))</f>
        <v>0</v>
      </c>
      <c r="S89" s="42">
        <f>IF(テーブル22[[#This Row],[上体]]="",0,(IF(テーブル22[[#This Row],[性別]]="男",LOOKUP(テーブル22[[#This Row],[上体]],$AJ$6:$AK$15),LOOKUP(テーブル22[[#This Row],[上体]],$AJ$20:$AK$29))))</f>
        <v>0</v>
      </c>
      <c r="T89" s="42">
        <f>IF(テーブル22[[#This Row],[長座]]="",0,(IF(テーブル22[[#This Row],[性別]]="男",LOOKUP(テーブル22[[#This Row],[長座]],$AL$6:$AM$15),LOOKUP(テーブル22[[#This Row],[長座]],$AL$20:$AM$29))))</f>
        <v>0</v>
      </c>
      <c r="U89" s="42">
        <f>IF(テーブル22[[#This Row],[反復]]="",0,(IF(テーブル22[[#This Row],[性別]]="男",LOOKUP(テーブル22[[#This Row],[反復]],$AN$6:$AO$15),LOOKUP(テーブル22[[#This Row],[反復]],$AN$20:$AO$29))))</f>
        <v>0</v>
      </c>
      <c r="V89" s="42">
        <f>IF(テーブル22[[#This Row],[ｼｬﾄﾙﾗﾝ]]="",0,(IF(テーブル22[[#This Row],[性別]]="男",LOOKUP(テーブル22[[#This Row],[ｼｬﾄﾙﾗﾝ]],$AR$6:$AS$15),LOOKUP(テーブル22[[#This Row],[ｼｬﾄﾙﾗﾝ]],$AR$20:$AS$29))))</f>
        <v>0</v>
      </c>
      <c r="W89" s="42">
        <f>IF(テーブル22[[#This Row],[50m走]]="",0,(IF(テーブル22[[#This Row],[性別]]="男",LOOKUP(テーブル22[[#This Row],[50m走]],$AT$6:$AU$15),LOOKUP(テーブル22[[#This Row],[50m走]],$AT$20:$AU$29))))</f>
        <v>0</v>
      </c>
      <c r="X89" s="42">
        <f>IF(テーブル22[[#This Row],[立幅とび]]="",0,(IF(テーブル22[[#This Row],[性別]]="男",LOOKUP(テーブル22[[#This Row],[立幅とび]],$AV$6:$AW$15),LOOKUP(テーブル22[[#This Row],[立幅とび]],$AV$20:$AW$29))))</f>
        <v>0</v>
      </c>
      <c r="Y89" s="42">
        <f>IF(テーブル22[[#This Row],[ボール投げ]]="",0,(IF(テーブル22[[#This Row],[性別]]="男",LOOKUP(テーブル22[[#This Row],[ボール投げ]],$AX$6:$AY$15),LOOKUP(テーブル22[[#This Row],[ボール投げ]],$AX$20:$AY$29))))</f>
        <v>0</v>
      </c>
      <c r="Z89" s="19" t="str">
        <f>IF(テーブル22[[#This Row],[学年]]=1,6,IF(テーブル22[[#This Row],[学年]]=2,7,IF(テーブル22[[#This Row],[学年]]=3,8,IF(テーブル22[[#This Row],[学年]]=4,9,IF(テーブル22[[#This Row],[学年]]=5,10,IF(テーブル22[[#This Row],[学年]]=6,11," "))))))</f>
        <v xml:space="preserve"> </v>
      </c>
      <c r="AA89" s="125" t="str">
        <f>IF(テーブル22[[#This Row],[肥満度数値]]="","",LOOKUP(AC89,$AW$39:$AW$44,$AX$39:$AX$44))</f>
        <v/>
      </c>
      <c r="AB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89" s="124" t="str">
        <f>IF(テーブル22[[#This Row],[体重]]="","",(テーブル22[[#This Row],[体重]]-テーブル22[[#This Row],[標準体重]])/テーブル22[[#This Row],[標準体重]]*100)</f>
        <v/>
      </c>
      <c r="AD89" s="1">
        <f>COUNTA(テーブル22[[#This Row],[握力]:[ボール投げ]])</f>
        <v>0</v>
      </c>
      <c r="AE89" s="1" t="str">
        <f>IF(テーブル22[[#This Row],[判定]]=$BD$10,"○","")</f>
        <v/>
      </c>
      <c r="AF89" s="1" t="str">
        <f>IF(AE89="","",COUNTIF($AE$6:AE89,"○"))</f>
        <v/>
      </c>
    </row>
    <row r="90" spans="1:32" x14ac:dyDescent="0.2">
      <c r="A90" s="40">
        <v>85</v>
      </c>
      <c r="B90" s="145"/>
      <c r="C90" s="148"/>
      <c r="D90" s="145"/>
      <c r="E90" s="156"/>
      <c r="F90" s="145"/>
      <c r="G90" s="145"/>
      <c r="H90" s="146"/>
      <c r="I90" s="146"/>
      <c r="J90" s="148"/>
      <c r="K90" s="145"/>
      <c r="L90" s="148"/>
      <c r="M90" s="149"/>
      <c r="N90" s="148"/>
      <c r="O90" s="150"/>
      <c r="P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0" s="43" t="str">
        <f>IF(テーブル22[[#This Row],[得点]]="","",IF(テーブル22[[#This Row],[年齢]]&gt;10,LOOKUP(P90,$BG$6:$BG$10,$BD$6:$BD$10),IF(テーブル22[[#This Row],[年齢]]&gt;9,LOOKUP(P90,$BF$6:$BF$10,$BD$6:$BD$10),IF(テーブル22[[#This Row],[年齢]]&gt;8,LOOKUP(P90,$BE$6:$BE$10,$BD$6:$BD$10),IF(テーブル22[[#This Row],[年齢]]&gt;7,LOOKUP(P90,$BC$6:$BC$10,$BD$6:$BD$10),IF(テーブル22[[#This Row],[年齢]]&gt;6,LOOKUP(P90,$BB$6:$BB$10,$BD$6:$BD$10),LOOKUP(P90,$BA$6:$BA$10,$BD$6:$BD$10)))))))</f>
        <v/>
      </c>
      <c r="R90" s="42">
        <f>IF(H90="",0,(IF(テーブル22[[#This Row],[性別]]="男",LOOKUP(テーブル22[[#This Row],[握力]],$AH$6:$AI$15),LOOKUP(テーブル22[[#This Row],[握力]],$AH$20:$AI$29))))</f>
        <v>0</v>
      </c>
      <c r="S90" s="42">
        <f>IF(テーブル22[[#This Row],[上体]]="",0,(IF(テーブル22[[#This Row],[性別]]="男",LOOKUP(テーブル22[[#This Row],[上体]],$AJ$6:$AK$15),LOOKUP(テーブル22[[#This Row],[上体]],$AJ$20:$AK$29))))</f>
        <v>0</v>
      </c>
      <c r="T90" s="42">
        <f>IF(テーブル22[[#This Row],[長座]]="",0,(IF(テーブル22[[#This Row],[性別]]="男",LOOKUP(テーブル22[[#This Row],[長座]],$AL$6:$AM$15),LOOKUP(テーブル22[[#This Row],[長座]],$AL$20:$AM$29))))</f>
        <v>0</v>
      </c>
      <c r="U90" s="42">
        <f>IF(テーブル22[[#This Row],[反復]]="",0,(IF(テーブル22[[#This Row],[性別]]="男",LOOKUP(テーブル22[[#This Row],[反復]],$AN$6:$AO$15),LOOKUP(テーブル22[[#This Row],[反復]],$AN$20:$AO$29))))</f>
        <v>0</v>
      </c>
      <c r="V90" s="42">
        <f>IF(テーブル22[[#This Row],[ｼｬﾄﾙﾗﾝ]]="",0,(IF(テーブル22[[#This Row],[性別]]="男",LOOKUP(テーブル22[[#This Row],[ｼｬﾄﾙﾗﾝ]],$AR$6:$AS$15),LOOKUP(テーブル22[[#This Row],[ｼｬﾄﾙﾗﾝ]],$AR$20:$AS$29))))</f>
        <v>0</v>
      </c>
      <c r="W90" s="42">
        <f>IF(テーブル22[[#This Row],[50m走]]="",0,(IF(テーブル22[[#This Row],[性別]]="男",LOOKUP(テーブル22[[#This Row],[50m走]],$AT$6:$AU$15),LOOKUP(テーブル22[[#This Row],[50m走]],$AT$20:$AU$29))))</f>
        <v>0</v>
      </c>
      <c r="X90" s="42">
        <f>IF(テーブル22[[#This Row],[立幅とび]]="",0,(IF(テーブル22[[#This Row],[性別]]="男",LOOKUP(テーブル22[[#This Row],[立幅とび]],$AV$6:$AW$15),LOOKUP(テーブル22[[#This Row],[立幅とび]],$AV$20:$AW$29))))</f>
        <v>0</v>
      </c>
      <c r="Y90" s="42">
        <f>IF(テーブル22[[#This Row],[ボール投げ]]="",0,(IF(テーブル22[[#This Row],[性別]]="男",LOOKUP(テーブル22[[#This Row],[ボール投げ]],$AX$6:$AY$15),LOOKUP(テーブル22[[#This Row],[ボール投げ]],$AX$20:$AY$29))))</f>
        <v>0</v>
      </c>
      <c r="Z90" s="19" t="str">
        <f>IF(テーブル22[[#This Row],[学年]]=1,6,IF(テーブル22[[#This Row],[学年]]=2,7,IF(テーブル22[[#This Row],[学年]]=3,8,IF(テーブル22[[#This Row],[学年]]=4,9,IF(テーブル22[[#This Row],[学年]]=5,10,IF(テーブル22[[#This Row],[学年]]=6,11," "))))))</f>
        <v xml:space="preserve"> </v>
      </c>
      <c r="AA90" s="125" t="str">
        <f>IF(テーブル22[[#This Row],[肥満度数値]]="","",LOOKUP(AC90,$AW$39:$AW$44,$AX$39:$AX$44))</f>
        <v/>
      </c>
      <c r="AB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0" s="124" t="str">
        <f>IF(テーブル22[[#This Row],[体重]]="","",(テーブル22[[#This Row],[体重]]-テーブル22[[#This Row],[標準体重]])/テーブル22[[#This Row],[標準体重]]*100)</f>
        <v/>
      </c>
      <c r="AD90" s="1">
        <f>COUNTA(テーブル22[[#This Row],[握力]:[ボール投げ]])</f>
        <v>0</v>
      </c>
      <c r="AE90" s="1" t="str">
        <f>IF(テーブル22[[#This Row],[判定]]=$BD$10,"○","")</f>
        <v/>
      </c>
      <c r="AF90" s="1" t="str">
        <f>IF(AE90="","",COUNTIF($AE$6:AE90,"○"))</f>
        <v/>
      </c>
    </row>
    <row r="91" spans="1:32" x14ac:dyDescent="0.2">
      <c r="A91" s="40">
        <v>86</v>
      </c>
      <c r="B91" s="145"/>
      <c r="C91" s="148"/>
      <c r="D91" s="145"/>
      <c r="E91" s="156"/>
      <c r="F91" s="145"/>
      <c r="G91" s="145"/>
      <c r="H91" s="146"/>
      <c r="I91" s="146"/>
      <c r="J91" s="148"/>
      <c r="K91" s="145"/>
      <c r="L91" s="148"/>
      <c r="M91" s="149"/>
      <c r="N91" s="148"/>
      <c r="O91" s="150"/>
      <c r="P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1" s="43" t="str">
        <f>IF(テーブル22[[#This Row],[得点]]="","",IF(テーブル22[[#This Row],[年齢]]&gt;10,LOOKUP(P91,$BG$6:$BG$10,$BD$6:$BD$10),IF(テーブル22[[#This Row],[年齢]]&gt;9,LOOKUP(P91,$BF$6:$BF$10,$BD$6:$BD$10),IF(テーブル22[[#This Row],[年齢]]&gt;8,LOOKUP(P91,$BE$6:$BE$10,$BD$6:$BD$10),IF(テーブル22[[#This Row],[年齢]]&gt;7,LOOKUP(P91,$BC$6:$BC$10,$BD$6:$BD$10),IF(テーブル22[[#This Row],[年齢]]&gt;6,LOOKUP(P91,$BB$6:$BB$10,$BD$6:$BD$10),LOOKUP(P91,$BA$6:$BA$10,$BD$6:$BD$10)))))))</f>
        <v/>
      </c>
      <c r="R91" s="42">
        <f>IF(H91="",0,(IF(テーブル22[[#This Row],[性別]]="男",LOOKUP(テーブル22[[#This Row],[握力]],$AH$6:$AI$15),LOOKUP(テーブル22[[#This Row],[握力]],$AH$20:$AI$29))))</f>
        <v>0</v>
      </c>
      <c r="S91" s="42">
        <f>IF(テーブル22[[#This Row],[上体]]="",0,(IF(テーブル22[[#This Row],[性別]]="男",LOOKUP(テーブル22[[#This Row],[上体]],$AJ$6:$AK$15),LOOKUP(テーブル22[[#This Row],[上体]],$AJ$20:$AK$29))))</f>
        <v>0</v>
      </c>
      <c r="T91" s="42">
        <f>IF(テーブル22[[#This Row],[長座]]="",0,(IF(テーブル22[[#This Row],[性別]]="男",LOOKUP(テーブル22[[#This Row],[長座]],$AL$6:$AM$15),LOOKUP(テーブル22[[#This Row],[長座]],$AL$20:$AM$29))))</f>
        <v>0</v>
      </c>
      <c r="U91" s="42">
        <f>IF(テーブル22[[#This Row],[反復]]="",0,(IF(テーブル22[[#This Row],[性別]]="男",LOOKUP(テーブル22[[#This Row],[反復]],$AN$6:$AO$15),LOOKUP(テーブル22[[#This Row],[反復]],$AN$20:$AO$29))))</f>
        <v>0</v>
      </c>
      <c r="V91" s="42">
        <f>IF(テーブル22[[#This Row],[ｼｬﾄﾙﾗﾝ]]="",0,(IF(テーブル22[[#This Row],[性別]]="男",LOOKUP(テーブル22[[#This Row],[ｼｬﾄﾙﾗﾝ]],$AR$6:$AS$15),LOOKUP(テーブル22[[#This Row],[ｼｬﾄﾙﾗﾝ]],$AR$20:$AS$29))))</f>
        <v>0</v>
      </c>
      <c r="W91" s="42">
        <f>IF(テーブル22[[#This Row],[50m走]]="",0,(IF(テーブル22[[#This Row],[性別]]="男",LOOKUP(テーブル22[[#This Row],[50m走]],$AT$6:$AU$15),LOOKUP(テーブル22[[#This Row],[50m走]],$AT$20:$AU$29))))</f>
        <v>0</v>
      </c>
      <c r="X91" s="42">
        <f>IF(テーブル22[[#This Row],[立幅とび]]="",0,(IF(テーブル22[[#This Row],[性別]]="男",LOOKUP(テーブル22[[#This Row],[立幅とび]],$AV$6:$AW$15),LOOKUP(テーブル22[[#This Row],[立幅とび]],$AV$20:$AW$29))))</f>
        <v>0</v>
      </c>
      <c r="Y91" s="42">
        <f>IF(テーブル22[[#This Row],[ボール投げ]]="",0,(IF(テーブル22[[#This Row],[性別]]="男",LOOKUP(テーブル22[[#This Row],[ボール投げ]],$AX$6:$AY$15),LOOKUP(テーブル22[[#This Row],[ボール投げ]],$AX$20:$AY$29))))</f>
        <v>0</v>
      </c>
      <c r="Z91" s="19" t="str">
        <f>IF(テーブル22[[#This Row],[学年]]=1,6,IF(テーブル22[[#This Row],[学年]]=2,7,IF(テーブル22[[#This Row],[学年]]=3,8,IF(テーブル22[[#This Row],[学年]]=4,9,IF(テーブル22[[#This Row],[学年]]=5,10,IF(テーブル22[[#This Row],[学年]]=6,11," "))))))</f>
        <v xml:space="preserve"> </v>
      </c>
      <c r="AA91" s="125" t="str">
        <f>IF(テーブル22[[#This Row],[肥満度数値]]="","",LOOKUP(AC91,$AW$39:$AW$44,$AX$39:$AX$44))</f>
        <v/>
      </c>
      <c r="AB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1" s="124" t="str">
        <f>IF(テーブル22[[#This Row],[体重]]="","",(テーブル22[[#This Row],[体重]]-テーブル22[[#This Row],[標準体重]])/テーブル22[[#This Row],[標準体重]]*100)</f>
        <v/>
      </c>
      <c r="AD91" s="1">
        <f>COUNTA(テーブル22[[#This Row],[握力]:[ボール投げ]])</f>
        <v>0</v>
      </c>
      <c r="AE91" s="1" t="str">
        <f>IF(テーブル22[[#This Row],[判定]]=$BD$10,"○","")</f>
        <v/>
      </c>
      <c r="AF91" s="1" t="str">
        <f>IF(AE91="","",COUNTIF($AE$6:AE91,"○"))</f>
        <v/>
      </c>
    </row>
    <row r="92" spans="1:32" x14ac:dyDescent="0.2">
      <c r="A92" s="40">
        <v>87</v>
      </c>
      <c r="B92" s="145"/>
      <c r="C92" s="148"/>
      <c r="D92" s="145"/>
      <c r="E92" s="156"/>
      <c r="F92" s="145"/>
      <c r="G92" s="145"/>
      <c r="H92" s="146"/>
      <c r="I92" s="146"/>
      <c r="J92" s="148"/>
      <c r="K92" s="145"/>
      <c r="L92" s="148"/>
      <c r="M92" s="149"/>
      <c r="N92" s="148"/>
      <c r="O92" s="150"/>
      <c r="P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2" s="43" t="str">
        <f>IF(テーブル22[[#This Row],[得点]]="","",IF(テーブル22[[#This Row],[年齢]]&gt;10,LOOKUP(P92,$BG$6:$BG$10,$BD$6:$BD$10),IF(テーブル22[[#This Row],[年齢]]&gt;9,LOOKUP(P92,$BF$6:$BF$10,$BD$6:$BD$10),IF(テーブル22[[#This Row],[年齢]]&gt;8,LOOKUP(P92,$BE$6:$BE$10,$BD$6:$BD$10),IF(テーブル22[[#This Row],[年齢]]&gt;7,LOOKUP(P92,$BC$6:$BC$10,$BD$6:$BD$10),IF(テーブル22[[#This Row],[年齢]]&gt;6,LOOKUP(P92,$BB$6:$BB$10,$BD$6:$BD$10),LOOKUP(P92,$BA$6:$BA$10,$BD$6:$BD$10)))))))</f>
        <v/>
      </c>
      <c r="R92" s="42">
        <f>IF(H92="",0,(IF(テーブル22[[#This Row],[性別]]="男",LOOKUP(テーブル22[[#This Row],[握力]],$AH$6:$AI$15),LOOKUP(テーブル22[[#This Row],[握力]],$AH$20:$AI$29))))</f>
        <v>0</v>
      </c>
      <c r="S92" s="42">
        <f>IF(テーブル22[[#This Row],[上体]]="",0,(IF(テーブル22[[#This Row],[性別]]="男",LOOKUP(テーブル22[[#This Row],[上体]],$AJ$6:$AK$15),LOOKUP(テーブル22[[#This Row],[上体]],$AJ$20:$AK$29))))</f>
        <v>0</v>
      </c>
      <c r="T92" s="42">
        <f>IF(テーブル22[[#This Row],[長座]]="",0,(IF(テーブル22[[#This Row],[性別]]="男",LOOKUP(テーブル22[[#This Row],[長座]],$AL$6:$AM$15),LOOKUP(テーブル22[[#This Row],[長座]],$AL$20:$AM$29))))</f>
        <v>0</v>
      </c>
      <c r="U92" s="42">
        <f>IF(テーブル22[[#This Row],[反復]]="",0,(IF(テーブル22[[#This Row],[性別]]="男",LOOKUP(テーブル22[[#This Row],[反復]],$AN$6:$AO$15),LOOKUP(テーブル22[[#This Row],[反復]],$AN$20:$AO$29))))</f>
        <v>0</v>
      </c>
      <c r="V92" s="42">
        <f>IF(テーブル22[[#This Row],[ｼｬﾄﾙﾗﾝ]]="",0,(IF(テーブル22[[#This Row],[性別]]="男",LOOKUP(テーブル22[[#This Row],[ｼｬﾄﾙﾗﾝ]],$AR$6:$AS$15),LOOKUP(テーブル22[[#This Row],[ｼｬﾄﾙﾗﾝ]],$AR$20:$AS$29))))</f>
        <v>0</v>
      </c>
      <c r="W92" s="42">
        <f>IF(テーブル22[[#This Row],[50m走]]="",0,(IF(テーブル22[[#This Row],[性別]]="男",LOOKUP(テーブル22[[#This Row],[50m走]],$AT$6:$AU$15),LOOKUP(テーブル22[[#This Row],[50m走]],$AT$20:$AU$29))))</f>
        <v>0</v>
      </c>
      <c r="X92" s="42">
        <f>IF(テーブル22[[#This Row],[立幅とび]]="",0,(IF(テーブル22[[#This Row],[性別]]="男",LOOKUP(テーブル22[[#This Row],[立幅とび]],$AV$6:$AW$15),LOOKUP(テーブル22[[#This Row],[立幅とび]],$AV$20:$AW$29))))</f>
        <v>0</v>
      </c>
      <c r="Y92" s="42">
        <f>IF(テーブル22[[#This Row],[ボール投げ]]="",0,(IF(テーブル22[[#This Row],[性別]]="男",LOOKUP(テーブル22[[#This Row],[ボール投げ]],$AX$6:$AY$15),LOOKUP(テーブル22[[#This Row],[ボール投げ]],$AX$20:$AY$29))))</f>
        <v>0</v>
      </c>
      <c r="Z92" s="19" t="str">
        <f>IF(テーブル22[[#This Row],[学年]]=1,6,IF(テーブル22[[#This Row],[学年]]=2,7,IF(テーブル22[[#This Row],[学年]]=3,8,IF(テーブル22[[#This Row],[学年]]=4,9,IF(テーブル22[[#This Row],[学年]]=5,10,IF(テーブル22[[#This Row],[学年]]=6,11," "))))))</f>
        <v xml:space="preserve"> </v>
      </c>
      <c r="AA92" s="125" t="str">
        <f>IF(テーブル22[[#This Row],[肥満度数値]]="","",LOOKUP(AC92,$AW$39:$AW$44,$AX$39:$AX$44))</f>
        <v/>
      </c>
      <c r="AB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2" s="124" t="str">
        <f>IF(テーブル22[[#This Row],[体重]]="","",(テーブル22[[#This Row],[体重]]-テーブル22[[#This Row],[標準体重]])/テーブル22[[#This Row],[標準体重]]*100)</f>
        <v/>
      </c>
      <c r="AD92" s="1">
        <f>COUNTA(テーブル22[[#This Row],[握力]:[ボール投げ]])</f>
        <v>0</v>
      </c>
      <c r="AE92" s="1" t="str">
        <f>IF(テーブル22[[#This Row],[判定]]=$BD$10,"○","")</f>
        <v/>
      </c>
      <c r="AF92" s="1" t="str">
        <f>IF(AE92="","",COUNTIF($AE$6:AE92,"○"))</f>
        <v/>
      </c>
    </row>
    <row r="93" spans="1:32" x14ac:dyDescent="0.2">
      <c r="A93" s="40">
        <v>88</v>
      </c>
      <c r="B93" s="145"/>
      <c r="C93" s="148"/>
      <c r="D93" s="145"/>
      <c r="E93" s="156"/>
      <c r="F93" s="145"/>
      <c r="G93" s="145"/>
      <c r="H93" s="146"/>
      <c r="I93" s="146"/>
      <c r="J93" s="148"/>
      <c r="K93" s="145"/>
      <c r="L93" s="148"/>
      <c r="M93" s="149"/>
      <c r="N93" s="148"/>
      <c r="O93" s="150"/>
      <c r="P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3" s="43" t="str">
        <f>IF(テーブル22[[#This Row],[得点]]="","",IF(テーブル22[[#This Row],[年齢]]&gt;10,LOOKUP(P93,$BG$6:$BG$10,$BD$6:$BD$10),IF(テーブル22[[#This Row],[年齢]]&gt;9,LOOKUP(P93,$BF$6:$BF$10,$BD$6:$BD$10),IF(テーブル22[[#This Row],[年齢]]&gt;8,LOOKUP(P93,$BE$6:$BE$10,$BD$6:$BD$10),IF(テーブル22[[#This Row],[年齢]]&gt;7,LOOKUP(P93,$BC$6:$BC$10,$BD$6:$BD$10),IF(テーブル22[[#This Row],[年齢]]&gt;6,LOOKUP(P93,$BB$6:$BB$10,$BD$6:$BD$10),LOOKUP(P93,$BA$6:$BA$10,$BD$6:$BD$10)))))))</f>
        <v/>
      </c>
      <c r="R93" s="42">
        <f>IF(H93="",0,(IF(テーブル22[[#This Row],[性別]]="男",LOOKUP(テーブル22[[#This Row],[握力]],$AH$6:$AI$15),LOOKUP(テーブル22[[#This Row],[握力]],$AH$20:$AI$29))))</f>
        <v>0</v>
      </c>
      <c r="S93" s="42">
        <f>IF(テーブル22[[#This Row],[上体]]="",0,(IF(テーブル22[[#This Row],[性別]]="男",LOOKUP(テーブル22[[#This Row],[上体]],$AJ$6:$AK$15),LOOKUP(テーブル22[[#This Row],[上体]],$AJ$20:$AK$29))))</f>
        <v>0</v>
      </c>
      <c r="T93" s="42">
        <f>IF(テーブル22[[#This Row],[長座]]="",0,(IF(テーブル22[[#This Row],[性別]]="男",LOOKUP(テーブル22[[#This Row],[長座]],$AL$6:$AM$15),LOOKUP(テーブル22[[#This Row],[長座]],$AL$20:$AM$29))))</f>
        <v>0</v>
      </c>
      <c r="U93" s="42">
        <f>IF(テーブル22[[#This Row],[反復]]="",0,(IF(テーブル22[[#This Row],[性別]]="男",LOOKUP(テーブル22[[#This Row],[反復]],$AN$6:$AO$15),LOOKUP(テーブル22[[#This Row],[反復]],$AN$20:$AO$29))))</f>
        <v>0</v>
      </c>
      <c r="V93" s="42">
        <f>IF(テーブル22[[#This Row],[ｼｬﾄﾙﾗﾝ]]="",0,(IF(テーブル22[[#This Row],[性別]]="男",LOOKUP(テーブル22[[#This Row],[ｼｬﾄﾙﾗﾝ]],$AR$6:$AS$15),LOOKUP(テーブル22[[#This Row],[ｼｬﾄﾙﾗﾝ]],$AR$20:$AS$29))))</f>
        <v>0</v>
      </c>
      <c r="W93" s="42">
        <f>IF(テーブル22[[#This Row],[50m走]]="",0,(IF(テーブル22[[#This Row],[性別]]="男",LOOKUP(テーブル22[[#This Row],[50m走]],$AT$6:$AU$15),LOOKUP(テーブル22[[#This Row],[50m走]],$AT$20:$AU$29))))</f>
        <v>0</v>
      </c>
      <c r="X93" s="42">
        <f>IF(テーブル22[[#This Row],[立幅とび]]="",0,(IF(テーブル22[[#This Row],[性別]]="男",LOOKUP(テーブル22[[#This Row],[立幅とび]],$AV$6:$AW$15),LOOKUP(テーブル22[[#This Row],[立幅とび]],$AV$20:$AW$29))))</f>
        <v>0</v>
      </c>
      <c r="Y93" s="42">
        <f>IF(テーブル22[[#This Row],[ボール投げ]]="",0,(IF(テーブル22[[#This Row],[性別]]="男",LOOKUP(テーブル22[[#This Row],[ボール投げ]],$AX$6:$AY$15),LOOKUP(テーブル22[[#This Row],[ボール投げ]],$AX$20:$AY$29))))</f>
        <v>0</v>
      </c>
      <c r="Z93" s="19" t="str">
        <f>IF(テーブル22[[#This Row],[学年]]=1,6,IF(テーブル22[[#This Row],[学年]]=2,7,IF(テーブル22[[#This Row],[学年]]=3,8,IF(テーブル22[[#This Row],[学年]]=4,9,IF(テーブル22[[#This Row],[学年]]=5,10,IF(テーブル22[[#This Row],[学年]]=6,11," "))))))</f>
        <v xml:space="preserve"> </v>
      </c>
      <c r="AA93" s="125" t="str">
        <f>IF(テーブル22[[#This Row],[肥満度数値]]="","",LOOKUP(AC93,$AW$39:$AW$44,$AX$39:$AX$44))</f>
        <v/>
      </c>
      <c r="AB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3" s="124" t="str">
        <f>IF(テーブル22[[#This Row],[体重]]="","",(テーブル22[[#This Row],[体重]]-テーブル22[[#This Row],[標準体重]])/テーブル22[[#This Row],[標準体重]]*100)</f>
        <v/>
      </c>
      <c r="AD93" s="1">
        <f>COUNTA(テーブル22[[#This Row],[握力]:[ボール投げ]])</f>
        <v>0</v>
      </c>
      <c r="AE93" s="1" t="str">
        <f>IF(テーブル22[[#This Row],[判定]]=$BD$10,"○","")</f>
        <v/>
      </c>
      <c r="AF93" s="1" t="str">
        <f>IF(AE93="","",COUNTIF($AE$6:AE93,"○"))</f>
        <v/>
      </c>
    </row>
    <row r="94" spans="1:32" x14ac:dyDescent="0.2">
      <c r="A94" s="40">
        <v>89</v>
      </c>
      <c r="B94" s="145"/>
      <c r="C94" s="148"/>
      <c r="D94" s="145"/>
      <c r="E94" s="156"/>
      <c r="F94" s="145"/>
      <c r="G94" s="145"/>
      <c r="H94" s="146"/>
      <c r="I94" s="146"/>
      <c r="J94" s="148"/>
      <c r="K94" s="145"/>
      <c r="L94" s="148"/>
      <c r="M94" s="149"/>
      <c r="N94" s="148"/>
      <c r="O94" s="150"/>
      <c r="P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4" s="43" t="str">
        <f>IF(テーブル22[[#This Row],[得点]]="","",IF(テーブル22[[#This Row],[年齢]]&gt;10,LOOKUP(P94,$BG$6:$BG$10,$BD$6:$BD$10),IF(テーブル22[[#This Row],[年齢]]&gt;9,LOOKUP(P94,$BF$6:$BF$10,$BD$6:$BD$10),IF(テーブル22[[#This Row],[年齢]]&gt;8,LOOKUP(P94,$BE$6:$BE$10,$BD$6:$BD$10),IF(テーブル22[[#This Row],[年齢]]&gt;7,LOOKUP(P94,$BC$6:$BC$10,$BD$6:$BD$10),IF(テーブル22[[#This Row],[年齢]]&gt;6,LOOKUP(P94,$BB$6:$BB$10,$BD$6:$BD$10),LOOKUP(P94,$BA$6:$BA$10,$BD$6:$BD$10)))))))</f>
        <v/>
      </c>
      <c r="R94" s="42">
        <f>IF(H94="",0,(IF(テーブル22[[#This Row],[性別]]="男",LOOKUP(テーブル22[[#This Row],[握力]],$AH$6:$AI$15),LOOKUP(テーブル22[[#This Row],[握力]],$AH$20:$AI$29))))</f>
        <v>0</v>
      </c>
      <c r="S94" s="42">
        <f>IF(テーブル22[[#This Row],[上体]]="",0,(IF(テーブル22[[#This Row],[性別]]="男",LOOKUP(テーブル22[[#This Row],[上体]],$AJ$6:$AK$15),LOOKUP(テーブル22[[#This Row],[上体]],$AJ$20:$AK$29))))</f>
        <v>0</v>
      </c>
      <c r="T94" s="42">
        <f>IF(テーブル22[[#This Row],[長座]]="",0,(IF(テーブル22[[#This Row],[性別]]="男",LOOKUP(テーブル22[[#This Row],[長座]],$AL$6:$AM$15),LOOKUP(テーブル22[[#This Row],[長座]],$AL$20:$AM$29))))</f>
        <v>0</v>
      </c>
      <c r="U94" s="42">
        <f>IF(テーブル22[[#This Row],[反復]]="",0,(IF(テーブル22[[#This Row],[性別]]="男",LOOKUP(テーブル22[[#This Row],[反復]],$AN$6:$AO$15),LOOKUP(テーブル22[[#This Row],[反復]],$AN$20:$AO$29))))</f>
        <v>0</v>
      </c>
      <c r="V94" s="42">
        <f>IF(テーブル22[[#This Row],[ｼｬﾄﾙﾗﾝ]]="",0,(IF(テーブル22[[#This Row],[性別]]="男",LOOKUP(テーブル22[[#This Row],[ｼｬﾄﾙﾗﾝ]],$AR$6:$AS$15),LOOKUP(テーブル22[[#This Row],[ｼｬﾄﾙﾗﾝ]],$AR$20:$AS$29))))</f>
        <v>0</v>
      </c>
      <c r="W94" s="42">
        <f>IF(テーブル22[[#This Row],[50m走]]="",0,(IF(テーブル22[[#This Row],[性別]]="男",LOOKUP(テーブル22[[#This Row],[50m走]],$AT$6:$AU$15),LOOKUP(テーブル22[[#This Row],[50m走]],$AT$20:$AU$29))))</f>
        <v>0</v>
      </c>
      <c r="X94" s="42">
        <f>IF(テーブル22[[#This Row],[立幅とび]]="",0,(IF(テーブル22[[#This Row],[性別]]="男",LOOKUP(テーブル22[[#This Row],[立幅とび]],$AV$6:$AW$15),LOOKUP(テーブル22[[#This Row],[立幅とび]],$AV$20:$AW$29))))</f>
        <v>0</v>
      </c>
      <c r="Y94" s="42">
        <f>IF(テーブル22[[#This Row],[ボール投げ]]="",0,(IF(テーブル22[[#This Row],[性別]]="男",LOOKUP(テーブル22[[#This Row],[ボール投げ]],$AX$6:$AY$15),LOOKUP(テーブル22[[#This Row],[ボール投げ]],$AX$20:$AY$29))))</f>
        <v>0</v>
      </c>
      <c r="Z94" s="19" t="str">
        <f>IF(テーブル22[[#This Row],[学年]]=1,6,IF(テーブル22[[#This Row],[学年]]=2,7,IF(テーブル22[[#This Row],[学年]]=3,8,IF(テーブル22[[#This Row],[学年]]=4,9,IF(テーブル22[[#This Row],[学年]]=5,10,IF(テーブル22[[#This Row],[学年]]=6,11," "))))))</f>
        <v xml:space="preserve"> </v>
      </c>
      <c r="AA94" s="125" t="str">
        <f>IF(テーブル22[[#This Row],[肥満度数値]]="","",LOOKUP(AC94,$AW$39:$AW$44,$AX$39:$AX$44))</f>
        <v/>
      </c>
      <c r="AB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4" s="124" t="str">
        <f>IF(テーブル22[[#This Row],[体重]]="","",(テーブル22[[#This Row],[体重]]-テーブル22[[#This Row],[標準体重]])/テーブル22[[#This Row],[標準体重]]*100)</f>
        <v/>
      </c>
      <c r="AD94" s="1">
        <f>COUNTA(テーブル22[[#This Row],[握力]:[ボール投げ]])</f>
        <v>0</v>
      </c>
      <c r="AE94" s="1" t="str">
        <f>IF(テーブル22[[#This Row],[判定]]=$BD$10,"○","")</f>
        <v/>
      </c>
      <c r="AF94" s="1" t="str">
        <f>IF(AE94="","",COUNTIF($AE$6:AE94,"○"))</f>
        <v/>
      </c>
    </row>
    <row r="95" spans="1:32" x14ac:dyDescent="0.2">
      <c r="A95" s="40">
        <v>90</v>
      </c>
      <c r="B95" s="145"/>
      <c r="C95" s="148"/>
      <c r="D95" s="145"/>
      <c r="E95" s="156"/>
      <c r="F95" s="145"/>
      <c r="G95" s="145"/>
      <c r="H95" s="146"/>
      <c r="I95" s="146"/>
      <c r="J95" s="148"/>
      <c r="K95" s="145"/>
      <c r="L95" s="148"/>
      <c r="M95" s="149"/>
      <c r="N95" s="148"/>
      <c r="O95" s="150"/>
      <c r="P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5" s="43" t="str">
        <f>IF(テーブル22[[#This Row],[得点]]="","",IF(テーブル22[[#This Row],[年齢]]&gt;10,LOOKUP(P95,$BG$6:$BG$10,$BD$6:$BD$10),IF(テーブル22[[#This Row],[年齢]]&gt;9,LOOKUP(P95,$BF$6:$BF$10,$BD$6:$BD$10),IF(テーブル22[[#This Row],[年齢]]&gt;8,LOOKUP(P95,$BE$6:$BE$10,$BD$6:$BD$10),IF(テーブル22[[#This Row],[年齢]]&gt;7,LOOKUP(P95,$BC$6:$BC$10,$BD$6:$BD$10),IF(テーブル22[[#This Row],[年齢]]&gt;6,LOOKUP(P95,$BB$6:$BB$10,$BD$6:$BD$10),LOOKUP(P95,$BA$6:$BA$10,$BD$6:$BD$10)))))))</f>
        <v/>
      </c>
      <c r="R95" s="42">
        <f>IF(H95="",0,(IF(テーブル22[[#This Row],[性別]]="男",LOOKUP(テーブル22[[#This Row],[握力]],$AH$6:$AI$15),LOOKUP(テーブル22[[#This Row],[握力]],$AH$20:$AI$29))))</f>
        <v>0</v>
      </c>
      <c r="S95" s="42">
        <f>IF(テーブル22[[#This Row],[上体]]="",0,(IF(テーブル22[[#This Row],[性別]]="男",LOOKUP(テーブル22[[#This Row],[上体]],$AJ$6:$AK$15),LOOKUP(テーブル22[[#This Row],[上体]],$AJ$20:$AK$29))))</f>
        <v>0</v>
      </c>
      <c r="T95" s="42">
        <f>IF(テーブル22[[#This Row],[長座]]="",0,(IF(テーブル22[[#This Row],[性別]]="男",LOOKUP(テーブル22[[#This Row],[長座]],$AL$6:$AM$15),LOOKUP(テーブル22[[#This Row],[長座]],$AL$20:$AM$29))))</f>
        <v>0</v>
      </c>
      <c r="U95" s="42">
        <f>IF(テーブル22[[#This Row],[反復]]="",0,(IF(テーブル22[[#This Row],[性別]]="男",LOOKUP(テーブル22[[#This Row],[反復]],$AN$6:$AO$15),LOOKUP(テーブル22[[#This Row],[反復]],$AN$20:$AO$29))))</f>
        <v>0</v>
      </c>
      <c r="V95" s="42">
        <f>IF(テーブル22[[#This Row],[ｼｬﾄﾙﾗﾝ]]="",0,(IF(テーブル22[[#This Row],[性別]]="男",LOOKUP(テーブル22[[#This Row],[ｼｬﾄﾙﾗﾝ]],$AR$6:$AS$15),LOOKUP(テーブル22[[#This Row],[ｼｬﾄﾙﾗﾝ]],$AR$20:$AS$29))))</f>
        <v>0</v>
      </c>
      <c r="W95" s="42">
        <f>IF(テーブル22[[#This Row],[50m走]]="",0,(IF(テーブル22[[#This Row],[性別]]="男",LOOKUP(テーブル22[[#This Row],[50m走]],$AT$6:$AU$15),LOOKUP(テーブル22[[#This Row],[50m走]],$AT$20:$AU$29))))</f>
        <v>0</v>
      </c>
      <c r="X95" s="42">
        <f>IF(テーブル22[[#This Row],[立幅とび]]="",0,(IF(テーブル22[[#This Row],[性別]]="男",LOOKUP(テーブル22[[#This Row],[立幅とび]],$AV$6:$AW$15),LOOKUP(テーブル22[[#This Row],[立幅とび]],$AV$20:$AW$29))))</f>
        <v>0</v>
      </c>
      <c r="Y95" s="42">
        <f>IF(テーブル22[[#This Row],[ボール投げ]]="",0,(IF(テーブル22[[#This Row],[性別]]="男",LOOKUP(テーブル22[[#This Row],[ボール投げ]],$AX$6:$AY$15),LOOKUP(テーブル22[[#This Row],[ボール投げ]],$AX$20:$AY$29))))</f>
        <v>0</v>
      </c>
      <c r="Z95" s="19" t="str">
        <f>IF(テーブル22[[#This Row],[学年]]=1,6,IF(テーブル22[[#This Row],[学年]]=2,7,IF(テーブル22[[#This Row],[学年]]=3,8,IF(テーブル22[[#This Row],[学年]]=4,9,IF(テーブル22[[#This Row],[学年]]=5,10,IF(テーブル22[[#This Row],[学年]]=6,11," "))))))</f>
        <v xml:space="preserve"> </v>
      </c>
      <c r="AA95" s="125" t="str">
        <f>IF(テーブル22[[#This Row],[肥満度数値]]="","",LOOKUP(AC95,$AW$39:$AW$44,$AX$39:$AX$44))</f>
        <v/>
      </c>
      <c r="AB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5" s="124" t="str">
        <f>IF(テーブル22[[#This Row],[体重]]="","",(テーブル22[[#This Row],[体重]]-テーブル22[[#This Row],[標準体重]])/テーブル22[[#This Row],[標準体重]]*100)</f>
        <v/>
      </c>
      <c r="AD95" s="1">
        <f>COUNTA(テーブル22[[#This Row],[握力]:[ボール投げ]])</f>
        <v>0</v>
      </c>
      <c r="AE95" s="1" t="str">
        <f>IF(テーブル22[[#This Row],[判定]]=$BD$10,"○","")</f>
        <v/>
      </c>
      <c r="AF95" s="1" t="str">
        <f>IF(AE95="","",COUNTIF($AE$6:AE95,"○"))</f>
        <v/>
      </c>
    </row>
    <row r="96" spans="1:32" x14ac:dyDescent="0.2">
      <c r="A96" s="40">
        <v>91</v>
      </c>
      <c r="B96" s="145"/>
      <c r="C96" s="148"/>
      <c r="D96" s="145"/>
      <c r="E96" s="156"/>
      <c r="F96" s="145"/>
      <c r="G96" s="145"/>
      <c r="H96" s="146"/>
      <c r="I96" s="146"/>
      <c r="J96" s="148"/>
      <c r="K96" s="145"/>
      <c r="L96" s="148"/>
      <c r="M96" s="149"/>
      <c r="N96" s="148"/>
      <c r="O96" s="150"/>
      <c r="P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6" s="43" t="str">
        <f>IF(テーブル22[[#This Row],[得点]]="","",IF(テーブル22[[#This Row],[年齢]]&gt;10,LOOKUP(P96,$BG$6:$BG$10,$BD$6:$BD$10),IF(テーブル22[[#This Row],[年齢]]&gt;9,LOOKUP(P96,$BF$6:$BF$10,$BD$6:$BD$10),IF(テーブル22[[#This Row],[年齢]]&gt;8,LOOKUP(P96,$BE$6:$BE$10,$BD$6:$BD$10),IF(テーブル22[[#This Row],[年齢]]&gt;7,LOOKUP(P96,$BC$6:$BC$10,$BD$6:$BD$10),IF(テーブル22[[#This Row],[年齢]]&gt;6,LOOKUP(P96,$BB$6:$BB$10,$BD$6:$BD$10),LOOKUP(P96,$BA$6:$BA$10,$BD$6:$BD$10)))))))</f>
        <v/>
      </c>
      <c r="R96" s="42">
        <f>IF(H96="",0,(IF(テーブル22[[#This Row],[性別]]="男",LOOKUP(テーブル22[[#This Row],[握力]],$AH$6:$AI$15),LOOKUP(テーブル22[[#This Row],[握力]],$AH$20:$AI$29))))</f>
        <v>0</v>
      </c>
      <c r="S96" s="42">
        <f>IF(テーブル22[[#This Row],[上体]]="",0,(IF(テーブル22[[#This Row],[性別]]="男",LOOKUP(テーブル22[[#This Row],[上体]],$AJ$6:$AK$15),LOOKUP(テーブル22[[#This Row],[上体]],$AJ$20:$AK$29))))</f>
        <v>0</v>
      </c>
      <c r="T96" s="42">
        <f>IF(テーブル22[[#This Row],[長座]]="",0,(IF(テーブル22[[#This Row],[性別]]="男",LOOKUP(テーブル22[[#This Row],[長座]],$AL$6:$AM$15),LOOKUP(テーブル22[[#This Row],[長座]],$AL$20:$AM$29))))</f>
        <v>0</v>
      </c>
      <c r="U96" s="42">
        <f>IF(テーブル22[[#This Row],[反復]]="",0,(IF(テーブル22[[#This Row],[性別]]="男",LOOKUP(テーブル22[[#This Row],[反復]],$AN$6:$AO$15),LOOKUP(テーブル22[[#This Row],[反復]],$AN$20:$AO$29))))</f>
        <v>0</v>
      </c>
      <c r="V96" s="42">
        <f>IF(テーブル22[[#This Row],[ｼｬﾄﾙﾗﾝ]]="",0,(IF(テーブル22[[#This Row],[性別]]="男",LOOKUP(テーブル22[[#This Row],[ｼｬﾄﾙﾗﾝ]],$AR$6:$AS$15),LOOKUP(テーブル22[[#This Row],[ｼｬﾄﾙﾗﾝ]],$AR$20:$AS$29))))</f>
        <v>0</v>
      </c>
      <c r="W96" s="42">
        <f>IF(テーブル22[[#This Row],[50m走]]="",0,(IF(テーブル22[[#This Row],[性別]]="男",LOOKUP(テーブル22[[#This Row],[50m走]],$AT$6:$AU$15),LOOKUP(テーブル22[[#This Row],[50m走]],$AT$20:$AU$29))))</f>
        <v>0</v>
      </c>
      <c r="X96" s="42">
        <f>IF(テーブル22[[#This Row],[立幅とび]]="",0,(IF(テーブル22[[#This Row],[性別]]="男",LOOKUP(テーブル22[[#This Row],[立幅とび]],$AV$6:$AW$15),LOOKUP(テーブル22[[#This Row],[立幅とび]],$AV$20:$AW$29))))</f>
        <v>0</v>
      </c>
      <c r="Y96" s="42">
        <f>IF(テーブル22[[#This Row],[ボール投げ]]="",0,(IF(テーブル22[[#This Row],[性別]]="男",LOOKUP(テーブル22[[#This Row],[ボール投げ]],$AX$6:$AY$15),LOOKUP(テーブル22[[#This Row],[ボール投げ]],$AX$20:$AY$29))))</f>
        <v>0</v>
      </c>
      <c r="Z96" s="19" t="str">
        <f>IF(テーブル22[[#This Row],[学年]]=1,6,IF(テーブル22[[#This Row],[学年]]=2,7,IF(テーブル22[[#This Row],[学年]]=3,8,IF(テーブル22[[#This Row],[学年]]=4,9,IF(テーブル22[[#This Row],[学年]]=5,10,IF(テーブル22[[#This Row],[学年]]=6,11," "))))))</f>
        <v xml:space="preserve"> </v>
      </c>
      <c r="AA96" s="125" t="str">
        <f>IF(テーブル22[[#This Row],[肥満度数値]]="","",LOOKUP(AC96,$AW$39:$AW$44,$AX$39:$AX$44))</f>
        <v/>
      </c>
      <c r="AB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6" s="124" t="str">
        <f>IF(テーブル22[[#This Row],[体重]]="","",(テーブル22[[#This Row],[体重]]-テーブル22[[#This Row],[標準体重]])/テーブル22[[#This Row],[標準体重]]*100)</f>
        <v/>
      </c>
      <c r="AD96" s="1">
        <f>COUNTA(テーブル22[[#This Row],[握力]:[ボール投げ]])</f>
        <v>0</v>
      </c>
      <c r="AE96" s="1" t="str">
        <f>IF(テーブル22[[#This Row],[判定]]=$BD$10,"○","")</f>
        <v/>
      </c>
      <c r="AF96" s="1" t="str">
        <f>IF(AE96="","",COUNTIF($AE$6:AE96,"○"))</f>
        <v/>
      </c>
    </row>
    <row r="97" spans="1:32" x14ac:dyDescent="0.2">
      <c r="A97" s="40">
        <v>92</v>
      </c>
      <c r="B97" s="145"/>
      <c r="C97" s="148"/>
      <c r="D97" s="145"/>
      <c r="E97" s="156"/>
      <c r="F97" s="145"/>
      <c r="G97" s="145"/>
      <c r="H97" s="146"/>
      <c r="I97" s="146"/>
      <c r="J97" s="148"/>
      <c r="K97" s="145"/>
      <c r="L97" s="148"/>
      <c r="M97" s="149"/>
      <c r="N97" s="148"/>
      <c r="O97" s="150"/>
      <c r="P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7" s="43" t="str">
        <f>IF(テーブル22[[#This Row],[得点]]="","",IF(テーブル22[[#This Row],[年齢]]&gt;10,LOOKUP(P97,$BG$6:$BG$10,$BD$6:$BD$10),IF(テーブル22[[#This Row],[年齢]]&gt;9,LOOKUP(P97,$BF$6:$BF$10,$BD$6:$BD$10),IF(テーブル22[[#This Row],[年齢]]&gt;8,LOOKUP(P97,$BE$6:$BE$10,$BD$6:$BD$10),IF(テーブル22[[#This Row],[年齢]]&gt;7,LOOKUP(P97,$BC$6:$BC$10,$BD$6:$BD$10),IF(テーブル22[[#This Row],[年齢]]&gt;6,LOOKUP(P97,$BB$6:$BB$10,$BD$6:$BD$10),LOOKUP(P97,$BA$6:$BA$10,$BD$6:$BD$10)))))))</f>
        <v/>
      </c>
      <c r="R97" s="42">
        <f>IF(H97="",0,(IF(テーブル22[[#This Row],[性別]]="男",LOOKUP(テーブル22[[#This Row],[握力]],$AH$6:$AI$15),LOOKUP(テーブル22[[#This Row],[握力]],$AH$20:$AI$29))))</f>
        <v>0</v>
      </c>
      <c r="S97" s="42">
        <f>IF(テーブル22[[#This Row],[上体]]="",0,(IF(テーブル22[[#This Row],[性別]]="男",LOOKUP(テーブル22[[#This Row],[上体]],$AJ$6:$AK$15),LOOKUP(テーブル22[[#This Row],[上体]],$AJ$20:$AK$29))))</f>
        <v>0</v>
      </c>
      <c r="T97" s="42">
        <f>IF(テーブル22[[#This Row],[長座]]="",0,(IF(テーブル22[[#This Row],[性別]]="男",LOOKUP(テーブル22[[#This Row],[長座]],$AL$6:$AM$15),LOOKUP(テーブル22[[#This Row],[長座]],$AL$20:$AM$29))))</f>
        <v>0</v>
      </c>
      <c r="U97" s="42">
        <f>IF(テーブル22[[#This Row],[反復]]="",0,(IF(テーブル22[[#This Row],[性別]]="男",LOOKUP(テーブル22[[#This Row],[反復]],$AN$6:$AO$15),LOOKUP(テーブル22[[#This Row],[反復]],$AN$20:$AO$29))))</f>
        <v>0</v>
      </c>
      <c r="V97" s="42">
        <f>IF(テーブル22[[#This Row],[ｼｬﾄﾙﾗﾝ]]="",0,(IF(テーブル22[[#This Row],[性別]]="男",LOOKUP(テーブル22[[#This Row],[ｼｬﾄﾙﾗﾝ]],$AR$6:$AS$15),LOOKUP(テーブル22[[#This Row],[ｼｬﾄﾙﾗﾝ]],$AR$20:$AS$29))))</f>
        <v>0</v>
      </c>
      <c r="W97" s="42">
        <f>IF(テーブル22[[#This Row],[50m走]]="",0,(IF(テーブル22[[#This Row],[性別]]="男",LOOKUP(テーブル22[[#This Row],[50m走]],$AT$6:$AU$15),LOOKUP(テーブル22[[#This Row],[50m走]],$AT$20:$AU$29))))</f>
        <v>0</v>
      </c>
      <c r="X97" s="42">
        <f>IF(テーブル22[[#This Row],[立幅とび]]="",0,(IF(テーブル22[[#This Row],[性別]]="男",LOOKUP(テーブル22[[#This Row],[立幅とび]],$AV$6:$AW$15),LOOKUP(テーブル22[[#This Row],[立幅とび]],$AV$20:$AW$29))))</f>
        <v>0</v>
      </c>
      <c r="Y97" s="42">
        <f>IF(テーブル22[[#This Row],[ボール投げ]]="",0,(IF(テーブル22[[#This Row],[性別]]="男",LOOKUP(テーブル22[[#This Row],[ボール投げ]],$AX$6:$AY$15),LOOKUP(テーブル22[[#This Row],[ボール投げ]],$AX$20:$AY$29))))</f>
        <v>0</v>
      </c>
      <c r="Z97" s="19" t="str">
        <f>IF(テーブル22[[#This Row],[学年]]=1,6,IF(テーブル22[[#This Row],[学年]]=2,7,IF(テーブル22[[#This Row],[学年]]=3,8,IF(テーブル22[[#This Row],[学年]]=4,9,IF(テーブル22[[#This Row],[学年]]=5,10,IF(テーブル22[[#This Row],[学年]]=6,11," "))))))</f>
        <v xml:space="preserve"> </v>
      </c>
      <c r="AA97" s="125" t="str">
        <f>IF(テーブル22[[#This Row],[肥満度数値]]="","",LOOKUP(AC97,$AW$39:$AW$44,$AX$39:$AX$44))</f>
        <v/>
      </c>
      <c r="AB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7" s="124" t="str">
        <f>IF(テーブル22[[#This Row],[体重]]="","",(テーブル22[[#This Row],[体重]]-テーブル22[[#This Row],[標準体重]])/テーブル22[[#This Row],[標準体重]]*100)</f>
        <v/>
      </c>
      <c r="AD97" s="1">
        <f>COUNTA(テーブル22[[#This Row],[握力]:[ボール投げ]])</f>
        <v>0</v>
      </c>
      <c r="AE97" s="1" t="str">
        <f>IF(テーブル22[[#This Row],[判定]]=$BD$10,"○","")</f>
        <v/>
      </c>
      <c r="AF97" s="1" t="str">
        <f>IF(AE97="","",COUNTIF($AE$6:AE97,"○"))</f>
        <v/>
      </c>
    </row>
    <row r="98" spans="1:32" x14ac:dyDescent="0.2">
      <c r="A98" s="40">
        <v>93</v>
      </c>
      <c r="B98" s="145"/>
      <c r="C98" s="148"/>
      <c r="D98" s="145"/>
      <c r="E98" s="156"/>
      <c r="F98" s="145"/>
      <c r="G98" s="145"/>
      <c r="H98" s="146"/>
      <c r="I98" s="146"/>
      <c r="J98" s="148"/>
      <c r="K98" s="145"/>
      <c r="L98" s="148"/>
      <c r="M98" s="149"/>
      <c r="N98" s="148"/>
      <c r="O98" s="150"/>
      <c r="P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8" s="43" t="str">
        <f>IF(テーブル22[[#This Row],[得点]]="","",IF(テーブル22[[#This Row],[年齢]]&gt;10,LOOKUP(P98,$BG$6:$BG$10,$BD$6:$BD$10),IF(テーブル22[[#This Row],[年齢]]&gt;9,LOOKUP(P98,$BF$6:$BF$10,$BD$6:$BD$10),IF(テーブル22[[#This Row],[年齢]]&gt;8,LOOKUP(P98,$BE$6:$BE$10,$BD$6:$BD$10),IF(テーブル22[[#This Row],[年齢]]&gt;7,LOOKUP(P98,$BC$6:$BC$10,$BD$6:$BD$10),IF(テーブル22[[#This Row],[年齢]]&gt;6,LOOKUP(P98,$BB$6:$BB$10,$BD$6:$BD$10),LOOKUP(P98,$BA$6:$BA$10,$BD$6:$BD$10)))))))</f>
        <v/>
      </c>
      <c r="R98" s="42">
        <f>IF(H98="",0,(IF(テーブル22[[#This Row],[性別]]="男",LOOKUP(テーブル22[[#This Row],[握力]],$AH$6:$AI$15),LOOKUP(テーブル22[[#This Row],[握力]],$AH$20:$AI$29))))</f>
        <v>0</v>
      </c>
      <c r="S98" s="42">
        <f>IF(テーブル22[[#This Row],[上体]]="",0,(IF(テーブル22[[#This Row],[性別]]="男",LOOKUP(テーブル22[[#This Row],[上体]],$AJ$6:$AK$15),LOOKUP(テーブル22[[#This Row],[上体]],$AJ$20:$AK$29))))</f>
        <v>0</v>
      </c>
      <c r="T98" s="42">
        <f>IF(テーブル22[[#This Row],[長座]]="",0,(IF(テーブル22[[#This Row],[性別]]="男",LOOKUP(テーブル22[[#This Row],[長座]],$AL$6:$AM$15),LOOKUP(テーブル22[[#This Row],[長座]],$AL$20:$AM$29))))</f>
        <v>0</v>
      </c>
      <c r="U98" s="42">
        <f>IF(テーブル22[[#This Row],[反復]]="",0,(IF(テーブル22[[#This Row],[性別]]="男",LOOKUP(テーブル22[[#This Row],[反復]],$AN$6:$AO$15),LOOKUP(テーブル22[[#This Row],[反復]],$AN$20:$AO$29))))</f>
        <v>0</v>
      </c>
      <c r="V98" s="42">
        <f>IF(テーブル22[[#This Row],[ｼｬﾄﾙﾗﾝ]]="",0,(IF(テーブル22[[#This Row],[性別]]="男",LOOKUP(テーブル22[[#This Row],[ｼｬﾄﾙﾗﾝ]],$AR$6:$AS$15),LOOKUP(テーブル22[[#This Row],[ｼｬﾄﾙﾗﾝ]],$AR$20:$AS$29))))</f>
        <v>0</v>
      </c>
      <c r="W98" s="42">
        <f>IF(テーブル22[[#This Row],[50m走]]="",0,(IF(テーブル22[[#This Row],[性別]]="男",LOOKUP(テーブル22[[#This Row],[50m走]],$AT$6:$AU$15),LOOKUP(テーブル22[[#This Row],[50m走]],$AT$20:$AU$29))))</f>
        <v>0</v>
      </c>
      <c r="X98" s="42">
        <f>IF(テーブル22[[#This Row],[立幅とび]]="",0,(IF(テーブル22[[#This Row],[性別]]="男",LOOKUP(テーブル22[[#This Row],[立幅とび]],$AV$6:$AW$15),LOOKUP(テーブル22[[#This Row],[立幅とび]],$AV$20:$AW$29))))</f>
        <v>0</v>
      </c>
      <c r="Y98" s="42">
        <f>IF(テーブル22[[#This Row],[ボール投げ]]="",0,(IF(テーブル22[[#This Row],[性別]]="男",LOOKUP(テーブル22[[#This Row],[ボール投げ]],$AX$6:$AY$15),LOOKUP(テーブル22[[#This Row],[ボール投げ]],$AX$20:$AY$29))))</f>
        <v>0</v>
      </c>
      <c r="Z98" s="19" t="str">
        <f>IF(テーブル22[[#This Row],[学年]]=1,6,IF(テーブル22[[#This Row],[学年]]=2,7,IF(テーブル22[[#This Row],[学年]]=3,8,IF(テーブル22[[#This Row],[学年]]=4,9,IF(テーブル22[[#This Row],[学年]]=5,10,IF(テーブル22[[#This Row],[学年]]=6,11," "))))))</f>
        <v xml:space="preserve"> </v>
      </c>
      <c r="AA98" s="125" t="str">
        <f>IF(テーブル22[[#This Row],[肥満度数値]]="","",LOOKUP(AC98,$AW$39:$AW$44,$AX$39:$AX$44))</f>
        <v/>
      </c>
      <c r="AB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8" s="124" t="str">
        <f>IF(テーブル22[[#This Row],[体重]]="","",(テーブル22[[#This Row],[体重]]-テーブル22[[#This Row],[標準体重]])/テーブル22[[#This Row],[標準体重]]*100)</f>
        <v/>
      </c>
      <c r="AD98" s="1">
        <f>COUNTA(テーブル22[[#This Row],[握力]:[ボール投げ]])</f>
        <v>0</v>
      </c>
      <c r="AE98" s="1" t="str">
        <f>IF(テーブル22[[#This Row],[判定]]=$BD$10,"○","")</f>
        <v/>
      </c>
      <c r="AF98" s="1" t="str">
        <f>IF(AE98="","",COUNTIF($AE$6:AE98,"○"))</f>
        <v/>
      </c>
    </row>
    <row r="99" spans="1:32" x14ac:dyDescent="0.2">
      <c r="A99" s="40">
        <v>94</v>
      </c>
      <c r="B99" s="145"/>
      <c r="C99" s="148"/>
      <c r="D99" s="145"/>
      <c r="E99" s="156"/>
      <c r="F99" s="145"/>
      <c r="G99" s="145"/>
      <c r="H99" s="146"/>
      <c r="I99" s="146"/>
      <c r="J99" s="148"/>
      <c r="K99" s="145"/>
      <c r="L99" s="148"/>
      <c r="M99" s="149"/>
      <c r="N99" s="148"/>
      <c r="O99" s="150"/>
      <c r="P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99" s="43" t="str">
        <f>IF(テーブル22[[#This Row],[得点]]="","",IF(テーブル22[[#This Row],[年齢]]&gt;10,LOOKUP(P99,$BG$6:$BG$10,$BD$6:$BD$10),IF(テーブル22[[#This Row],[年齢]]&gt;9,LOOKUP(P99,$BF$6:$BF$10,$BD$6:$BD$10),IF(テーブル22[[#This Row],[年齢]]&gt;8,LOOKUP(P99,$BE$6:$BE$10,$BD$6:$BD$10),IF(テーブル22[[#This Row],[年齢]]&gt;7,LOOKUP(P99,$BC$6:$BC$10,$BD$6:$BD$10),IF(テーブル22[[#This Row],[年齢]]&gt;6,LOOKUP(P99,$BB$6:$BB$10,$BD$6:$BD$10),LOOKUP(P99,$BA$6:$BA$10,$BD$6:$BD$10)))))))</f>
        <v/>
      </c>
      <c r="R99" s="42">
        <f>IF(H99="",0,(IF(テーブル22[[#This Row],[性別]]="男",LOOKUP(テーブル22[[#This Row],[握力]],$AH$6:$AI$15),LOOKUP(テーブル22[[#This Row],[握力]],$AH$20:$AI$29))))</f>
        <v>0</v>
      </c>
      <c r="S99" s="42">
        <f>IF(テーブル22[[#This Row],[上体]]="",0,(IF(テーブル22[[#This Row],[性別]]="男",LOOKUP(テーブル22[[#This Row],[上体]],$AJ$6:$AK$15),LOOKUP(テーブル22[[#This Row],[上体]],$AJ$20:$AK$29))))</f>
        <v>0</v>
      </c>
      <c r="T99" s="42">
        <f>IF(テーブル22[[#This Row],[長座]]="",0,(IF(テーブル22[[#This Row],[性別]]="男",LOOKUP(テーブル22[[#This Row],[長座]],$AL$6:$AM$15),LOOKUP(テーブル22[[#This Row],[長座]],$AL$20:$AM$29))))</f>
        <v>0</v>
      </c>
      <c r="U99" s="42">
        <f>IF(テーブル22[[#This Row],[反復]]="",0,(IF(テーブル22[[#This Row],[性別]]="男",LOOKUP(テーブル22[[#This Row],[反復]],$AN$6:$AO$15),LOOKUP(テーブル22[[#This Row],[反復]],$AN$20:$AO$29))))</f>
        <v>0</v>
      </c>
      <c r="V99" s="42">
        <f>IF(テーブル22[[#This Row],[ｼｬﾄﾙﾗﾝ]]="",0,(IF(テーブル22[[#This Row],[性別]]="男",LOOKUP(テーブル22[[#This Row],[ｼｬﾄﾙﾗﾝ]],$AR$6:$AS$15),LOOKUP(テーブル22[[#This Row],[ｼｬﾄﾙﾗﾝ]],$AR$20:$AS$29))))</f>
        <v>0</v>
      </c>
      <c r="W99" s="42">
        <f>IF(テーブル22[[#This Row],[50m走]]="",0,(IF(テーブル22[[#This Row],[性別]]="男",LOOKUP(テーブル22[[#This Row],[50m走]],$AT$6:$AU$15),LOOKUP(テーブル22[[#This Row],[50m走]],$AT$20:$AU$29))))</f>
        <v>0</v>
      </c>
      <c r="X99" s="42">
        <f>IF(テーブル22[[#This Row],[立幅とび]]="",0,(IF(テーブル22[[#This Row],[性別]]="男",LOOKUP(テーブル22[[#This Row],[立幅とび]],$AV$6:$AW$15),LOOKUP(テーブル22[[#This Row],[立幅とび]],$AV$20:$AW$29))))</f>
        <v>0</v>
      </c>
      <c r="Y99" s="42">
        <f>IF(テーブル22[[#This Row],[ボール投げ]]="",0,(IF(テーブル22[[#This Row],[性別]]="男",LOOKUP(テーブル22[[#This Row],[ボール投げ]],$AX$6:$AY$15),LOOKUP(テーブル22[[#This Row],[ボール投げ]],$AX$20:$AY$29))))</f>
        <v>0</v>
      </c>
      <c r="Z99" s="19" t="str">
        <f>IF(テーブル22[[#This Row],[学年]]=1,6,IF(テーブル22[[#This Row],[学年]]=2,7,IF(テーブル22[[#This Row],[学年]]=3,8,IF(テーブル22[[#This Row],[学年]]=4,9,IF(テーブル22[[#This Row],[学年]]=5,10,IF(テーブル22[[#This Row],[学年]]=6,11," "))))))</f>
        <v xml:space="preserve"> </v>
      </c>
      <c r="AA99" s="125" t="str">
        <f>IF(テーブル22[[#This Row],[肥満度数値]]="","",LOOKUP(AC99,$AW$39:$AW$44,$AX$39:$AX$44))</f>
        <v/>
      </c>
      <c r="AB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99" s="124" t="str">
        <f>IF(テーブル22[[#This Row],[体重]]="","",(テーブル22[[#This Row],[体重]]-テーブル22[[#This Row],[標準体重]])/テーブル22[[#This Row],[標準体重]]*100)</f>
        <v/>
      </c>
      <c r="AD99" s="1">
        <f>COUNTA(テーブル22[[#This Row],[握力]:[ボール投げ]])</f>
        <v>0</v>
      </c>
      <c r="AE99" s="1" t="str">
        <f>IF(テーブル22[[#This Row],[判定]]=$BD$10,"○","")</f>
        <v/>
      </c>
      <c r="AF99" s="1" t="str">
        <f>IF(AE99="","",COUNTIF($AE$6:AE99,"○"))</f>
        <v/>
      </c>
    </row>
    <row r="100" spans="1:32" x14ac:dyDescent="0.2">
      <c r="A100" s="40">
        <v>95</v>
      </c>
      <c r="B100" s="145"/>
      <c r="C100" s="148"/>
      <c r="D100" s="145"/>
      <c r="E100" s="156"/>
      <c r="F100" s="145"/>
      <c r="G100" s="145"/>
      <c r="H100" s="146"/>
      <c r="I100" s="146"/>
      <c r="J100" s="148"/>
      <c r="K100" s="145"/>
      <c r="L100" s="148"/>
      <c r="M100" s="149"/>
      <c r="N100" s="148"/>
      <c r="O100" s="150"/>
      <c r="P1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0" s="43" t="str">
        <f>IF(テーブル22[[#This Row],[得点]]="","",IF(テーブル22[[#This Row],[年齢]]&gt;10,LOOKUP(P100,$BG$6:$BG$10,$BD$6:$BD$10),IF(テーブル22[[#This Row],[年齢]]&gt;9,LOOKUP(P100,$BF$6:$BF$10,$BD$6:$BD$10),IF(テーブル22[[#This Row],[年齢]]&gt;8,LOOKUP(P100,$BE$6:$BE$10,$BD$6:$BD$10),IF(テーブル22[[#This Row],[年齢]]&gt;7,LOOKUP(P100,$BC$6:$BC$10,$BD$6:$BD$10),IF(テーブル22[[#This Row],[年齢]]&gt;6,LOOKUP(P100,$BB$6:$BB$10,$BD$6:$BD$10),LOOKUP(P100,$BA$6:$BA$10,$BD$6:$BD$10)))))))</f>
        <v/>
      </c>
      <c r="R100" s="42">
        <f>IF(H100="",0,(IF(テーブル22[[#This Row],[性別]]="男",LOOKUP(テーブル22[[#This Row],[握力]],$AH$6:$AI$15),LOOKUP(テーブル22[[#This Row],[握力]],$AH$20:$AI$29))))</f>
        <v>0</v>
      </c>
      <c r="S100" s="42">
        <f>IF(テーブル22[[#This Row],[上体]]="",0,(IF(テーブル22[[#This Row],[性別]]="男",LOOKUP(テーブル22[[#This Row],[上体]],$AJ$6:$AK$15),LOOKUP(テーブル22[[#This Row],[上体]],$AJ$20:$AK$29))))</f>
        <v>0</v>
      </c>
      <c r="T100" s="42">
        <f>IF(テーブル22[[#This Row],[長座]]="",0,(IF(テーブル22[[#This Row],[性別]]="男",LOOKUP(テーブル22[[#This Row],[長座]],$AL$6:$AM$15),LOOKUP(テーブル22[[#This Row],[長座]],$AL$20:$AM$29))))</f>
        <v>0</v>
      </c>
      <c r="U100" s="42">
        <f>IF(テーブル22[[#This Row],[反復]]="",0,(IF(テーブル22[[#This Row],[性別]]="男",LOOKUP(テーブル22[[#This Row],[反復]],$AN$6:$AO$15),LOOKUP(テーブル22[[#This Row],[反復]],$AN$20:$AO$29))))</f>
        <v>0</v>
      </c>
      <c r="V100" s="42">
        <f>IF(テーブル22[[#This Row],[ｼｬﾄﾙﾗﾝ]]="",0,(IF(テーブル22[[#This Row],[性別]]="男",LOOKUP(テーブル22[[#This Row],[ｼｬﾄﾙﾗﾝ]],$AR$6:$AS$15),LOOKUP(テーブル22[[#This Row],[ｼｬﾄﾙﾗﾝ]],$AR$20:$AS$29))))</f>
        <v>0</v>
      </c>
      <c r="W100" s="42">
        <f>IF(テーブル22[[#This Row],[50m走]]="",0,(IF(テーブル22[[#This Row],[性別]]="男",LOOKUP(テーブル22[[#This Row],[50m走]],$AT$6:$AU$15),LOOKUP(テーブル22[[#This Row],[50m走]],$AT$20:$AU$29))))</f>
        <v>0</v>
      </c>
      <c r="X100" s="42">
        <f>IF(テーブル22[[#This Row],[立幅とび]]="",0,(IF(テーブル22[[#This Row],[性別]]="男",LOOKUP(テーブル22[[#This Row],[立幅とび]],$AV$6:$AW$15),LOOKUP(テーブル22[[#This Row],[立幅とび]],$AV$20:$AW$29))))</f>
        <v>0</v>
      </c>
      <c r="Y100" s="42">
        <f>IF(テーブル22[[#This Row],[ボール投げ]]="",0,(IF(テーブル22[[#This Row],[性別]]="男",LOOKUP(テーブル22[[#This Row],[ボール投げ]],$AX$6:$AY$15),LOOKUP(テーブル22[[#This Row],[ボール投げ]],$AX$20:$AY$29))))</f>
        <v>0</v>
      </c>
      <c r="Z100" s="19" t="str">
        <f>IF(テーブル22[[#This Row],[学年]]=1,6,IF(テーブル22[[#This Row],[学年]]=2,7,IF(テーブル22[[#This Row],[学年]]=3,8,IF(テーブル22[[#This Row],[学年]]=4,9,IF(テーブル22[[#This Row],[学年]]=5,10,IF(テーブル22[[#This Row],[学年]]=6,11," "))))))</f>
        <v xml:space="preserve"> </v>
      </c>
      <c r="AA100" s="125" t="str">
        <f>IF(テーブル22[[#This Row],[肥満度数値]]="","",LOOKUP(AC100,$AW$39:$AW$44,$AX$39:$AX$44))</f>
        <v/>
      </c>
      <c r="AB1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0" s="124" t="str">
        <f>IF(テーブル22[[#This Row],[体重]]="","",(テーブル22[[#This Row],[体重]]-テーブル22[[#This Row],[標準体重]])/テーブル22[[#This Row],[標準体重]]*100)</f>
        <v/>
      </c>
      <c r="AD100" s="1">
        <f>COUNTA(テーブル22[[#This Row],[握力]:[ボール投げ]])</f>
        <v>0</v>
      </c>
      <c r="AE100" s="1" t="str">
        <f>IF(テーブル22[[#This Row],[判定]]=$BD$10,"○","")</f>
        <v/>
      </c>
      <c r="AF100" s="1" t="str">
        <f>IF(AE100="","",COUNTIF($AE$6:AE100,"○"))</f>
        <v/>
      </c>
    </row>
    <row r="101" spans="1:32" x14ac:dyDescent="0.2">
      <c r="A101" s="40">
        <v>96</v>
      </c>
      <c r="B101" s="145"/>
      <c r="C101" s="148"/>
      <c r="D101" s="145"/>
      <c r="E101" s="156"/>
      <c r="F101" s="145"/>
      <c r="G101" s="145"/>
      <c r="H101" s="146"/>
      <c r="I101" s="146"/>
      <c r="J101" s="148"/>
      <c r="K101" s="145"/>
      <c r="L101" s="148"/>
      <c r="M101" s="149"/>
      <c r="N101" s="148"/>
      <c r="O101" s="150"/>
      <c r="P1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1" s="43" t="str">
        <f>IF(テーブル22[[#This Row],[得点]]="","",IF(テーブル22[[#This Row],[年齢]]&gt;10,LOOKUP(P101,$BG$6:$BG$10,$BD$6:$BD$10),IF(テーブル22[[#This Row],[年齢]]&gt;9,LOOKUP(P101,$BF$6:$BF$10,$BD$6:$BD$10),IF(テーブル22[[#This Row],[年齢]]&gt;8,LOOKUP(P101,$BE$6:$BE$10,$BD$6:$BD$10),IF(テーブル22[[#This Row],[年齢]]&gt;7,LOOKUP(P101,$BC$6:$BC$10,$BD$6:$BD$10),IF(テーブル22[[#This Row],[年齢]]&gt;6,LOOKUP(P101,$BB$6:$BB$10,$BD$6:$BD$10),LOOKUP(P101,$BA$6:$BA$10,$BD$6:$BD$10)))))))</f>
        <v/>
      </c>
      <c r="R101" s="42">
        <f>IF(H101="",0,(IF(テーブル22[[#This Row],[性別]]="男",LOOKUP(テーブル22[[#This Row],[握力]],$AH$6:$AI$15),LOOKUP(テーブル22[[#This Row],[握力]],$AH$20:$AI$29))))</f>
        <v>0</v>
      </c>
      <c r="S101" s="42">
        <f>IF(テーブル22[[#This Row],[上体]]="",0,(IF(テーブル22[[#This Row],[性別]]="男",LOOKUP(テーブル22[[#This Row],[上体]],$AJ$6:$AK$15),LOOKUP(テーブル22[[#This Row],[上体]],$AJ$20:$AK$29))))</f>
        <v>0</v>
      </c>
      <c r="T101" s="42">
        <f>IF(テーブル22[[#This Row],[長座]]="",0,(IF(テーブル22[[#This Row],[性別]]="男",LOOKUP(テーブル22[[#This Row],[長座]],$AL$6:$AM$15),LOOKUP(テーブル22[[#This Row],[長座]],$AL$20:$AM$29))))</f>
        <v>0</v>
      </c>
      <c r="U101" s="42">
        <f>IF(テーブル22[[#This Row],[反復]]="",0,(IF(テーブル22[[#This Row],[性別]]="男",LOOKUP(テーブル22[[#This Row],[反復]],$AN$6:$AO$15),LOOKUP(テーブル22[[#This Row],[反復]],$AN$20:$AO$29))))</f>
        <v>0</v>
      </c>
      <c r="V101" s="42">
        <f>IF(テーブル22[[#This Row],[ｼｬﾄﾙﾗﾝ]]="",0,(IF(テーブル22[[#This Row],[性別]]="男",LOOKUP(テーブル22[[#This Row],[ｼｬﾄﾙﾗﾝ]],$AR$6:$AS$15),LOOKUP(テーブル22[[#This Row],[ｼｬﾄﾙﾗﾝ]],$AR$20:$AS$29))))</f>
        <v>0</v>
      </c>
      <c r="W101" s="42">
        <f>IF(テーブル22[[#This Row],[50m走]]="",0,(IF(テーブル22[[#This Row],[性別]]="男",LOOKUP(テーブル22[[#This Row],[50m走]],$AT$6:$AU$15),LOOKUP(テーブル22[[#This Row],[50m走]],$AT$20:$AU$29))))</f>
        <v>0</v>
      </c>
      <c r="X101" s="42">
        <f>IF(テーブル22[[#This Row],[立幅とび]]="",0,(IF(テーブル22[[#This Row],[性別]]="男",LOOKUP(テーブル22[[#This Row],[立幅とび]],$AV$6:$AW$15),LOOKUP(テーブル22[[#This Row],[立幅とび]],$AV$20:$AW$29))))</f>
        <v>0</v>
      </c>
      <c r="Y101" s="42">
        <f>IF(テーブル22[[#This Row],[ボール投げ]]="",0,(IF(テーブル22[[#This Row],[性別]]="男",LOOKUP(テーブル22[[#This Row],[ボール投げ]],$AX$6:$AY$15),LOOKUP(テーブル22[[#This Row],[ボール投げ]],$AX$20:$AY$29))))</f>
        <v>0</v>
      </c>
      <c r="Z101" s="19" t="str">
        <f>IF(テーブル22[[#This Row],[学年]]=1,6,IF(テーブル22[[#This Row],[学年]]=2,7,IF(テーブル22[[#This Row],[学年]]=3,8,IF(テーブル22[[#This Row],[学年]]=4,9,IF(テーブル22[[#This Row],[学年]]=5,10,IF(テーブル22[[#This Row],[学年]]=6,11," "))))))</f>
        <v xml:space="preserve"> </v>
      </c>
      <c r="AA101" s="125" t="str">
        <f>IF(テーブル22[[#This Row],[肥満度数値]]="","",LOOKUP(AC101,$AW$39:$AW$44,$AX$39:$AX$44))</f>
        <v/>
      </c>
      <c r="AB1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1" s="124" t="str">
        <f>IF(テーブル22[[#This Row],[体重]]="","",(テーブル22[[#This Row],[体重]]-テーブル22[[#This Row],[標準体重]])/テーブル22[[#This Row],[標準体重]]*100)</f>
        <v/>
      </c>
      <c r="AD101" s="1">
        <f>COUNTA(テーブル22[[#This Row],[握力]:[ボール投げ]])</f>
        <v>0</v>
      </c>
      <c r="AE101" s="1" t="str">
        <f>IF(テーブル22[[#This Row],[判定]]=$BD$10,"○","")</f>
        <v/>
      </c>
      <c r="AF101" s="1" t="str">
        <f>IF(AE101="","",COUNTIF($AE$6:AE101,"○"))</f>
        <v/>
      </c>
    </row>
    <row r="102" spans="1:32" x14ac:dyDescent="0.2">
      <c r="A102" s="40">
        <v>97</v>
      </c>
      <c r="B102" s="145"/>
      <c r="C102" s="148"/>
      <c r="D102" s="145"/>
      <c r="E102" s="156"/>
      <c r="F102" s="145"/>
      <c r="G102" s="145"/>
      <c r="H102" s="146"/>
      <c r="I102" s="146"/>
      <c r="J102" s="148"/>
      <c r="K102" s="145"/>
      <c r="L102" s="148"/>
      <c r="M102" s="149"/>
      <c r="N102" s="148"/>
      <c r="O102" s="150"/>
      <c r="P1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2" s="43" t="str">
        <f>IF(テーブル22[[#This Row],[得点]]="","",IF(テーブル22[[#This Row],[年齢]]&gt;10,LOOKUP(P102,$BG$6:$BG$10,$BD$6:$BD$10),IF(テーブル22[[#This Row],[年齢]]&gt;9,LOOKUP(P102,$BF$6:$BF$10,$BD$6:$BD$10),IF(テーブル22[[#This Row],[年齢]]&gt;8,LOOKUP(P102,$BE$6:$BE$10,$BD$6:$BD$10),IF(テーブル22[[#This Row],[年齢]]&gt;7,LOOKUP(P102,$BC$6:$BC$10,$BD$6:$BD$10),IF(テーブル22[[#This Row],[年齢]]&gt;6,LOOKUP(P102,$BB$6:$BB$10,$BD$6:$BD$10),LOOKUP(P102,$BA$6:$BA$10,$BD$6:$BD$10)))))))</f>
        <v/>
      </c>
      <c r="R102" s="42">
        <f>IF(H102="",0,(IF(テーブル22[[#This Row],[性別]]="男",LOOKUP(テーブル22[[#This Row],[握力]],$AH$6:$AI$15),LOOKUP(テーブル22[[#This Row],[握力]],$AH$20:$AI$29))))</f>
        <v>0</v>
      </c>
      <c r="S102" s="42">
        <f>IF(テーブル22[[#This Row],[上体]]="",0,(IF(テーブル22[[#This Row],[性別]]="男",LOOKUP(テーブル22[[#This Row],[上体]],$AJ$6:$AK$15),LOOKUP(テーブル22[[#This Row],[上体]],$AJ$20:$AK$29))))</f>
        <v>0</v>
      </c>
      <c r="T102" s="42">
        <f>IF(テーブル22[[#This Row],[長座]]="",0,(IF(テーブル22[[#This Row],[性別]]="男",LOOKUP(テーブル22[[#This Row],[長座]],$AL$6:$AM$15),LOOKUP(テーブル22[[#This Row],[長座]],$AL$20:$AM$29))))</f>
        <v>0</v>
      </c>
      <c r="U102" s="42">
        <f>IF(テーブル22[[#This Row],[反復]]="",0,(IF(テーブル22[[#This Row],[性別]]="男",LOOKUP(テーブル22[[#This Row],[反復]],$AN$6:$AO$15),LOOKUP(テーブル22[[#This Row],[反復]],$AN$20:$AO$29))))</f>
        <v>0</v>
      </c>
      <c r="V102" s="42">
        <f>IF(テーブル22[[#This Row],[ｼｬﾄﾙﾗﾝ]]="",0,(IF(テーブル22[[#This Row],[性別]]="男",LOOKUP(テーブル22[[#This Row],[ｼｬﾄﾙﾗﾝ]],$AR$6:$AS$15),LOOKUP(テーブル22[[#This Row],[ｼｬﾄﾙﾗﾝ]],$AR$20:$AS$29))))</f>
        <v>0</v>
      </c>
      <c r="W102" s="42">
        <f>IF(テーブル22[[#This Row],[50m走]]="",0,(IF(テーブル22[[#This Row],[性別]]="男",LOOKUP(テーブル22[[#This Row],[50m走]],$AT$6:$AU$15),LOOKUP(テーブル22[[#This Row],[50m走]],$AT$20:$AU$29))))</f>
        <v>0</v>
      </c>
      <c r="X102" s="42">
        <f>IF(テーブル22[[#This Row],[立幅とび]]="",0,(IF(テーブル22[[#This Row],[性別]]="男",LOOKUP(テーブル22[[#This Row],[立幅とび]],$AV$6:$AW$15),LOOKUP(テーブル22[[#This Row],[立幅とび]],$AV$20:$AW$29))))</f>
        <v>0</v>
      </c>
      <c r="Y102" s="42">
        <f>IF(テーブル22[[#This Row],[ボール投げ]]="",0,(IF(テーブル22[[#This Row],[性別]]="男",LOOKUP(テーブル22[[#This Row],[ボール投げ]],$AX$6:$AY$15),LOOKUP(テーブル22[[#This Row],[ボール投げ]],$AX$20:$AY$29))))</f>
        <v>0</v>
      </c>
      <c r="Z102" s="19" t="str">
        <f>IF(テーブル22[[#This Row],[学年]]=1,6,IF(テーブル22[[#This Row],[学年]]=2,7,IF(テーブル22[[#This Row],[学年]]=3,8,IF(テーブル22[[#This Row],[学年]]=4,9,IF(テーブル22[[#This Row],[学年]]=5,10,IF(テーブル22[[#This Row],[学年]]=6,11," "))))))</f>
        <v xml:space="preserve"> </v>
      </c>
      <c r="AA102" s="125" t="str">
        <f>IF(テーブル22[[#This Row],[肥満度数値]]="","",LOOKUP(AC102,$AW$39:$AW$44,$AX$39:$AX$44))</f>
        <v/>
      </c>
      <c r="AB1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2" s="124" t="str">
        <f>IF(テーブル22[[#This Row],[体重]]="","",(テーブル22[[#This Row],[体重]]-テーブル22[[#This Row],[標準体重]])/テーブル22[[#This Row],[標準体重]]*100)</f>
        <v/>
      </c>
      <c r="AD102" s="1">
        <f>COUNTA(テーブル22[[#This Row],[握力]:[ボール投げ]])</f>
        <v>0</v>
      </c>
      <c r="AE102" s="1" t="str">
        <f>IF(テーブル22[[#This Row],[判定]]=$BD$10,"○","")</f>
        <v/>
      </c>
      <c r="AF102" s="1" t="str">
        <f>IF(AE102="","",COUNTIF($AE$6:AE102,"○"))</f>
        <v/>
      </c>
    </row>
    <row r="103" spans="1:32" x14ac:dyDescent="0.2">
      <c r="A103" s="40">
        <v>98</v>
      </c>
      <c r="B103" s="145"/>
      <c r="C103" s="148"/>
      <c r="D103" s="145"/>
      <c r="E103" s="156"/>
      <c r="F103" s="145"/>
      <c r="G103" s="145"/>
      <c r="H103" s="146"/>
      <c r="I103" s="146"/>
      <c r="J103" s="148"/>
      <c r="K103" s="145"/>
      <c r="L103" s="148"/>
      <c r="M103" s="149"/>
      <c r="N103" s="148"/>
      <c r="O103" s="150"/>
      <c r="P1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3" s="43" t="str">
        <f>IF(テーブル22[[#This Row],[得点]]="","",IF(テーブル22[[#This Row],[年齢]]&gt;10,LOOKUP(P103,$BG$6:$BG$10,$BD$6:$BD$10),IF(テーブル22[[#This Row],[年齢]]&gt;9,LOOKUP(P103,$BF$6:$BF$10,$BD$6:$BD$10),IF(テーブル22[[#This Row],[年齢]]&gt;8,LOOKUP(P103,$BE$6:$BE$10,$BD$6:$BD$10),IF(テーブル22[[#This Row],[年齢]]&gt;7,LOOKUP(P103,$BC$6:$BC$10,$BD$6:$BD$10),IF(テーブル22[[#This Row],[年齢]]&gt;6,LOOKUP(P103,$BB$6:$BB$10,$BD$6:$BD$10),LOOKUP(P103,$BA$6:$BA$10,$BD$6:$BD$10)))))))</f>
        <v/>
      </c>
      <c r="R103" s="42">
        <f>IF(H103="",0,(IF(テーブル22[[#This Row],[性別]]="男",LOOKUP(テーブル22[[#This Row],[握力]],$AH$6:$AI$15),LOOKUP(テーブル22[[#This Row],[握力]],$AH$20:$AI$29))))</f>
        <v>0</v>
      </c>
      <c r="S103" s="42">
        <f>IF(テーブル22[[#This Row],[上体]]="",0,(IF(テーブル22[[#This Row],[性別]]="男",LOOKUP(テーブル22[[#This Row],[上体]],$AJ$6:$AK$15),LOOKUP(テーブル22[[#This Row],[上体]],$AJ$20:$AK$29))))</f>
        <v>0</v>
      </c>
      <c r="T103" s="42">
        <f>IF(テーブル22[[#This Row],[長座]]="",0,(IF(テーブル22[[#This Row],[性別]]="男",LOOKUP(テーブル22[[#This Row],[長座]],$AL$6:$AM$15),LOOKUP(テーブル22[[#This Row],[長座]],$AL$20:$AM$29))))</f>
        <v>0</v>
      </c>
      <c r="U103" s="42">
        <f>IF(テーブル22[[#This Row],[反復]]="",0,(IF(テーブル22[[#This Row],[性別]]="男",LOOKUP(テーブル22[[#This Row],[反復]],$AN$6:$AO$15),LOOKUP(テーブル22[[#This Row],[反復]],$AN$20:$AO$29))))</f>
        <v>0</v>
      </c>
      <c r="V103" s="42">
        <f>IF(テーブル22[[#This Row],[ｼｬﾄﾙﾗﾝ]]="",0,(IF(テーブル22[[#This Row],[性別]]="男",LOOKUP(テーブル22[[#This Row],[ｼｬﾄﾙﾗﾝ]],$AR$6:$AS$15),LOOKUP(テーブル22[[#This Row],[ｼｬﾄﾙﾗﾝ]],$AR$20:$AS$29))))</f>
        <v>0</v>
      </c>
      <c r="W103" s="42">
        <f>IF(テーブル22[[#This Row],[50m走]]="",0,(IF(テーブル22[[#This Row],[性別]]="男",LOOKUP(テーブル22[[#This Row],[50m走]],$AT$6:$AU$15),LOOKUP(テーブル22[[#This Row],[50m走]],$AT$20:$AU$29))))</f>
        <v>0</v>
      </c>
      <c r="X103" s="42">
        <f>IF(テーブル22[[#This Row],[立幅とび]]="",0,(IF(テーブル22[[#This Row],[性別]]="男",LOOKUP(テーブル22[[#This Row],[立幅とび]],$AV$6:$AW$15),LOOKUP(テーブル22[[#This Row],[立幅とび]],$AV$20:$AW$29))))</f>
        <v>0</v>
      </c>
      <c r="Y103" s="42">
        <f>IF(テーブル22[[#This Row],[ボール投げ]]="",0,(IF(テーブル22[[#This Row],[性別]]="男",LOOKUP(テーブル22[[#This Row],[ボール投げ]],$AX$6:$AY$15),LOOKUP(テーブル22[[#This Row],[ボール投げ]],$AX$20:$AY$29))))</f>
        <v>0</v>
      </c>
      <c r="Z103" s="19" t="str">
        <f>IF(テーブル22[[#This Row],[学年]]=1,6,IF(テーブル22[[#This Row],[学年]]=2,7,IF(テーブル22[[#This Row],[学年]]=3,8,IF(テーブル22[[#This Row],[学年]]=4,9,IF(テーブル22[[#This Row],[学年]]=5,10,IF(テーブル22[[#This Row],[学年]]=6,11," "))))))</f>
        <v xml:space="preserve"> </v>
      </c>
      <c r="AA103" s="125" t="str">
        <f>IF(テーブル22[[#This Row],[肥満度数値]]="","",LOOKUP(AC103,$AW$39:$AW$44,$AX$39:$AX$44))</f>
        <v/>
      </c>
      <c r="AB1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3" s="124" t="str">
        <f>IF(テーブル22[[#This Row],[体重]]="","",(テーブル22[[#This Row],[体重]]-テーブル22[[#This Row],[標準体重]])/テーブル22[[#This Row],[標準体重]]*100)</f>
        <v/>
      </c>
      <c r="AD103" s="1">
        <f>COUNTA(テーブル22[[#This Row],[握力]:[ボール投げ]])</f>
        <v>0</v>
      </c>
      <c r="AE103" s="1" t="str">
        <f>IF(テーブル22[[#This Row],[判定]]=$BD$10,"○","")</f>
        <v/>
      </c>
      <c r="AF103" s="1" t="str">
        <f>IF(AE103="","",COUNTIF($AE$6:AE103,"○"))</f>
        <v/>
      </c>
    </row>
    <row r="104" spans="1:32" x14ac:dyDescent="0.2">
      <c r="A104" s="40">
        <v>99</v>
      </c>
      <c r="B104" s="145"/>
      <c r="C104" s="148"/>
      <c r="D104" s="145"/>
      <c r="E104" s="156"/>
      <c r="F104" s="145"/>
      <c r="G104" s="145"/>
      <c r="H104" s="146"/>
      <c r="I104" s="146"/>
      <c r="J104" s="148"/>
      <c r="K104" s="145"/>
      <c r="L104" s="148"/>
      <c r="M104" s="149"/>
      <c r="N104" s="148"/>
      <c r="O104" s="150"/>
      <c r="P1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4" s="43" t="str">
        <f>IF(テーブル22[[#This Row],[得点]]="","",IF(テーブル22[[#This Row],[年齢]]&gt;10,LOOKUP(P104,$BG$6:$BG$10,$BD$6:$BD$10),IF(テーブル22[[#This Row],[年齢]]&gt;9,LOOKUP(P104,$BF$6:$BF$10,$BD$6:$BD$10),IF(テーブル22[[#This Row],[年齢]]&gt;8,LOOKUP(P104,$BE$6:$BE$10,$BD$6:$BD$10),IF(テーブル22[[#This Row],[年齢]]&gt;7,LOOKUP(P104,$BC$6:$BC$10,$BD$6:$BD$10),IF(テーブル22[[#This Row],[年齢]]&gt;6,LOOKUP(P104,$BB$6:$BB$10,$BD$6:$BD$10),LOOKUP(P104,$BA$6:$BA$10,$BD$6:$BD$10)))))))</f>
        <v/>
      </c>
      <c r="R104" s="42">
        <f>IF(H104="",0,(IF(テーブル22[[#This Row],[性別]]="男",LOOKUP(テーブル22[[#This Row],[握力]],$AH$6:$AI$15),LOOKUP(テーブル22[[#This Row],[握力]],$AH$20:$AI$29))))</f>
        <v>0</v>
      </c>
      <c r="S104" s="42">
        <f>IF(テーブル22[[#This Row],[上体]]="",0,(IF(テーブル22[[#This Row],[性別]]="男",LOOKUP(テーブル22[[#This Row],[上体]],$AJ$6:$AK$15),LOOKUP(テーブル22[[#This Row],[上体]],$AJ$20:$AK$29))))</f>
        <v>0</v>
      </c>
      <c r="T104" s="42">
        <f>IF(テーブル22[[#This Row],[長座]]="",0,(IF(テーブル22[[#This Row],[性別]]="男",LOOKUP(テーブル22[[#This Row],[長座]],$AL$6:$AM$15),LOOKUP(テーブル22[[#This Row],[長座]],$AL$20:$AM$29))))</f>
        <v>0</v>
      </c>
      <c r="U104" s="42">
        <f>IF(テーブル22[[#This Row],[反復]]="",0,(IF(テーブル22[[#This Row],[性別]]="男",LOOKUP(テーブル22[[#This Row],[反復]],$AN$6:$AO$15),LOOKUP(テーブル22[[#This Row],[反復]],$AN$20:$AO$29))))</f>
        <v>0</v>
      </c>
      <c r="V104" s="42">
        <f>IF(テーブル22[[#This Row],[ｼｬﾄﾙﾗﾝ]]="",0,(IF(テーブル22[[#This Row],[性別]]="男",LOOKUP(テーブル22[[#This Row],[ｼｬﾄﾙﾗﾝ]],$AR$6:$AS$15),LOOKUP(テーブル22[[#This Row],[ｼｬﾄﾙﾗﾝ]],$AR$20:$AS$29))))</f>
        <v>0</v>
      </c>
      <c r="W104" s="42">
        <f>IF(テーブル22[[#This Row],[50m走]]="",0,(IF(テーブル22[[#This Row],[性別]]="男",LOOKUP(テーブル22[[#This Row],[50m走]],$AT$6:$AU$15),LOOKUP(テーブル22[[#This Row],[50m走]],$AT$20:$AU$29))))</f>
        <v>0</v>
      </c>
      <c r="X104" s="42">
        <f>IF(テーブル22[[#This Row],[立幅とび]]="",0,(IF(テーブル22[[#This Row],[性別]]="男",LOOKUP(テーブル22[[#This Row],[立幅とび]],$AV$6:$AW$15),LOOKUP(テーブル22[[#This Row],[立幅とび]],$AV$20:$AW$29))))</f>
        <v>0</v>
      </c>
      <c r="Y104" s="42">
        <f>IF(テーブル22[[#This Row],[ボール投げ]]="",0,(IF(テーブル22[[#This Row],[性別]]="男",LOOKUP(テーブル22[[#This Row],[ボール投げ]],$AX$6:$AY$15),LOOKUP(テーブル22[[#This Row],[ボール投げ]],$AX$20:$AY$29))))</f>
        <v>0</v>
      </c>
      <c r="Z104" s="19" t="str">
        <f>IF(テーブル22[[#This Row],[学年]]=1,6,IF(テーブル22[[#This Row],[学年]]=2,7,IF(テーブル22[[#This Row],[学年]]=3,8,IF(テーブル22[[#This Row],[学年]]=4,9,IF(テーブル22[[#This Row],[学年]]=5,10,IF(テーブル22[[#This Row],[学年]]=6,11," "))))))</f>
        <v xml:space="preserve"> </v>
      </c>
      <c r="AA104" s="125" t="str">
        <f>IF(テーブル22[[#This Row],[肥満度数値]]="","",LOOKUP(AC104,$AW$39:$AW$44,$AX$39:$AX$44))</f>
        <v/>
      </c>
      <c r="AB1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4" s="124" t="str">
        <f>IF(テーブル22[[#This Row],[体重]]="","",(テーブル22[[#This Row],[体重]]-テーブル22[[#This Row],[標準体重]])/テーブル22[[#This Row],[標準体重]]*100)</f>
        <v/>
      </c>
      <c r="AD104" s="1">
        <f>COUNTA(テーブル22[[#This Row],[握力]:[ボール投げ]])</f>
        <v>0</v>
      </c>
      <c r="AE104" s="1" t="str">
        <f>IF(テーブル22[[#This Row],[判定]]=$BD$10,"○","")</f>
        <v/>
      </c>
      <c r="AF104" s="1" t="str">
        <f>IF(AE104="","",COUNTIF($AE$6:AE104,"○"))</f>
        <v/>
      </c>
    </row>
    <row r="105" spans="1:32" x14ac:dyDescent="0.2">
      <c r="A105" s="40">
        <v>100</v>
      </c>
      <c r="B105" s="145"/>
      <c r="C105" s="148"/>
      <c r="D105" s="145"/>
      <c r="E105" s="156"/>
      <c r="F105" s="145"/>
      <c r="G105" s="145"/>
      <c r="H105" s="146"/>
      <c r="I105" s="146"/>
      <c r="J105" s="148"/>
      <c r="K105" s="145"/>
      <c r="L105" s="148"/>
      <c r="M105" s="149"/>
      <c r="N105" s="148"/>
      <c r="O105" s="150"/>
      <c r="P1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5" s="43" t="str">
        <f>IF(テーブル22[[#This Row],[得点]]="","",IF(テーブル22[[#This Row],[年齢]]&gt;10,LOOKUP(P105,$BG$6:$BG$10,$BD$6:$BD$10),IF(テーブル22[[#This Row],[年齢]]&gt;9,LOOKUP(P105,$BF$6:$BF$10,$BD$6:$BD$10),IF(テーブル22[[#This Row],[年齢]]&gt;8,LOOKUP(P105,$BE$6:$BE$10,$BD$6:$BD$10),IF(テーブル22[[#This Row],[年齢]]&gt;7,LOOKUP(P105,$BC$6:$BC$10,$BD$6:$BD$10),IF(テーブル22[[#This Row],[年齢]]&gt;6,LOOKUP(P105,$BB$6:$BB$10,$BD$6:$BD$10),LOOKUP(P105,$BA$6:$BA$10,$BD$6:$BD$10)))))))</f>
        <v/>
      </c>
      <c r="R105" s="42">
        <f>IF(H105="",0,(IF(テーブル22[[#This Row],[性別]]="男",LOOKUP(テーブル22[[#This Row],[握力]],$AH$6:$AI$15),LOOKUP(テーブル22[[#This Row],[握力]],$AH$20:$AI$29))))</f>
        <v>0</v>
      </c>
      <c r="S105" s="42">
        <f>IF(テーブル22[[#This Row],[上体]]="",0,(IF(テーブル22[[#This Row],[性別]]="男",LOOKUP(テーブル22[[#This Row],[上体]],$AJ$6:$AK$15),LOOKUP(テーブル22[[#This Row],[上体]],$AJ$20:$AK$29))))</f>
        <v>0</v>
      </c>
      <c r="T105" s="42">
        <f>IF(テーブル22[[#This Row],[長座]]="",0,(IF(テーブル22[[#This Row],[性別]]="男",LOOKUP(テーブル22[[#This Row],[長座]],$AL$6:$AM$15),LOOKUP(テーブル22[[#This Row],[長座]],$AL$20:$AM$29))))</f>
        <v>0</v>
      </c>
      <c r="U105" s="42">
        <f>IF(テーブル22[[#This Row],[反復]]="",0,(IF(テーブル22[[#This Row],[性別]]="男",LOOKUP(テーブル22[[#This Row],[反復]],$AN$6:$AO$15),LOOKUP(テーブル22[[#This Row],[反復]],$AN$20:$AO$29))))</f>
        <v>0</v>
      </c>
      <c r="V105" s="42">
        <f>IF(テーブル22[[#This Row],[ｼｬﾄﾙﾗﾝ]]="",0,(IF(テーブル22[[#This Row],[性別]]="男",LOOKUP(テーブル22[[#This Row],[ｼｬﾄﾙﾗﾝ]],$AR$6:$AS$15),LOOKUP(テーブル22[[#This Row],[ｼｬﾄﾙﾗﾝ]],$AR$20:$AS$29))))</f>
        <v>0</v>
      </c>
      <c r="W105" s="42">
        <f>IF(テーブル22[[#This Row],[50m走]]="",0,(IF(テーブル22[[#This Row],[性別]]="男",LOOKUP(テーブル22[[#This Row],[50m走]],$AT$6:$AU$15),LOOKUP(テーブル22[[#This Row],[50m走]],$AT$20:$AU$29))))</f>
        <v>0</v>
      </c>
      <c r="X105" s="42">
        <f>IF(テーブル22[[#This Row],[立幅とび]]="",0,(IF(テーブル22[[#This Row],[性別]]="男",LOOKUP(テーブル22[[#This Row],[立幅とび]],$AV$6:$AW$15),LOOKUP(テーブル22[[#This Row],[立幅とび]],$AV$20:$AW$29))))</f>
        <v>0</v>
      </c>
      <c r="Y105" s="42">
        <f>IF(テーブル22[[#This Row],[ボール投げ]]="",0,(IF(テーブル22[[#This Row],[性別]]="男",LOOKUP(テーブル22[[#This Row],[ボール投げ]],$AX$6:$AY$15),LOOKUP(テーブル22[[#This Row],[ボール投げ]],$AX$20:$AY$29))))</f>
        <v>0</v>
      </c>
      <c r="Z105" s="19" t="str">
        <f>IF(テーブル22[[#This Row],[学年]]=1,6,IF(テーブル22[[#This Row],[学年]]=2,7,IF(テーブル22[[#This Row],[学年]]=3,8,IF(テーブル22[[#This Row],[学年]]=4,9,IF(テーブル22[[#This Row],[学年]]=5,10,IF(テーブル22[[#This Row],[学年]]=6,11," "))))))</f>
        <v xml:space="preserve"> </v>
      </c>
      <c r="AA105" s="125" t="str">
        <f>IF(テーブル22[[#This Row],[肥満度数値]]="","",LOOKUP(AC105,$AW$39:$AW$44,$AX$39:$AX$44))</f>
        <v/>
      </c>
      <c r="AB1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5" s="124" t="str">
        <f>IF(テーブル22[[#This Row],[体重]]="","",(テーブル22[[#This Row],[体重]]-テーブル22[[#This Row],[標準体重]])/テーブル22[[#This Row],[標準体重]]*100)</f>
        <v/>
      </c>
      <c r="AD105" s="1">
        <f>COUNTA(テーブル22[[#This Row],[握力]:[ボール投げ]])</f>
        <v>0</v>
      </c>
      <c r="AE105" s="1" t="str">
        <f>IF(テーブル22[[#This Row],[判定]]=$BD$10,"○","")</f>
        <v/>
      </c>
      <c r="AF105" s="1" t="str">
        <f>IF(AE105="","",COUNTIF($AE$6:AE105,"○"))</f>
        <v/>
      </c>
    </row>
    <row r="106" spans="1:32" x14ac:dyDescent="0.2">
      <c r="A106" s="40">
        <v>101</v>
      </c>
      <c r="B106" s="145"/>
      <c r="C106" s="148"/>
      <c r="D106" s="145"/>
      <c r="E106" s="156"/>
      <c r="F106" s="145"/>
      <c r="G106" s="145"/>
      <c r="H106" s="146"/>
      <c r="I106" s="146"/>
      <c r="J106" s="148"/>
      <c r="K106" s="145"/>
      <c r="L106" s="148"/>
      <c r="M106" s="149"/>
      <c r="N106" s="148"/>
      <c r="O106" s="150"/>
      <c r="P1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6" s="43" t="str">
        <f>IF(テーブル22[[#This Row],[得点]]="","",IF(テーブル22[[#This Row],[年齢]]&gt;10,LOOKUP(P106,$BG$6:$BG$10,$BD$6:$BD$10),IF(テーブル22[[#This Row],[年齢]]&gt;9,LOOKUP(P106,$BF$6:$BF$10,$BD$6:$BD$10),IF(テーブル22[[#This Row],[年齢]]&gt;8,LOOKUP(P106,$BE$6:$BE$10,$BD$6:$BD$10),IF(テーブル22[[#This Row],[年齢]]&gt;7,LOOKUP(P106,$BC$6:$BC$10,$BD$6:$BD$10),IF(テーブル22[[#This Row],[年齢]]&gt;6,LOOKUP(P106,$BB$6:$BB$10,$BD$6:$BD$10),LOOKUP(P106,$BA$6:$BA$10,$BD$6:$BD$10)))))))</f>
        <v/>
      </c>
      <c r="R106" s="42">
        <f>IF(H106="",0,(IF(テーブル22[[#This Row],[性別]]="男",LOOKUP(テーブル22[[#This Row],[握力]],$AH$6:$AI$15),LOOKUP(テーブル22[[#This Row],[握力]],$AH$20:$AI$29))))</f>
        <v>0</v>
      </c>
      <c r="S106" s="42">
        <f>IF(テーブル22[[#This Row],[上体]]="",0,(IF(テーブル22[[#This Row],[性別]]="男",LOOKUP(テーブル22[[#This Row],[上体]],$AJ$6:$AK$15),LOOKUP(テーブル22[[#This Row],[上体]],$AJ$20:$AK$29))))</f>
        <v>0</v>
      </c>
      <c r="T106" s="42">
        <f>IF(テーブル22[[#This Row],[長座]]="",0,(IF(テーブル22[[#This Row],[性別]]="男",LOOKUP(テーブル22[[#This Row],[長座]],$AL$6:$AM$15),LOOKUP(テーブル22[[#This Row],[長座]],$AL$20:$AM$29))))</f>
        <v>0</v>
      </c>
      <c r="U106" s="42">
        <f>IF(テーブル22[[#This Row],[反復]]="",0,(IF(テーブル22[[#This Row],[性別]]="男",LOOKUP(テーブル22[[#This Row],[反復]],$AN$6:$AO$15),LOOKUP(テーブル22[[#This Row],[反復]],$AN$20:$AO$29))))</f>
        <v>0</v>
      </c>
      <c r="V106" s="42">
        <f>IF(テーブル22[[#This Row],[ｼｬﾄﾙﾗﾝ]]="",0,(IF(テーブル22[[#This Row],[性別]]="男",LOOKUP(テーブル22[[#This Row],[ｼｬﾄﾙﾗﾝ]],$AR$6:$AS$15),LOOKUP(テーブル22[[#This Row],[ｼｬﾄﾙﾗﾝ]],$AR$20:$AS$29))))</f>
        <v>0</v>
      </c>
      <c r="W106" s="42">
        <f>IF(テーブル22[[#This Row],[50m走]]="",0,(IF(テーブル22[[#This Row],[性別]]="男",LOOKUP(テーブル22[[#This Row],[50m走]],$AT$6:$AU$15),LOOKUP(テーブル22[[#This Row],[50m走]],$AT$20:$AU$29))))</f>
        <v>0</v>
      </c>
      <c r="X106" s="42">
        <f>IF(テーブル22[[#This Row],[立幅とび]]="",0,(IF(テーブル22[[#This Row],[性別]]="男",LOOKUP(テーブル22[[#This Row],[立幅とび]],$AV$6:$AW$15),LOOKUP(テーブル22[[#This Row],[立幅とび]],$AV$20:$AW$29))))</f>
        <v>0</v>
      </c>
      <c r="Y106" s="42">
        <f>IF(テーブル22[[#This Row],[ボール投げ]]="",0,(IF(テーブル22[[#This Row],[性別]]="男",LOOKUP(テーブル22[[#This Row],[ボール投げ]],$AX$6:$AY$15),LOOKUP(テーブル22[[#This Row],[ボール投げ]],$AX$20:$AY$29))))</f>
        <v>0</v>
      </c>
      <c r="Z106" s="19" t="str">
        <f>IF(テーブル22[[#This Row],[学年]]=1,6,IF(テーブル22[[#This Row],[学年]]=2,7,IF(テーブル22[[#This Row],[学年]]=3,8,IF(テーブル22[[#This Row],[学年]]=4,9,IF(テーブル22[[#This Row],[学年]]=5,10,IF(テーブル22[[#This Row],[学年]]=6,11," "))))))</f>
        <v xml:space="preserve"> </v>
      </c>
      <c r="AA106" s="125" t="str">
        <f>IF(テーブル22[[#This Row],[肥満度数値]]="","",LOOKUP(AC106,$AW$39:$AW$44,$AX$39:$AX$44))</f>
        <v/>
      </c>
      <c r="AB1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6" s="124" t="str">
        <f>IF(テーブル22[[#This Row],[体重]]="","",(テーブル22[[#This Row],[体重]]-テーブル22[[#This Row],[標準体重]])/テーブル22[[#This Row],[標準体重]]*100)</f>
        <v/>
      </c>
      <c r="AD106" s="1">
        <f>COUNTA(テーブル22[[#This Row],[握力]:[ボール投げ]])</f>
        <v>0</v>
      </c>
      <c r="AE106" s="1" t="str">
        <f>IF(テーブル22[[#This Row],[判定]]=$BD$10,"○","")</f>
        <v/>
      </c>
      <c r="AF106" s="1" t="str">
        <f>IF(AE106="","",COUNTIF($AE$6:AE106,"○"))</f>
        <v/>
      </c>
    </row>
    <row r="107" spans="1:32" x14ac:dyDescent="0.2">
      <c r="A107" s="40">
        <v>102</v>
      </c>
      <c r="B107" s="145"/>
      <c r="C107" s="148"/>
      <c r="D107" s="145"/>
      <c r="E107" s="156"/>
      <c r="F107" s="145"/>
      <c r="G107" s="145"/>
      <c r="H107" s="146"/>
      <c r="I107" s="146"/>
      <c r="J107" s="148"/>
      <c r="K107" s="145"/>
      <c r="L107" s="148"/>
      <c r="M107" s="149"/>
      <c r="N107" s="148"/>
      <c r="O107" s="150"/>
      <c r="P1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7" s="43" t="str">
        <f>IF(テーブル22[[#This Row],[得点]]="","",IF(テーブル22[[#This Row],[年齢]]&gt;10,LOOKUP(P107,$BG$6:$BG$10,$BD$6:$BD$10),IF(テーブル22[[#This Row],[年齢]]&gt;9,LOOKUP(P107,$BF$6:$BF$10,$BD$6:$BD$10),IF(テーブル22[[#This Row],[年齢]]&gt;8,LOOKUP(P107,$BE$6:$BE$10,$BD$6:$BD$10),IF(テーブル22[[#This Row],[年齢]]&gt;7,LOOKUP(P107,$BC$6:$BC$10,$BD$6:$BD$10),IF(テーブル22[[#This Row],[年齢]]&gt;6,LOOKUP(P107,$BB$6:$BB$10,$BD$6:$BD$10),LOOKUP(P107,$BA$6:$BA$10,$BD$6:$BD$10)))))))</f>
        <v/>
      </c>
      <c r="R107" s="42">
        <f>IF(H107="",0,(IF(テーブル22[[#This Row],[性別]]="男",LOOKUP(テーブル22[[#This Row],[握力]],$AH$6:$AI$15),LOOKUP(テーブル22[[#This Row],[握力]],$AH$20:$AI$29))))</f>
        <v>0</v>
      </c>
      <c r="S107" s="42">
        <f>IF(テーブル22[[#This Row],[上体]]="",0,(IF(テーブル22[[#This Row],[性別]]="男",LOOKUP(テーブル22[[#This Row],[上体]],$AJ$6:$AK$15),LOOKUP(テーブル22[[#This Row],[上体]],$AJ$20:$AK$29))))</f>
        <v>0</v>
      </c>
      <c r="T107" s="42">
        <f>IF(テーブル22[[#This Row],[長座]]="",0,(IF(テーブル22[[#This Row],[性別]]="男",LOOKUP(テーブル22[[#This Row],[長座]],$AL$6:$AM$15),LOOKUP(テーブル22[[#This Row],[長座]],$AL$20:$AM$29))))</f>
        <v>0</v>
      </c>
      <c r="U107" s="42">
        <f>IF(テーブル22[[#This Row],[反復]]="",0,(IF(テーブル22[[#This Row],[性別]]="男",LOOKUP(テーブル22[[#This Row],[反復]],$AN$6:$AO$15),LOOKUP(テーブル22[[#This Row],[反復]],$AN$20:$AO$29))))</f>
        <v>0</v>
      </c>
      <c r="V107" s="42">
        <f>IF(テーブル22[[#This Row],[ｼｬﾄﾙﾗﾝ]]="",0,(IF(テーブル22[[#This Row],[性別]]="男",LOOKUP(テーブル22[[#This Row],[ｼｬﾄﾙﾗﾝ]],$AR$6:$AS$15),LOOKUP(テーブル22[[#This Row],[ｼｬﾄﾙﾗﾝ]],$AR$20:$AS$29))))</f>
        <v>0</v>
      </c>
      <c r="W107" s="42">
        <f>IF(テーブル22[[#This Row],[50m走]]="",0,(IF(テーブル22[[#This Row],[性別]]="男",LOOKUP(テーブル22[[#This Row],[50m走]],$AT$6:$AU$15),LOOKUP(テーブル22[[#This Row],[50m走]],$AT$20:$AU$29))))</f>
        <v>0</v>
      </c>
      <c r="X107" s="42">
        <f>IF(テーブル22[[#This Row],[立幅とび]]="",0,(IF(テーブル22[[#This Row],[性別]]="男",LOOKUP(テーブル22[[#This Row],[立幅とび]],$AV$6:$AW$15),LOOKUP(テーブル22[[#This Row],[立幅とび]],$AV$20:$AW$29))))</f>
        <v>0</v>
      </c>
      <c r="Y107" s="42">
        <f>IF(テーブル22[[#This Row],[ボール投げ]]="",0,(IF(テーブル22[[#This Row],[性別]]="男",LOOKUP(テーブル22[[#This Row],[ボール投げ]],$AX$6:$AY$15),LOOKUP(テーブル22[[#This Row],[ボール投げ]],$AX$20:$AY$29))))</f>
        <v>0</v>
      </c>
      <c r="Z107" s="19" t="str">
        <f>IF(テーブル22[[#This Row],[学年]]=1,6,IF(テーブル22[[#This Row],[学年]]=2,7,IF(テーブル22[[#This Row],[学年]]=3,8,IF(テーブル22[[#This Row],[学年]]=4,9,IF(テーブル22[[#This Row],[学年]]=5,10,IF(テーブル22[[#This Row],[学年]]=6,11," "))))))</f>
        <v xml:space="preserve"> </v>
      </c>
      <c r="AA107" s="125" t="str">
        <f>IF(テーブル22[[#This Row],[肥満度数値]]="","",LOOKUP(AC107,$AW$39:$AW$44,$AX$39:$AX$44))</f>
        <v/>
      </c>
      <c r="AB1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7" s="124" t="str">
        <f>IF(テーブル22[[#This Row],[体重]]="","",(テーブル22[[#This Row],[体重]]-テーブル22[[#This Row],[標準体重]])/テーブル22[[#This Row],[標準体重]]*100)</f>
        <v/>
      </c>
      <c r="AD107" s="1">
        <f>COUNTA(テーブル22[[#This Row],[握力]:[ボール投げ]])</f>
        <v>0</v>
      </c>
      <c r="AE107" s="1" t="str">
        <f>IF(テーブル22[[#This Row],[判定]]=$BD$10,"○","")</f>
        <v/>
      </c>
      <c r="AF107" s="1" t="str">
        <f>IF(AE107="","",COUNTIF($AE$6:AE107,"○"))</f>
        <v/>
      </c>
    </row>
    <row r="108" spans="1:32" x14ac:dyDescent="0.2">
      <c r="A108" s="40">
        <v>103</v>
      </c>
      <c r="B108" s="145"/>
      <c r="C108" s="148"/>
      <c r="D108" s="145"/>
      <c r="E108" s="156"/>
      <c r="F108" s="145"/>
      <c r="G108" s="145"/>
      <c r="H108" s="146"/>
      <c r="I108" s="146"/>
      <c r="J108" s="148"/>
      <c r="K108" s="145"/>
      <c r="L108" s="148"/>
      <c r="M108" s="149"/>
      <c r="N108" s="148"/>
      <c r="O108" s="150"/>
      <c r="P1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8" s="43" t="str">
        <f>IF(テーブル22[[#This Row],[得点]]="","",IF(テーブル22[[#This Row],[年齢]]&gt;10,LOOKUP(P108,$BG$6:$BG$10,$BD$6:$BD$10),IF(テーブル22[[#This Row],[年齢]]&gt;9,LOOKUP(P108,$BF$6:$BF$10,$BD$6:$BD$10),IF(テーブル22[[#This Row],[年齢]]&gt;8,LOOKUP(P108,$BE$6:$BE$10,$BD$6:$BD$10),IF(テーブル22[[#This Row],[年齢]]&gt;7,LOOKUP(P108,$BC$6:$BC$10,$BD$6:$BD$10),IF(テーブル22[[#This Row],[年齢]]&gt;6,LOOKUP(P108,$BB$6:$BB$10,$BD$6:$BD$10),LOOKUP(P108,$BA$6:$BA$10,$BD$6:$BD$10)))))))</f>
        <v/>
      </c>
      <c r="R108" s="42">
        <f>IF(H108="",0,(IF(テーブル22[[#This Row],[性別]]="男",LOOKUP(テーブル22[[#This Row],[握力]],$AH$6:$AI$15),LOOKUP(テーブル22[[#This Row],[握力]],$AH$20:$AI$29))))</f>
        <v>0</v>
      </c>
      <c r="S108" s="42">
        <f>IF(テーブル22[[#This Row],[上体]]="",0,(IF(テーブル22[[#This Row],[性別]]="男",LOOKUP(テーブル22[[#This Row],[上体]],$AJ$6:$AK$15),LOOKUP(テーブル22[[#This Row],[上体]],$AJ$20:$AK$29))))</f>
        <v>0</v>
      </c>
      <c r="T108" s="42">
        <f>IF(テーブル22[[#This Row],[長座]]="",0,(IF(テーブル22[[#This Row],[性別]]="男",LOOKUP(テーブル22[[#This Row],[長座]],$AL$6:$AM$15),LOOKUP(テーブル22[[#This Row],[長座]],$AL$20:$AM$29))))</f>
        <v>0</v>
      </c>
      <c r="U108" s="42">
        <f>IF(テーブル22[[#This Row],[反復]]="",0,(IF(テーブル22[[#This Row],[性別]]="男",LOOKUP(テーブル22[[#This Row],[反復]],$AN$6:$AO$15),LOOKUP(テーブル22[[#This Row],[反復]],$AN$20:$AO$29))))</f>
        <v>0</v>
      </c>
      <c r="V108" s="42">
        <f>IF(テーブル22[[#This Row],[ｼｬﾄﾙﾗﾝ]]="",0,(IF(テーブル22[[#This Row],[性別]]="男",LOOKUP(テーブル22[[#This Row],[ｼｬﾄﾙﾗﾝ]],$AR$6:$AS$15),LOOKUP(テーブル22[[#This Row],[ｼｬﾄﾙﾗﾝ]],$AR$20:$AS$29))))</f>
        <v>0</v>
      </c>
      <c r="W108" s="42">
        <f>IF(テーブル22[[#This Row],[50m走]]="",0,(IF(テーブル22[[#This Row],[性別]]="男",LOOKUP(テーブル22[[#This Row],[50m走]],$AT$6:$AU$15),LOOKUP(テーブル22[[#This Row],[50m走]],$AT$20:$AU$29))))</f>
        <v>0</v>
      </c>
      <c r="X108" s="42">
        <f>IF(テーブル22[[#This Row],[立幅とび]]="",0,(IF(テーブル22[[#This Row],[性別]]="男",LOOKUP(テーブル22[[#This Row],[立幅とび]],$AV$6:$AW$15),LOOKUP(テーブル22[[#This Row],[立幅とび]],$AV$20:$AW$29))))</f>
        <v>0</v>
      </c>
      <c r="Y108" s="42">
        <f>IF(テーブル22[[#This Row],[ボール投げ]]="",0,(IF(テーブル22[[#This Row],[性別]]="男",LOOKUP(テーブル22[[#This Row],[ボール投げ]],$AX$6:$AY$15),LOOKUP(テーブル22[[#This Row],[ボール投げ]],$AX$20:$AY$29))))</f>
        <v>0</v>
      </c>
      <c r="Z108" s="19" t="str">
        <f>IF(テーブル22[[#This Row],[学年]]=1,6,IF(テーブル22[[#This Row],[学年]]=2,7,IF(テーブル22[[#This Row],[学年]]=3,8,IF(テーブル22[[#This Row],[学年]]=4,9,IF(テーブル22[[#This Row],[学年]]=5,10,IF(テーブル22[[#This Row],[学年]]=6,11," "))))))</f>
        <v xml:space="preserve"> </v>
      </c>
      <c r="AA108" s="125" t="str">
        <f>IF(テーブル22[[#This Row],[肥満度数値]]="","",LOOKUP(AC108,$AW$39:$AW$44,$AX$39:$AX$44))</f>
        <v/>
      </c>
      <c r="AB1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8" s="124" t="str">
        <f>IF(テーブル22[[#This Row],[体重]]="","",(テーブル22[[#This Row],[体重]]-テーブル22[[#This Row],[標準体重]])/テーブル22[[#This Row],[標準体重]]*100)</f>
        <v/>
      </c>
      <c r="AD108" s="1">
        <f>COUNTA(テーブル22[[#This Row],[握力]:[ボール投げ]])</f>
        <v>0</v>
      </c>
      <c r="AE108" s="1" t="str">
        <f>IF(テーブル22[[#This Row],[判定]]=$BD$10,"○","")</f>
        <v/>
      </c>
      <c r="AF108" s="1" t="str">
        <f>IF(AE108="","",COUNTIF($AE$6:AE108,"○"))</f>
        <v/>
      </c>
    </row>
    <row r="109" spans="1:32" x14ac:dyDescent="0.2">
      <c r="A109" s="40">
        <v>104</v>
      </c>
      <c r="B109" s="145"/>
      <c r="C109" s="148"/>
      <c r="D109" s="145"/>
      <c r="E109" s="156"/>
      <c r="F109" s="145"/>
      <c r="G109" s="145"/>
      <c r="H109" s="146"/>
      <c r="I109" s="146"/>
      <c r="J109" s="148"/>
      <c r="K109" s="145"/>
      <c r="L109" s="148"/>
      <c r="M109" s="149"/>
      <c r="N109" s="148"/>
      <c r="O109" s="150"/>
      <c r="P1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09" s="43" t="str">
        <f>IF(テーブル22[[#This Row],[得点]]="","",IF(テーブル22[[#This Row],[年齢]]&gt;10,LOOKUP(P109,$BG$6:$BG$10,$BD$6:$BD$10),IF(テーブル22[[#This Row],[年齢]]&gt;9,LOOKUP(P109,$BF$6:$BF$10,$BD$6:$BD$10),IF(テーブル22[[#This Row],[年齢]]&gt;8,LOOKUP(P109,$BE$6:$BE$10,$BD$6:$BD$10),IF(テーブル22[[#This Row],[年齢]]&gt;7,LOOKUP(P109,$BC$6:$BC$10,$BD$6:$BD$10),IF(テーブル22[[#This Row],[年齢]]&gt;6,LOOKUP(P109,$BB$6:$BB$10,$BD$6:$BD$10),LOOKUP(P109,$BA$6:$BA$10,$BD$6:$BD$10)))))))</f>
        <v/>
      </c>
      <c r="R109" s="42">
        <f>IF(H109="",0,(IF(テーブル22[[#This Row],[性別]]="男",LOOKUP(テーブル22[[#This Row],[握力]],$AH$6:$AI$15),LOOKUP(テーブル22[[#This Row],[握力]],$AH$20:$AI$29))))</f>
        <v>0</v>
      </c>
      <c r="S109" s="42">
        <f>IF(テーブル22[[#This Row],[上体]]="",0,(IF(テーブル22[[#This Row],[性別]]="男",LOOKUP(テーブル22[[#This Row],[上体]],$AJ$6:$AK$15),LOOKUP(テーブル22[[#This Row],[上体]],$AJ$20:$AK$29))))</f>
        <v>0</v>
      </c>
      <c r="T109" s="42">
        <f>IF(テーブル22[[#This Row],[長座]]="",0,(IF(テーブル22[[#This Row],[性別]]="男",LOOKUP(テーブル22[[#This Row],[長座]],$AL$6:$AM$15),LOOKUP(テーブル22[[#This Row],[長座]],$AL$20:$AM$29))))</f>
        <v>0</v>
      </c>
      <c r="U109" s="42">
        <f>IF(テーブル22[[#This Row],[反復]]="",0,(IF(テーブル22[[#This Row],[性別]]="男",LOOKUP(テーブル22[[#This Row],[反復]],$AN$6:$AO$15),LOOKUP(テーブル22[[#This Row],[反復]],$AN$20:$AO$29))))</f>
        <v>0</v>
      </c>
      <c r="V109" s="42">
        <f>IF(テーブル22[[#This Row],[ｼｬﾄﾙﾗﾝ]]="",0,(IF(テーブル22[[#This Row],[性別]]="男",LOOKUP(テーブル22[[#This Row],[ｼｬﾄﾙﾗﾝ]],$AR$6:$AS$15),LOOKUP(テーブル22[[#This Row],[ｼｬﾄﾙﾗﾝ]],$AR$20:$AS$29))))</f>
        <v>0</v>
      </c>
      <c r="W109" s="42">
        <f>IF(テーブル22[[#This Row],[50m走]]="",0,(IF(テーブル22[[#This Row],[性別]]="男",LOOKUP(テーブル22[[#This Row],[50m走]],$AT$6:$AU$15),LOOKUP(テーブル22[[#This Row],[50m走]],$AT$20:$AU$29))))</f>
        <v>0</v>
      </c>
      <c r="X109" s="42">
        <f>IF(テーブル22[[#This Row],[立幅とび]]="",0,(IF(テーブル22[[#This Row],[性別]]="男",LOOKUP(テーブル22[[#This Row],[立幅とび]],$AV$6:$AW$15),LOOKUP(テーブル22[[#This Row],[立幅とび]],$AV$20:$AW$29))))</f>
        <v>0</v>
      </c>
      <c r="Y109" s="42">
        <f>IF(テーブル22[[#This Row],[ボール投げ]]="",0,(IF(テーブル22[[#This Row],[性別]]="男",LOOKUP(テーブル22[[#This Row],[ボール投げ]],$AX$6:$AY$15),LOOKUP(テーブル22[[#This Row],[ボール投げ]],$AX$20:$AY$29))))</f>
        <v>0</v>
      </c>
      <c r="Z109" s="19" t="str">
        <f>IF(テーブル22[[#This Row],[学年]]=1,6,IF(テーブル22[[#This Row],[学年]]=2,7,IF(テーブル22[[#This Row],[学年]]=3,8,IF(テーブル22[[#This Row],[学年]]=4,9,IF(テーブル22[[#This Row],[学年]]=5,10,IF(テーブル22[[#This Row],[学年]]=6,11," "))))))</f>
        <v xml:space="preserve"> </v>
      </c>
      <c r="AA109" s="125" t="str">
        <f>IF(テーブル22[[#This Row],[肥満度数値]]="","",LOOKUP(AC109,$AW$39:$AW$44,$AX$39:$AX$44))</f>
        <v/>
      </c>
      <c r="AB1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09" s="124" t="str">
        <f>IF(テーブル22[[#This Row],[体重]]="","",(テーブル22[[#This Row],[体重]]-テーブル22[[#This Row],[標準体重]])/テーブル22[[#This Row],[標準体重]]*100)</f>
        <v/>
      </c>
      <c r="AD109" s="1">
        <f>COUNTA(テーブル22[[#This Row],[握力]:[ボール投げ]])</f>
        <v>0</v>
      </c>
      <c r="AE109" s="1" t="str">
        <f>IF(テーブル22[[#This Row],[判定]]=$BD$10,"○","")</f>
        <v/>
      </c>
      <c r="AF109" s="1" t="str">
        <f>IF(AE109="","",COUNTIF($AE$6:AE109,"○"))</f>
        <v/>
      </c>
    </row>
    <row r="110" spans="1:32" x14ac:dyDescent="0.2">
      <c r="A110" s="40">
        <v>105</v>
      </c>
      <c r="B110" s="145"/>
      <c r="C110" s="148"/>
      <c r="D110" s="145"/>
      <c r="E110" s="156"/>
      <c r="F110" s="145"/>
      <c r="G110" s="145"/>
      <c r="H110" s="146"/>
      <c r="I110" s="146"/>
      <c r="J110" s="148"/>
      <c r="K110" s="145"/>
      <c r="L110" s="148"/>
      <c r="M110" s="149"/>
      <c r="N110" s="148"/>
      <c r="O110" s="150"/>
      <c r="P1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0" s="43" t="str">
        <f>IF(テーブル22[[#This Row],[得点]]="","",IF(テーブル22[[#This Row],[年齢]]&gt;10,LOOKUP(P110,$BG$6:$BG$10,$BD$6:$BD$10),IF(テーブル22[[#This Row],[年齢]]&gt;9,LOOKUP(P110,$BF$6:$BF$10,$BD$6:$BD$10),IF(テーブル22[[#This Row],[年齢]]&gt;8,LOOKUP(P110,$BE$6:$BE$10,$BD$6:$BD$10),IF(テーブル22[[#This Row],[年齢]]&gt;7,LOOKUP(P110,$BC$6:$BC$10,$BD$6:$BD$10),IF(テーブル22[[#This Row],[年齢]]&gt;6,LOOKUP(P110,$BB$6:$BB$10,$BD$6:$BD$10),LOOKUP(P110,$BA$6:$BA$10,$BD$6:$BD$10)))))))</f>
        <v/>
      </c>
      <c r="R110" s="42">
        <f>IF(H110="",0,(IF(テーブル22[[#This Row],[性別]]="男",LOOKUP(テーブル22[[#This Row],[握力]],$AH$6:$AI$15),LOOKUP(テーブル22[[#This Row],[握力]],$AH$20:$AI$29))))</f>
        <v>0</v>
      </c>
      <c r="S110" s="42">
        <f>IF(テーブル22[[#This Row],[上体]]="",0,(IF(テーブル22[[#This Row],[性別]]="男",LOOKUP(テーブル22[[#This Row],[上体]],$AJ$6:$AK$15),LOOKUP(テーブル22[[#This Row],[上体]],$AJ$20:$AK$29))))</f>
        <v>0</v>
      </c>
      <c r="T110" s="42">
        <f>IF(テーブル22[[#This Row],[長座]]="",0,(IF(テーブル22[[#This Row],[性別]]="男",LOOKUP(テーブル22[[#This Row],[長座]],$AL$6:$AM$15),LOOKUP(テーブル22[[#This Row],[長座]],$AL$20:$AM$29))))</f>
        <v>0</v>
      </c>
      <c r="U110" s="42">
        <f>IF(テーブル22[[#This Row],[反復]]="",0,(IF(テーブル22[[#This Row],[性別]]="男",LOOKUP(テーブル22[[#This Row],[反復]],$AN$6:$AO$15),LOOKUP(テーブル22[[#This Row],[反復]],$AN$20:$AO$29))))</f>
        <v>0</v>
      </c>
      <c r="V110" s="42">
        <f>IF(テーブル22[[#This Row],[ｼｬﾄﾙﾗﾝ]]="",0,(IF(テーブル22[[#This Row],[性別]]="男",LOOKUP(テーブル22[[#This Row],[ｼｬﾄﾙﾗﾝ]],$AR$6:$AS$15),LOOKUP(テーブル22[[#This Row],[ｼｬﾄﾙﾗﾝ]],$AR$20:$AS$29))))</f>
        <v>0</v>
      </c>
      <c r="W110" s="42">
        <f>IF(テーブル22[[#This Row],[50m走]]="",0,(IF(テーブル22[[#This Row],[性別]]="男",LOOKUP(テーブル22[[#This Row],[50m走]],$AT$6:$AU$15),LOOKUP(テーブル22[[#This Row],[50m走]],$AT$20:$AU$29))))</f>
        <v>0</v>
      </c>
      <c r="X110" s="42">
        <f>IF(テーブル22[[#This Row],[立幅とび]]="",0,(IF(テーブル22[[#This Row],[性別]]="男",LOOKUP(テーブル22[[#This Row],[立幅とび]],$AV$6:$AW$15),LOOKUP(テーブル22[[#This Row],[立幅とび]],$AV$20:$AW$29))))</f>
        <v>0</v>
      </c>
      <c r="Y110" s="42">
        <f>IF(テーブル22[[#This Row],[ボール投げ]]="",0,(IF(テーブル22[[#This Row],[性別]]="男",LOOKUP(テーブル22[[#This Row],[ボール投げ]],$AX$6:$AY$15),LOOKUP(テーブル22[[#This Row],[ボール投げ]],$AX$20:$AY$29))))</f>
        <v>0</v>
      </c>
      <c r="Z110" s="19" t="str">
        <f>IF(テーブル22[[#This Row],[学年]]=1,6,IF(テーブル22[[#This Row],[学年]]=2,7,IF(テーブル22[[#This Row],[学年]]=3,8,IF(テーブル22[[#This Row],[学年]]=4,9,IF(テーブル22[[#This Row],[学年]]=5,10,IF(テーブル22[[#This Row],[学年]]=6,11," "))))))</f>
        <v xml:space="preserve"> </v>
      </c>
      <c r="AA110" s="125" t="str">
        <f>IF(テーブル22[[#This Row],[肥満度数値]]="","",LOOKUP(AC110,$AW$39:$AW$44,$AX$39:$AX$44))</f>
        <v/>
      </c>
      <c r="AB1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0" s="124" t="str">
        <f>IF(テーブル22[[#This Row],[体重]]="","",(テーブル22[[#This Row],[体重]]-テーブル22[[#This Row],[標準体重]])/テーブル22[[#This Row],[標準体重]]*100)</f>
        <v/>
      </c>
      <c r="AD110" s="1">
        <f>COUNTA(テーブル22[[#This Row],[握力]:[ボール投げ]])</f>
        <v>0</v>
      </c>
      <c r="AE110" s="1" t="str">
        <f>IF(テーブル22[[#This Row],[判定]]=$BD$10,"○","")</f>
        <v/>
      </c>
      <c r="AF110" s="1" t="str">
        <f>IF(AE110="","",COUNTIF($AE$6:AE110,"○"))</f>
        <v/>
      </c>
    </row>
    <row r="111" spans="1:32" x14ac:dyDescent="0.2">
      <c r="A111" s="40">
        <v>106</v>
      </c>
      <c r="B111" s="145"/>
      <c r="C111" s="148"/>
      <c r="D111" s="145"/>
      <c r="E111" s="156"/>
      <c r="F111" s="145"/>
      <c r="G111" s="145"/>
      <c r="H111" s="146"/>
      <c r="I111" s="146"/>
      <c r="J111" s="148"/>
      <c r="K111" s="145"/>
      <c r="L111" s="148"/>
      <c r="M111" s="149"/>
      <c r="N111" s="148"/>
      <c r="O111" s="150"/>
      <c r="P1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1" s="43" t="str">
        <f>IF(テーブル22[[#This Row],[得点]]="","",IF(テーブル22[[#This Row],[年齢]]&gt;10,LOOKUP(P111,$BG$6:$BG$10,$BD$6:$BD$10),IF(テーブル22[[#This Row],[年齢]]&gt;9,LOOKUP(P111,$BF$6:$BF$10,$BD$6:$BD$10),IF(テーブル22[[#This Row],[年齢]]&gt;8,LOOKUP(P111,$BE$6:$BE$10,$BD$6:$BD$10),IF(テーブル22[[#This Row],[年齢]]&gt;7,LOOKUP(P111,$BC$6:$BC$10,$BD$6:$BD$10),IF(テーブル22[[#This Row],[年齢]]&gt;6,LOOKUP(P111,$BB$6:$BB$10,$BD$6:$BD$10),LOOKUP(P111,$BA$6:$BA$10,$BD$6:$BD$10)))))))</f>
        <v/>
      </c>
      <c r="R111" s="42">
        <f>IF(H111="",0,(IF(テーブル22[[#This Row],[性別]]="男",LOOKUP(テーブル22[[#This Row],[握力]],$AH$6:$AI$15),LOOKUP(テーブル22[[#This Row],[握力]],$AH$20:$AI$29))))</f>
        <v>0</v>
      </c>
      <c r="S111" s="42">
        <f>IF(テーブル22[[#This Row],[上体]]="",0,(IF(テーブル22[[#This Row],[性別]]="男",LOOKUP(テーブル22[[#This Row],[上体]],$AJ$6:$AK$15),LOOKUP(テーブル22[[#This Row],[上体]],$AJ$20:$AK$29))))</f>
        <v>0</v>
      </c>
      <c r="T111" s="42">
        <f>IF(テーブル22[[#This Row],[長座]]="",0,(IF(テーブル22[[#This Row],[性別]]="男",LOOKUP(テーブル22[[#This Row],[長座]],$AL$6:$AM$15),LOOKUP(テーブル22[[#This Row],[長座]],$AL$20:$AM$29))))</f>
        <v>0</v>
      </c>
      <c r="U111" s="42">
        <f>IF(テーブル22[[#This Row],[反復]]="",0,(IF(テーブル22[[#This Row],[性別]]="男",LOOKUP(テーブル22[[#This Row],[反復]],$AN$6:$AO$15),LOOKUP(テーブル22[[#This Row],[反復]],$AN$20:$AO$29))))</f>
        <v>0</v>
      </c>
      <c r="V111" s="42">
        <f>IF(テーブル22[[#This Row],[ｼｬﾄﾙﾗﾝ]]="",0,(IF(テーブル22[[#This Row],[性別]]="男",LOOKUP(テーブル22[[#This Row],[ｼｬﾄﾙﾗﾝ]],$AR$6:$AS$15),LOOKUP(テーブル22[[#This Row],[ｼｬﾄﾙﾗﾝ]],$AR$20:$AS$29))))</f>
        <v>0</v>
      </c>
      <c r="W111" s="42">
        <f>IF(テーブル22[[#This Row],[50m走]]="",0,(IF(テーブル22[[#This Row],[性別]]="男",LOOKUP(テーブル22[[#This Row],[50m走]],$AT$6:$AU$15),LOOKUP(テーブル22[[#This Row],[50m走]],$AT$20:$AU$29))))</f>
        <v>0</v>
      </c>
      <c r="X111" s="42">
        <f>IF(テーブル22[[#This Row],[立幅とび]]="",0,(IF(テーブル22[[#This Row],[性別]]="男",LOOKUP(テーブル22[[#This Row],[立幅とび]],$AV$6:$AW$15),LOOKUP(テーブル22[[#This Row],[立幅とび]],$AV$20:$AW$29))))</f>
        <v>0</v>
      </c>
      <c r="Y111" s="42">
        <f>IF(テーブル22[[#This Row],[ボール投げ]]="",0,(IF(テーブル22[[#This Row],[性別]]="男",LOOKUP(テーブル22[[#This Row],[ボール投げ]],$AX$6:$AY$15),LOOKUP(テーブル22[[#This Row],[ボール投げ]],$AX$20:$AY$29))))</f>
        <v>0</v>
      </c>
      <c r="Z111" s="19" t="str">
        <f>IF(テーブル22[[#This Row],[学年]]=1,6,IF(テーブル22[[#This Row],[学年]]=2,7,IF(テーブル22[[#This Row],[学年]]=3,8,IF(テーブル22[[#This Row],[学年]]=4,9,IF(テーブル22[[#This Row],[学年]]=5,10,IF(テーブル22[[#This Row],[学年]]=6,11," "))))))</f>
        <v xml:space="preserve"> </v>
      </c>
      <c r="AA111" s="125" t="str">
        <f>IF(テーブル22[[#This Row],[肥満度数値]]="","",LOOKUP(AC111,$AW$39:$AW$44,$AX$39:$AX$44))</f>
        <v/>
      </c>
      <c r="AB1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1" s="124" t="str">
        <f>IF(テーブル22[[#This Row],[体重]]="","",(テーブル22[[#This Row],[体重]]-テーブル22[[#This Row],[標準体重]])/テーブル22[[#This Row],[標準体重]]*100)</f>
        <v/>
      </c>
      <c r="AD111" s="1">
        <f>COUNTA(テーブル22[[#This Row],[握力]:[ボール投げ]])</f>
        <v>0</v>
      </c>
      <c r="AE111" s="1" t="str">
        <f>IF(テーブル22[[#This Row],[判定]]=$BD$10,"○","")</f>
        <v/>
      </c>
      <c r="AF111" s="1" t="str">
        <f>IF(AE111="","",COUNTIF($AE$6:AE111,"○"))</f>
        <v/>
      </c>
    </row>
    <row r="112" spans="1:32" x14ac:dyDescent="0.2">
      <c r="A112" s="40">
        <v>107</v>
      </c>
      <c r="B112" s="145"/>
      <c r="C112" s="148"/>
      <c r="D112" s="145"/>
      <c r="E112" s="156"/>
      <c r="F112" s="145"/>
      <c r="G112" s="145"/>
      <c r="H112" s="146"/>
      <c r="I112" s="146"/>
      <c r="J112" s="148"/>
      <c r="K112" s="145"/>
      <c r="L112" s="148"/>
      <c r="M112" s="149"/>
      <c r="N112" s="148"/>
      <c r="O112" s="150"/>
      <c r="P1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2" s="43" t="str">
        <f>IF(テーブル22[[#This Row],[得点]]="","",IF(テーブル22[[#This Row],[年齢]]&gt;10,LOOKUP(P112,$BG$6:$BG$10,$BD$6:$BD$10),IF(テーブル22[[#This Row],[年齢]]&gt;9,LOOKUP(P112,$BF$6:$BF$10,$BD$6:$BD$10),IF(テーブル22[[#This Row],[年齢]]&gt;8,LOOKUP(P112,$BE$6:$BE$10,$BD$6:$BD$10),IF(テーブル22[[#This Row],[年齢]]&gt;7,LOOKUP(P112,$BC$6:$BC$10,$BD$6:$BD$10),IF(テーブル22[[#This Row],[年齢]]&gt;6,LOOKUP(P112,$BB$6:$BB$10,$BD$6:$BD$10),LOOKUP(P112,$BA$6:$BA$10,$BD$6:$BD$10)))))))</f>
        <v/>
      </c>
      <c r="R112" s="42">
        <f>IF(H112="",0,(IF(テーブル22[[#This Row],[性別]]="男",LOOKUP(テーブル22[[#This Row],[握力]],$AH$6:$AI$15),LOOKUP(テーブル22[[#This Row],[握力]],$AH$20:$AI$29))))</f>
        <v>0</v>
      </c>
      <c r="S112" s="42">
        <f>IF(テーブル22[[#This Row],[上体]]="",0,(IF(テーブル22[[#This Row],[性別]]="男",LOOKUP(テーブル22[[#This Row],[上体]],$AJ$6:$AK$15),LOOKUP(テーブル22[[#This Row],[上体]],$AJ$20:$AK$29))))</f>
        <v>0</v>
      </c>
      <c r="T112" s="42">
        <f>IF(テーブル22[[#This Row],[長座]]="",0,(IF(テーブル22[[#This Row],[性別]]="男",LOOKUP(テーブル22[[#This Row],[長座]],$AL$6:$AM$15),LOOKUP(テーブル22[[#This Row],[長座]],$AL$20:$AM$29))))</f>
        <v>0</v>
      </c>
      <c r="U112" s="42">
        <f>IF(テーブル22[[#This Row],[反復]]="",0,(IF(テーブル22[[#This Row],[性別]]="男",LOOKUP(テーブル22[[#This Row],[反復]],$AN$6:$AO$15),LOOKUP(テーブル22[[#This Row],[反復]],$AN$20:$AO$29))))</f>
        <v>0</v>
      </c>
      <c r="V112" s="42">
        <f>IF(テーブル22[[#This Row],[ｼｬﾄﾙﾗﾝ]]="",0,(IF(テーブル22[[#This Row],[性別]]="男",LOOKUP(テーブル22[[#This Row],[ｼｬﾄﾙﾗﾝ]],$AR$6:$AS$15),LOOKUP(テーブル22[[#This Row],[ｼｬﾄﾙﾗﾝ]],$AR$20:$AS$29))))</f>
        <v>0</v>
      </c>
      <c r="W112" s="42">
        <f>IF(テーブル22[[#This Row],[50m走]]="",0,(IF(テーブル22[[#This Row],[性別]]="男",LOOKUP(テーブル22[[#This Row],[50m走]],$AT$6:$AU$15),LOOKUP(テーブル22[[#This Row],[50m走]],$AT$20:$AU$29))))</f>
        <v>0</v>
      </c>
      <c r="X112" s="42">
        <f>IF(テーブル22[[#This Row],[立幅とび]]="",0,(IF(テーブル22[[#This Row],[性別]]="男",LOOKUP(テーブル22[[#This Row],[立幅とび]],$AV$6:$AW$15),LOOKUP(テーブル22[[#This Row],[立幅とび]],$AV$20:$AW$29))))</f>
        <v>0</v>
      </c>
      <c r="Y112" s="42">
        <f>IF(テーブル22[[#This Row],[ボール投げ]]="",0,(IF(テーブル22[[#This Row],[性別]]="男",LOOKUP(テーブル22[[#This Row],[ボール投げ]],$AX$6:$AY$15),LOOKUP(テーブル22[[#This Row],[ボール投げ]],$AX$20:$AY$29))))</f>
        <v>0</v>
      </c>
      <c r="Z112" s="19" t="str">
        <f>IF(テーブル22[[#This Row],[学年]]=1,6,IF(テーブル22[[#This Row],[学年]]=2,7,IF(テーブル22[[#This Row],[学年]]=3,8,IF(テーブル22[[#This Row],[学年]]=4,9,IF(テーブル22[[#This Row],[学年]]=5,10,IF(テーブル22[[#This Row],[学年]]=6,11," "))))))</f>
        <v xml:space="preserve"> </v>
      </c>
      <c r="AA112" s="125" t="str">
        <f>IF(テーブル22[[#This Row],[肥満度数値]]="","",LOOKUP(AC112,$AW$39:$AW$44,$AX$39:$AX$44))</f>
        <v/>
      </c>
      <c r="AB1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2" s="124" t="str">
        <f>IF(テーブル22[[#This Row],[体重]]="","",(テーブル22[[#This Row],[体重]]-テーブル22[[#This Row],[標準体重]])/テーブル22[[#This Row],[標準体重]]*100)</f>
        <v/>
      </c>
      <c r="AD112" s="1">
        <f>COUNTA(テーブル22[[#This Row],[握力]:[ボール投げ]])</f>
        <v>0</v>
      </c>
      <c r="AE112" s="1" t="str">
        <f>IF(テーブル22[[#This Row],[判定]]=$BD$10,"○","")</f>
        <v/>
      </c>
      <c r="AF112" s="1" t="str">
        <f>IF(AE112="","",COUNTIF($AE$6:AE112,"○"))</f>
        <v/>
      </c>
    </row>
    <row r="113" spans="1:32" x14ac:dyDescent="0.2">
      <c r="A113" s="40">
        <v>108</v>
      </c>
      <c r="B113" s="145"/>
      <c r="C113" s="148"/>
      <c r="D113" s="145"/>
      <c r="E113" s="156"/>
      <c r="F113" s="145"/>
      <c r="G113" s="145"/>
      <c r="H113" s="146"/>
      <c r="I113" s="146"/>
      <c r="J113" s="148"/>
      <c r="K113" s="145"/>
      <c r="L113" s="148"/>
      <c r="M113" s="149"/>
      <c r="N113" s="148"/>
      <c r="O113" s="150"/>
      <c r="P1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3" s="43" t="str">
        <f>IF(テーブル22[[#This Row],[得点]]="","",IF(テーブル22[[#This Row],[年齢]]&gt;10,LOOKUP(P113,$BG$6:$BG$10,$BD$6:$BD$10),IF(テーブル22[[#This Row],[年齢]]&gt;9,LOOKUP(P113,$BF$6:$BF$10,$BD$6:$BD$10),IF(テーブル22[[#This Row],[年齢]]&gt;8,LOOKUP(P113,$BE$6:$BE$10,$BD$6:$BD$10),IF(テーブル22[[#This Row],[年齢]]&gt;7,LOOKUP(P113,$BC$6:$BC$10,$BD$6:$BD$10),IF(テーブル22[[#This Row],[年齢]]&gt;6,LOOKUP(P113,$BB$6:$BB$10,$BD$6:$BD$10),LOOKUP(P113,$BA$6:$BA$10,$BD$6:$BD$10)))))))</f>
        <v/>
      </c>
      <c r="R113" s="42">
        <f>IF(H113="",0,(IF(テーブル22[[#This Row],[性別]]="男",LOOKUP(テーブル22[[#This Row],[握力]],$AH$6:$AI$15),LOOKUP(テーブル22[[#This Row],[握力]],$AH$20:$AI$29))))</f>
        <v>0</v>
      </c>
      <c r="S113" s="42">
        <f>IF(テーブル22[[#This Row],[上体]]="",0,(IF(テーブル22[[#This Row],[性別]]="男",LOOKUP(テーブル22[[#This Row],[上体]],$AJ$6:$AK$15),LOOKUP(テーブル22[[#This Row],[上体]],$AJ$20:$AK$29))))</f>
        <v>0</v>
      </c>
      <c r="T113" s="42">
        <f>IF(テーブル22[[#This Row],[長座]]="",0,(IF(テーブル22[[#This Row],[性別]]="男",LOOKUP(テーブル22[[#This Row],[長座]],$AL$6:$AM$15),LOOKUP(テーブル22[[#This Row],[長座]],$AL$20:$AM$29))))</f>
        <v>0</v>
      </c>
      <c r="U113" s="42">
        <f>IF(テーブル22[[#This Row],[反復]]="",0,(IF(テーブル22[[#This Row],[性別]]="男",LOOKUP(テーブル22[[#This Row],[反復]],$AN$6:$AO$15),LOOKUP(テーブル22[[#This Row],[反復]],$AN$20:$AO$29))))</f>
        <v>0</v>
      </c>
      <c r="V113" s="42">
        <f>IF(テーブル22[[#This Row],[ｼｬﾄﾙﾗﾝ]]="",0,(IF(テーブル22[[#This Row],[性別]]="男",LOOKUP(テーブル22[[#This Row],[ｼｬﾄﾙﾗﾝ]],$AR$6:$AS$15),LOOKUP(テーブル22[[#This Row],[ｼｬﾄﾙﾗﾝ]],$AR$20:$AS$29))))</f>
        <v>0</v>
      </c>
      <c r="W113" s="42">
        <f>IF(テーブル22[[#This Row],[50m走]]="",0,(IF(テーブル22[[#This Row],[性別]]="男",LOOKUP(テーブル22[[#This Row],[50m走]],$AT$6:$AU$15),LOOKUP(テーブル22[[#This Row],[50m走]],$AT$20:$AU$29))))</f>
        <v>0</v>
      </c>
      <c r="X113" s="42">
        <f>IF(テーブル22[[#This Row],[立幅とび]]="",0,(IF(テーブル22[[#This Row],[性別]]="男",LOOKUP(テーブル22[[#This Row],[立幅とび]],$AV$6:$AW$15),LOOKUP(テーブル22[[#This Row],[立幅とび]],$AV$20:$AW$29))))</f>
        <v>0</v>
      </c>
      <c r="Y113" s="42">
        <f>IF(テーブル22[[#This Row],[ボール投げ]]="",0,(IF(テーブル22[[#This Row],[性別]]="男",LOOKUP(テーブル22[[#This Row],[ボール投げ]],$AX$6:$AY$15),LOOKUP(テーブル22[[#This Row],[ボール投げ]],$AX$20:$AY$29))))</f>
        <v>0</v>
      </c>
      <c r="Z113" s="19" t="str">
        <f>IF(テーブル22[[#This Row],[学年]]=1,6,IF(テーブル22[[#This Row],[学年]]=2,7,IF(テーブル22[[#This Row],[学年]]=3,8,IF(テーブル22[[#This Row],[学年]]=4,9,IF(テーブル22[[#This Row],[学年]]=5,10,IF(テーブル22[[#This Row],[学年]]=6,11," "))))))</f>
        <v xml:space="preserve"> </v>
      </c>
      <c r="AA113" s="125" t="str">
        <f>IF(テーブル22[[#This Row],[肥満度数値]]="","",LOOKUP(AC113,$AW$39:$AW$44,$AX$39:$AX$44))</f>
        <v/>
      </c>
      <c r="AB1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3" s="124" t="str">
        <f>IF(テーブル22[[#This Row],[体重]]="","",(テーブル22[[#This Row],[体重]]-テーブル22[[#This Row],[標準体重]])/テーブル22[[#This Row],[標準体重]]*100)</f>
        <v/>
      </c>
      <c r="AD113" s="1">
        <f>COUNTA(テーブル22[[#This Row],[握力]:[ボール投げ]])</f>
        <v>0</v>
      </c>
      <c r="AE113" s="1" t="str">
        <f>IF(テーブル22[[#This Row],[判定]]=$BD$10,"○","")</f>
        <v/>
      </c>
      <c r="AF113" s="1" t="str">
        <f>IF(AE113="","",COUNTIF($AE$6:AE113,"○"))</f>
        <v/>
      </c>
    </row>
    <row r="114" spans="1:32" x14ac:dyDescent="0.2">
      <c r="A114" s="40">
        <v>109</v>
      </c>
      <c r="B114" s="145"/>
      <c r="C114" s="148"/>
      <c r="D114" s="145"/>
      <c r="E114" s="156"/>
      <c r="F114" s="145"/>
      <c r="G114" s="145"/>
      <c r="H114" s="146"/>
      <c r="I114" s="146"/>
      <c r="J114" s="148"/>
      <c r="K114" s="145"/>
      <c r="L114" s="148"/>
      <c r="M114" s="149"/>
      <c r="N114" s="148"/>
      <c r="O114" s="150"/>
      <c r="P1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4" s="43" t="str">
        <f>IF(テーブル22[[#This Row],[得点]]="","",IF(テーブル22[[#This Row],[年齢]]&gt;10,LOOKUP(P114,$BG$6:$BG$10,$BD$6:$BD$10),IF(テーブル22[[#This Row],[年齢]]&gt;9,LOOKUP(P114,$BF$6:$BF$10,$BD$6:$BD$10),IF(テーブル22[[#This Row],[年齢]]&gt;8,LOOKUP(P114,$BE$6:$BE$10,$BD$6:$BD$10),IF(テーブル22[[#This Row],[年齢]]&gt;7,LOOKUP(P114,$BC$6:$BC$10,$BD$6:$BD$10),IF(テーブル22[[#This Row],[年齢]]&gt;6,LOOKUP(P114,$BB$6:$BB$10,$BD$6:$BD$10),LOOKUP(P114,$BA$6:$BA$10,$BD$6:$BD$10)))))))</f>
        <v/>
      </c>
      <c r="R114" s="42">
        <f>IF(H114="",0,(IF(テーブル22[[#This Row],[性別]]="男",LOOKUP(テーブル22[[#This Row],[握力]],$AH$6:$AI$15),LOOKUP(テーブル22[[#This Row],[握力]],$AH$20:$AI$29))))</f>
        <v>0</v>
      </c>
      <c r="S114" s="42">
        <f>IF(テーブル22[[#This Row],[上体]]="",0,(IF(テーブル22[[#This Row],[性別]]="男",LOOKUP(テーブル22[[#This Row],[上体]],$AJ$6:$AK$15),LOOKUP(テーブル22[[#This Row],[上体]],$AJ$20:$AK$29))))</f>
        <v>0</v>
      </c>
      <c r="T114" s="42">
        <f>IF(テーブル22[[#This Row],[長座]]="",0,(IF(テーブル22[[#This Row],[性別]]="男",LOOKUP(テーブル22[[#This Row],[長座]],$AL$6:$AM$15),LOOKUP(テーブル22[[#This Row],[長座]],$AL$20:$AM$29))))</f>
        <v>0</v>
      </c>
      <c r="U114" s="42">
        <f>IF(テーブル22[[#This Row],[反復]]="",0,(IF(テーブル22[[#This Row],[性別]]="男",LOOKUP(テーブル22[[#This Row],[反復]],$AN$6:$AO$15),LOOKUP(テーブル22[[#This Row],[反復]],$AN$20:$AO$29))))</f>
        <v>0</v>
      </c>
      <c r="V114" s="42">
        <f>IF(テーブル22[[#This Row],[ｼｬﾄﾙﾗﾝ]]="",0,(IF(テーブル22[[#This Row],[性別]]="男",LOOKUP(テーブル22[[#This Row],[ｼｬﾄﾙﾗﾝ]],$AR$6:$AS$15),LOOKUP(テーブル22[[#This Row],[ｼｬﾄﾙﾗﾝ]],$AR$20:$AS$29))))</f>
        <v>0</v>
      </c>
      <c r="W114" s="42">
        <f>IF(テーブル22[[#This Row],[50m走]]="",0,(IF(テーブル22[[#This Row],[性別]]="男",LOOKUP(テーブル22[[#This Row],[50m走]],$AT$6:$AU$15),LOOKUP(テーブル22[[#This Row],[50m走]],$AT$20:$AU$29))))</f>
        <v>0</v>
      </c>
      <c r="X114" s="42">
        <f>IF(テーブル22[[#This Row],[立幅とび]]="",0,(IF(テーブル22[[#This Row],[性別]]="男",LOOKUP(テーブル22[[#This Row],[立幅とび]],$AV$6:$AW$15),LOOKUP(テーブル22[[#This Row],[立幅とび]],$AV$20:$AW$29))))</f>
        <v>0</v>
      </c>
      <c r="Y114" s="42">
        <f>IF(テーブル22[[#This Row],[ボール投げ]]="",0,(IF(テーブル22[[#This Row],[性別]]="男",LOOKUP(テーブル22[[#This Row],[ボール投げ]],$AX$6:$AY$15),LOOKUP(テーブル22[[#This Row],[ボール投げ]],$AX$20:$AY$29))))</f>
        <v>0</v>
      </c>
      <c r="Z114" s="19" t="str">
        <f>IF(テーブル22[[#This Row],[学年]]=1,6,IF(テーブル22[[#This Row],[学年]]=2,7,IF(テーブル22[[#This Row],[学年]]=3,8,IF(テーブル22[[#This Row],[学年]]=4,9,IF(テーブル22[[#This Row],[学年]]=5,10,IF(テーブル22[[#This Row],[学年]]=6,11," "))))))</f>
        <v xml:space="preserve"> </v>
      </c>
      <c r="AA114" s="125" t="str">
        <f>IF(テーブル22[[#This Row],[肥満度数値]]="","",LOOKUP(AC114,$AW$39:$AW$44,$AX$39:$AX$44))</f>
        <v/>
      </c>
      <c r="AB1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4" s="124" t="str">
        <f>IF(テーブル22[[#This Row],[体重]]="","",(テーブル22[[#This Row],[体重]]-テーブル22[[#This Row],[標準体重]])/テーブル22[[#This Row],[標準体重]]*100)</f>
        <v/>
      </c>
      <c r="AD114" s="1">
        <f>COUNTA(テーブル22[[#This Row],[握力]:[ボール投げ]])</f>
        <v>0</v>
      </c>
      <c r="AE114" s="1" t="str">
        <f>IF(テーブル22[[#This Row],[判定]]=$BD$10,"○","")</f>
        <v/>
      </c>
      <c r="AF114" s="1" t="str">
        <f>IF(AE114="","",COUNTIF($AE$6:AE114,"○"))</f>
        <v/>
      </c>
    </row>
    <row r="115" spans="1:32" x14ac:dyDescent="0.2">
      <c r="A115" s="40">
        <v>110</v>
      </c>
      <c r="B115" s="145"/>
      <c r="C115" s="148"/>
      <c r="D115" s="145"/>
      <c r="E115" s="156"/>
      <c r="F115" s="145"/>
      <c r="G115" s="145"/>
      <c r="H115" s="146"/>
      <c r="I115" s="146"/>
      <c r="J115" s="148"/>
      <c r="K115" s="145"/>
      <c r="L115" s="148"/>
      <c r="M115" s="149"/>
      <c r="N115" s="148"/>
      <c r="O115" s="150"/>
      <c r="P1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5" s="43" t="str">
        <f>IF(テーブル22[[#This Row],[得点]]="","",IF(テーブル22[[#This Row],[年齢]]&gt;10,LOOKUP(P115,$BG$6:$BG$10,$BD$6:$BD$10),IF(テーブル22[[#This Row],[年齢]]&gt;9,LOOKUP(P115,$BF$6:$BF$10,$BD$6:$BD$10),IF(テーブル22[[#This Row],[年齢]]&gt;8,LOOKUP(P115,$BE$6:$BE$10,$BD$6:$BD$10),IF(テーブル22[[#This Row],[年齢]]&gt;7,LOOKUP(P115,$BC$6:$BC$10,$BD$6:$BD$10),IF(テーブル22[[#This Row],[年齢]]&gt;6,LOOKUP(P115,$BB$6:$BB$10,$BD$6:$BD$10),LOOKUP(P115,$BA$6:$BA$10,$BD$6:$BD$10)))))))</f>
        <v/>
      </c>
      <c r="R115" s="42">
        <f>IF(H115="",0,(IF(テーブル22[[#This Row],[性別]]="男",LOOKUP(テーブル22[[#This Row],[握力]],$AH$6:$AI$15),LOOKUP(テーブル22[[#This Row],[握力]],$AH$20:$AI$29))))</f>
        <v>0</v>
      </c>
      <c r="S115" s="42">
        <f>IF(テーブル22[[#This Row],[上体]]="",0,(IF(テーブル22[[#This Row],[性別]]="男",LOOKUP(テーブル22[[#This Row],[上体]],$AJ$6:$AK$15),LOOKUP(テーブル22[[#This Row],[上体]],$AJ$20:$AK$29))))</f>
        <v>0</v>
      </c>
      <c r="T115" s="42">
        <f>IF(テーブル22[[#This Row],[長座]]="",0,(IF(テーブル22[[#This Row],[性別]]="男",LOOKUP(テーブル22[[#This Row],[長座]],$AL$6:$AM$15),LOOKUP(テーブル22[[#This Row],[長座]],$AL$20:$AM$29))))</f>
        <v>0</v>
      </c>
      <c r="U115" s="42">
        <f>IF(テーブル22[[#This Row],[反復]]="",0,(IF(テーブル22[[#This Row],[性別]]="男",LOOKUP(テーブル22[[#This Row],[反復]],$AN$6:$AO$15),LOOKUP(テーブル22[[#This Row],[反復]],$AN$20:$AO$29))))</f>
        <v>0</v>
      </c>
      <c r="V115" s="42">
        <f>IF(テーブル22[[#This Row],[ｼｬﾄﾙﾗﾝ]]="",0,(IF(テーブル22[[#This Row],[性別]]="男",LOOKUP(テーブル22[[#This Row],[ｼｬﾄﾙﾗﾝ]],$AR$6:$AS$15),LOOKUP(テーブル22[[#This Row],[ｼｬﾄﾙﾗﾝ]],$AR$20:$AS$29))))</f>
        <v>0</v>
      </c>
      <c r="W115" s="42">
        <f>IF(テーブル22[[#This Row],[50m走]]="",0,(IF(テーブル22[[#This Row],[性別]]="男",LOOKUP(テーブル22[[#This Row],[50m走]],$AT$6:$AU$15),LOOKUP(テーブル22[[#This Row],[50m走]],$AT$20:$AU$29))))</f>
        <v>0</v>
      </c>
      <c r="X115" s="42">
        <f>IF(テーブル22[[#This Row],[立幅とび]]="",0,(IF(テーブル22[[#This Row],[性別]]="男",LOOKUP(テーブル22[[#This Row],[立幅とび]],$AV$6:$AW$15),LOOKUP(テーブル22[[#This Row],[立幅とび]],$AV$20:$AW$29))))</f>
        <v>0</v>
      </c>
      <c r="Y115" s="42">
        <f>IF(テーブル22[[#This Row],[ボール投げ]]="",0,(IF(テーブル22[[#This Row],[性別]]="男",LOOKUP(テーブル22[[#This Row],[ボール投げ]],$AX$6:$AY$15),LOOKUP(テーブル22[[#This Row],[ボール投げ]],$AX$20:$AY$29))))</f>
        <v>0</v>
      </c>
      <c r="Z115" s="19" t="str">
        <f>IF(テーブル22[[#This Row],[学年]]=1,6,IF(テーブル22[[#This Row],[学年]]=2,7,IF(テーブル22[[#This Row],[学年]]=3,8,IF(テーブル22[[#This Row],[学年]]=4,9,IF(テーブル22[[#This Row],[学年]]=5,10,IF(テーブル22[[#This Row],[学年]]=6,11," "))))))</f>
        <v xml:space="preserve"> </v>
      </c>
      <c r="AA115" s="125" t="str">
        <f>IF(テーブル22[[#This Row],[肥満度数値]]="","",LOOKUP(AC115,$AW$39:$AW$44,$AX$39:$AX$44))</f>
        <v/>
      </c>
      <c r="AB1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5" s="124" t="str">
        <f>IF(テーブル22[[#This Row],[体重]]="","",(テーブル22[[#This Row],[体重]]-テーブル22[[#This Row],[標準体重]])/テーブル22[[#This Row],[標準体重]]*100)</f>
        <v/>
      </c>
      <c r="AD115" s="1">
        <f>COUNTA(テーブル22[[#This Row],[握力]:[ボール投げ]])</f>
        <v>0</v>
      </c>
      <c r="AE115" s="1" t="str">
        <f>IF(テーブル22[[#This Row],[判定]]=$BD$10,"○","")</f>
        <v/>
      </c>
      <c r="AF115" s="1" t="str">
        <f>IF(AE115="","",COUNTIF($AE$6:AE115,"○"))</f>
        <v/>
      </c>
    </row>
    <row r="116" spans="1:32" x14ac:dyDescent="0.2">
      <c r="A116" s="40">
        <v>111</v>
      </c>
      <c r="B116" s="145"/>
      <c r="C116" s="148"/>
      <c r="D116" s="145"/>
      <c r="E116" s="156"/>
      <c r="F116" s="145"/>
      <c r="G116" s="145"/>
      <c r="H116" s="146"/>
      <c r="I116" s="146"/>
      <c r="J116" s="148"/>
      <c r="K116" s="145"/>
      <c r="L116" s="148"/>
      <c r="M116" s="149"/>
      <c r="N116" s="148"/>
      <c r="O116" s="150"/>
      <c r="P1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6" s="43" t="str">
        <f>IF(テーブル22[[#This Row],[得点]]="","",IF(テーブル22[[#This Row],[年齢]]&gt;10,LOOKUP(P116,$BG$6:$BG$10,$BD$6:$BD$10),IF(テーブル22[[#This Row],[年齢]]&gt;9,LOOKUP(P116,$BF$6:$BF$10,$BD$6:$BD$10),IF(テーブル22[[#This Row],[年齢]]&gt;8,LOOKUP(P116,$BE$6:$BE$10,$BD$6:$BD$10),IF(テーブル22[[#This Row],[年齢]]&gt;7,LOOKUP(P116,$BC$6:$BC$10,$BD$6:$BD$10),IF(テーブル22[[#This Row],[年齢]]&gt;6,LOOKUP(P116,$BB$6:$BB$10,$BD$6:$BD$10),LOOKUP(P116,$BA$6:$BA$10,$BD$6:$BD$10)))))))</f>
        <v/>
      </c>
      <c r="R116" s="42">
        <f>IF(H116="",0,(IF(テーブル22[[#This Row],[性別]]="男",LOOKUP(テーブル22[[#This Row],[握力]],$AH$6:$AI$15),LOOKUP(テーブル22[[#This Row],[握力]],$AH$20:$AI$29))))</f>
        <v>0</v>
      </c>
      <c r="S116" s="42">
        <f>IF(テーブル22[[#This Row],[上体]]="",0,(IF(テーブル22[[#This Row],[性別]]="男",LOOKUP(テーブル22[[#This Row],[上体]],$AJ$6:$AK$15),LOOKUP(テーブル22[[#This Row],[上体]],$AJ$20:$AK$29))))</f>
        <v>0</v>
      </c>
      <c r="T116" s="42">
        <f>IF(テーブル22[[#This Row],[長座]]="",0,(IF(テーブル22[[#This Row],[性別]]="男",LOOKUP(テーブル22[[#This Row],[長座]],$AL$6:$AM$15),LOOKUP(テーブル22[[#This Row],[長座]],$AL$20:$AM$29))))</f>
        <v>0</v>
      </c>
      <c r="U116" s="42">
        <f>IF(テーブル22[[#This Row],[反復]]="",0,(IF(テーブル22[[#This Row],[性別]]="男",LOOKUP(テーブル22[[#This Row],[反復]],$AN$6:$AO$15),LOOKUP(テーブル22[[#This Row],[反復]],$AN$20:$AO$29))))</f>
        <v>0</v>
      </c>
      <c r="V116" s="42">
        <f>IF(テーブル22[[#This Row],[ｼｬﾄﾙﾗﾝ]]="",0,(IF(テーブル22[[#This Row],[性別]]="男",LOOKUP(テーブル22[[#This Row],[ｼｬﾄﾙﾗﾝ]],$AR$6:$AS$15),LOOKUP(テーブル22[[#This Row],[ｼｬﾄﾙﾗﾝ]],$AR$20:$AS$29))))</f>
        <v>0</v>
      </c>
      <c r="W116" s="42">
        <f>IF(テーブル22[[#This Row],[50m走]]="",0,(IF(テーブル22[[#This Row],[性別]]="男",LOOKUP(テーブル22[[#This Row],[50m走]],$AT$6:$AU$15),LOOKUP(テーブル22[[#This Row],[50m走]],$AT$20:$AU$29))))</f>
        <v>0</v>
      </c>
      <c r="X116" s="42">
        <f>IF(テーブル22[[#This Row],[立幅とび]]="",0,(IF(テーブル22[[#This Row],[性別]]="男",LOOKUP(テーブル22[[#This Row],[立幅とび]],$AV$6:$AW$15),LOOKUP(テーブル22[[#This Row],[立幅とび]],$AV$20:$AW$29))))</f>
        <v>0</v>
      </c>
      <c r="Y116" s="42">
        <f>IF(テーブル22[[#This Row],[ボール投げ]]="",0,(IF(テーブル22[[#This Row],[性別]]="男",LOOKUP(テーブル22[[#This Row],[ボール投げ]],$AX$6:$AY$15),LOOKUP(テーブル22[[#This Row],[ボール投げ]],$AX$20:$AY$29))))</f>
        <v>0</v>
      </c>
      <c r="Z116" s="19" t="str">
        <f>IF(テーブル22[[#This Row],[学年]]=1,6,IF(テーブル22[[#This Row],[学年]]=2,7,IF(テーブル22[[#This Row],[学年]]=3,8,IF(テーブル22[[#This Row],[学年]]=4,9,IF(テーブル22[[#This Row],[学年]]=5,10,IF(テーブル22[[#This Row],[学年]]=6,11," "))))))</f>
        <v xml:space="preserve"> </v>
      </c>
      <c r="AA116" s="125" t="str">
        <f>IF(テーブル22[[#This Row],[肥満度数値]]="","",LOOKUP(AC116,$AW$39:$AW$44,$AX$39:$AX$44))</f>
        <v/>
      </c>
      <c r="AB1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6" s="124" t="str">
        <f>IF(テーブル22[[#This Row],[体重]]="","",(テーブル22[[#This Row],[体重]]-テーブル22[[#This Row],[標準体重]])/テーブル22[[#This Row],[標準体重]]*100)</f>
        <v/>
      </c>
      <c r="AD116" s="1">
        <f>COUNTA(テーブル22[[#This Row],[握力]:[ボール投げ]])</f>
        <v>0</v>
      </c>
      <c r="AE116" s="1" t="str">
        <f>IF(テーブル22[[#This Row],[判定]]=$BD$10,"○","")</f>
        <v/>
      </c>
      <c r="AF116" s="1" t="str">
        <f>IF(AE116="","",COUNTIF($AE$6:AE116,"○"))</f>
        <v/>
      </c>
    </row>
    <row r="117" spans="1:32" x14ac:dyDescent="0.2">
      <c r="A117" s="40">
        <v>112</v>
      </c>
      <c r="B117" s="145"/>
      <c r="C117" s="148"/>
      <c r="D117" s="145"/>
      <c r="E117" s="156"/>
      <c r="F117" s="145"/>
      <c r="G117" s="145"/>
      <c r="H117" s="146"/>
      <c r="I117" s="146"/>
      <c r="J117" s="148"/>
      <c r="K117" s="145"/>
      <c r="L117" s="148"/>
      <c r="M117" s="149"/>
      <c r="N117" s="148"/>
      <c r="O117" s="150"/>
      <c r="P1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7" s="43" t="str">
        <f>IF(テーブル22[[#This Row],[得点]]="","",IF(テーブル22[[#This Row],[年齢]]&gt;10,LOOKUP(P117,$BG$6:$BG$10,$BD$6:$BD$10),IF(テーブル22[[#This Row],[年齢]]&gt;9,LOOKUP(P117,$BF$6:$BF$10,$BD$6:$BD$10),IF(テーブル22[[#This Row],[年齢]]&gt;8,LOOKUP(P117,$BE$6:$BE$10,$BD$6:$BD$10),IF(テーブル22[[#This Row],[年齢]]&gt;7,LOOKUP(P117,$BC$6:$BC$10,$BD$6:$BD$10),IF(テーブル22[[#This Row],[年齢]]&gt;6,LOOKUP(P117,$BB$6:$BB$10,$BD$6:$BD$10),LOOKUP(P117,$BA$6:$BA$10,$BD$6:$BD$10)))))))</f>
        <v/>
      </c>
      <c r="R117" s="42">
        <f>IF(H117="",0,(IF(テーブル22[[#This Row],[性別]]="男",LOOKUP(テーブル22[[#This Row],[握力]],$AH$6:$AI$15),LOOKUP(テーブル22[[#This Row],[握力]],$AH$20:$AI$29))))</f>
        <v>0</v>
      </c>
      <c r="S117" s="42">
        <f>IF(テーブル22[[#This Row],[上体]]="",0,(IF(テーブル22[[#This Row],[性別]]="男",LOOKUP(テーブル22[[#This Row],[上体]],$AJ$6:$AK$15),LOOKUP(テーブル22[[#This Row],[上体]],$AJ$20:$AK$29))))</f>
        <v>0</v>
      </c>
      <c r="T117" s="42">
        <f>IF(テーブル22[[#This Row],[長座]]="",0,(IF(テーブル22[[#This Row],[性別]]="男",LOOKUP(テーブル22[[#This Row],[長座]],$AL$6:$AM$15),LOOKUP(テーブル22[[#This Row],[長座]],$AL$20:$AM$29))))</f>
        <v>0</v>
      </c>
      <c r="U117" s="42">
        <f>IF(テーブル22[[#This Row],[反復]]="",0,(IF(テーブル22[[#This Row],[性別]]="男",LOOKUP(テーブル22[[#This Row],[反復]],$AN$6:$AO$15),LOOKUP(テーブル22[[#This Row],[反復]],$AN$20:$AO$29))))</f>
        <v>0</v>
      </c>
      <c r="V117" s="42">
        <f>IF(テーブル22[[#This Row],[ｼｬﾄﾙﾗﾝ]]="",0,(IF(テーブル22[[#This Row],[性別]]="男",LOOKUP(テーブル22[[#This Row],[ｼｬﾄﾙﾗﾝ]],$AR$6:$AS$15),LOOKUP(テーブル22[[#This Row],[ｼｬﾄﾙﾗﾝ]],$AR$20:$AS$29))))</f>
        <v>0</v>
      </c>
      <c r="W117" s="42">
        <f>IF(テーブル22[[#This Row],[50m走]]="",0,(IF(テーブル22[[#This Row],[性別]]="男",LOOKUP(テーブル22[[#This Row],[50m走]],$AT$6:$AU$15),LOOKUP(テーブル22[[#This Row],[50m走]],$AT$20:$AU$29))))</f>
        <v>0</v>
      </c>
      <c r="X117" s="42">
        <f>IF(テーブル22[[#This Row],[立幅とび]]="",0,(IF(テーブル22[[#This Row],[性別]]="男",LOOKUP(テーブル22[[#This Row],[立幅とび]],$AV$6:$AW$15),LOOKUP(テーブル22[[#This Row],[立幅とび]],$AV$20:$AW$29))))</f>
        <v>0</v>
      </c>
      <c r="Y117" s="42">
        <f>IF(テーブル22[[#This Row],[ボール投げ]]="",0,(IF(テーブル22[[#This Row],[性別]]="男",LOOKUP(テーブル22[[#This Row],[ボール投げ]],$AX$6:$AY$15),LOOKUP(テーブル22[[#This Row],[ボール投げ]],$AX$20:$AY$29))))</f>
        <v>0</v>
      </c>
      <c r="Z117" s="19" t="str">
        <f>IF(テーブル22[[#This Row],[学年]]=1,6,IF(テーブル22[[#This Row],[学年]]=2,7,IF(テーブル22[[#This Row],[学年]]=3,8,IF(テーブル22[[#This Row],[学年]]=4,9,IF(テーブル22[[#This Row],[学年]]=5,10,IF(テーブル22[[#This Row],[学年]]=6,11," "))))))</f>
        <v xml:space="preserve"> </v>
      </c>
      <c r="AA117" s="125" t="str">
        <f>IF(テーブル22[[#This Row],[肥満度数値]]="","",LOOKUP(AC117,$AW$39:$AW$44,$AX$39:$AX$44))</f>
        <v/>
      </c>
      <c r="AB1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7" s="124" t="str">
        <f>IF(テーブル22[[#This Row],[体重]]="","",(テーブル22[[#This Row],[体重]]-テーブル22[[#This Row],[標準体重]])/テーブル22[[#This Row],[標準体重]]*100)</f>
        <v/>
      </c>
      <c r="AD117" s="1">
        <f>COUNTA(テーブル22[[#This Row],[握力]:[ボール投げ]])</f>
        <v>0</v>
      </c>
      <c r="AE117" s="1" t="str">
        <f>IF(テーブル22[[#This Row],[判定]]=$BD$10,"○","")</f>
        <v/>
      </c>
      <c r="AF117" s="1" t="str">
        <f>IF(AE117="","",COUNTIF($AE$6:AE117,"○"))</f>
        <v/>
      </c>
    </row>
    <row r="118" spans="1:32" x14ac:dyDescent="0.2">
      <c r="A118" s="40">
        <v>113</v>
      </c>
      <c r="B118" s="145"/>
      <c r="C118" s="148"/>
      <c r="D118" s="145"/>
      <c r="E118" s="156"/>
      <c r="F118" s="145"/>
      <c r="G118" s="145"/>
      <c r="H118" s="146"/>
      <c r="I118" s="146"/>
      <c r="J118" s="148"/>
      <c r="K118" s="145"/>
      <c r="L118" s="148"/>
      <c r="M118" s="149"/>
      <c r="N118" s="148"/>
      <c r="O118" s="150"/>
      <c r="P1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8" s="43" t="str">
        <f>IF(テーブル22[[#This Row],[得点]]="","",IF(テーブル22[[#This Row],[年齢]]&gt;10,LOOKUP(P118,$BG$6:$BG$10,$BD$6:$BD$10),IF(テーブル22[[#This Row],[年齢]]&gt;9,LOOKUP(P118,$BF$6:$BF$10,$BD$6:$BD$10),IF(テーブル22[[#This Row],[年齢]]&gt;8,LOOKUP(P118,$BE$6:$BE$10,$BD$6:$BD$10),IF(テーブル22[[#This Row],[年齢]]&gt;7,LOOKUP(P118,$BC$6:$BC$10,$BD$6:$BD$10),IF(テーブル22[[#This Row],[年齢]]&gt;6,LOOKUP(P118,$BB$6:$BB$10,$BD$6:$BD$10),LOOKUP(P118,$BA$6:$BA$10,$BD$6:$BD$10)))))))</f>
        <v/>
      </c>
      <c r="R118" s="42">
        <f>IF(H118="",0,(IF(テーブル22[[#This Row],[性別]]="男",LOOKUP(テーブル22[[#This Row],[握力]],$AH$6:$AI$15),LOOKUP(テーブル22[[#This Row],[握力]],$AH$20:$AI$29))))</f>
        <v>0</v>
      </c>
      <c r="S118" s="42">
        <f>IF(テーブル22[[#This Row],[上体]]="",0,(IF(テーブル22[[#This Row],[性別]]="男",LOOKUP(テーブル22[[#This Row],[上体]],$AJ$6:$AK$15),LOOKUP(テーブル22[[#This Row],[上体]],$AJ$20:$AK$29))))</f>
        <v>0</v>
      </c>
      <c r="T118" s="42">
        <f>IF(テーブル22[[#This Row],[長座]]="",0,(IF(テーブル22[[#This Row],[性別]]="男",LOOKUP(テーブル22[[#This Row],[長座]],$AL$6:$AM$15),LOOKUP(テーブル22[[#This Row],[長座]],$AL$20:$AM$29))))</f>
        <v>0</v>
      </c>
      <c r="U118" s="42">
        <f>IF(テーブル22[[#This Row],[反復]]="",0,(IF(テーブル22[[#This Row],[性別]]="男",LOOKUP(テーブル22[[#This Row],[反復]],$AN$6:$AO$15),LOOKUP(テーブル22[[#This Row],[反復]],$AN$20:$AO$29))))</f>
        <v>0</v>
      </c>
      <c r="V118" s="42">
        <f>IF(テーブル22[[#This Row],[ｼｬﾄﾙﾗﾝ]]="",0,(IF(テーブル22[[#This Row],[性別]]="男",LOOKUP(テーブル22[[#This Row],[ｼｬﾄﾙﾗﾝ]],$AR$6:$AS$15),LOOKUP(テーブル22[[#This Row],[ｼｬﾄﾙﾗﾝ]],$AR$20:$AS$29))))</f>
        <v>0</v>
      </c>
      <c r="W118" s="42">
        <f>IF(テーブル22[[#This Row],[50m走]]="",0,(IF(テーブル22[[#This Row],[性別]]="男",LOOKUP(テーブル22[[#This Row],[50m走]],$AT$6:$AU$15),LOOKUP(テーブル22[[#This Row],[50m走]],$AT$20:$AU$29))))</f>
        <v>0</v>
      </c>
      <c r="X118" s="42">
        <f>IF(テーブル22[[#This Row],[立幅とび]]="",0,(IF(テーブル22[[#This Row],[性別]]="男",LOOKUP(テーブル22[[#This Row],[立幅とび]],$AV$6:$AW$15),LOOKUP(テーブル22[[#This Row],[立幅とび]],$AV$20:$AW$29))))</f>
        <v>0</v>
      </c>
      <c r="Y118" s="42">
        <f>IF(テーブル22[[#This Row],[ボール投げ]]="",0,(IF(テーブル22[[#This Row],[性別]]="男",LOOKUP(テーブル22[[#This Row],[ボール投げ]],$AX$6:$AY$15),LOOKUP(テーブル22[[#This Row],[ボール投げ]],$AX$20:$AY$29))))</f>
        <v>0</v>
      </c>
      <c r="Z118" s="19" t="str">
        <f>IF(テーブル22[[#This Row],[学年]]=1,6,IF(テーブル22[[#This Row],[学年]]=2,7,IF(テーブル22[[#This Row],[学年]]=3,8,IF(テーブル22[[#This Row],[学年]]=4,9,IF(テーブル22[[#This Row],[学年]]=5,10,IF(テーブル22[[#This Row],[学年]]=6,11," "))))))</f>
        <v xml:space="preserve"> </v>
      </c>
      <c r="AA118" s="125" t="str">
        <f>IF(テーブル22[[#This Row],[肥満度数値]]="","",LOOKUP(AC118,$AW$39:$AW$44,$AX$39:$AX$44))</f>
        <v/>
      </c>
      <c r="AB1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8" s="124" t="str">
        <f>IF(テーブル22[[#This Row],[体重]]="","",(テーブル22[[#This Row],[体重]]-テーブル22[[#This Row],[標準体重]])/テーブル22[[#This Row],[標準体重]]*100)</f>
        <v/>
      </c>
      <c r="AD118" s="1">
        <f>COUNTA(テーブル22[[#This Row],[握力]:[ボール投げ]])</f>
        <v>0</v>
      </c>
      <c r="AE118" s="1" t="str">
        <f>IF(テーブル22[[#This Row],[判定]]=$BD$10,"○","")</f>
        <v/>
      </c>
      <c r="AF118" s="1" t="str">
        <f>IF(AE118="","",COUNTIF($AE$6:AE118,"○"))</f>
        <v/>
      </c>
    </row>
    <row r="119" spans="1:32" x14ac:dyDescent="0.2">
      <c r="A119" s="40">
        <v>114</v>
      </c>
      <c r="B119" s="145"/>
      <c r="C119" s="148"/>
      <c r="D119" s="145"/>
      <c r="E119" s="156"/>
      <c r="F119" s="145"/>
      <c r="G119" s="145"/>
      <c r="H119" s="146"/>
      <c r="I119" s="146"/>
      <c r="J119" s="148"/>
      <c r="K119" s="145"/>
      <c r="L119" s="148"/>
      <c r="M119" s="149"/>
      <c r="N119" s="148"/>
      <c r="O119" s="150"/>
      <c r="P1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19" s="43" t="str">
        <f>IF(テーブル22[[#This Row],[得点]]="","",IF(テーブル22[[#This Row],[年齢]]&gt;10,LOOKUP(P119,$BG$6:$BG$10,$BD$6:$BD$10),IF(テーブル22[[#This Row],[年齢]]&gt;9,LOOKUP(P119,$BF$6:$BF$10,$BD$6:$BD$10),IF(テーブル22[[#This Row],[年齢]]&gt;8,LOOKUP(P119,$BE$6:$BE$10,$BD$6:$BD$10),IF(テーブル22[[#This Row],[年齢]]&gt;7,LOOKUP(P119,$BC$6:$BC$10,$BD$6:$BD$10),IF(テーブル22[[#This Row],[年齢]]&gt;6,LOOKUP(P119,$BB$6:$BB$10,$BD$6:$BD$10),LOOKUP(P119,$BA$6:$BA$10,$BD$6:$BD$10)))))))</f>
        <v/>
      </c>
      <c r="R119" s="42">
        <f>IF(H119="",0,(IF(テーブル22[[#This Row],[性別]]="男",LOOKUP(テーブル22[[#This Row],[握力]],$AH$6:$AI$15),LOOKUP(テーブル22[[#This Row],[握力]],$AH$20:$AI$29))))</f>
        <v>0</v>
      </c>
      <c r="S119" s="42">
        <f>IF(テーブル22[[#This Row],[上体]]="",0,(IF(テーブル22[[#This Row],[性別]]="男",LOOKUP(テーブル22[[#This Row],[上体]],$AJ$6:$AK$15),LOOKUP(テーブル22[[#This Row],[上体]],$AJ$20:$AK$29))))</f>
        <v>0</v>
      </c>
      <c r="T119" s="42">
        <f>IF(テーブル22[[#This Row],[長座]]="",0,(IF(テーブル22[[#This Row],[性別]]="男",LOOKUP(テーブル22[[#This Row],[長座]],$AL$6:$AM$15),LOOKUP(テーブル22[[#This Row],[長座]],$AL$20:$AM$29))))</f>
        <v>0</v>
      </c>
      <c r="U119" s="42">
        <f>IF(テーブル22[[#This Row],[反復]]="",0,(IF(テーブル22[[#This Row],[性別]]="男",LOOKUP(テーブル22[[#This Row],[反復]],$AN$6:$AO$15),LOOKUP(テーブル22[[#This Row],[反復]],$AN$20:$AO$29))))</f>
        <v>0</v>
      </c>
      <c r="V119" s="42">
        <f>IF(テーブル22[[#This Row],[ｼｬﾄﾙﾗﾝ]]="",0,(IF(テーブル22[[#This Row],[性別]]="男",LOOKUP(テーブル22[[#This Row],[ｼｬﾄﾙﾗﾝ]],$AR$6:$AS$15),LOOKUP(テーブル22[[#This Row],[ｼｬﾄﾙﾗﾝ]],$AR$20:$AS$29))))</f>
        <v>0</v>
      </c>
      <c r="W119" s="42">
        <f>IF(テーブル22[[#This Row],[50m走]]="",0,(IF(テーブル22[[#This Row],[性別]]="男",LOOKUP(テーブル22[[#This Row],[50m走]],$AT$6:$AU$15),LOOKUP(テーブル22[[#This Row],[50m走]],$AT$20:$AU$29))))</f>
        <v>0</v>
      </c>
      <c r="X119" s="42">
        <f>IF(テーブル22[[#This Row],[立幅とび]]="",0,(IF(テーブル22[[#This Row],[性別]]="男",LOOKUP(テーブル22[[#This Row],[立幅とび]],$AV$6:$AW$15),LOOKUP(テーブル22[[#This Row],[立幅とび]],$AV$20:$AW$29))))</f>
        <v>0</v>
      </c>
      <c r="Y119" s="42">
        <f>IF(テーブル22[[#This Row],[ボール投げ]]="",0,(IF(テーブル22[[#This Row],[性別]]="男",LOOKUP(テーブル22[[#This Row],[ボール投げ]],$AX$6:$AY$15),LOOKUP(テーブル22[[#This Row],[ボール投げ]],$AX$20:$AY$29))))</f>
        <v>0</v>
      </c>
      <c r="Z119" s="19" t="str">
        <f>IF(テーブル22[[#This Row],[学年]]=1,6,IF(テーブル22[[#This Row],[学年]]=2,7,IF(テーブル22[[#This Row],[学年]]=3,8,IF(テーブル22[[#This Row],[学年]]=4,9,IF(テーブル22[[#This Row],[学年]]=5,10,IF(テーブル22[[#This Row],[学年]]=6,11," "))))))</f>
        <v xml:space="preserve"> </v>
      </c>
      <c r="AA119" s="125" t="str">
        <f>IF(テーブル22[[#This Row],[肥満度数値]]="","",LOOKUP(AC119,$AW$39:$AW$44,$AX$39:$AX$44))</f>
        <v/>
      </c>
      <c r="AB1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19" s="124" t="str">
        <f>IF(テーブル22[[#This Row],[体重]]="","",(テーブル22[[#This Row],[体重]]-テーブル22[[#This Row],[標準体重]])/テーブル22[[#This Row],[標準体重]]*100)</f>
        <v/>
      </c>
      <c r="AD119" s="1">
        <f>COUNTA(テーブル22[[#This Row],[握力]:[ボール投げ]])</f>
        <v>0</v>
      </c>
      <c r="AE119" s="1" t="str">
        <f>IF(テーブル22[[#This Row],[判定]]=$BD$10,"○","")</f>
        <v/>
      </c>
      <c r="AF119" s="1" t="str">
        <f>IF(AE119="","",COUNTIF($AE$6:AE119,"○"))</f>
        <v/>
      </c>
    </row>
    <row r="120" spans="1:32" x14ac:dyDescent="0.2">
      <c r="A120" s="40">
        <v>115</v>
      </c>
      <c r="B120" s="145"/>
      <c r="C120" s="148"/>
      <c r="D120" s="145"/>
      <c r="E120" s="156"/>
      <c r="F120" s="145"/>
      <c r="G120" s="145"/>
      <c r="H120" s="146"/>
      <c r="I120" s="146"/>
      <c r="J120" s="148"/>
      <c r="K120" s="145"/>
      <c r="L120" s="148"/>
      <c r="M120" s="149"/>
      <c r="N120" s="148"/>
      <c r="O120" s="150"/>
      <c r="P1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0" s="43" t="str">
        <f>IF(テーブル22[[#This Row],[得点]]="","",IF(テーブル22[[#This Row],[年齢]]&gt;10,LOOKUP(P120,$BG$6:$BG$10,$BD$6:$BD$10),IF(テーブル22[[#This Row],[年齢]]&gt;9,LOOKUP(P120,$BF$6:$BF$10,$BD$6:$BD$10),IF(テーブル22[[#This Row],[年齢]]&gt;8,LOOKUP(P120,$BE$6:$BE$10,$BD$6:$BD$10),IF(テーブル22[[#This Row],[年齢]]&gt;7,LOOKUP(P120,$BC$6:$BC$10,$BD$6:$BD$10),IF(テーブル22[[#This Row],[年齢]]&gt;6,LOOKUP(P120,$BB$6:$BB$10,$BD$6:$BD$10),LOOKUP(P120,$BA$6:$BA$10,$BD$6:$BD$10)))))))</f>
        <v/>
      </c>
      <c r="R120" s="42">
        <f>IF(H120="",0,(IF(テーブル22[[#This Row],[性別]]="男",LOOKUP(テーブル22[[#This Row],[握力]],$AH$6:$AI$15),LOOKUP(テーブル22[[#This Row],[握力]],$AH$20:$AI$29))))</f>
        <v>0</v>
      </c>
      <c r="S120" s="42">
        <f>IF(テーブル22[[#This Row],[上体]]="",0,(IF(テーブル22[[#This Row],[性別]]="男",LOOKUP(テーブル22[[#This Row],[上体]],$AJ$6:$AK$15),LOOKUP(テーブル22[[#This Row],[上体]],$AJ$20:$AK$29))))</f>
        <v>0</v>
      </c>
      <c r="T120" s="42">
        <f>IF(テーブル22[[#This Row],[長座]]="",0,(IF(テーブル22[[#This Row],[性別]]="男",LOOKUP(テーブル22[[#This Row],[長座]],$AL$6:$AM$15),LOOKUP(テーブル22[[#This Row],[長座]],$AL$20:$AM$29))))</f>
        <v>0</v>
      </c>
      <c r="U120" s="42">
        <f>IF(テーブル22[[#This Row],[反復]]="",0,(IF(テーブル22[[#This Row],[性別]]="男",LOOKUP(テーブル22[[#This Row],[反復]],$AN$6:$AO$15),LOOKUP(テーブル22[[#This Row],[反復]],$AN$20:$AO$29))))</f>
        <v>0</v>
      </c>
      <c r="V120" s="42">
        <f>IF(テーブル22[[#This Row],[ｼｬﾄﾙﾗﾝ]]="",0,(IF(テーブル22[[#This Row],[性別]]="男",LOOKUP(テーブル22[[#This Row],[ｼｬﾄﾙﾗﾝ]],$AR$6:$AS$15),LOOKUP(テーブル22[[#This Row],[ｼｬﾄﾙﾗﾝ]],$AR$20:$AS$29))))</f>
        <v>0</v>
      </c>
      <c r="W120" s="42">
        <f>IF(テーブル22[[#This Row],[50m走]]="",0,(IF(テーブル22[[#This Row],[性別]]="男",LOOKUP(テーブル22[[#This Row],[50m走]],$AT$6:$AU$15),LOOKUP(テーブル22[[#This Row],[50m走]],$AT$20:$AU$29))))</f>
        <v>0</v>
      </c>
      <c r="X120" s="42">
        <f>IF(テーブル22[[#This Row],[立幅とび]]="",0,(IF(テーブル22[[#This Row],[性別]]="男",LOOKUP(テーブル22[[#This Row],[立幅とび]],$AV$6:$AW$15),LOOKUP(テーブル22[[#This Row],[立幅とび]],$AV$20:$AW$29))))</f>
        <v>0</v>
      </c>
      <c r="Y120" s="42">
        <f>IF(テーブル22[[#This Row],[ボール投げ]]="",0,(IF(テーブル22[[#This Row],[性別]]="男",LOOKUP(テーブル22[[#This Row],[ボール投げ]],$AX$6:$AY$15),LOOKUP(テーブル22[[#This Row],[ボール投げ]],$AX$20:$AY$29))))</f>
        <v>0</v>
      </c>
      <c r="Z120" s="19" t="str">
        <f>IF(テーブル22[[#This Row],[学年]]=1,6,IF(テーブル22[[#This Row],[学年]]=2,7,IF(テーブル22[[#This Row],[学年]]=3,8,IF(テーブル22[[#This Row],[学年]]=4,9,IF(テーブル22[[#This Row],[学年]]=5,10,IF(テーブル22[[#This Row],[学年]]=6,11," "))))))</f>
        <v xml:space="preserve"> </v>
      </c>
      <c r="AA120" s="125" t="str">
        <f>IF(テーブル22[[#This Row],[肥満度数値]]="","",LOOKUP(AC120,$AW$39:$AW$44,$AX$39:$AX$44))</f>
        <v/>
      </c>
      <c r="AB1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0" s="124" t="str">
        <f>IF(テーブル22[[#This Row],[体重]]="","",(テーブル22[[#This Row],[体重]]-テーブル22[[#This Row],[標準体重]])/テーブル22[[#This Row],[標準体重]]*100)</f>
        <v/>
      </c>
      <c r="AD120" s="1">
        <f>COUNTA(テーブル22[[#This Row],[握力]:[ボール投げ]])</f>
        <v>0</v>
      </c>
      <c r="AE120" s="1" t="str">
        <f>IF(テーブル22[[#This Row],[判定]]=$BD$10,"○","")</f>
        <v/>
      </c>
      <c r="AF120" s="1" t="str">
        <f>IF(AE120="","",COUNTIF($AE$6:AE120,"○"))</f>
        <v/>
      </c>
    </row>
    <row r="121" spans="1:32" x14ac:dyDescent="0.2">
      <c r="A121" s="40">
        <v>116</v>
      </c>
      <c r="B121" s="145"/>
      <c r="C121" s="148"/>
      <c r="D121" s="145"/>
      <c r="E121" s="156"/>
      <c r="F121" s="145"/>
      <c r="G121" s="145"/>
      <c r="H121" s="146"/>
      <c r="I121" s="146"/>
      <c r="J121" s="148"/>
      <c r="K121" s="145"/>
      <c r="L121" s="148"/>
      <c r="M121" s="149"/>
      <c r="N121" s="148"/>
      <c r="O121" s="150"/>
      <c r="P1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1" s="43" t="str">
        <f>IF(テーブル22[[#This Row],[得点]]="","",IF(テーブル22[[#This Row],[年齢]]&gt;10,LOOKUP(P121,$BG$6:$BG$10,$BD$6:$BD$10),IF(テーブル22[[#This Row],[年齢]]&gt;9,LOOKUP(P121,$BF$6:$BF$10,$BD$6:$BD$10),IF(テーブル22[[#This Row],[年齢]]&gt;8,LOOKUP(P121,$BE$6:$BE$10,$BD$6:$BD$10),IF(テーブル22[[#This Row],[年齢]]&gt;7,LOOKUP(P121,$BC$6:$BC$10,$BD$6:$BD$10),IF(テーブル22[[#This Row],[年齢]]&gt;6,LOOKUP(P121,$BB$6:$BB$10,$BD$6:$BD$10),LOOKUP(P121,$BA$6:$BA$10,$BD$6:$BD$10)))))))</f>
        <v/>
      </c>
      <c r="R121" s="42">
        <f>IF(H121="",0,(IF(テーブル22[[#This Row],[性別]]="男",LOOKUP(テーブル22[[#This Row],[握力]],$AH$6:$AI$15),LOOKUP(テーブル22[[#This Row],[握力]],$AH$20:$AI$29))))</f>
        <v>0</v>
      </c>
      <c r="S121" s="42">
        <f>IF(テーブル22[[#This Row],[上体]]="",0,(IF(テーブル22[[#This Row],[性別]]="男",LOOKUP(テーブル22[[#This Row],[上体]],$AJ$6:$AK$15),LOOKUP(テーブル22[[#This Row],[上体]],$AJ$20:$AK$29))))</f>
        <v>0</v>
      </c>
      <c r="T121" s="42">
        <f>IF(テーブル22[[#This Row],[長座]]="",0,(IF(テーブル22[[#This Row],[性別]]="男",LOOKUP(テーブル22[[#This Row],[長座]],$AL$6:$AM$15),LOOKUP(テーブル22[[#This Row],[長座]],$AL$20:$AM$29))))</f>
        <v>0</v>
      </c>
      <c r="U121" s="42">
        <f>IF(テーブル22[[#This Row],[反復]]="",0,(IF(テーブル22[[#This Row],[性別]]="男",LOOKUP(テーブル22[[#This Row],[反復]],$AN$6:$AO$15),LOOKUP(テーブル22[[#This Row],[反復]],$AN$20:$AO$29))))</f>
        <v>0</v>
      </c>
      <c r="V121" s="42">
        <f>IF(テーブル22[[#This Row],[ｼｬﾄﾙﾗﾝ]]="",0,(IF(テーブル22[[#This Row],[性別]]="男",LOOKUP(テーブル22[[#This Row],[ｼｬﾄﾙﾗﾝ]],$AR$6:$AS$15),LOOKUP(テーブル22[[#This Row],[ｼｬﾄﾙﾗﾝ]],$AR$20:$AS$29))))</f>
        <v>0</v>
      </c>
      <c r="W121" s="42">
        <f>IF(テーブル22[[#This Row],[50m走]]="",0,(IF(テーブル22[[#This Row],[性別]]="男",LOOKUP(テーブル22[[#This Row],[50m走]],$AT$6:$AU$15),LOOKUP(テーブル22[[#This Row],[50m走]],$AT$20:$AU$29))))</f>
        <v>0</v>
      </c>
      <c r="X121" s="42">
        <f>IF(テーブル22[[#This Row],[立幅とび]]="",0,(IF(テーブル22[[#This Row],[性別]]="男",LOOKUP(テーブル22[[#This Row],[立幅とび]],$AV$6:$AW$15),LOOKUP(テーブル22[[#This Row],[立幅とび]],$AV$20:$AW$29))))</f>
        <v>0</v>
      </c>
      <c r="Y121" s="42">
        <f>IF(テーブル22[[#This Row],[ボール投げ]]="",0,(IF(テーブル22[[#This Row],[性別]]="男",LOOKUP(テーブル22[[#This Row],[ボール投げ]],$AX$6:$AY$15),LOOKUP(テーブル22[[#This Row],[ボール投げ]],$AX$20:$AY$29))))</f>
        <v>0</v>
      </c>
      <c r="Z121" s="19" t="str">
        <f>IF(テーブル22[[#This Row],[学年]]=1,6,IF(テーブル22[[#This Row],[学年]]=2,7,IF(テーブル22[[#This Row],[学年]]=3,8,IF(テーブル22[[#This Row],[学年]]=4,9,IF(テーブル22[[#This Row],[学年]]=5,10,IF(テーブル22[[#This Row],[学年]]=6,11," "))))))</f>
        <v xml:space="preserve"> </v>
      </c>
      <c r="AA121" s="125" t="str">
        <f>IF(テーブル22[[#This Row],[肥満度数値]]="","",LOOKUP(AC121,$AW$39:$AW$44,$AX$39:$AX$44))</f>
        <v/>
      </c>
      <c r="AB1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1" s="124" t="str">
        <f>IF(テーブル22[[#This Row],[体重]]="","",(テーブル22[[#This Row],[体重]]-テーブル22[[#This Row],[標準体重]])/テーブル22[[#This Row],[標準体重]]*100)</f>
        <v/>
      </c>
      <c r="AD121" s="1">
        <f>COUNTA(テーブル22[[#This Row],[握力]:[ボール投げ]])</f>
        <v>0</v>
      </c>
      <c r="AE121" s="1" t="str">
        <f>IF(テーブル22[[#This Row],[判定]]=$BD$10,"○","")</f>
        <v/>
      </c>
      <c r="AF121" s="1" t="str">
        <f>IF(AE121="","",COUNTIF($AE$6:AE121,"○"))</f>
        <v/>
      </c>
    </row>
    <row r="122" spans="1:32" x14ac:dyDescent="0.2">
      <c r="A122" s="40">
        <v>117</v>
      </c>
      <c r="B122" s="145"/>
      <c r="C122" s="148"/>
      <c r="D122" s="145"/>
      <c r="E122" s="156"/>
      <c r="F122" s="145"/>
      <c r="G122" s="145"/>
      <c r="H122" s="146"/>
      <c r="I122" s="146"/>
      <c r="J122" s="148"/>
      <c r="K122" s="145"/>
      <c r="L122" s="148"/>
      <c r="M122" s="149"/>
      <c r="N122" s="148"/>
      <c r="O122" s="150"/>
      <c r="P1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2" s="43" t="str">
        <f>IF(テーブル22[[#This Row],[得点]]="","",IF(テーブル22[[#This Row],[年齢]]&gt;10,LOOKUP(P122,$BG$6:$BG$10,$BD$6:$BD$10),IF(テーブル22[[#This Row],[年齢]]&gt;9,LOOKUP(P122,$BF$6:$BF$10,$BD$6:$BD$10),IF(テーブル22[[#This Row],[年齢]]&gt;8,LOOKUP(P122,$BE$6:$BE$10,$BD$6:$BD$10),IF(テーブル22[[#This Row],[年齢]]&gt;7,LOOKUP(P122,$BC$6:$BC$10,$BD$6:$BD$10),IF(テーブル22[[#This Row],[年齢]]&gt;6,LOOKUP(P122,$BB$6:$BB$10,$BD$6:$BD$10),LOOKUP(P122,$BA$6:$BA$10,$BD$6:$BD$10)))))))</f>
        <v/>
      </c>
      <c r="R122" s="42">
        <f>IF(H122="",0,(IF(テーブル22[[#This Row],[性別]]="男",LOOKUP(テーブル22[[#This Row],[握力]],$AH$6:$AI$15),LOOKUP(テーブル22[[#This Row],[握力]],$AH$20:$AI$29))))</f>
        <v>0</v>
      </c>
      <c r="S122" s="42">
        <f>IF(テーブル22[[#This Row],[上体]]="",0,(IF(テーブル22[[#This Row],[性別]]="男",LOOKUP(テーブル22[[#This Row],[上体]],$AJ$6:$AK$15),LOOKUP(テーブル22[[#This Row],[上体]],$AJ$20:$AK$29))))</f>
        <v>0</v>
      </c>
      <c r="T122" s="42">
        <f>IF(テーブル22[[#This Row],[長座]]="",0,(IF(テーブル22[[#This Row],[性別]]="男",LOOKUP(テーブル22[[#This Row],[長座]],$AL$6:$AM$15),LOOKUP(テーブル22[[#This Row],[長座]],$AL$20:$AM$29))))</f>
        <v>0</v>
      </c>
      <c r="U122" s="42">
        <f>IF(テーブル22[[#This Row],[反復]]="",0,(IF(テーブル22[[#This Row],[性別]]="男",LOOKUP(テーブル22[[#This Row],[反復]],$AN$6:$AO$15),LOOKUP(テーブル22[[#This Row],[反復]],$AN$20:$AO$29))))</f>
        <v>0</v>
      </c>
      <c r="V122" s="42">
        <f>IF(テーブル22[[#This Row],[ｼｬﾄﾙﾗﾝ]]="",0,(IF(テーブル22[[#This Row],[性別]]="男",LOOKUP(テーブル22[[#This Row],[ｼｬﾄﾙﾗﾝ]],$AR$6:$AS$15),LOOKUP(テーブル22[[#This Row],[ｼｬﾄﾙﾗﾝ]],$AR$20:$AS$29))))</f>
        <v>0</v>
      </c>
      <c r="W122" s="42">
        <f>IF(テーブル22[[#This Row],[50m走]]="",0,(IF(テーブル22[[#This Row],[性別]]="男",LOOKUP(テーブル22[[#This Row],[50m走]],$AT$6:$AU$15),LOOKUP(テーブル22[[#This Row],[50m走]],$AT$20:$AU$29))))</f>
        <v>0</v>
      </c>
      <c r="X122" s="42">
        <f>IF(テーブル22[[#This Row],[立幅とび]]="",0,(IF(テーブル22[[#This Row],[性別]]="男",LOOKUP(テーブル22[[#This Row],[立幅とび]],$AV$6:$AW$15),LOOKUP(テーブル22[[#This Row],[立幅とび]],$AV$20:$AW$29))))</f>
        <v>0</v>
      </c>
      <c r="Y122" s="42">
        <f>IF(テーブル22[[#This Row],[ボール投げ]]="",0,(IF(テーブル22[[#This Row],[性別]]="男",LOOKUP(テーブル22[[#This Row],[ボール投げ]],$AX$6:$AY$15),LOOKUP(テーブル22[[#This Row],[ボール投げ]],$AX$20:$AY$29))))</f>
        <v>0</v>
      </c>
      <c r="Z122" s="19" t="str">
        <f>IF(テーブル22[[#This Row],[学年]]=1,6,IF(テーブル22[[#This Row],[学年]]=2,7,IF(テーブル22[[#This Row],[学年]]=3,8,IF(テーブル22[[#This Row],[学年]]=4,9,IF(テーブル22[[#This Row],[学年]]=5,10,IF(テーブル22[[#This Row],[学年]]=6,11," "))))))</f>
        <v xml:space="preserve"> </v>
      </c>
      <c r="AA122" s="125" t="str">
        <f>IF(テーブル22[[#This Row],[肥満度数値]]="","",LOOKUP(AC122,$AW$39:$AW$44,$AX$39:$AX$44))</f>
        <v/>
      </c>
      <c r="AB1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2" s="124" t="str">
        <f>IF(テーブル22[[#This Row],[体重]]="","",(テーブル22[[#This Row],[体重]]-テーブル22[[#This Row],[標準体重]])/テーブル22[[#This Row],[標準体重]]*100)</f>
        <v/>
      </c>
      <c r="AD122" s="1">
        <f>COUNTA(テーブル22[[#This Row],[握力]:[ボール投げ]])</f>
        <v>0</v>
      </c>
      <c r="AE122" s="1" t="str">
        <f>IF(テーブル22[[#This Row],[判定]]=$BD$10,"○","")</f>
        <v/>
      </c>
      <c r="AF122" s="1" t="str">
        <f>IF(AE122="","",COUNTIF($AE$6:AE122,"○"))</f>
        <v/>
      </c>
    </row>
    <row r="123" spans="1:32" x14ac:dyDescent="0.2">
      <c r="A123" s="40">
        <v>118</v>
      </c>
      <c r="B123" s="145"/>
      <c r="C123" s="148"/>
      <c r="D123" s="145"/>
      <c r="E123" s="156"/>
      <c r="F123" s="145"/>
      <c r="G123" s="145"/>
      <c r="H123" s="146"/>
      <c r="I123" s="146"/>
      <c r="J123" s="148"/>
      <c r="K123" s="145"/>
      <c r="L123" s="148"/>
      <c r="M123" s="149"/>
      <c r="N123" s="148"/>
      <c r="O123" s="150"/>
      <c r="P1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3" s="43" t="str">
        <f>IF(テーブル22[[#This Row],[得点]]="","",IF(テーブル22[[#This Row],[年齢]]&gt;10,LOOKUP(P123,$BG$6:$BG$10,$BD$6:$BD$10),IF(テーブル22[[#This Row],[年齢]]&gt;9,LOOKUP(P123,$BF$6:$BF$10,$BD$6:$BD$10),IF(テーブル22[[#This Row],[年齢]]&gt;8,LOOKUP(P123,$BE$6:$BE$10,$BD$6:$BD$10),IF(テーブル22[[#This Row],[年齢]]&gt;7,LOOKUP(P123,$BC$6:$BC$10,$BD$6:$BD$10),IF(テーブル22[[#This Row],[年齢]]&gt;6,LOOKUP(P123,$BB$6:$BB$10,$BD$6:$BD$10),LOOKUP(P123,$BA$6:$BA$10,$BD$6:$BD$10)))))))</f>
        <v/>
      </c>
      <c r="R123" s="42">
        <f>IF(H123="",0,(IF(テーブル22[[#This Row],[性別]]="男",LOOKUP(テーブル22[[#This Row],[握力]],$AH$6:$AI$15),LOOKUP(テーブル22[[#This Row],[握力]],$AH$20:$AI$29))))</f>
        <v>0</v>
      </c>
      <c r="S123" s="42">
        <f>IF(テーブル22[[#This Row],[上体]]="",0,(IF(テーブル22[[#This Row],[性別]]="男",LOOKUP(テーブル22[[#This Row],[上体]],$AJ$6:$AK$15),LOOKUP(テーブル22[[#This Row],[上体]],$AJ$20:$AK$29))))</f>
        <v>0</v>
      </c>
      <c r="T123" s="42">
        <f>IF(テーブル22[[#This Row],[長座]]="",0,(IF(テーブル22[[#This Row],[性別]]="男",LOOKUP(テーブル22[[#This Row],[長座]],$AL$6:$AM$15),LOOKUP(テーブル22[[#This Row],[長座]],$AL$20:$AM$29))))</f>
        <v>0</v>
      </c>
      <c r="U123" s="42">
        <f>IF(テーブル22[[#This Row],[反復]]="",0,(IF(テーブル22[[#This Row],[性別]]="男",LOOKUP(テーブル22[[#This Row],[反復]],$AN$6:$AO$15),LOOKUP(テーブル22[[#This Row],[反復]],$AN$20:$AO$29))))</f>
        <v>0</v>
      </c>
      <c r="V123" s="42">
        <f>IF(テーブル22[[#This Row],[ｼｬﾄﾙﾗﾝ]]="",0,(IF(テーブル22[[#This Row],[性別]]="男",LOOKUP(テーブル22[[#This Row],[ｼｬﾄﾙﾗﾝ]],$AR$6:$AS$15),LOOKUP(テーブル22[[#This Row],[ｼｬﾄﾙﾗﾝ]],$AR$20:$AS$29))))</f>
        <v>0</v>
      </c>
      <c r="W123" s="42">
        <f>IF(テーブル22[[#This Row],[50m走]]="",0,(IF(テーブル22[[#This Row],[性別]]="男",LOOKUP(テーブル22[[#This Row],[50m走]],$AT$6:$AU$15),LOOKUP(テーブル22[[#This Row],[50m走]],$AT$20:$AU$29))))</f>
        <v>0</v>
      </c>
      <c r="X123" s="42">
        <f>IF(テーブル22[[#This Row],[立幅とび]]="",0,(IF(テーブル22[[#This Row],[性別]]="男",LOOKUP(テーブル22[[#This Row],[立幅とび]],$AV$6:$AW$15),LOOKUP(テーブル22[[#This Row],[立幅とび]],$AV$20:$AW$29))))</f>
        <v>0</v>
      </c>
      <c r="Y123" s="42">
        <f>IF(テーブル22[[#This Row],[ボール投げ]]="",0,(IF(テーブル22[[#This Row],[性別]]="男",LOOKUP(テーブル22[[#This Row],[ボール投げ]],$AX$6:$AY$15),LOOKUP(テーブル22[[#This Row],[ボール投げ]],$AX$20:$AY$29))))</f>
        <v>0</v>
      </c>
      <c r="Z123" s="19" t="str">
        <f>IF(テーブル22[[#This Row],[学年]]=1,6,IF(テーブル22[[#This Row],[学年]]=2,7,IF(テーブル22[[#This Row],[学年]]=3,8,IF(テーブル22[[#This Row],[学年]]=4,9,IF(テーブル22[[#This Row],[学年]]=5,10,IF(テーブル22[[#This Row],[学年]]=6,11," "))))))</f>
        <v xml:space="preserve"> </v>
      </c>
      <c r="AA123" s="125" t="str">
        <f>IF(テーブル22[[#This Row],[肥満度数値]]="","",LOOKUP(AC123,$AW$39:$AW$44,$AX$39:$AX$44))</f>
        <v/>
      </c>
      <c r="AB1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3" s="124" t="str">
        <f>IF(テーブル22[[#This Row],[体重]]="","",(テーブル22[[#This Row],[体重]]-テーブル22[[#This Row],[標準体重]])/テーブル22[[#This Row],[標準体重]]*100)</f>
        <v/>
      </c>
      <c r="AD123" s="1">
        <f>COUNTA(テーブル22[[#This Row],[握力]:[ボール投げ]])</f>
        <v>0</v>
      </c>
      <c r="AE123" s="1" t="str">
        <f>IF(テーブル22[[#This Row],[判定]]=$BD$10,"○","")</f>
        <v/>
      </c>
      <c r="AF123" s="1" t="str">
        <f>IF(AE123="","",COUNTIF($AE$6:AE123,"○"))</f>
        <v/>
      </c>
    </row>
    <row r="124" spans="1:32" x14ac:dyDescent="0.2">
      <c r="A124" s="40">
        <v>119</v>
      </c>
      <c r="B124" s="145"/>
      <c r="C124" s="148"/>
      <c r="D124" s="145"/>
      <c r="E124" s="156"/>
      <c r="F124" s="145"/>
      <c r="G124" s="145"/>
      <c r="H124" s="146"/>
      <c r="I124" s="146"/>
      <c r="J124" s="148"/>
      <c r="K124" s="145"/>
      <c r="L124" s="148"/>
      <c r="M124" s="149"/>
      <c r="N124" s="148"/>
      <c r="O124" s="150"/>
      <c r="P1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4" s="43" t="str">
        <f>IF(テーブル22[[#This Row],[得点]]="","",IF(テーブル22[[#This Row],[年齢]]&gt;10,LOOKUP(P124,$BG$6:$BG$10,$BD$6:$BD$10),IF(テーブル22[[#This Row],[年齢]]&gt;9,LOOKUP(P124,$BF$6:$BF$10,$BD$6:$BD$10),IF(テーブル22[[#This Row],[年齢]]&gt;8,LOOKUP(P124,$BE$6:$BE$10,$BD$6:$BD$10),IF(テーブル22[[#This Row],[年齢]]&gt;7,LOOKUP(P124,$BC$6:$BC$10,$BD$6:$BD$10),IF(テーブル22[[#This Row],[年齢]]&gt;6,LOOKUP(P124,$BB$6:$BB$10,$BD$6:$BD$10),LOOKUP(P124,$BA$6:$BA$10,$BD$6:$BD$10)))))))</f>
        <v/>
      </c>
      <c r="R124" s="42">
        <f>IF(H124="",0,(IF(テーブル22[[#This Row],[性別]]="男",LOOKUP(テーブル22[[#This Row],[握力]],$AH$6:$AI$15),LOOKUP(テーブル22[[#This Row],[握力]],$AH$20:$AI$29))))</f>
        <v>0</v>
      </c>
      <c r="S124" s="42">
        <f>IF(テーブル22[[#This Row],[上体]]="",0,(IF(テーブル22[[#This Row],[性別]]="男",LOOKUP(テーブル22[[#This Row],[上体]],$AJ$6:$AK$15),LOOKUP(テーブル22[[#This Row],[上体]],$AJ$20:$AK$29))))</f>
        <v>0</v>
      </c>
      <c r="T124" s="42">
        <f>IF(テーブル22[[#This Row],[長座]]="",0,(IF(テーブル22[[#This Row],[性別]]="男",LOOKUP(テーブル22[[#This Row],[長座]],$AL$6:$AM$15),LOOKUP(テーブル22[[#This Row],[長座]],$AL$20:$AM$29))))</f>
        <v>0</v>
      </c>
      <c r="U124" s="42">
        <f>IF(テーブル22[[#This Row],[反復]]="",0,(IF(テーブル22[[#This Row],[性別]]="男",LOOKUP(テーブル22[[#This Row],[反復]],$AN$6:$AO$15),LOOKUP(テーブル22[[#This Row],[反復]],$AN$20:$AO$29))))</f>
        <v>0</v>
      </c>
      <c r="V124" s="42">
        <f>IF(テーブル22[[#This Row],[ｼｬﾄﾙﾗﾝ]]="",0,(IF(テーブル22[[#This Row],[性別]]="男",LOOKUP(テーブル22[[#This Row],[ｼｬﾄﾙﾗﾝ]],$AR$6:$AS$15),LOOKUP(テーブル22[[#This Row],[ｼｬﾄﾙﾗﾝ]],$AR$20:$AS$29))))</f>
        <v>0</v>
      </c>
      <c r="W124" s="42">
        <f>IF(テーブル22[[#This Row],[50m走]]="",0,(IF(テーブル22[[#This Row],[性別]]="男",LOOKUP(テーブル22[[#This Row],[50m走]],$AT$6:$AU$15),LOOKUP(テーブル22[[#This Row],[50m走]],$AT$20:$AU$29))))</f>
        <v>0</v>
      </c>
      <c r="X124" s="42">
        <f>IF(テーブル22[[#This Row],[立幅とび]]="",0,(IF(テーブル22[[#This Row],[性別]]="男",LOOKUP(テーブル22[[#This Row],[立幅とび]],$AV$6:$AW$15),LOOKUP(テーブル22[[#This Row],[立幅とび]],$AV$20:$AW$29))))</f>
        <v>0</v>
      </c>
      <c r="Y124" s="42">
        <f>IF(テーブル22[[#This Row],[ボール投げ]]="",0,(IF(テーブル22[[#This Row],[性別]]="男",LOOKUP(テーブル22[[#This Row],[ボール投げ]],$AX$6:$AY$15),LOOKUP(テーブル22[[#This Row],[ボール投げ]],$AX$20:$AY$29))))</f>
        <v>0</v>
      </c>
      <c r="Z124" s="19" t="str">
        <f>IF(テーブル22[[#This Row],[学年]]=1,6,IF(テーブル22[[#This Row],[学年]]=2,7,IF(テーブル22[[#This Row],[学年]]=3,8,IF(テーブル22[[#This Row],[学年]]=4,9,IF(テーブル22[[#This Row],[学年]]=5,10,IF(テーブル22[[#This Row],[学年]]=6,11," "))))))</f>
        <v xml:space="preserve"> </v>
      </c>
      <c r="AA124" s="125" t="str">
        <f>IF(テーブル22[[#This Row],[肥満度数値]]="","",LOOKUP(AC124,$AW$39:$AW$44,$AX$39:$AX$44))</f>
        <v/>
      </c>
      <c r="AB1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4" s="124" t="str">
        <f>IF(テーブル22[[#This Row],[体重]]="","",(テーブル22[[#This Row],[体重]]-テーブル22[[#This Row],[標準体重]])/テーブル22[[#This Row],[標準体重]]*100)</f>
        <v/>
      </c>
      <c r="AD124" s="1">
        <f>COUNTA(テーブル22[[#This Row],[握力]:[ボール投げ]])</f>
        <v>0</v>
      </c>
      <c r="AE124" s="1" t="str">
        <f>IF(テーブル22[[#This Row],[判定]]=$BD$10,"○","")</f>
        <v/>
      </c>
      <c r="AF124" s="1" t="str">
        <f>IF(AE124="","",COUNTIF($AE$6:AE124,"○"))</f>
        <v/>
      </c>
    </row>
    <row r="125" spans="1:32" x14ac:dyDescent="0.2">
      <c r="A125" s="40">
        <v>120</v>
      </c>
      <c r="B125" s="145"/>
      <c r="C125" s="148"/>
      <c r="D125" s="145"/>
      <c r="E125" s="156"/>
      <c r="F125" s="145"/>
      <c r="G125" s="145"/>
      <c r="H125" s="146"/>
      <c r="I125" s="146"/>
      <c r="J125" s="148"/>
      <c r="K125" s="145"/>
      <c r="L125" s="148"/>
      <c r="M125" s="149"/>
      <c r="N125" s="148"/>
      <c r="O125" s="150"/>
      <c r="P1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5" s="43" t="str">
        <f>IF(テーブル22[[#This Row],[得点]]="","",IF(テーブル22[[#This Row],[年齢]]&gt;10,LOOKUP(P125,$BG$6:$BG$10,$BD$6:$BD$10),IF(テーブル22[[#This Row],[年齢]]&gt;9,LOOKUP(P125,$BF$6:$BF$10,$BD$6:$BD$10),IF(テーブル22[[#This Row],[年齢]]&gt;8,LOOKUP(P125,$BE$6:$BE$10,$BD$6:$BD$10),IF(テーブル22[[#This Row],[年齢]]&gt;7,LOOKUP(P125,$BC$6:$BC$10,$BD$6:$BD$10),IF(テーブル22[[#This Row],[年齢]]&gt;6,LOOKUP(P125,$BB$6:$BB$10,$BD$6:$BD$10),LOOKUP(P125,$BA$6:$BA$10,$BD$6:$BD$10)))))))</f>
        <v/>
      </c>
      <c r="R125" s="42">
        <f>IF(H125="",0,(IF(テーブル22[[#This Row],[性別]]="男",LOOKUP(テーブル22[[#This Row],[握力]],$AH$6:$AI$15),LOOKUP(テーブル22[[#This Row],[握力]],$AH$20:$AI$29))))</f>
        <v>0</v>
      </c>
      <c r="S125" s="42">
        <f>IF(テーブル22[[#This Row],[上体]]="",0,(IF(テーブル22[[#This Row],[性別]]="男",LOOKUP(テーブル22[[#This Row],[上体]],$AJ$6:$AK$15),LOOKUP(テーブル22[[#This Row],[上体]],$AJ$20:$AK$29))))</f>
        <v>0</v>
      </c>
      <c r="T125" s="42">
        <f>IF(テーブル22[[#This Row],[長座]]="",0,(IF(テーブル22[[#This Row],[性別]]="男",LOOKUP(テーブル22[[#This Row],[長座]],$AL$6:$AM$15),LOOKUP(テーブル22[[#This Row],[長座]],$AL$20:$AM$29))))</f>
        <v>0</v>
      </c>
      <c r="U125" s="42">
        <f>IF(テーブル22[[#This Row],[反復]]="",0,(IF(テーブル22[[#This Row],[性別]]="男",LOOKUP(テーブル22[[#This Row],[反復]],$AN$6:$AO$15),LOOKUP(テーブル22[[#This Row],[反復]],$AN$20:$AO$29))))</f>
        <v>0</v>
      </c>
      <c r="V125" s="42">
        <f>IF(テーブル22[[#This Row],[ｼｬﾄﾙﾗﾝ]]="",0,(IF(テーブル22[[#This Row],[性別]]="男",LOOKUP(テーブル22[[#This Row],[ｼｬﾄﾙﾗﾝ]],$AR$6:$AS$15),LOOKUP(テーブル22[[#This Row],[ｼｬﾄﾙﾗﾝ]],$AR$20:$AS$29))))</f>
        <v>0</v>
      </c>
      <c r="W125" s="42">
        <f>IF(テーブル22[[#This Row],[50m走]]="",0,(IF(テーブル22[[#This Row],[性別]]="男",LOOKUP(テーブル22[[#This Row],[50m走]],$AT$6:$AU$15),LOOKUP(テーブル22[[#This Row],[50m走]],$AT$20:$AU$29))))</f>
        <v>0</v>
      </c>
      <c r="X125" s="42">
        <f>IF(テーブル22[[#This Row],[立幅とび]]="",0,(IF(テーブル22[[#This Row],[性別]]="男",LOOKUP(テーブル22[[#This Row],[立幅とび]],$AV$6:$AW$15),LOOKUP(テーブル22[[#This Row],[立幅とび]],$AV$20:$AW$29))))</f>
        <v>0</v>
      </c>
      <c r="Y125" s="42">
        <f>IF(テーブル22[[#This Row],[ボール投げ]]="",0,(IF(テーブル22[[#This Row],[性別]]="男",LOOKUP(テーブル22[[#This Row],[ボール投げ]],$AX$6:$AY$15),LOOKUP(テーブル22[[#This Row],[ボール投げ]],$AX$20:$AY$29))))</f>
        <v>0</v>
      </c>
      <c r="Z125" s="19" t="str">
        <f>IF(テーブル22[[#This Row],[学年]]=1,6,IF(テーブル22[[#This Row],[学年]]=2,7,IF(テーブル22[[#This Row],[学年]]=3,8,IF(テーブル22[[#This Row],[学年]]=4,9,IF(テーブル22[[#This Row],[学年]]=5,10,IF(テーブル22[[#This Row],[学年]]=6,11," "))))))</f>
        <v xml:space="preserve"> </v>
      </c>
      <c r="AA125" s="125" t="str">
        <f>IF(テーブル22[[#This Row],[肥満度数値]]="","",LOOKUP(AC125,$AW$39:$AW$44,$AX$39:$AX$44))</f>
        <v/>
      </c>
      <c r="AB1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5" s="124" t="str">
        <f>IF(テーブル22[[#This Row],[体重]]="","",(テーブル22[[#This Row],[体重]]-テーブル22[[#This Row],[標準体重]])/テーブル22[[#This Row],[標準体重]]*100)</f>
        <v/>
      </c>
      <c r="AD125" s="1">
        <f>COUNTA(テーブル22[[#This Row],[握力]:[ボール投げ]])</f>
        <v>0</v>
      </c>
      <c r="AE125" s="1" t="str">
        <f>IF(テーブル22[[#This Row],[判定]]=$BD$10,"○","")</f>
        <v/>
      </c>
      <c r="AF125" s="1" t="str">
        <f>IF(AE125="","",COUNTIF($AE$6:AE125,"○"))</f>
        <v/>
      </c>
    </row>
    <row r="126" spans="1:32" x14ac:dyDescent="0.2">
      <c r="A126" s="40">
        <v>121</v>
      </c>
      <c r="B126" s="145"/>
      <c r="C126" s="148"/>
      <c r="D126" s="145"/>
      <c r="E126" s="156"/>
      <c r="F126" s="145"/>
      <c r="G126" s="145"/>
      <c r="H126" s="146"/>
      <c r="I126" s="146"/>
      <c r="J126" s="148"/>
      <c r="K126" s="145"/>
      <c r="L126" s="148"/>
      <c r="M126" s="149"/>
      <c r="N126" s="148"/>
      <c r="O126" s="150"/>
      <c r="P1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6" s="43" t="str">
        <f>IF(テーブル22[[#This Row],[得点]]="","",IF(テーブル22[[#This Row],[年齢]]&gt;10,LOOKUP(P126,$BG$6:$BG$10,$BD$6:$BD$10),IF(テーブル22[[#This Row],[年齢]]&gt;9,LOOKUP(P126,$BF$6:$BF$10,$BD$6:$BD$10),IF(テーブル22[[#This Row],[年齢]]&gt;8,LOOKUP(P126,$BE$6:$BE$10,$BD$6:$BD$10),IF(テーブル22[[#This Row],[年齢]]&gt;7,LOOKUP(P126,$BC$6:$BC$10,$BD$6:$BD$10),IF(テーブル22[[#This Row],[年齢]]&gt;6,LOOKUP(P126,$BB$6:$BB$10,$BD$6:$BD$10),LOOKUP(P126,$BA$6:$BA$10,$BD$6:$BD$10)))))))</f>
        <v/>
      </c>
      <c r="R126" s="42">
        <f>IF(H126="",0,(IF(テーブル22[[#This Row],[性別]]="男",LOOKUP(テーブル22[[#This Row],[握力]],$AH$6:$AI$15),LOOKUP(テーブル22[[#This Row],[握力]],$AH$20:$AI$29))))</f>
        <v>0</v>
      </c>
      <c r="S126" s="42">
        <f>IF(テーブル22[[#This Row],[上体]]="",0,(IF(テーブル22[[#This Row],[性別]]="男",LOOKUP(テーブル22[[#This Row],[上体]],$AJ$6:$AK$15),LOOKUP(テーブル22[[#This Row],[上体]],$AJ$20:$AK$29))))</f>
        <v>0</v>
      </c>
      <c r="T126" s="42">
        <f>IF(テーブル22[[#This Row],[長座]]="",0,(IF(テーブル22[[#This Row],[性別]]="男",LOOKUP(テーブル22[[#This Row],[長座]],$AL$6:$AM$15),LOOKUP(テーブル22[[#This Row],[長座]],$AL$20:$AM$29))))</f>
        <v>0</v>
      </c>
      <c r="U126" s="42">
        <f>IF(テーブル22[[#This Row],[反復]]="",0,(IF(テーブル22[[#This Row],[性別]]="男",LOOKUP(テーブル22[[#This Row],[反復]],$AN$6:$AO$15),LOOKUP(テーブル22[[#This Row],[反復]],$AN$20:$AO$29))))</f>
        <v>0</v>
      </c>
      <c r="V126" s="42">
        <f>IF(テーブル22[[#This Row],[ｼｬﾄﾙﾗﾝ]]="",0,(IF(テーブル22[[#This Row],[性別]]="男",LOOKUP(テーブル22[[#This Row],[ｼｬﾄﾙﾗﾝ]],$AR$6:$AS$15),LOOKUP(テーブル22[[#This Row],[ｼｬﾄﾙﾗﾝ]],$AR$20:$AS$29))))</f>
        <v>0</v>
      </c>
      <c r="W126" s="42">
        <f>IF(テーブル22[[#This Row],[50m走]]="",0,(IF(テーブル22[[#This Row],[性別]]="男",LOOKUP(テーブル22[[#This Row],[50m走]],$AT$6:$AU$15),LOOKUP(テーブル22[[#This Row],[50m走]],$AT$20:$AU$29))))</f>
        <v>0</v>
      </c>
      <c r="X126" s="42">
        <f>IF(テーブル22[[#This Row],[立幅とび]]="",0,(IF(テーブル22[[#This Row],[性別]]="男",LOOKUP(テーブル22[[#This Row],[立幅とび]],$AV$6:$AW$15),LOOKUP(テーブル22[[#This Row],[立幅とび]],$AV$20:$AW$29))))</f>
        <v>0</v>
      </c>
      <c r="Y126" s="42">
        <f>IF(テーブル22[[#This Row],[ボール投げ]]="",0,(IF(テーブル22[[#This Row],[性別]]="男",LOOKUP(テーブル22[[#This Row],[ボール投げ]],$AX$6:$AY$15),LOOKUP(テーブル22[[#This Row],[ボール投げ]],$AX$20:$AY$29))))</f>
        <v>0</v>
      </c>
      <c r="Z126" s="19" t="str">
        <f>IF(テーブル22[[#This Row],[学年]]=1,6,IF(テーブル22[[#This Row],[学年]]=2,7,IF(テーブル22[[#This Row],[学年]]=3,8,IF(テーブル22[[#This Row],[学年]]=4,9,IF(テーブル22[[#This Row],[学年]]=5,10,IF(テーブル22[[#This Row],[学年]]=6,11," "))))))</f>
        <v xml:space="preserve"> </v>
      </c>
      <c r="AA126" s="125" t="str">
        <f>IF(テーブル22[[#This Row],[肥満度数値]]="","",LOOKUP(AC126,$AW$39:$AW$44,$AX$39:$AX$44))</f>
        <v/>
      </c>
      <c r="AB1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6" s="124" t="str">
        <f>IF(テーブル22[[#This Row],[体重]]="","",(テーブル22[[#This Row],[体重]]-テーブル22[[#This Row],[標準体重]])/テーブル22[[#This Row],[標準体重]]*100)</f>
        <v/>
      </c>
      <c r="AD126" s="1">
        <f>COUNTA(テーブル22[[#This Row],[握力]:[ボール投げ]])</f>
        <v>0</v>
      </c>
      <c r="AE126" s="1" t="str">
        <f>IF(テーブル22[[#This Row],[判定]]=$BD$10,"○","")</f>
        <v/>
      </c>
      <c r="AF126" s="1" t="str">
        <f>IF(AE126="","",COUNTIF($AE$6:AE126,"○"))</f>
        <v/>
      </c>
    </row>
    <row r="127" spans="1:32" x14ac:dyDescent="0.2">
      <c r="A127" s="40">
        <v>122</v>
      </c>
      <c r="B127" s="145"/>
      <c r="C127" s="148"/>
      <c r="D127" s="145"/>
      <c r="E127" s="156"/>
      <c r="F127" s="145"/>
      <c r="G127" s="145"/>
      <c r="H127" s="146"/>
      <c r="I127" s="146"/>
      <c r="J127" s="148"/>
      <c r="K127" s="145"/>
      <c r="L127" s="148"/>
      <c r="M127" s="149"/>
      <c r="N127" s="148"/>
      <c r="O127" s="150"/>
      <c r="P1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7" s="43" t="str">
        <f>IF(テーブル22[[#This Row],[得点]]="","",IF(テーブル22[[#This Row],[年齢]]&gt;10,LOOKUP(P127,$BG$6:$BG$10,$BD$6:$BD$10),IF(テーブル22[[#This Row],[年齢]]&gt;9,LOOKUP(P127,$BF$6:$BF$10,$BD$6:$BD$10),IF(テーブル22[[#This Row],[年齢]]&gt;8,LOOKUP(P127,$BE$6:$BE$10,$BD$6:$BD$10),IF(テーブル22[[#This Row],[年齢]]&gt;7,LOOKUP(P127,$BC$6:$BC$10,$BD$6:$BD$10),IF(テーブル22[[#This Row],[年齢]]&gt;6,LOOKUP(P127,$BB$6:$BB$10,$BD$6:$BD$10),LOOKUP(P127,$BA$6:$BA$10,$BD$6:$BD$10)))))))</f>
        <v/>
      </c>
      <c r="R127" s="42">
        <f>IF(H127="",0,(IF(テーブル22[[#This Row],[性別]]="男",LOOKUP(テーブル22[[#This Row],[握力]],$AH$6:$AI$15),LOOKUP(テーブル22[[#This Row],[握力]],$AH$20:$AI$29))))</f>
        <v>0</v>
      </c>
      <c r="S127" s="42">
        <f>IF(テーブル22[[#This Row],[上体]]="",0,(IF(テーブル22[[#This Row],[性別]]="男",LOOKUP(テーブル22[[#This Row],[上体]],$AJ$6:$AK$15),LOOKUP(テーブル22[[#This Row],[上体]],$AJ$20:$AK$29))))</f>
        <v>0</v>
      </c>
      <c r="T127" s="42">
        <f>IF(テーブル22[[#This Row],[長座]]="",0,(IF(テーブル22[[#This Row],[性別]]="男",LOOKUP(テーブル22[[#This Row],[長座]],$AL$6:$AM$15),LOOKUP(テーブル22[[#This Row],[長座]],$AL$20:$AM$29))))</f>
        <v>0</v>
      </c>
      <c r="U127" s="42">
        <f>IF(テーブル22[[#This Row],[反復]]="",0,(IF(テーブル22[[#This Row],[性別]]="男",LOOKUP(テーブル22[[#This Row],[反復]],$AN$6:$AO$15),LOOKUP(テーブル22[[#This Row],[反復]],$AN$20:$AO$29))))</f>
        <v>0</v>
      </c>
      <c r="V127" s="42">
        <f>IF(テーブル22[[#This Row],[ｼｬﾄﾙﾗﾝ]]="",0,(IF(テーブル22[[#This Row],[性別]]="男",LOOKUP(テーブル22[[#This Row],[ｼｬﾄﾙﾗﾝ]],$AR$6:$AS$15),LOOKUP(テーブル22[[#This Row],[ｼｬﾄﾙﾗﾝ]],$AR$20:$AS$29))))</f>
        <v>0</v>
      </c>
      <c r="W127" s="42">
        <f>IF(テーブル22[[#This Row],[50m走]]="",0,(IF(テーブル22[[#This Row],[性別]]="男",LOOKUP(テーブル22[[#This Row],[50m走]],$AT$6:$AU$15),LOOKUP(テーブル22[[#This Row],[50m走]],$AT$20:$AU$29))))</f>
        <v>0</v>
      </c>
      <c r="X127" s="42">
        <f>IF(テーブル22[[#This Row],[立幅とび]]="",0,(IF(テーブル22[[#This Row],[性別]]="男",LOOKUP(テーブル22[[#This Row],[立幅とび]],$AV$6:$AW$15),LOOKUP(テーブル22[[#This Row],[立幅とび]],$AV$20:$AW$29))))</f>
        <v>0</v>
      </c>
      <c r="Y127" s="42">
        <f>IF(テーブル22[[#This Row],[ボール投げ]]="",0,(IF(テーブル22[[#This Row],[性別]]="男",LOOKUP(テーブル22[[#This Row],[ボール投げ]],$AX$6:$AY$15),LOOKUP(テーブル22[[#This Row],[ボール投げ]],$AX$20:$AY$29))))</f>
        <v>0</v>
      </c>
      <c r="Z127" s="19" t="str">
        <f>IF(テーブル22[[#This Row],[学年]]=1,6,IF(テーブル22[[#This Row],[学年]]=2,7,IF(テーブル22[[#This Row],[学年]]=3,8,IF(テーブル22[[#This Row],[学年]]=4,9,IF(テーブル22[[#This Row],[学年]]=5,10,IF(テーブル22[[#This Row],[学年]]=6,11," "))))))</f>
        <v xml:space="preserve"> </v>
      </c>
      <c r="AA127" s="125" t="str">
        <f>IF(テーブル22[[#This Row],[肥満度数値]]="","",LOOKUP(AC127,$AW$39:$AW$44,$AX$39:$AX$44))</f>
        <v/>
      </c>
      <c r="AB1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7" s="124" t="str">
        <f>IF(テーブル22[[#This Row],[体重]]="","",(テーブル22[[#This Row],[体重]]-テーブル22[[#This Row],[標準体重]])/テーブル22[[#This Row],[標準体重]]*100)</f>
        <v/>
      </c>
      <c r="AD127" s="1">
        <f>COUNTA(テーブル22[[#This Row],[握力]:[ボール投げ]])</f>
        <v>0</v>
      </c>
      <c r="AE127" s="1" t="str">
        <f>IF(テーブル22[[#This Row],[判定]]=$BD$10,"○","")</f>
        <v/>
      </c>
      <c r="AF127" s="1" t="str">
        <f>IF(AE127="","",COUNTIF($AE$6:AE127,"○"))</f>
        <v/>
      </c>
    </row>
    <row r="128" spans="1:32" x14ac:dyDescent="0.2">
      <c r="A128" s="40">
        <v>123</v>
      </c>
      <c r="B128" s="145"/>
      <c r="C128" s="148"/>
      <c r="D128" s="145"/>
      <c r="E128" s="156"/>
      <c r="F128" s="145"/>
      <c r="G128" s="145"/>
      <c r="H128" s="146"/>
      <c r="I128" s="146"/>
      <c r="J128" s="148"/>
      <c r="K128" s="145"/>
      <c r="L128" s="148"/>
      <c r="M128" s="149"/>
      <c r="N128" s="148"/>
      <c r="O128" s="150"/>
      <c r="P1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8" s="43" t="str">
        <f>IF(テーブル22[[#This Row],[得点]]="","",IF(テーブル22[[#This Row],[年齢]]&gt;10,LOOKUP(P128,$BG$6:$BG$10,$BD$6:$BD$10),IF(テーブル22[[#This Row],[年齢]]&gt;9,LOOKUP(P128,$BF$6:$BF$10,$BD$6:$BD$10),IF(テーブル22[[#This Row],[年齢]]&gt;8,LOOKUP(P128,$BE$6:$BE$10,$BD$6:$BD$10),IF(テーブル22[[#This Row],[年齢]]&gt;7,LOOKUP(P128,$BC$6:$BC$10,$BD$6:$BD$10),IF(テーブル22[[#This Row],[年齢]]&gt;6,LOOKUP(P128,$BB$6:$BB$10,$BD$6:$BD$10),LOOKUP(P128,$BA$6:$BA$10,$BD$6:$BD$10)))))))</f>
        <v/>
      </c>
      <c r="R128" s="42">
        <f>IF(H128="",0,(IF(テーブル22[[#This Row],[性別]]="男",LOOKUP(テーブル22[[#This Row],[握力]],$AH$6:$AI$15),LOOKUP(テーブル22[[#This Row],[握力]],$AH$20:$AI$29))))</f>
        <v>0</v>
      </c>
      <c r="S128" s="42">
        <f>IF(テーブル22[[#This Row],[上体]]="",0,(IF(テーブル22[[#This Row],[性別]]="男",LOOKUP(テーブル22[[#This Row],[上体]],$AJ$6:$AK$15),LOOKUP(テーブル22[[#This Row],[上体]],$AJ$20:$AK$29))))</f>
        <v>0</v>
      </c>
      <c r="T128" s="42">
        <f>IF(テーブル22[[#This Row],[長座]]="",0,(IF(テーブル22[[#This Row],[性別]]="男",LOOKUP(テーブル22[[#This Row],[長座]],$AL$6:$AM$15),LOOKUP(テーブル22[[#This Row],[長座]],$AL$20:$AM$29))))</f>
        <v>0</v>
      </c>
      <c r="U128" s="42">
        <f>IF(テーブル22[[#This Row],[反復]]="",0,(IF(テーブル22[[#This Row],[性別]]="男",LOOKUP(テーブル22[[#This Row],[反復]],$AN$6:$AO$15),LOOKUP(テーブル22[[#This Row],[反復]],$AN$20:$AO$29))))</f>
        <v>0</v>
      </c>
      <c r="V128" s="42">
        <f>IF(テーブル22[[#This Row],[ｼｬﾄﾙﾗﾝ]]="",0,(IF(テーブル22[[#This Row],[性別]]="男",LOOKUP(テーブル22[[#This Row],[ｼｬﾄﾙﾗﾝ]],$AR$6:$AS$15),LOOKUP(テーブル22[[#This Row],[ｼｬﾄﾙﾗﾝ]],$AR$20:$AS$29))))</f>
        <v>0</v>
      </c>
      <c r="W128" s="42">
        <f>IF(テーブル22[[#This Row],[50m走]]="",0,(IF(テーブル22[[#This Row],[性別]]="男",LOOKUP(テーブル22[[#This Row],[50m走]],$AT$6:$AU$15),LOOKUP(テーブル22[[#This Row],[50m走]],$AT$20:$AU$29))))</f>
        <v>0</v>
      </c>
      <c r="X128" s="42">
        <f>IF(テーブル22[[#This Row],[立幅とび]]="",0,(IF(テーブル22[[#This Row],[性別]]="男",LOOKUP(テーブル22[[#This Row],[立幅とび]],$AV$6:$AW$15),LOOKUP(テーブル22[[#This Row],[立幅とび]],$AV$20:$AW$29))))</f>
        <v>0</v>
      </c>
      <c r="Y128" s="42">
        <f>IF(テーブル22[[#This Row],[ボール投げ]]="",0,(IF(テーブル22[[#This Row],[性別]]="男",LOOKUP(テーブル22[[#This Row],[ボール投げ]],$AX$6:$AY$15),LOOKUP(テーブル22[[#This Row],[ボール投げ]],$AX$20:$AY$29))))</f>
        <v>0</v>
      </c>
      <c r="Z128" s="19" t="str">
        <f>IF(テーブル22[[#This Row],[学年]]=1,6,IF(テーブル22[[#This Row],[学年]]=2,7,IF(テーブル22[[#This Row],[学年]]=3,8,IF(テーブル22[[#This Row],[学年]]=4,9,IF(テーブル22[[#This Row],[学年]]=5,10,IF(テーブル22[[#This Row],[学年]]=6,11," "))))))</f>
        <v xml:space="preserve"> </v>
      </c>
      <c r="AA128" s="125" t="str">
        <f>IF(テーブル22[[#This Row],[肥満度数値]]="","",LOOKUP(AC128,$AW$39:$AW$44,$AX$39:$AX$44))</f>
        <v/>
      </c>
      <c r="AB1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8" s="124" t="str">
        <f>IF(テーブル22[[#This Row],[体重]]="","",(テーブル22[[#This Row],[体重]]-テーブル22[[#This Row],[標準体重]])/テーブル22[[#This Row],[標準体重]]*100)</f>
        <v/>
      </c>
      <c r="AD128" s="1">
        <f>COUNTA(テーブル22[[#This Row],[握力]:[ボール投げ]])</f>
        <v>0</v>
      </c>
      <c r="AE128" s="1" t="str">
        <f>IF(テーブル22[[#This Row],[判定]]=$BD$10,"○","")</f>
        <v/>
      </c>
      <c r="AF128" s="1" t="str">
        <f>IF(AE128="","",COUNTIF($AE$6:AE128,"○"))</f>
        <v/>
      </c>
    </row>
    <row r="129" spans="1:32" x14ac:dyDescent="0.2">
      <c r="A129" s="40">
        <v>124</v>
      </c>
      <c r="B129" s="145"/>
      <c r="C129" s="148"/>
      <c r="D129" s="145"/>
      <c r="E129" s="156"/>
      <c r="F129" s="145"/>
      <c r="G129" s="145"/>
      <c r="H129" s="146"/>
      <c r="I129" s="146"/>
      <c r="J129" s="148"/>
      <c r="K129" s="145"/>
      <c r="L129" s="148"/>
      <c r="M129" s="149"/>
      <c r="N129" s="148"/>
      <c r="O129" s="150"/>
      <c r="P1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29" s="43" t="str">
        <f>IF(テーブル22[[#This Row],[得点]]="","",IF(テーブル22[[#This Row],[年齢]]&gt;10,LOOKUP(P129,$BG$6:$BG$10,$BD$6:$BD$10),IF(テーブル22[[#This Row],[年齢]]&gt;9,LOOKUP(P129,$BF$6:$BF$10,$BD$6:$BD$10),IF(テーブル22[[#This Row],[年齢]]&gt;8,LOOKUP(P129,$BE$6:$BE$10,$BD$6:$BD$10),IF(テーブル22[[#This Row],[年齢]]&gt;7,LOOKUP(P129,$BC$6:$BC$10,$BD$6:$BD$10),IF(テーブル22[[#This Row],[年齢]]&gt;6,LOOKUP(P129,$BB$6:$BB$10,$BD$6:$BD$10),LOOKUP(P129,$BA$6:$BA$10,$BD$6:$BD$10)))))))</f>
        <v/>
      </c>
      <c r="R129" s="42">
        <f>IF(H129="",0,(IF(テーブル22[[#This Row],[性別]]="男",LOOKUP(テーブル22[[#This Row],[握力]],$AH$6:$AI$15),LOOKUP(テーブル22[[#This Row],[握力]],$AH$20:$AI$29))))</f>
        <v>0</v>
      </c>
      <c r="S129" s="42">
        <f>IF(テーブル22[[#This Row],[上体]]="",0,(IF(テーブル22[[#This Row],[性別]]="男",LOOKUP(テーブル22[[#This Row],[上体]],$AJ$6:$AK$15),LOOKUP(テーブル22[[#This Row],[上体]],$AJ$20:$AK$29))))</f>
        <v>0</v>
      </c>
      <c r="T129" s="42">
        <f>IF(テーブル22[[#This Row],[長座]]="",0,(IF(テーブル22[[#This Row],[性別]]="男",LOOKUP(テーブル22[[#This Row],[長座]],$AL$6:$AM$15),LOOKUP(テーブル22[[#This Row],[長座]],$AL$20:$AM$29))))</f>
        <v>0</v>
      </c>
      <c r="U129" s="42">
        <f>IF(テーブル22[[#This Row],[反復]]="",0,(IF(テーブル22[[#This Row],[性別]]="男",LOOKUP(テーブル22[[#This Row],[反復]],$AN$6:$AO$15),LOOKUP(テーブル22[[#This Row],[反復]],$AN$20:$AO$29))))</f>
        <v>0</v>
      </c>
      <c r="V129" s="42">
        <f>IF(テーブル22[[#This Row],[ｼｬﾄﾙﾗﾝ]]="",0,(IF(テーブル22[[#This Row],[性別]]="男",LOOKUP(テーブル22[[#This Row],[ｼｬﾄﾙﾗﾝ]],$AR$6:$AS$15),LOOKUP(テーブル22[[#This Row],[ｼｬﾄﾙﾗﾝ]],$AR$20:$AS$29))))</f>
        <v>0</v>
      </c>
      <c r="W129" s="42">
        <f>IF(テーブル22[[#This Row],[50m走]]="",0,(IF(テーブル22[[#This Row],[性別]]="男",LOOKUP(テーブル22[[#This Row],[50m走]],$AT$6:$AU$15),LOOKUP(テーブル22[[#This Row],[50m走]],$AT$20:$AU$29))))</f>
        <v>0</v>
      </c>
      <c r="X129" s="42">
        <f>IF(テーブル22[[#This Row],[立幅とび]]="",0,(IF(テーブル22[[#This Row],[性別]]="男",LOOKUP(テーブル22[[#This Row],[立幅とび]],$AV$6:$AW$15),LOOKUP(テーブル22[[#This Row],[立幅とび]],$AV$20:$AW$29))))</f>
        <v>0</v>
      </c>
      <c r="Y129" s="42">
        <f>IF(テーブル22[[#This Row],[ボール投げ]]="",0,(IF(テーブル22[[#This Row],[性別]]="男",LOOKUP(テーブル22[[#This Row],[ボール投げ]],$AX$6:$AY$15),LOOKUP(テーブル22[[#This Row],[ボール投げ]],$AX$20:$AY$29))))</f>
        <v>0</v>
      </c>
      <c r="Z129" s="19" t="str">
        <f>IF(テーブル22[[#This Row],[学年]]=1,6,IF(テーブル22[[#This Row],[学年]]=2,7,IF(テーブル22[[#This Row],[学年]]=3,8,IF(テーブル22[[#This Row],[学年]]=4,9,IF(テーブル22[[#This Row],[学年]]=5,10,IF(テーブル22[[#This Row],[学年]]=6,11," "))))))</f>
        <v xml:space="preserve"> </v>
      </c>
      <c r="AA129" s="125" t="str">
        <f>IF(テーブル22[[#This Row],[肥満度数値]]="","",LOOKUP(AC129,$AW$39:$AW$44,$AX$39:$AX$44))</f>
        <v/>
      </c>
      <c r="AB1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29" s="124" t="str">
        <f>IF(テーブル22[[#This Row],[体重]]="","",(テーブル22[[#This Row],[体重]]-テーブル22[[#This Row],[標準体重]])/テーブル22[[#This Row],[標準体重]]*100)</f>
        <v/>
      </c>
      <c r="AD129" s="1">
        <f>COUNTA(テーブル22[[#This Row],[握力]:[ボール投げ]])</f>
        <v>0</v>
      </c>
      <c r="AE129" s="1" t="str">
        <f>IF(テーブル22[[#This Row],[判定]]=$BD$10,"○","")</f>
        <v/>
      </c>
      <c r="AF129" s="1" t="str">
        <f>IF(AE129="","",COUNTIF($AE$6:AE129,"○"))</f>
        <v/>
      </c>
    </row>
    <row r="130" spans="1:32" x14ac:dyDescent="0.2">
      <c r="A130" s="40">
        <v>125</v>
      </c>
      <c r="B130" s="145"/>
      <c r="C130" s="148"/>
      <c r="D130" s="145"/>
      <c r="E130" s="156"/>
      <c r="F130" s="145"/>
      <c r="G130" s="145"/>
      <c r="H130" s="146"/>
      <c r="I130" s="146"/>
      <c r="J130" s="148"/>
      <c r="K130" s="145"/>
      <c r="L130" s="148"/>
      <c r="M130" s="149"/>
      <c r="N130" s="148"/>
      <c r="O130" s="150"/>
      <c r="P1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0" s="43" t="str">
        <f>IF(テーブル22[[#This Row],[得点]]="","",IF(テーブル22[[#This Row],[年齢]]&gt;10,LOOKUP(P130,$BG$6:$BG$10,$BD$6:$BD$10),IF(テーブル22[[#This Row],[年齢]]&gt;9,LOOKUP(P130,$BF$6:$BF$10,$BD$6:$BD$10),IF(テーブル22[[#This Row],[年齢]]&gt;8,LOOKUP(P130,$BE$6:$BE$10,$BD$6:$BD$10),IF(テーブル22[[#This Row],[年齢]]&gt;7,LOOKUP(P130,$BC$6:$BC$10,$BD$6:$BD$10),IF(テーブル22[[#This Row],[年齢]]&gt;6,LOOKUP(P130,$BB$6:$BB$10,$BD$6:$BD$10),LOOKUP(P130,$BA$6:$BA$10,$BD$6:$BD$10)))))))</f>
        <v/>
      </c>
      <c r="R130" s="42">
        <f>IF(H130="",0,(IF(テーブル22[[#This Row],[性別]]="男",LOOKUP(テーブル22[[#This Row],[握力]],$AH$6:$AI$15),LOOKUP(テーブル22[[#This Row],[握力]],$AH$20:$AI$29))))</f>
        <v>0</v>
      </c>
      <c r="S130" s="42">
        <f>IF(テーブル22[[#This Row],[上体]]="",0,(IF(テーブル22[[#This Row],[性別]]="男",LOOKUP(テーブル22[[#This Row],[上体]],$AJ$6:$AK$15),LOOKUP(テーブル22[[#This Row],[上体]],$AJ$20:$AK$29))))</f>
        <v>0</v>
      </c>
      <c r="T130" s="42">
        <f>IF(テーブル22[[#This Row],[長座]]="",0,(IF(テーブル22[[#This Row],[性別]]="男",LOOKUP(テーブル22[[#This Row],[長座]],$AL$6:$AM$15),LOOKUP(テーブル22[[#This Row],[長座]],$AL$20:$AM$29))))</f>
        <v>0</v>
      </c>
      <c r="U130" s="42">
        <f>IF(テーブル22[[#This Row],[反復]]="",0,(IF(テーブル22[[#This Row],[性別]]="男",LOOKUP(テーブル22[[#This Row],[反復]],$AN$6:$AO$15),LOOKUP(テーブル22[[#This Row],[反復]],$AN$20:$AO$29))))</f>
        <v>0</v>
      </c>
      <c r="V130" s="42">
        <f>IF(テーブル22[[#This Row],[ｼｬﾄﾙﾗﾝ]]="",0,(IF(テーブル22[[#This Row],[性別]]="男",LOOKUP(テーブル22[[#This Row],[ｼｬﾄﾙﾗﾝ]],$AR$6:$AS$15),LOOKUP(テーブル22[[#This Row],[ｼｬﾄﾙﾗﾝ]],$AR$20:$AS$29))))</f>
        <v>0</v>
      </c>
      <c r="W130" s="42">
        <f>IF(テーブル22[[#This Row],[50m走]]="",0,(IF(テーブル22[[#This Row],[性別]]="男",LOOKUP(テーブル22[[#This Row],[50m走]],$AT$6:$AU$15),LOOKUP(テーブル22[[#This Row],[50m走]],$AT$20:$AU$29))))</f>
        <v>0</v>
      </c>
      <c r="X130" s="42">
        <f>IF(テーブル22[[#This Row],[立幅とび]]="",0,(IF(テーブル22[[#This Row],[性別]]="男",LOOKUP(テーブル22[[#This Row],[立幅とび]],$AV$6:$AW$15),LOOKUP(テーブル22[[#This Row],[立幅とび]],$AV$20:$AW$29))))</f>
        <v>0</v>
      </c>
      <c r="Y130" s="42">
        <f>IF(テーブル22[[#This Row],[ボール投げ]]="",0,(IF(テーブル22[[#This Row],[性別]]="男",LOOKUP(テーブル22[[#This Row],[ボール投げ]],$AX$6:$AY$15),LOOKUP(テーブル22[[#This Row],[ボール投げ]],$AX$20:$AY$29))))</f>
        <v>0</v>
      </c>
      <c r="Z130" s="19" t="str">
        <f>IF(テーブル22[[#This Row],[学年]]=1,6,IF(テーブル22[[#This Row],[学年]]=2,7,IF(テーブル22[[#This Row],[学年]]=3,8,IF(テーブル22[[#This Row],[学年]]=4,9,IF(テーブル22[[#This Row],[学年]]=5,10,IF(テーブル22[[#This Row],[学年]]=6,11," "))))))</f>
        <v xml:space="preserve"> </v>
      </c>
      <c r="AA130" s="125" t="str">
        <f>IF(テーブル22[[#This Row],[肥満度数値]]="","",LOOKUP(AC130,$AW$39:$AW$44,$AX$39:$AX$44))</f>
        <v/>
      </c>
      <c r="AB1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0" s="124" t="str">
        <f>IF(テーブル22[[#This Row],[体重]]="","",(テーブル22[[#This Row],[体重]]-テーブル22[[#This Row],[標準体重]])/テーブル22[[#This Row],[標準体重]]*100)</f>
        <v/>
      </c>
      <c r="AD130" s="1">
        <f>COUNTA(テーブル22[[#This Row],[握力]:[ボール投げ]])</f>
        <v>0</v>
      </c>
      <c r="AE130" s="1" t="str">
        <f>IF(テーブル22[[#This Row],[判定]]=$BD$10,"○","")</f>
        <v/>
      </c>
      <c r="AF130" s="1" t="str">
        <f>IF(AE130="","",COUNTIF($AE$6:AE130,"○"))</f>
        <v/>
      </c>
    </row>
    <row r="131" spans="1:32" x14ac:dyDescent="0.2">
      <c r="A131" s="40">
        <v>126</v>
      </c>
      <c r="B131" s="145"/>
      <c r="C131" s="148"/>
      <c r="D131" s="145"/>
      <c r="E131" s="156"/>
      <c r="F131" s="145"/>
      <c r="G131" s="145"/>
      <c r="H131" s="146"/>
      <c r="I131" s="146"/>
      <c r="J131" s="148"/>
      <c r="K131" s="145"/>
      <c r="L131" s="148"/>
      <c r="M131" s="149"/>
      <c r="N131" s="148"/>
      <c r="O131" s="150"/>
      <c r="P1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1" s="43" t="str">
        <f>IF(テーブル22[[#This Row],[得点]]="","",IF(テーブル22[[#This Row],[年齢]]&gt;10,LOOKUP(P131,$BG$6:$BG$10,$BD$6:$BD$10),IF(テーブル22[[#This Row],[年齢]]&gt;9,LOOKUP(P131,$BF$6:$BF$10,$BD$6:$BD$10),IF(テーブル22[[#This Row],[年齢]]&gt;8,LOOKUP(P131,$BE$6:$BE$10,$BD$6:$BD$10),IF(テーブル22[[#This Row],[年齢]]&gt;7,LOOKUP(P131,$BC$6:$BC$10,$BD$6:$BD$10),IF(テーブル22[[#This Row],[年齢]]&gt;6,LOOKUP(P131,$BB$6:$BB$10,$BD$6:$BD$10),LOOKUP(P131,$BA$6:$BA$10,$BD$6:$BD$10)))))))</f>
        <v/>
      </c>
      <c r="R131" s="42">
        <f>IF(H131="",0,(IF(テーブル22[[#This Row],[性別]]="男",LOOKUP(テーブル22[[#This Row],[握力]],$AH$6:$AI$15),LOOKUP(テーブル22[[#This Row],[握力]],$AH$20:$AI$29))))</f>
        <v>0</v>
      </c>
      <c r="S131" s="42">
        <f>IF(テーブル22[[#This Row],[上体]]="",0,(IF(テーブル22[[#This Row],[性別]]="男",LOOKUP(テーブル22[[#This Row],[上体]],$AJ$6:$AK$15),LOOKUP(テーブル22[[#This Row],[上体]],$AJ$20:$AK$29))))</f>
        <v>0</v>
      </c>
      <c r="T131" s="42">
        <f>IF(テーブル22[[#This Row],[長座]]="",0,(IF(テーブル22[[#This Row],[性別]]="男",LOOKUP(テーブル22[[#This Row],[長座]],$AL$6:$AM$15),LOOKUP(テーブル22[[#This Row],[長座]],$AL$20:$AM$29))))</f>
        <v>0</v>
      </c>
      <c r="U131" s="42">
        <f>IF(テーブル22[[#This Row],[反復]]="",0,(IF(テーブル22[[#This Row],[性別]]="男",LOOKUP(テーブル22[[#This Row],[反復]],$AN$6:$AO$15),LOOKUP(テーブル22[[#This Row],[反復]],$AN$20:$AO$29))))</f>
        <v>0</v>
      </c>
      <c r="V131" s="42">
        <f>IF(テーブル22[[#This Row],[ｼｬﾄﾙﾗﾝ]]="",0,(IF(テーブル22[[#This Row],[性別]]="男",LOOKUP(テーブル22[[#This Row],[ｼｬﾄﾙﾗﾝ]],$AR$6:$AS$15),LOOKUP(テーブル22[[#This Row],[ｼｬﾄﾙﾗﾝ]],$AR$20:$AS$29))))</f>
        <v>0</v>
      </c>
      <c r="W131" s="42">
        <f>IF(テーブル22[[#This Row],[50m走]]="",0,(IF(テーブル22[[#This Row],[性別]]="男",LOOKUP(テーブル22[[#This Row],[50m走]],$AT$6:$AU$15),LOOKUP(テーブル22[[#This Row],[50m走]],$AT$20:$AU$29))))</f>
        <v>0</v>
      </c>
      <c r="X131" s="42">
        <f>IF(テーブル22[[#This Row],[立幅とび]]="",0,(IF(テーブル22[[#This Row],[性別]]="男",LOOKUP(テーブル22[[#This Row],[立幅とび]],$AV$6:$AW$15),LOOKUP(テーブル22[[#This Row],[立幅とび]],$AV$20:$AW$29))))</f>
        <v>0</v>
      </c>
      <c r="Y131" s="42">
        <f>IF(テーブル22[[#This Row],[ボール投げ]]="",0,(IF(テーブル22[[#This Row],[性別]]="男",LOOKUP(テーブル22[[#This Row],[ボール投げ]],$AX$6:$AY$15),LOOKUP(テーブル22[[#This Row],[ボール投げ]],$AX$20:$AY$29))))</f>
        <v>0</v>
      </c>
      <c r="Z131" s="19" t="str">
        <f>IF(テーブル22[[#This Row],[学年]]=1,6,IF(テーブル22[[#This Row],[学年]]=2,7,IF(テーブル22[[#This Row],[学年]]=3,8,IF(テーブル22[[#This Row],[学年]]=4,9,IF(テーブル22[[#This Row],[学年]]=5,10,IF(テーブル22[[#This Row],[学年]]=6,11," "))))))</f>
        <v xml:space="preserve"> </v>
      </c>
      <c r="AA131" s="125" t="str">
        <f>IF(テーブル22[[#This Row],[肥満度数値]]="","",LOOKUP(AC131,$AW$39:$AW$44,$AX$39:$AX$44))</f>
        <v/>
      </c>
      <c r="AB1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1" s="124" t="str">
        <f>IF(テーブル22[[#This Row],[体重]]="","",(テーブル22[[#This Row],[体重]]-テーブル22[[#This Row],[標準体重]])/テーブル22[[#This Row],[標準体重]]*100)</f>
        <v/>
      </c>
      <c r="AD131" s="1">
        <f>COUNTA(テーブル22[[#This Row],[握力]:[ボール投げ]])</f>
        <v>0</v>
      </c>
      <c r="AE131" s="1" t="str">
        <f>IF(テーブル22[[#This Row],[判定]]=$BD$10,"○","")</f>
        <v/>
      </c>
      <c r="AF131" s="1" t="str">
        <f>IF(AE131="","",COUNTIF($AE$6:AE131,"○"))</f>
        <v/>
      </c>
    </row>
    <row r="132" spans="1:32" x14ac:dyDescent="0.2">
      <c r="A132" s="40">
        <v>127</v>
      </c>
      <c r="B132" s="145"/>
      <c r="C132" s="148"/>
      <c r="D132" s="145"/>
      <c r="E132" s="156"/>
      <c r="F132" s="145"/>
      <c r="G132" s="145"/>
      <c r="H132" s="146"/>
      <c r="I132" s="146"/>
      <c r="J132" s="148"/>
      <c r="K132" s="145"/>
      <c r="L132" s="148"/>
      <c r="M132" s="149"/>
      <c r="N132" s="148"/>
      <c r="O132" s="150"/>
      <c r="P1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2" s="43" t="str">
        <f>IF(テーブル22[[#This Row],[得点]]="","",IF(テーブル22[[#This Row],[年齢]]&gt;10,LOOKUP(P132,$BG$6:$BG$10,$BD$6:$BD$10),IF(テーブル22[[#This Row],[年齢]]&gt;9,LOOKUP(P132,$BF$6:$BF$10,$BD$6:$BD$10),IF(テーブル22[[#This Row],[年齢]]&gt;8,LOOKUP(P132,$BE$6:$BE$10,$BD$6:$BD$10),IF(テーブル22[[#This Row],[年齢]]&gt;7,LOOKUP(P132,$BC$6:$BC$10,$BD$6:$BD$10),IF(テーブル22[[#This Row],[年齢]]&gt;6,LOOKUP(P132,$BB$6:$BB$10,$BD$6:$BD$10),LOOKUP(P132,$BA$6:$BA$10,$BD$6:$BD$10)))))))</f>
        <v/>
      </c>
      <c r="R132" s="42">
        <f>IF(H132="",0,(IF(テーブル22[[#This Row],[性別]]="男",LOOKUP(テーブル22[[#This Row],[握力]],$AH$6:$AI$15),LOOKUP(テーブル22[[#This Row],[握力]],$AH$20:$AI$29))))</f>
        <v>0</v>
      </c>
      <c r="S132" s="42">
        <f>IF(テーブル22[[#This Row],[上体]]="",0,(IF(テーブル22[[#This Row],[性別]]="男",LOOKUP(テーブル22[[#This Row],[上体]],$AJ$6:$AK$15),LOOKUP(テーブル22[[#This Row],[上体]],$AJ$20:$AK$29))))</f>
        <v>0</v>
      </c>
      <c r="T132" s="42">
        <f>IF(テーブル22[[#This Row],[長座]]="",0,(IF(テーブル22[[#This Row],[性別]]="男",LOOKUP(テーブル22[[#This Row],[長座]],$AL$6:$AM$15),LOOKUP(テーブル22[[#This Row],[長座]],$AL$20:$AM$29))))</f>
        <v>0</v>
      </c>
      <c r="U132" s="42">
        <f>IF(テーブル22[[#This Row],[反復]]="",0,(IF(テーブル22[[#This Row],[性別]]="男",LOOKUP(テーブル22[[#This Row],[反復]],$AN$6:$AO$15),LOOKUP(テーブル22[[#This Row],[反復]],$AN$20:$AO$29))))</f>
        <v>0</v>
      </c>
      <c r="V132" s="42">
        <f>IF(テーブル22[[#This Row],[ｼｬﾄﾙﾗﾝ]]="",0,(IF(テーブル22[[#This Row],[性別]]="男",LOOKUP(テーブル22[[#This Row],[ｼｬﾄﾙﾗﾝ]],$AR$6:$AS$15),LOOKUP(テーブル22[[#This Row],[ｼｬﾄﾙﾗﾝ]],$AR$20:$AS$29))))</f>
        <v>0</v>
      </c>
      <c r="W132" s="42">
        <f>IF(テーブル22[[#This Row],[50m走]]="",0,(IF(テーブル22[[#This Row],[性別]]="男",LOOKUP(テーブル22[[#This Row],[50m走]],$AT$6:$AU$15),LOOKUP(テーブル22[[#This Row],[50m走]],$AT$20:$AU$29))))</f>
        <v>0</v>
      </c>
      <c r="X132" s="42">
        <f>IF(テーブル22[[#This Row],[立幅とび]]="",0,(IF(テーブル22[[#This Row],[性別]]="男",LOOKUP(テーブル22[[#This Row],[立幅とび]],$AV$6:$AW$15),LOOKUP(テーブル22[[#This Row],[立幅とび]],$AV$20:$AW$29))))</f>
        <v>0</v>
      </c>
      <c r="Y132" s="42">
        <f>IF(テーブル22[[#This Row],[ボール投げ]]="",0,(IF(テーブル22[[#This Row],[性別]]="男",LOOKUP(テーブル22[[#This Row],[ボール投げ]],$AX$6:$AY$15),LOOKUP(テーブル22[[#This Row],[ボール投げ]],$AX$20:$AY$29))))</f>
        <v>0</v>
      </c>
      <c r="Z132" s="19" t="str">
        <f>IF(テーブル22[[#This Row],[学年]]=1,6,IF(テーブル22[[#This Row],[学年]]=2,7,IF(テーブル22[[#This Row],[学年]]=3,8,IF(テーブル22[[#This Row],[学年]]=4,9,IF(テーブル22[[#This Row],[学年]]=5,10,IF(テーブル22[[#This Row],[学年]]=6,11," "))))))</f>
        <v xml:space="preserve"> </v>
      </c>
      <c r="AA132" s="125" t="str">
        <f>IF(テーブル22[[#This Row],[肥満度数値]]="","",LOOKUP(AC132,$AW$39:$AW$44,$AX$39:$AX$44))</f>
        <v/>
      </c>
      <c r="AB1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2" s="124" t="str">
        <f>IF(テーブル22[[#This Row],[体重]]="","",(テーブル22[[#This Row],[体重]]-テーブル22[[#This Row],[標準体重]])/テーブル22[[#This Row],[標準体重]]*100)</f>
        <v/>
      </c>
      <c r="AD132" s="1">
        <f>COUNTA(テーブル22[[#This Row],[握力]:[ボール投げ]])</f>
        <v>0</v>
      </c>
      <c r="AE132" s="1" t="str">
        <f>IF(テーブル22[[#This Row],[判定]]=$BD$10,"○","")</f>
        <v/>
      </c>
      <c r="AF132" s="1" t="str">
        <f>IF(AE132="","",COUNTIF($AE$6:AE132,"○"))</f>
        <v/>
      </c>
    </row>
    <row r="133" spans="1:32" x14ac:dyDescent="0.2">
      <c r="A133" s="40">
        <v>128</v>
      </c>
      <c r="B133" s="145"/>
      <c r="C133" s="148"/>
      <c r="D133" s="145"/>
      <c r="E133" s="156"/>
      <c r="F133" s="145"/>
      <c r="G133" s="145"/>
      <c r="H133" s="146"/>
      <c r="I133" s="146"/>
      <c r="J133" s="148"/>
      <c r="K133" s="145"/>
      <c r="L133" s="148"/>
      <c r="M133" s="149"/>
      <c r="N133" s="148"/>
      <c r="O133" s="150"/>
      <c r="P1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3" s="43" t="str">
        <f>IF(テーブル22[[#This Row],[得点]]="","",IF(テーブル22[[#This Row],[年齢]]&gt;10,LOOKUP(P133,$BG$6:$BG$10,$BD$6:$BD$10),IF(テーブル22[[#This Row],[年齢]]&gt;9,LOOKUP(P133,$BF$6:$BF$10,$BD$6:$BD$10),IF(テーブル22[[#This Row],[年齢]]&gt;8,LOOKUP(P133,$BE$6:$BE$10,$BD$6:$BD$10),IF(テーブル22[[#This Row],[年齢]]&gt;7,LOOKUP(P133,$BC$6:$BC$10,$BD$6:$BD$10),IF(テーブル22[[#This Row],[年齢]]&gt;6,LOOKUP(P133,$BB$6:$BB$10,$BD$6:$BD$10),LOOKUP(P133,$BA$6:$BA$10,$BD$6:$BD$10)))))))</f>
        <v/>
      </c>
      <c r="R133" s="42">
        <f>IF(H133="",0,(IF(テーブル22[[#This Row],[性別]]="男",LOOKUP(テーブル22[[#This Row],[握力]],$AH$6:$AI$15),LOOKUP(テーブル22[[#This Row],[握力]],$AH$20:$AI$29))))</f>
        <v>0</v>
      </c>
      <c r="S133" s="42">
        <f>IF(テーブル22[[#This Row],[上体]]="",0,(IF(テーブル22[[#This Row],[性別]]="男",LOOKUP(テーブル22[[#This Row],[上体]],$AJ$6:$AK$15),LOOKUP(テーブル22[[#This Row],[上体]],$AJ$20:$AK$29))))</f>
        <v>0</v>
      </c>
      <c r="T133" s="42">
        <f>IF(テーブル22[[#This Row],[長座]]="",0,(IF(テーブル22[[#This Row],[性別]]="男",LOOKUP(テーブル22[[#This Row],[長座]],$AL$6:$AM$15),LOOKUP(テーブル22[[#This Row],[長座]],$AL$20:$AM$29))))</f>
        <v>0</v>
      </c>
      <c r="U133" s="42">
        <f>IF(テーブル22[[#This Row],[反復]]="",0,(IF(テーブル22[[#This Row],[性別]]="男",LOOKUP(テーブル22[[#This Row],[反復]],$AN$6:$AO$15),LOOKUP(テーブル22[[#This Row],[反復]],$AN$20:$AO$29))))</f>
        <v>0</v>
      </c>
      <c r="V133" s="42">
        <f>IF(テーブル22[[#This Row],[ｼｬﾄﾙﾗﾝ]]="",0,(IF(テーブル22[[#This Row],[性別]]="男",LOOKUP(テーブル22[[#This Row],[ｼｬﾄﾙﾗﾝ]],$AR$6:$AS$15),LOOKUP(テーブル22[[#This Row],[ｼｬﾄﾙﾗﾝ]],$AR$20:$AS$29))))</f>
        <v>0</v>
      </c>
      <c r="W133" s="42">
        <f>IF(テーブル22[[#This Row],[50m走]]="",0,(IF(テーブル22[[#This Row],[性別]]="男",LOOKUP(テーブル22[[#This Row],[50m走]],$AT$6:$AU$15),LOOKUP(テーブル22[[#This Row],[50m走]],$AT$20:$AU$29))))</f>
        <v>0</v>
      </c>
      <c r="X133" s="42">
        <f>IF(テーブル22[[#This Row],[立幅とび]]="",0,(IF(テーブル22[[#This Row],[性別]]="男",LOOKUP(テーブル22[[#This Row],[立幅とび]],$AV$6:$AW$15),LOOKUP(テーブル22[[#This Row],[立幅とび]],$AV$20:$AW$29))))</f>
        <v>0</v>
      </c>
      <c r="Y133" s="42">
        <f>IF(テーブル22[[#This Row],[ボール投げ]]="",0,(IF(テーブル22[[#This Row],[性別]]="男",LOOKUP(テーブル22[[#This Row],[ボール投げ]],$AX$6:$AY$15),LOOKUP(テーブル22[[#This Row],[ボール投げ]],$AX$20:$AY$29))))</f>
        <v>0</v>
      </c>
      <c r="Z133" s="19" t="str">
        <f>IF(テーブル22[[#This Row],[学年]]=1,6,IF(テーブル22[[#This Row],[学年]]=2,7,IF(テーブル22[[#This Row],[学年]]=3,8,IF(テーブル22[[#This Row],[学年]]=4,9,IF(テーブル22[[#This Row],[学年]]=5,10,IF(テーブル22[[#This Row],[学年]]=6,11," "))))))</f>
        <v xml:space="preserve"> </v>
      </c>
      <c r="AA133" s="125" t="str">
        <f>IF(テーブル22[[#This Row],[肥満度数値]]="","",LOOKUP(AC133,$AW$39:$AW$44,$AX$39:$AX$44))</f>
        <v/>
      </c>
      <c r="AB1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3" s="124" t="str">
        <f>IF(テーブル22[[#This Row],[体重]]="","",(テーブル22[[#This Row],[体重]]-テーブル22[[#This Row],[標準体重]])/テーブル22[[#This Row],[標準体重]]*100)</f>
        <v/>
      </c>
      <c r="AD133" s="1">
        <f>COUNTA(テーブル22[[#This Row],[握力]:[ボール投げ]])</f>
        <v>0</v>
      </c>
      <c r="AE133" s="1" t="str">
        <f>IF(テーブル22[[#This Row],[判定]]=$BD$10,"○","")</f>
        <v/>
      </c>
      <c r="AF133" s="1" t="str">
        <f>IF(AE133="","",COUNTIF($AE$6:AE133,"○"))</f>
        <v/>
      </c>
    </row>
    <row r="134" spans="1:32" x14ac:dyDescent="0.2">
      <c r="A134" s="40">
        <v>129</v>
      </c>
      <c r="B134" s="145"/>
      <c r="C134" s="148"/>
      <c r="D134" s="145"/>
      <c r="E134" s="156"/>
      <c r="F134" s="145"/>
      <c r="G134" s="145"/>
      <c r="H134" s="146"/>
      <c r="I134" s="146"/>
      <c r="J134" s="148"/>
      <c r="K134" s="145"/>
      <c r="L134" s="148"/>
      <c r="M134" s="149"/>
      <c r="N134" s="148"/>
      <c r="O134" s="150"/>
      <c r="P1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4" s="43" t="str">
        <f>IF(テーブル22[[#This Row],[得点]]="","",IF(テーブル22[[#This Row],[年齢]]&gt;10,LOOKUP(P134,$BG$6:$BG$10,$BD$6:$BD$10),IF(テーブル22[[#This Row],[年齢]]&gt;9,LOOKUP(P134,$BF$6:$BF$10,$BD$6:$BD$10),IF(テーブル22[[#This Row],[年齢]]&gt;8,LOOKUP(P134,$BE$6:$BE$10,$BD$6:$BD$10),IF(テーブル22[[#This Row],[年齢]]&gt;7,LOOKUP(P134,$BC$6:$BC$10,$BD$6:$BD$10),IF(テーブル22[[#This Row],[年齢]]&gt;6,LOOKUP(P134,$BB$6:$BB$10,$BD$6:$BD$10),LOOKUP(P134,$BA$6:$BA$10,$BD$6:$BD$10)))))))</f>
        <v/>
      </c>
      <c r="R134" s="42">
        <f>IF(H134="",0,(IF(テーブル22[[#This Row],[性別]]="男",LOOKUP(テーブル22[[#This Row],[握力]],$AH$6:$AI$15),LOOKUP(テーブル22[[#This Row],[握力]],$AH$20:$AI$29))))</f>
        <v>0</v>
      </c>
      <c r="S134" s="42">
        <f>IF(テーブル22[[#This Row],[上体]]="",0,(IF(テーブル22[[#This Row],[性別]]="男",LOOKUP(テーブル22[[#This Row],[上体]],$AJ$6:$AK$15),LOOKUP(テーブル22[[#This Row],[上体]],$AJ$20:$AK$29))))</f>
        <v>0</v>
      </c>
      <c r="T134" s="42">
        <f>IF(テーブル22[[#This Row],[長座]]="",0,(IF(テーブル22[[#This Row],[性別]]="男",LOOKUP(テーブル22[[#This Row],[長座]],$AL$6:$AM$15),LOOKUP(テーブル22[[#This Row],[長座]],$AL$20:$AM$29))))</f>
        <v>0</v>
      </c>
      <c r="U134" s="42">
        <f>IF(テーブル22[[#This Row],[反復]]="",0,(IF(テーブル22[[#This Row],[性別]]="男",LOOKUP(テーブル22[[#This Row],[反復]],$AN$6:$AO$15),LOOKUP(テーブル22[[#This Row],[反復]],$AN$20:$AO$29))))</f>
        <v>0</v>
      </c>
      <c r="V134" s="42">
        <f>IF(テーブル22[[#This Row],[ｼｬﾄﾙﾗﾝ]]="",0,(IF(テーブル22[[#This Row],[性別]]="男",LOOKUP(テーブル22[[#This Row],[ｼｬﾄﾙﾗﾝ]],$AR$6:$AS$15),LOOKUP(テーブル22[[#This Row],[ｼｬﾄﾙﾗﾝ]],$AR$20:$AS$29))))</f>
        <v>0</v>
      </c>
      <c r="W134" s="42">
        <f>IF(テーブル22[[#This Row],[50m走]]="",0,(IF(テーブル22[[#This Row],[性別]]="男",LOOKUP(テーブル22[[#This Row],[50m走]],$AT$6:$AU$15),LOOKUP(テーブル22[[#This Row],[50m走]],$AT$20:$AU$29))))</f>
        <v>0</v>
      </c>
      <c r="X134" s="42">
        <f>IF(テーブル22[[#This Row],[立幅とび]]="",0,(IF(テーブル22[[#This Row],[性別]]="男",LOOKUP(テーブル22[[#This Row],[立幅とび]],$AV$6:$AW$15),LOOKUP(テーブル22[[#This Row],[立幅とび]],$AV$20:$AW$29))))</f>
        <v>0</v>
      </c>
      <c r="Y134" s="42">
        <f>IF(テーブル22[[#This Row],[ボール投げ]]="",0,(IF(テーブル22[[#This Row],[性別]]="男",LOOKUP(テーブル22[[#This Row],[ボール投げ]],$AX$6:$AY$15),LOOKUP(テーブル22[[#This Row],[ボール投げ]],$AX$20:$AY$29))))</f>
        <v>0</v>
      </c>
      <c r="Z134" s="19" t="str">
        <f>IF(テーブル22[[#This Row],[学年]]=1,6,IF(テーブル22[[#This Row],[学年]]=2,7,IF(テーブル22[[#This Row],[学年]]=3,8,IF(テーブル22[[#This Row],[学年]]=4,9,IF(テーブル22[[#This Row],[学年]]=5,10,IF(テーブル22[[#This Row],[学年]]=6,11," "))))))</f>
        <v xml:space="preserve"> </v>
      </c>
      <c r="AA134" s="125" t="str">
        <f>IF(テーブル22[[#This Row],[肥満度数値]]="","",LOOKUP(AC134,$AW$39:$AW$44,$AX$39:$AX$44))</f>
        <v/>
      </c>
      <c r="AB1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4" s="124" t="str">
        <f>IF(テーブル22[[#This Row],[体重]]="","",(テーブル22[[#This Row],[体重]]-テーブル22[[#This Row],[標準体重]])/テーブル22[[#This Row],[標準体重]]*100)</f>
        <v/>
      </c>
      <c r="AD134" s="1">
        <f>COUNTA(テーブル22[[#This Row],[握力]:[ボール投げ]])</f>
        <v>0</v>
      </c>
      <c r="AE134" s="1" t="str">
        <f>IF(テーブル22[[#This Row],[判定]]=$BD$10,"○","")</f>
        <v/>
      </c>
      <c r="AF134" s="1" t="str">
        <f>IF(AE134="","",COUNTIF($AE$6:AE134,"○"))</f>
        <v/>
      </c>
    </row>
    <row r="135" spans="1:32" x14ac:dyDescent="0.2">
      <c r="A135" s="40">
        <v>130</v>
      </c>
      <c r="B135" s="145"/>
      <c r="C135" s="148"/>
      <c r="D135" s="145"/>
      <c r="E135" s="156"/>
      <c r="F135" s="145"/>
      <c r="G135" s="145"/>
      <c r="H135" s="146"/>
      <c r="I135" s="146"/>
      <c r="J135" s="148"/>
      <c r="K135" s="145"/>
      <c r="L135" s="148"/>
      <c r="M135" s="149"/>
      <c r="N135" s="148"/>
      <c r="O135" s="150"/>
      <c r="P1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5" s="43" t="str">
        <f>IF(テーブル22[[#This Row],[得点]]="","",IF(テーブル22[[#This Row],[年齢]]&gt;10,LOOKUP(P135,$BG$6:$BG$10,$BD$6:$BD$10),IF(テーブル22[[#This Row],[年齢]]&gt;9,LOOKUP(P135,$BF$6:$BF$10,$BD$6:$BD$10),IF(テーブル22[[#This Row],[年齢]]&gt;8,LOOKUP(P135,$BE$6:$BE$10,$BD$6:$BD$10),IF(テーブル22[[#This Row],[年齢]]&gt;7,LOOKUP(P135,$BC$6:$BC$10,$BD$6:$BD$10),IF(テーブル22[[#This Row],[年齢]]&gt;6,LOOKUP(P135,$BB$6:$BB$10,$BD$6:$BD$10),LOOKUP(P135,$BA$6:$BA$10,$BD$6:$BD$10)))))))</f>
        <v/>
      </c>
      <c r="R135" s="42">
        <f>IF(H135="",0,(IF(テーブル22[[#This Row],[性別]]="男",LOOKUP(テーブル22[[#This Row],[握力]],$AH$6:$AI$15),LOOKUP(テーブル22[[#This Row],[握力]],$AH$20:$AI$29))))</f>
        <v>0</v>
      </c>
      <c r="S135" s="42">
        <f>IF(テーブル22[[#This Row],[上体]]="",0,(IF(テーブル22[[#This Row],[性別]]="男",LOOKUP(テーブル22[[#This Row],[上体]],$AJ$6:$AK$15),LOOKUP(テーブル22[[#This Row],[上体]],$AJ$20:$AK$29))))</f>
        <v>0</v>
      </c>
      <c r="T135" s="42">
        <f>IF(テーブル22[[#This Row],[長座]]="",0,(IF(テーブル22[[#This Row],[性別]]="男",LOOKUP(テーブル22[[#This Row],[長座]],$AL$6:$AM$15),LOOKUP(テーブル22[[#This Row],[長座]],$AL$20:$AM$29))))</f>
        <v>0</v>
      </c>
      <c r="U135" s="42">
        <f>IF(テーブル22[[#This Row],[反復]]="",0,(IF(テーブル22[[#This Row],[性別]]="男",LOOKUP(テーブル22[[#This Row],[反復]],$AN$6:$AO$15),LOOKUP(テーブル22[[#This Row],[反復]],$AN$20:$AO$29))))</f>
        <v>0</v>
      </c>
      <c r="V135" s="42">
        <f>IF(テーブル22[[#This Row],[ｼｬﾄﾙﾗﾝ]]="",0,(IF(テーブル22[[#This Row],[性別]]="男",LOOKUP(テーブル22[[#This Row],[ｼｬﾄﾙﾗﾝ]],$AR$6:$AS$15),LOOKUP(テーブル22[[#This Row],[ｼｬﾄﾙﾗﾝ]],$AR$20:$AS$29))))</f>
        <v>0</v>
      </c>
      <c r="W135" s="42">
        <f>IF(テーブル22[[#This Row],[50m走]]="",0,(IF(テーブル22[[#This Row],[性別]]="男",LOOKUP(テーブル22[[#This Row],[50m走]],$AT$6:$AU$15),LOOKUP(テーブル22[[#This Row],[50m走]],$AT$20:$AU$29))))</f>
        <v>0</v>
      </c>
      <c r="X135" s="42">
        <f>IF(テーブル22[[#This Row],[立幅とび]]="",0,(IF(テーブル22[[#This Row],[性別]]="男",LOOKUP(テーブル22[[#This Row],[立幅とび]],$AV$6:$AW$15),LOOKUP(テーブル22[[#This Row],[立幅とび]],$AV$20:$AW$29))))</f>
        <v>0</v>
      </c>
      <c r="Y135" s="42">
        <f>IF(テーブル22[[#This Row],[ボール投げ]]="",0,(IF(テーブル22[[#This Row],[性別]]="男",LOOKUP(テーブル22[[#This Row],[ボール投げ]],$AX$6:$AY$15),LOOKUP(テーブル22[[#This Row],[ボール投げ]],$AX$20:$AY$29))))</f>
        <v>0</v>
      </c>
      <c r="Z135" s="19" t="str">
        <f>IF(テーブル22[[#This Row],[学年]]=1,6,IF(テーブル22[[#This Row],[学年]]=2,7,IF(テーブル22[[#This Row],[学年]]=3,8,IF(テーブル22[[#This Row],[学年]]=4,9,IF(テーブル22[[#This Row],[学年]]=5,10,IF(テーブル22[[#This Row],[学年]]=6,11," "))))))</f>
        <v xml:space="preserve"> </v>
      </c>
      <c r="AA135" s="125" t="str">
        <f>IF(テーブル22[[#This Row],[肥満度数値]]="","",LOOKUP(AC135,$AW$39:$AW$44,$AX$39:$AX$44))</f>
        <v/>
      </c>
      <c r="AB1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5" s="124" t="str">
        <f>IF(テーブル22[[#This Row],[体重]]="","",(テーブル22[[#This Row],[体重]]-テーブル22[[#This Row],[標準体重]])/テーブル22[[#This Row],[標準体重]]*100)</f>
        <v/>
      </c>
      <c r="AD135" s="1">
        <f>COUNTA(テーブル22[[#This Row],[握力]:[ボール投げ]])</f>
        <v>0</v>
      </c>
      <c r="AE135" s="1" t="str">
        <f>IF(テーブル22[[#This Row],[判定]]=$BD$10,"○","")</f>
        <v/>
      </c>
      <c r="AF135" s="1" t="str">
        <f>IF(AE135="","",COUNTIF($AE$6:AE135,"○"))</f>
        <v/>
      </c>
    </row>
    <row r="136" spans="1:32" x14ac:dyDescent="0.2">
      <c r="A136" s="40">
        <v>131</v>
      </c>
      <c r="B136" s="145"/>
      <c r="C136" s="148"/>
      <c r="D136" s="145"/>
      <c r="E136" s="156"/>
      <c r="F136" s="145"/>
      <c r="G136" s="145"/>
      <c r="H136" s="146"/>
      <c r="I136" s="146"/>
      <c r="J136" s="148"/>
      <c r="K136" s="145"/>
      <c r="L136" s="148"/>
      <c r="M136" s="149"/>
      <c r="N136" s="148"/>
      <c r="O136" s="150"/>
      <c r="P1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6" s="43" t="str">
        <f>IF(テーブル22[[#This Row],[得点]]="","",IF(テーブル22[[#This Row],[年齢]]&gt;10,LOOKUP(P136,$BG$6:$BG$10,$BD$6:$BD$10),IF(テーブル22[[#This Row],[年齢]]&gt;9,LOOKUP(P136,$BF$6:$BF$10,$BD$6:$BD$10),IF(テーブル22[[#This Row],[年齢]]&gt;8,LOOKUP(P136,$BE$6:$BE$10,$BD$6:$BD$10),IF(テーブル22[[#This Row],[年齢]]&gt;7,LOOKUP(P136,$BC$6:$BC$10,$BD$6:$BD$10),IF(テーブル22[[#This Row],[年齢]]&gt;6,LOOKUP(P136,$BB$6:$BB$10,$BD$6:$BD$10),LOOKUP(P136,$BA$6:$BA$10,$BD$6:$BD$10)))))))</f>
        <v/>
      </c>
      <c r="R136" s="42">
        <f>IF(H136="",0,(IF(テーブル22[[#This Row],[性別]]="男",LOOKUP(テーブル22[[#This Row],[握力]],$AH$6:$AI$15),LOOKUP(テーブル22[[#This Row],[握力]],$AH$20:$AI$29))))</f>
        <v>0</v>
      </c>
      <c r="S136" s="42">
        <f>IF(テーブル22[[#This Row],[上体]]="",0,(IF(テーブル22[[#This Row],[性別]]="男",LOOKUP(テーブル22[[#This Row],[上体]],$AJ$6:$AK$15),LOOKUP(テーブル22[[#This Row],[上体]],$AJ$20:$AK$29))))</f>
        <v>0</v>
      </c>
      <c r="T136" s="42">
        <f>IF(テーブル22[[#This Row],[長座]]="",0,(IF(テーブル22[[#This Row],[性別]]="男",LOOKUP(テーブル22[[#This Row],[長座]],$AL$6:$AM$15),LOOKUP(テーブル22[[#This Row],[長座]],$AL$20:$AM$29))))</f>
        <v>0</v>
      </c>
      <c r="U136" s="42">
        <f>IF(テーブル22[[#This Row],[反復]]="",0,(IF(テーブル22[[#This Row],[性別]]="男",LOOKUP(テーブル22[[#This Row],[反復]],$AN$6:$AO$15),LOOKUP(テーブル22[[#This Row],[反復]],$AN$20:$AO$29))))</f>
        <v>0</v>
      </c>
      <c r="V136" s="42">
        <f>IF(テーブル22[[#This Row],[ｼｬﾄﾙﾗﾝ]]="",0,(IF(テーブル22[[#This Row],[性別]]="男",LOOKUP(テーブル22[[#This Row],[ｼｬﾄﾙﾗﾝ]],$AR$6:$AS$15),LOOKUP(テーブル22[[#This Row],[ｼｬﾄﾙﾗﾝ]],$AR$20:$AS$29))))</f>
        <v>0</v>
      </c>
      <c r="W136" s="42">
        <f>IF(テーブル22[[#This Row],[50m走]]="",0,(IF(テーブル22[[#This Row],[性別]]="男",LOOKUP(テーブル22[[#This Row],[50m走]],$AT$6:$AU$15),LOOKUP(テーブル22[[#This Row],[50m走]],$AT$20:$AU$29))))</f>
        <v>0</v>
      </c>
      <c r="X136" s="42">
        <f>IF(テーブル22[[#This Row],[立幅とび]]="",0,(IF(テーブル22[[#This Row],[性別]]="男",LOOKUP(テーブル22[[#This Row],[立幅とび]],$AV$6:$AW$15),LOOKUP(テーブル22[[#This Row],[立幅とび]],$AV$20:$AW$29))))</f>
        <v>0</v>
      </c>
      <c r="Y136" s="42">
        <f>IF(テーブル22[[#This Row],[ボール投げ]]="",0,(IF(テーブル22[[#This Row],[性別]]="男",LOOKUP(テーブル22[[#This Row],[ボール投げ]],$AX$6:$AY$15),LOOKUP(テーブル22[[#This Row],[ボール投げ]],$AX$20:$AY$29))))</f>
        <v>0</v>
      </c>
      <c r="Z136" s="19" t="str">
        <f>IF(テーブル22[[#This Row],[学年]]=1,6,IF(テーブル22[[#This Row],[学年]]=2,7,IF(テーブル22[[#This Row],[学年]]=3,8,IF(テーブル22[[#This Row],[学年]]=4,9,IF(テーブル22[[#This Row],[学年]]=5,10,IF(テーブル22[[#This Row],[学年]]=6,11," "))))))</f>
        <v xml:space="preserve"> </v>
      </c>
      <c r="AA136" s="125" t="str">
        <f>IF(テーブル22[[#This Row],[肥満度数値]]="","",LOOKUP(AC136,$AW$39:$AW$44,$AX$39:$AX$44))</f>
        <v/>
      </c>
      <c r="AB1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6" s="124" t="str">
        <f>IF(テーブル22[[#This Row],[体重]]="","",(テーブル22[[#This Row],[体重]]-テーブル22[[#This Row],[標準体重]])/テーブル22[[#This Row],[標準体重]]*100)</f>
        <v/>
      </c>
      <c r="AD136" s="1">
        <f>COUNTA(テーブル22[[#This Row],[握力]:[ボール投げ]])</f>
        <v>0</v>
      </c>
      <c r="AE136" s="1" t="str">
        <f>IF(テーブル22[[#This Row],[判定]]=$BD$10,"○","")</f>
        <v/>
      </c>
      <c r="AF136" s="1" t="str">
        <f>IF(AE136="","",COUNTIF($AE$6:AE136,"○"))</f>
        <v/>
      </c>
    </row>
    <row r="137" spans="1:32" x14ac:dyDescent="0.2">
      <c r="A137" s="40">
        <v>132</v>
      </c>
      <c r="B137" s="145"/>
      <c r="C137" s="148"/>
      <c r="D137" s="145"/>
      <c r="E137" s="156"/>
      <c r="F137" s="145"/>
      <c r="G137" s="145"/>
      <c r="H137" s="146"/>
      <c r="I137" s="146"/>
      <c r="J137" s="148"/>
      <c r="K137" s="145"/>
      <c r="L137" s="148"/>
      <c r="M137" s="149"/>
      <c r="N137" s="148"/>
      <c r="O137" s="150"/>
      <c r="P1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7" s="43" t="str">
        <f>IF(テーブル22[[#This Row],[得点]]="","",IF(テーブル22[[#This Row],[年齢]]&gt;10,LOOKUP(P137,$BG$6:$BG$10,$BD$6:$BD$10),IF(テーブル22[[#This Row],[年齢]]&gt;9,LOOKUP(P137,$BF$6:$BF$10,$BD$6:$BD$10),IF(テーブル22[[#This Row],[年齢]]&gt;8,LOOKUP(P137,$BE$6:$BE$10,$BD$6:$BD$10),IF(テーブル22[[#This Row],[年齢]]&gt;7,LOOKUP(P137,$BC$6:$BC$10,$BD$6:$BD$10),IF(テーブル22[[#This Row],[年齢]]&gt;6,LOOKUP(P137,$BB$6:$BB$10,$BD$6:$BD$10),LOOKUP(P137,$BA$6:$BA$10,$BD$6:$BD$10)))))))</f>
        <v/>
      </c>
      <c r="R137" s="42">
        <f>IF(H137="",0,(IF(テーブル22[[#This Row],[性別]]="男",LOOKUP(テーブル22[[#This Row],[握力]],$AH$6:$AI$15),LOOKUP(テーブル22[[#This Row],[握力]],$AH$20:$AI$29))))</f>
        <v>0</v>
      </c>
      <c r="S137" s="42">
        <f>IF(テーブル22[[#This Row],[上体]]="",0,(IF(テーブル22[[#This Row],[性別]]="男",LOOKUP(テーブル22[[#This Row],[上体]],$AJ$6:$AK$15),LOOKUP(テーブル22[[#This Row],[上体]],$AJ$20:$AK$29))))</f>
        <v>0</v>
      </c>
      <c r="T137" s="42">
        <f>IF(テーブル22[[#This Row],[長座]]="",0,(IF(テーブル22[[#This Row],[性別]]="男",LOOKUP(テーブル22[[#This Row],[長座]],$AL$6:$AM$15),LOOKUP(テーブル22[[#This Row],[長座]],$AL$20:$AM$29))))</f>
        <v>0</v>
      </c>
      <c r="U137" s="42">
        <f>IF(テーブル22[[#This Row],[反復]]="",0,(IF(テーブル22[[#This Row],[性別]]="男",LOOKUP(テーブル22[[#This Row],[反復]],$AN$6:$AO$15),LOOKUP(テーブル22[[#This Row],[反復]],$AN$20:$AO$29))))</f>
        <v>0</v>
      </c>
      <c r="V137" s="42">
        <f>IF(テーブル22[[#This Row],[ｼｬﾄﾙﾗﾝ]]="",0,(IF(テーブル22[[#This Row],[性別]]="男",LOOKUP(テーブル22[[#This Row],[ｼｬﾄﾙﾗﾝ]],$AR$6:$AS$15),LOOKUP(テーブル22[[#This Row],[ｼｬﾄﾙﾗﾝ]],$AR$20:$AS$29))))</f>
        <v>0</v>
      </c>
      <c r="W137" s="42">
        <f>IF(テーブル22[[#This Row],[50m走]]="",0,(IF(テーブル22[[#This Row],[性別]]="男",LOOKUP(テーブル22[[#This Row],[50m走]],$AT$6:$AU$15),LOOKUP(テーブル22[[#This Row],[50m走]],$AT$20:$AU$29))))</f>
        <v>0</v>
      </c>
      <c r="X137" s="42">
        <f>IF(テーブル22[[#This Row],[立幅とび]]="",0,(IF(テーブル22[[#This Row],[性別]]="男",LOOKUP(テーブル22[[#This Row],[立幅とび]],$AV$6:$AW$15),LOOKUP(テーブル22[[#This Row],[立幅とび]],$AV$20:$AW$29))))</f>
        <v>0</v>
      </c>
      <c r="Y137" s="42">
        <f>IF(テーブル22[[#This Row],[ボール投げ]]="",0,(IF(テーブル22[[#This Row],[性別]]="男",LOOKUP(テーブル22[[#This Row],[ボール投げ]],$AX$6:$AY$15),LOOKUP(テーブル22[[#This Row],[ボール投げ]],$AX$20:$AY$29))))</f>
        <v>0</v>
      </c>
      <c r="Z137" s="19" t="str">
        <f>IF(テーブル22[[#This Row],[学年]]=1,6,IF(テーブル22[[#This Row],[学年]]=2,7,IF(テーブル22[[#This Row],[学年]]=3,8,IF(テーブル22[[#This Row],[学年]]=4,9,IF(テーブル22[[#This Row],[学年]]=5,10,IF(テーブル22[[#This Row],[学年]]=6,11," "))))))</f>
        <v xml:space="preserve"> </v>
      </c>
      <c r="AA137" s="125" t="str">
        <f>IF(テーブル22[[#This Row],[肥満度数値]]="","",LOOKUP(AC137,$AW$39:$AW$44,$AX$39:$AX$44))</f>
        <v/>
      </c>
      <c r="AB1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7" s="124" t="str">
        <f>IF(テーブル22[[#This Row],[体重]]="","",(テーブル22[[#This Row],[体重]]-テーブル22[[#This Row],[標準体重]])/テーブル22[[#This Row],[標準体重]]*100)</f>
        <v/>
      </c>
      <c r="AD137" s="1">
        <f>COUNTA(テーブル22[[#This Row],[握力]:[ボール投げ]])</f>
        <v>0</v>
      </c>
      <c r="AE137" s="1" t="str">
        <f>IF(テーブル22[[#This Row],[判定]]=$BD$10,"○","")</f>
        <v/>
      </c>
      <c r="AF137" s="1" t="str">
        <f>IF(AE137="","",COUNTIF($AE$6:AE137,"○"))</f>
        <v/>
      </c>
    </row>
    <row r="138" spans="1:32" x14ac:dyDescent="0.2">
      <c r="A138" s="40">
        <v>133</v>
      </c>
      <c r="B138" s="145"/>
      <c r="C138" s="148"/>
      <c r="D138" s="145"/>
      <c r="E138" s="156"/>
      <c r="F138" s="145"/>
      <c r="G138" s="145"/>
      <c r="H138" s="146"/>
      <c r="I138" s="146"/>
      <c r="J138" s="148"/>
      <c r="K138" s="145"/>
      <c r="L138" s="148"/>
      <c r="M138" s="149"/>
      <c r="N138" s="148"/>
      <c r="O138" s="150"/>
      <c r="P1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8" s="43" t="str">
        <f>IF(テーブル22[[#This Row],[得点]]="","",IF(テーブル22[[#This Row],[年齢]]&gt;10,LOOKUP(P138,$BG$6:$BG$10,$BD$6:$BD$10),IF(テーブル22[[#This Row],[年齢]]&gt;9,LOOKUP(P138,$BF$6:$BF$10,$BD$6:$BD$10),IF(テーブル22[[#This Row],[年齢]]&gt;8,LOOKUP(P138,$BE$6:$BE$10,$BD$6:$BD$10),IF(テーブル22[[#This Row],[年齢]]&gt;7,LOOKUP(P138,$BC$6:$BC$10,$BD$6:$BD$10),IF(テーブル22[[#This Row],[年齢]]&gt;6,LOOKUP(P138,$BB$6:$BB$10,$BD$6:$BD$10),LOOKUP(P138,$BA$6:$BA$10,$BD$6:$BD$10)))))))</f>
        <v/>
      </c>
      <c r="R138" s="42">
        <f>IF(H138="",0,(IF(テーブル22[[#This Row],[性別]]="男",LOOKUP(テーブル22[[#This Row],[握力]],$AH$6:$AI$15),LOOKUP(テーブル22[[#This Row],[握力]],$AH$20:$AI$29))))</f>
        <v>0</v>
      </c>
      <c r="S138" s="42">
        <f>IF(テーブル22[[#This Row],[上体]]="",0,(IF(テーブル22[[#This Row],[性別]]="男",LOOKUP(テーブル22[[#This Row],[上体]],$AJ$6:$AK$15),LOOKUP(テーブル22[[#This Row],[上体]],$AJ$20:$AK$29))))</f>
        <v>0</v>
      </c>
      <c r="T138" s="42">
        <f>IF(テーブル22[[#This Row],[長座]]="",0,(IF(テーブル22[[#This Row],[性別]]="男",LOOKUP(テーブル22[[#This Row],[長座]],$AL$6:$AM$15),LOOKUP(テーブル22[[#This Row],[長座]],$AL$20:$AM$29))))</f>
        <v>0</v>
      </c>
      <c r="U138" s="42">
        <f>IF(テーブル22[[#This Row],[反復]]="",0,(IF(テーブル22[[#This Row],[性別]]="男",LOOKUP(テーブル22[[#This Row],[反復]],$AN$6:$AO$15),LOOKUP(テーブル22[[#This Row],[反復]],$AN$20:$AO$29))))</f>
        <v>0</v>
      </c>
      <c r="V138" s="42">
        <f>IF(テーブル22[[#This Row],[ｼｬﾄﾙﾗﾝ]]="",0,(IF(テーブル22[[#This Row],[性別]]="男",LOOKUP(テーブル22[[#This Row],[ｼｬﾄﾙﾗﾝ]],$AR$6:$AS$15),LOOKUP(テーブル22[[#This Row],[ｼｬﾄﾙﾗﾝ]],$AR$20:$AS$29))))</f>
        <v>0</v>
      </c>
      <c r="W138" s="42">
        <f>IF(テーブル22[[#This Row],[50m走]]="",0,(IF(テーブル22[[#This Row],[性別]]="男",LOOKUP(テーブル22[[#This Row],[50m走]],$AT$6:$AU$15),LOOKUP(テーブル22[[#This Row],[50m走]],$AT$20:$AU$29))))</f>
        <v>0</v>
      </c>
      <c r="X138" s="42">
        <f>IF(テーブル22[[#This Row],[立幅とび]]="",0,(IF(テーブル22[[#This Row],[性別]]="男",LOOKUP(テーブル22[[#This Row],[立幅とび]],$AV$6:$AW$15),LOOKUP(テーブル22[[#This Row],[立幅とび]],$AV$20:$AW$29))))</f>
        <v>0</v>
      </c>
      <c r="Y138" s="42">
        <f>IF(テーブル22[[#This Row],[ボール投げ]]="",0,(IF(テーブル22[[#This Row],[性別]]="男",LOOKUP(テーブル22[[#This Row],[ボール投げ]],$AX$6:$AY$15),LOOKUP(テーブル22[[#This Row],[ボール投げ]],$AX$20:$AY$29))))</f>
        <v>0</v>
      </c>
      <c r="Z138" s="19" t="str">
        <f>IF(テーブル22[[#This Row],[学年]]=1,6,IF(テーブル22[[#This Row],[学年]]=2,7,IF(テーブル22[[#This Row],[学年]]=3,8,IF(テーブル22[[#This Row],[学年]]=4,9,IF(テーブル22[[#This Row],[学年]]=5,10,IF(テーブル22[[#This Row],[学年]]=6,11," "))))))</f>
        <v xml:space="preserve"> </v>
      </c>
      <c r="AA138" s="125" t="str">
        <f>IF(テーブル22[[#This Row],[肥満度数値]]="","",LOOKUP(AC138,$AW$39:$AW$44,$AX$39:$AX$44))</f>
        <v/>
      </c>
      <c r="AB1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8" s="124" t="str">
        <f>IF(テーブル22[[#This Row],[体重]]="","",(テーブル22[[#This Row],[体重]]-テーブル22[[#This Row],[標準体重]])/テーブル22[[#This Row],[標準体重]]*100)</f>
        <v/>
      </c>
      <c r="AD138" s="1">
        <f>COUNTA(テーブル22[[#This Row],[握力]:[ボール投げ]])</f>
        <v>0</v>
      </c>
      <c r="AE138" s="1" t="str">
        <f>IF(テーブル22[[#This Row],[判定]]=$BD$10,"○","")</f>
        <v/>
      </c>
      <c r="AF138" s="1" t="str">
        <f>IF(AE138="","",COUNTIF($AE$6:AE138,"○"))</f>
        <v/>
      </c>
    </row>
    <row r="139" spans="1:32" x14ac:dyDescent="0.2">
      <c r="A139" s="40">
        <v>134</v>
      </c>
      <c r="B139" s="145"/>
      <c r="C139" s="148"/>
      <c r="D139" s="145"/>
      <c r="E139" s="156"/>
      <c r="F139" s="145"/>
      <c r="G139" s="145"/>
      <c r="H139" s="146"/>
      <c r="I139" s="146"/>
      <c r="J139" s="148"/>
      <c r="K139" s="145"/>
      <c r="L139" s="148"/>
      <c r="M139" s="149"/>
      <c r="N139" s="148"/>
      <c r="O139" s="150"/>
      <c r="P1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39" s="43" t="str">
        <f>IF(テーブル22[[#This Row],[得点]]="","",IF(テーブル22[[#This Row],[年齢]]&gt;10,LOOKUP(P139,$BG$6:$BG$10,$BD$6:$BD$10),IF(テーブル22[[#This Row],[年齢]]&gt;9,LOOKUP(P139,$BF$6:$BF$10,$BD$6:$BD$10),IF(テーブル22[[#This Row],[年齢]]&gt;8,LOOKUP(P139,$BE$6:$BE$10,$BD$6:$BD$10),IF(テーブル22[[#This Row],[年齢]]&gt;7,LOOKUP(P139,$BC$6:$BC$10,$BD$6:$BD$10),IF(テーブル22[[#This Row],[年齢]]&gt;6,LOOKUP(P139,$BB$6:$BB$10,$BD$6:$BD$10),LOOKUP(P139,$BA$6:$BA$10,$BD$6:$BD$10)))))))</f>
        <v/>
      </c>
      <c r="R139" s="42">
        <f>IF(H139="",0,(IF(テーブル22[[#This Row],[性別]]="男",LOOKUP(テーブル22[[#This Row],[握力]],$AH$6:$AI$15),LOOKUP(テーブル22[[#This Row],[握力]],$AH$20:$AI$29))))</f>
        <v>0</v>
      </c>
      <c r="S139" s="42">
        <f>IF(テーブル22[[#This Row],[上体]]="",0,(IF(テーブル22[[#This Row],[性別]]="男",LOOKUP(テーブル22[[#This Row],[上体]],$AJ$6:$AK$15),LOOKUP(テーブル22[[#This Row],[上体]],$AJ$20:$AK$29))))</f>
        <v>0</v>
      </c>
      <c r="T139" s="42">
        <f>IF(テーブル22[[#This Row],[長座]]="",0,(IF(テーブル22[[#This Row],[性別]]="男",LOOKUP(テーブル22[[#This Row],[長座]],$AL$6:$AM$15),LOOKUP(テーブル22[[#This Row],[長座]],$AL$20:$AM$29))))</f>
        <v>0</v>
      </c>
      <c r="U139" s="42">
        <f>IF(テーブル22[[#This Row],[反復]]="",0,(IF(テーブル22[[#This Row],[性別]]="男",LOOKUP(テーブル22[[#This Row],[反復]],$AN$6:$AO$15),LOOKUP(テーブル22[[#This Row],[反復]],$AN$20:$AO$29))))</f>
        <v>0</v>
      </c>
      <c r="V139" s="42">
        <f>IF(テーブル22[[#This Row],[ｼｬﾄﾙﾗﾝ]]="",0,(IF(テーブル22[[#This Row],[性別]]="男",LOOKUP(テーブル22[[#This Row],[ｼｬﾄﾙﾗﾝ]],$AR$6:$AS$15),LOOKUP(テーブル22[[#This Row],[ｼｬﾄﾙﾗﾝ]],$AR$20:$AS$29))))</f>
        <v>0</v>
      </c>
      <c r="W139" s="42">
        <f>IF(テーブル22[[#This Row],[50m走]]="",0,(IF(テーブル22[[#This Row],[性別]]="男",LOOKUP(テーブル22[[#This Row],[50m走]],$AT$6:$AU$15),LOOKUP(テーブル22[[#This Row],[50m走]],$AT$20:$AU$29))))</f>
        <v>0</v>
      </c>
      <c r="X139" s="42">
        <f>IF(テーブル22[[#This Row],[立幅とび]]="",0,(IF(テーブル22[[#This Row],[性別]]="男",LOOKUP(テーブル22[[#This Row],[立幅とび]],$AV$6:$AW$15),LOOKUP(テーブル22[[#This Row],[立幅とび]],$AV$20:$AW$29))))</f>
        <v>0</v>
      </c>
      <c r="Y139" s="42">
        <f>IF(テーブル22[[#This Row],[ボール投げ]]="",0,(IF(テーブル22[[#This Row],[性別]]="男",LOOKUP(テーブル22[[#This Row],[ボール投げ]],$AX$6:$AY$15),LOOKUP(テーブル22[[#This Row],[ボール投げ]],$AX$20:$AY$29))))</f>
        <v>0</v>
      </c>
      <c r="Z139" s="19" t="str">
        <f>IF(テーブル22[[#This Row],[学年]]=1,6,IF(テーブル22[[#This Row],[学年]]=2,7,IF(テーブル22[[#This Row],[学年]]=3,8,IF(テーブル22[[#This Row],[学年]]=4,9,IF(テーブル22[[#This Row],[学年]]=5,10,IF(テーブル22[[#This Row],[学年]]=6,11," "))))))</f>
        <v xml:space="preserve"> </v>
      </c>
      <c r="AA139" s="125" t="str">
        <f>IF(テーブル22[[#This Row],[肥満度数値]]="","",LOOKUP(AC139,$AW$39:$AW$44,$AX$39:$AX$44))</f>
        <v/>
      </c>
      <c r="AB1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39" s="124" t="str">
        <f>IF(テーブル22[[#This Row],[体重]]="","",(テーブル22[[#This Row],[体重]]-テーブル22[[#This Row],[標準体重]])/テーブル22[[#This Row],[標準体重]]*100)</f>
        <v/>
      </c>
      <c r="AD139" s="1">
        <f>COUNTA(テーブル22[[#This Row],[握力]:[ボール投げ]])</f>
        <v>0</v>
      </c>
      <c r="AE139" s="1" t="str">
        <f>IF(テーブル22[[#This Row],[判定]]=$BD$10,"○","")</f>
        <v/>
      </c>
      <c r="AF139" s="1" t="str">
        <f>IF(AE139="","",COUNTIF($AE$6:AE139,"○"))</f>
        <v/>
      </c>
    </row>
    <row r="140" spans="1:32" x14ac:dyDescent="0.2">
      <c r="A140" s="40">
        <v>135</v>
      </c>
      <c r="B140" s="145"/>
      <c r="C140" s="148"/>
      <c r="D140" s="145"/>
      <c r="E140" s="156"/>
      <c r="F140" s="145"/>
      <c r="G140" s="145"/>
      <c r="H140" s="146"/>
      <c r="I140" s="146"/>
      <c r="J140" s="148"/>
      <c r="K140" s="145"/>
      <c r="L140" s="148"/>
      <c r="M140" s="149"/>
      <c r="N140" s="148"/>
      <c r="O140" s="150"/>
      <c r="P1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0" s="43" t="str">
        <f>IF(テーブル22[[#This Row],[得点]]="","",IF(テーブル22[[#This Row],[年齢]]&gt;10,LOOKUP(P140,$BG$6:$BG$10,$BD$6:$BD$10),IF(テーブル22[[#This Row],[年齢]]&gt;9,LOOKUP(P140,$BF$6:$BF$10,$BD$6:$BD$10),IF(テーブル22[[#This Row],[年齢]]&gt;8,LOOKUP(P140,$BE$6:$BE$10,$BD$6:$BD$10),IF(テーブル22[[#This Row],[年齢]]&gt;7,LOOKUP(P140,$BC$6:$BC$10,$BD$6:$BD$10),IF(テーブル22[[#This Row],[年齢]]&gt;6,LOOKUP(P140,$BB$6:$BB$10,$BD$6:$BD$10),LOOKUP(P140,$BA$6:$BA$10,$BD$6:$BD$10)))))))</f>
        <v/>
      </c>
      <c r="R140" s="42">
        <f>IF(H140="",0,(IF(テーブル22[[#This Row],[性別]]="男",LOOKUP(テーブル22[[#This Row],[握力]],$AH$6:$AI$15),LOOKUP(テーブル22[[#This Row],[握力]],$AH$20:$AI$29))))</f>
        <v>0</v>
      </c>
      <c r="S140" s="42">
        <f>IF(テーブル22[[#This Row],[上体]]="",0,(IF(テーブル22[[#This Row],[性別]]="男",LOOKUP(テーブル22[[#This Row],[上体]],$AJ$6:$AK$15),LOOKUP(テーブル22[[#This Row],[上体]],$AJ$20:$AK$29))))</f>
        <v>0</v>
      </c>
      <c r="T140" s="42">
        <f>IF(テーブル22[[#This Row],[長座]]="",0,(IF(テーブル22[[#This Row],[性別]]="男",LOOKUP(テーブル22[[#This Row],[長座]],$AL$6:$AM$15),LOOKUP(テーブル22[[#This Row],[長座]],$AL$20:$AM$29))))</f>
        <v>0</v>
      </c>
      <c r="U140" s="42">
        <f>IF(テーブル22[[#This Row],[反復]]="",0,(IF(テーブル22[[#This Row],[性別]]="男",LOOKUP(テーブル22[[#This Row],[反復]],$AN$6:$AO$15),LOOKUP(テーブル22[[#This Row],[反復]],$AN$20:$AO$29))))</f>
        <v>0</v>
      </c>
      <c r="V140" s="42">
        <f>IF(テーブル22[[#This Row],[ｼｬﾄﾙﾗﾝ]]="",0,(IF(テーブル22[[#This Row],[性別]]="男",LOOKUP(テーブル22[[#This Row],[ｼｬﾄﾙﾗﾝ]],$AR$6:$AS$15),LOOKUP(テーブル22[[#This Row],[ｼｬﾄﾙﾗﾝ]],$AR$20:$AS$29))))</f>
        <v>0</v>
      </c>
      <c r="W140" s="42">
        <f>IF(テーブル22[[#This Row],[50m走]]="",0,(IF(テーブル22[[#This Row],[性別]]="男",LOOKUP(テーブル22[[#This Row],[50m走]],$AT$6:$AU$15),LOOKUP(テーブル22[[#This Row],[50m走]],$AT$20:$AU$29))))</f>
        <v>0</v>
      </c>
      <c r="X140" s="42">
        <f>IF(テーブル22[[#This Row],[立幅とび]]="",0,(IF(テーブル22[[#This Row],[性別]]="男",LOOKUP(テーブル22[[#This Row],[立幅とび]],$AV$6:$AW$15),LOOKUP(テーブル22[[#This Row],[立幅とび]],$AV$20:$AW$29))))</f>
        <v>0</v>
      </c>
      <c r="Y140" s="42">
        <f>IF(テーブル22[[#This Row],[ボール投げ]]="",0,(IF(テーブル22[[#This Row],[性別]]="男",LOOKUP(テーブル22[[#This Row],[ボール投げ]],$AX$6:$AY$15),LOOKUP(テーブル22[[#This Row],[ボール投げ]],$AX$20:$AY$29))))</f>
        <v>0</v>
      </c>
      <c r="Z140" s="19" t="str">
        <f>IF(テーブル22[[#This Row],[学年]]=1,6,IF(テーブル22[[#This Row],[学年]]=2,7,IF(テーブル22[[#This Row],[学年]]=3,8,IF(テーブル22[[#This Row],[学年]]=4,9,IF(テーブル22[[#This Row],[学年]]=5,10,IF(テーブル22[[#This Row],[学年]]=6,11," "))))))</f>
        <v xml:space="preserve"> </v>
      </c>
      <c r="AA140" s="125" t="str">
        <f>IF(テーブル22[[#This Row],[肥満度数値]]="","",LOOKUP(AC140,$AW$39:$AW$44,$AX$39:$AX$44))</f>
        <v/>
      </c>
      <c r="AB1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0" s="124" t="str">
        <f>IF(テーブル22[[#This Row],[体重]]="","",(テーブル22[[#This Row],[体重]]-テーブル22[[#This Row],[標準体重]])/テーブル22[[#This Row],[標準体重]]*100)</f>
        <v/>
      </c>
      <c r="AD140" s="1">
        <f>COUNTA(テーブル22[[#This Row],[握力]:[ボール投げ]])</f>
        <v>0</v>
      </c>
      <c r="AE140" s="1" t="str">
        <f>IF(テーブル22[[#This Row],[判定]]=$BD$10,"○","")</f>
        <v/>
      </c>
      <c r="AF140" s="1" t="str">
        <f>IF(AE140="","",COUNTIF($AE$6:AE140,"○"))</f>
        <v/>
      </c>
    </row>
    <row r="141" spans="1:32" x14ac:dyDescent="0.2">
      <c r="A141" s="40">
        <v>136</v>
      </c>
      <c r="B141" s="145"/>
      <c r="C141" s="148"/>
      <c r="D141" s="145"/>
      <c r="E141" s="156"/>
      <c r="F141" s="145"/>
      <c r="G141" s="145"/>
      <c r="H141" s="146"/>
      <c r="I141" s="146"/>
      <c r="J141" s="148"/>
      <c r="K141" s="145"/>
      <c r="L141" s="148"/>
      <c r="M141" s="149"/>
      <c r="N141" s="148"/>
      <c r="O141" s="150"/>
      <c r="P1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1" s="43" t="str">
        <f>IF(テーブル22[[#This Row],[得点]]="","",IF(テーブル22[[#This Row],[年齢]]&gt;10,LOOKUP(P141,$BG$6:$BG$10,$BD$6:$BD$10),IF(テーブル22[[#This Row],[年齢]]&gt;9,LOOKUP(P141,$BF$6:$BF$10,$BD$6:$BD$10),IF(テーブル22[[#This Row],[年齢]]&gt;8,LOOKUP(P141,$BE$6:$BE$10,$BD$6:$BD$10),IF(テーブル22[[#This Row],[年齢]]&gt;7,LOOKUP(P141,$BC$6:$BC$10,$BD$6:$BD$10),IF(テーブル22[[#This Row],[年齢]]&gt;6,LOOKUP(P141,$BB$6:$BB$10,$BD$6:$BD$10),LOOKUP(P141,$BA$6:$BA$10,$BD$6:$BD$10)))))))</f>
        <v/>
      </c>
      <c r="R141" s="42">
        <f>IF(H141="",0,(IF(テーブル22[[#This Row],[性別]]="男",LOOKUP(テーブル22[[#This Row],[握力]],$AH$6:$AI$15),LOOKUP(テーブル22[[#This Row],[握力]],$AH$20:$AI$29))))</f>
        <v>0</v>
      </c>
      <c r="S141" s="42">
        <f>IF(テーブル22[[#This Row],[上体]]="",0,(IF(テーブル22[[#This Row],[性別]]="男",LOOKUP(テーブル22[[#This Row],[上体]],$AJ$6:$AK$15),LOOKUP(テーブル22[[#This Row],[上体]],$AJ$20:$AK$29))))</f>
        <v>0</v>
      </c>
      <c r="T141" s="42">
        <f>IF(テーブル22[[#This Row],[長座]]="",0,(IF(テーブル22[[#This Row],[性別]]="男",LOOKUP(テーブル22[[#This Row],[長座]],$AL$6:$AM$15),LOOKUP(テーブル22[[#This Row],[長座]],$AL$20:$AM$29))))</f>
        <v>0</v>
      </c>
      <c r="U141" s="42">
        <f>IF(テーブル22[[#This Row],[反復]]="",0,(IF(テーブル22[[#This Row],[性別]]="男",LOOKUP(テーブル22[[#This Row],[反復]],$AN$6:$AO$15),LOOKUP(テーブル22[[#This Row],[反復]],$AN$20:$AO$29))))</f>
        <v>0</v>
      </c>
      <c r="V141" s="42">
        <f>IF(テーブル22[[#This Row],[ｼｬﾄﾙﾗﾝ]]="",0,(IF(テーブル22[[#This Row],[性別]]="男",LOOKUP(テーブル22[[#This Row],[ｼｬﾄﾙﾗﾝ]],$AR$6:$AS$15),LOOKUP(テーブル22[[#This Row],[ｼｬﾄﾙﾗﾝ]],$AR$20:$AS$29))))</f>
        <v>0</v>
      </c>
      <c r="W141" s="42">
        <f>IF(テーブル22[[#This Row],[50m走]]="",0,(IF(テーブル22[[#This Row],[性別]]="男",LOOKUP(テーブル22[[#This Row],[50m走]],$AT$6:$AU$15),LOOKUP(テーブル22[[#This Row],[50m走]],$AT$20:$AU$29))))</f>
        <v>0</v>
      </c>
      <c r="X141" s="42">
        <f>IF(テーブル22[[#This Row],[立幅とび]]="",0,(IF(テーブル22[[#This Row],[性別]]="男",LOOKUP(テーブル22[[#This Row],[立幅とび]],$AV$6:$AW$15),LOOKUP(テーブル22[[#This Row],[立幅とび]],$AV$20:$AW$29))))</f>
        <v>0</v>
      </c>
      <c r="Y141" s="42">
        <f>IF(テーブル22[[#This Row],[ボール投げ]]="",0,(IF(テーブル22[[#This Row],[性別]]="男",LOOKUP(テーブル22[[#This Row],[ボール投げ]],$AX$6:$AY$15),LOOKUP(テーブル22[[#This Row],[ボール投げ]],$AX$20:$AY$29))))</f>
        <v>0</v>
      </c>
      <c r="Z141" s="19" t="str">
        <f>IF(テーブル22[[#This Row],[学年]]=1,6,IF(テーブル22[[#This Row],[学年]]=2,7,IF(テーブル22[[#This Row],[学年]]=3,8,IF(テーブル22[[#This Row],[学年]]=4,9,IF(テーブル22[[#This Row],[学年]]=5,10,IF(テーブル22[[#This Row],[学年]]=6,11," "))))))</f>
        <v xml:space="preserve"> </v>
      </c>
      <c r="AA141" s="125" t="str">
        <f>IF(テーブル22[[#This Row],[肥満度数値]]="","",LOOKUP(AC141,$AW$39:$AW$44,$AX$39:$AX$44))</f>
        <v/>
      </c>
      <c r="AB1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1" s="124" t="str">
        <f>IF(テーブル22[[#This Row],[体重]]="","",(テーブル22[[#This Row],[体重]]-テーブル22[[#This Row],[標準体重]])/テーブル22[[#This Row],[標準体重]]*100)</f>
        <v/>
      </c>
      <c r="AD141" s="1">
        <f>COUNTA(テーブル22[[#This Row],[握力]:[ボール投げ]])</f>
        <v>0</v>
      </c>
      <c r="AE141" s="1" t="str">
        <f>IF(テーブル22[[#This Row],[判定]]=$BD$10,"○","")</f>
        <v/>
      </c>
      <c r="AF141" s="1" t="str">
        <f>IF(AE141="","",COUNTIF($AE$6:AE141,"○"))</f>
        <v/>
      </c>
    </row>
    <row r="142" spans="1:32" x14ac:dyDescent="0.2">
      <c r="A142" s="40">
        <v>137</v>
      </c>
      <c r="B142" s="145"/>
      <c r="C142" s="148"/>
      <c r="D142" s="145"/>
      <c r="E142" s="156"/>
      <c r="F142" s="145"/>
      <c r="G142" s="145"/>
      <c r="H142" s="146"/>
      <c r="I142" s="146"/>
      <c r="J142" s="148"/>
      <c r="K142" s="145"/>
      <c r="L142" s="148"/>
      <c r="M142" s="149"/>
      <c r="N142" s="148"/>
      <c r="O142" s="150"/>
      <c r="P1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2" s="43" t="str">
        <f>IF(テーブル22[[#This Row],[得点]]="","",IF(テーブル22[[#This Row],[年齢]]&gt;10,LOOKUP(P142,$BG$6:$BG$10,$BD$6:$BD$10),IF(テーブル22[[#This Row],[年齢]]&gt;9,LOOKUP(P142,$BF$6:$BF$10,$BD$6:$BD$10),IF(テーブル22[[#This Row],[年齢]]&gt;8,LOOKUP(P142,$BE$6:$BE$10,$BD$6:$BD$10),IF(テーブル22[[#This Row],[年齢]]&gt;7,LOOKUP(P142,$BC$6:$BC$10,$BD$6:$BD$10),IF(テーブル22[[#This Row],[年齢]]&gt;6,LOOKUP(P142,$BB$6:$BB$10,$BD$6:$BD$10),LOOKUP(P142,$BA$6:$BA$10,$BD$6:$BD$10)))))))</f>
        <v/>
      </c>
      <c r="R142" s="42">
        <f>IF(H142="",0,(IF(テーブル22[[#This Row],[性別]]="男",LOOKUP(テーブル22[[#This Row],[握力]],$AH$6:$AI$15),LOOKUP(テーブル22[[#This Row],[握力]],$AH$20:$AI$29))))</f>
        <v>0</v>
      </c>
      <c r="S142" s="42">
        <f>IF(テーブル22[[#This Row],[上体]]="",0,(IF(テーブル22[[#This Row],[性別]]="男",LOOKUP(テーブル22[[#This Row],[上体]],$AJ$6:$AK$15),LOOKUP(テーブル22[[#This Row],[上体]],$AJ$20:$AK$29))))</f>
        <v>0</v>
      </c>
      <c r="T142" s="42">
        <f>IF(テーブル22[[#This Row],[長座]]="",0,(IF(テーブル22[[#This Row],[性別]]="男",LOOKUP(テーブル22[[#This Row],[長座]],$AL$6:$AM$15),LOOKUP(テーブル22[[#This Row],[長座]],$AL$20:$AM$29))))</f>
        <v>0</v>
      </c>
      <c r="U142" s="42">
        <f>IF(テーブル22[[#This Row],[反復]]="",0,(IF(テーブル22[[#This Row],[性別]]="男",LOOKUP(テーブル22[[#This Row],[反復]],$AN$6:$AO$15),LOOKUP(テーブル22[[#This Row],[反復]],$AN$20:$AO$29))))</f>
        <v>0</v>
      </c>
      <c r="V142" s="42">
        <f>IF(テーブル22[[#This Row],[ｼｬﾄﾙﾗﾝ]]="",0,(IF(テーブル22[[#This Row],[性別]]="男",LOOKUP(テーブル22[[#This Row],[ｼｬﾄﾙﾗﾝ]],$AR$6:$AS$15),LOOKUP(テーブル22[[#This Row],[ｼｬﾄﾙﾗﾝ]],$AR$20:$AS$29))))</f>
        <v>0</v>
      </c>
      <c r="W142" s="42">
        <f>IF(テーブル22[[#This Row],[50m走]]="",0,(IF(テーブル22[[#This Row],[性別]]="男",LOOKUP(テーブル22[[#This Row],[50m走]],$AT$6:$AU$15),LOOKUP(テーブル22[[#This Row],[50m走]],$AT$20:$AU$29))))</f>
        <v>0</v>
      </c>
      <c r="X142" s="42">
        <f>IF(テーブル22[[#This Row],[立幅とび]]="",0,(IF(テーブル22[[#This Row],[性別]]="男",LOOKUP(テーブル22[[#This Row],[立幅とび]],$AV$6:$AW$15),LOOKUP(テーブル22[[#This Row],[立幅とび]],$AV$20:$AW$29))))</f>
        <v>0</v>
      </c>
      <c r="Y142" s="42">
        <f>IF(テーブル22[[#This Row],[ボール投げ]]="",0,(IF(テーブル22[[#This Row],[性別]]="男",LOOKUP(テーブル22[[#This Row],[ボール投げ]],$AX$6:$AY$15),LOOKUP(テーブル22[[#This Row],[ボール投げ]],$AX$20:$AY$29))))</f>
        <v>0</v>
      </c>
      <c r="Z142" s="19" t="str">
        <f>IF(テーブル22[[#This Row],[学年]]=1,6,IF(テーブル22[[#This Row],[学年]]=2,7,IF(テーブル22[[#This Row],[学年]]=3,8,IF(テーブル22[[#This Row],[学年]]=4,9,IF(テーブル22[[#This Row],[学年]]=5,10,IF(テーブル22[[#This Row],[学年]]=6,11," "))))))</f>
        <v xml:space="preserve"> </v>
      </c>
      <c r="AA142" s="125" t="str">
        <f>IF(テーブル22[[#This Row],[肥満度数値]]="","",LOOKUP(AC142,$AW$39:$AW$44,$AX$39:$AX$44))</f>
        <v/>
      </c>
      <c r="AB1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2" s="124" t="str">
        <f>IF(テーブル22[[#This Row],[体重]]="","",(テーブル22[[#This Row],[体重]]-テーブル22[[#This Row],[標準体重]])/テーブル22[[#This Row],[標準体重]]*100)</f>
        <v/>
      </c>
      <c r="AD142" s="1">
        <f>COUNTA(テーブル22[[#This Row],[握力]:[ボール投げ]])</f>
        <v>0</v>
      </c>
      <c r="AE142" s="1" t="str">
        <f>IF(テーブル22[[#This Row],[判定]]=$BD$10,"○","")</f>
        <v/>
      </c>
      <c r="AF142" s="1" t="str">
        <f>IF(AE142="","",COUNTIF($AE$6:AE142,"○"))</f>
        <v/>
      </c>
    </row>
    <row r="143" spans="1:32" x14ac:dyDescent="0.2">
      <c r="A143" s="40">
        <v>138</v>
      </c>
      <c r="B143" s="145"/>
      <c r="C143" s="148"/>
      <c r="D143" s="145"/>
      <c r="E143" s="156"/>
      <c r="F143" s="145"/>
      <c r="G143" s="145"/>
      <c r="H143" s="146"/>
      <c r="I143" s="146"/>
      <c r="J143" s="148"/>
      <c r="K143" s="145"/>
      <c r="L143" s="148"/>
      <c r="M143" s="149"/>
      <c r="N143" s="148"/>
      <c r="O143" s="150"/>
      <c r="P1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3" s="43" t="str">
        <f>IF(テーブル22[[#This Row],[得点]]="","",IF(テーブル22[[#This Row],[年齢]]&gt;10,LOOKUP(P143,$BG$6:$BG$10,$BD$6:$BD$10),IF(テーブル22[[#This Row],[年齢]]&gt;9,LOOKUP(P143,$BF$6:$BF$10,$BD$6:$BD$10),IF(テーブル22[[#This Row],[年齢]]&gt;8,LOOKUP(P143,$BE$6:$BE$10,$BD$6:$BD$10),IF(テーブル22[[#This Row],[年齢]]&gt;7,LOOKUP(P143,$BC$6:$BC$10,$BD$6:$BD$10),IF(テーブル22[[#This Row],[年齢]]&gt;6,LOOKUP(P143,$BB$6:$BB$10,$BD$6:$BD$10),LOOKUP(P143,$BA$6:$BA$10,$BD$6:$BD$10)))))))</f>
        <v/>
      </c>
      <c r="R143" s="42">
        <f>IF(H143="",0,(IF(テーブル22[[#This Row],[性別]]="男",LOOKUP(テーブル22[[#This Row],[握力]],$AH$6:$AI$15),LOOKUP(テーブル22[[#This Row],[握力]],$AH$20:$AI$29))))</f>
        <v>0</v>
      </c>
      <c r="S143" s="42">
        <f>IF(テーブル22[[#This Row],[上体]]="",0,(IF(テーブル22[[#This Row],[性別]]="男",LOOKUP(テーブル22[[#This Row],[上体]],$AJ$6:$AK$15),LOOKUP(テーブル22[[#This Row],[上体]],$AJ$20:$AK$29))))</f>
        <v>0</v>
      </c>
      <c r="T143" s="42">
        <f>IF(テーブル22[[#This Row],[長座]]="",0,(IF(テーブル22[[#This Row],[性別]]="男",LOOKUP(テーブル22[[#This Row],[長座]],$AL$6:$AM$15),LOOKUP(テーブル22[[#This Row],[長座]],$AL$20:$AM$29))))</f>
        <v>0</v>
      </c>
      <c r="U143" s="42">
        <f>IF(テーブル22[[#This Row],[反復]]="",0,(IF(テーブル22[[#This Row],[性別]]="男",LOOKUP(テーブル22[[#This Row],[反復]],$AN$6:$AO$15),LOOKUP(テーブル22[[#This Row],[反復]],$AN$20:$AO$29))))</f>
        <v>0</v>
      </c>
      <c r="V143" s="42">
        <f>IF(テーブル22[[#This Row],[ｼｬﾄﾙﾗﾝ]]="",0,(IF(テーブル22[[#This Row],[性別]]="男",LOOKUP(テーブル22[[#This Row],[ｼｬﾄﾙﾗﾝ]],$AR$6:$AS$15),LOOKUP(テーブル22[[#This Row],[ｼｬﾄﾙﾗﾝ]],$AR$20:$AS$29))))</f>
        <v>0</v>
      </c>
      <c r="W143" s="42">
        <f>IF(テーブル22[[#This Row],[50m走]]="",0,(IF(テーブル22[[#This Row],[性別]]="男",LOOKUP(テーブル22[[#This Row],[50m走]],$AT$6:$AU$15),LOOKUP(テーブル22[[#This Row],[50m走]],$AT$20:$AU$29))))</f>
        <v>0</v>
      </c>
      <c r="X143" s="42">
        <f>IF(テーブル22[[#This Row],[立幅とび]]="",0,(IF(テーブル22[[#This Row],[性別]]="男",LOOKUP(テーブル22[[#This Row],[立幅とび]],$AV$6:$AW$15),LOOKUP(テーブル22[[#This Row],[立幅とび]],$AV$20:$AW$29))))</f>
        <v>0</v>
      </c>
      <c r="Y143" s="42">
        <f>IF(テーブル22[[#This Row],[ボール投げ]]="",0,(IF(テーブル22[[#This Row],[性別]]="男",LOOKUP(テーブル22[[#This Row],[ボール投げ]],$AX$6:$AY$15),LOOKUP(テーブル22[[#This Row],[ボール投げ]],$AX$20:$AY$29))))</f>
        <v>0</v>
      </c>
      <c r="Z143" s="19" t="str">
        <f>IF(テーブル22[[#This Row],[学年]]=1,6,IF(テーブル22[[#This Row],[学年]]=2,7,IF(テーブル22[[#This Row],[学年]]=3,8,IF(テーブル22[[#This Row],[学年]]=4,9,IF(テーブル22[[#This Row],[学年]]=5,10,IF(テーブル22[[#This Row],[学年]]=6,11," "))))))</f>
        <v xml:space="preserve"> </v>
      </c>
      <c r="AA143" s="125" t="str">
        <f>IF(テーブル22[[#This Row],[肥満度数値]]="","",LOOKUP(AC143,$AW$39:$AW$44,$AX$39:$AX$44))</f>
        <v/>
      </c>
      <c r="AB1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3" s="124" t="str">
        <f>IF(テーブル22[[#This Row],[体重]]="","",(テーブル22[[#This Row],[体重]]-テーブル22[[#This Row],[標準体重]])/テーブル22[[#This Row],[標準体重]]*100)</f>
        <v/>
      </c>
      <c r="AD143" s="1">
        <f>COUNTA(テーブル22[[#This Row],[握力]:[ボール投げ]])</f>
        <v>0</v>
      </c>
      <c r="AE143" s="1" t="str">
        <f>IF(テーブル22[[#This Row],[判定]]=$BD$10,"○","")</f>
        <v/>
      </c>
      <c r="AF143" s="1" t="str">
        <f>IF(AE143="","",COUNTIF($AE$6:AE143,"○"))</f>
        <v/>
      </c>
    </row>
    <row r="144" spans="1:32" x14ac:dyDescent="0.2">
      <c r="A144" s="40">
        <v>139</v>
      </c>
      <c r="B144" s="145"/>
      <c r="C144" s="148"/>
      <c r="D144" s="145"/>
      <c r="E144" s="156"/>
      <c r="F144" s="145"/>
      <c r="G144" s="145"/>
      <c r="H144" s="146"/>
      <c r="I144" s="146"/>
      <c r="J144" s="148"/>
      <c r="K144" s="145"/>
      <c r="L144" s="148"/>
      <c r="M144" s="149"/>
      <c r="N144" s="148"/>
      <c r="O144" s="150"/>
      <c r="P1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4" s="43" t="str">
        <f>IF(テーブル22[[#This Row],[得点]]="","",IF(テーブル22[[#This Row],[年齢]]&gt;10,LOOKUP(P144,$BG$6:$BG$10,$BD$6:$BD$10),IF(テーブル22[[#This Row],[年齢]]&gt;9,LOOKUP(P144,$BF$6:$BF$10,$BD$6:$BD$10),IF(テーブル22[[#This Row],[年齢]]&gt;8,LOOKUP(P144,$BE$6:$BE$10,$BD$6:$BD$10),IF(テーブル22[[#This Row],[年齢]]&gt;7,LOOKUP(P144,$BC$6:$BC$10,$BD$6:$BD$10),IF(テーブル22[[#This Row],[年齢]]&gt;6,LOOKUP(P144,$BB$6:$BB$10,$BD$6:$BD$10),LOOKUP(P144,$BA$6:$BA$10,$BD$6:$BD$10)))))))</f>
        <v/>
      </c>
      <c r="R144" s="42">
        <f>IF(H144="",0,(IF(テーブル22[[#This Row],[性別]]="男",LOOKUP(テーブル22[[#This Row],[握力]],$AH$6:$AI$15),LOOKUP(テーブル22[[#This Row],[握力]],$AH$20:$AI$29))))</f>
        <v>0</v>
      </c>
      <c r="S144" s="42">
        <f>IF(テーブル22[[#This Row],[上体]]="",0,(IF(テーブル22[[#This Row],[性別]]="男",LOOKUP(テーブル22[[#This Row],[上体]],$AJ$6:$AK$15),LOOKUP(テーブル22[[#This Row],[上体]],$AJ$20:$AK$29))))</f>
        <v>0</v>
      </c>
      <c r="T144" s="42">
        <f>IF(テーブル22[[#This Row],[長座]]="",0,(IF(テーブル22[[#This Row],[性別]]="男",LOOKUP(テーブル22[[#This Row],[長座]],$AL$6:$AM$15),LOOKUP(テーブル22[[#This Row],[長座]],$AL$20:$AM$29))))</f>
        <v>0</v>
      </c>
      <c r="U144" s="42">
        <f>IF(テーブル22[[#This Row],[反復]]="",0,(IF(テーブル22[[#This Row],[性別]]="男",LOOKUP(テーブル22[[#This Row],[反復]],$AN$6:$AO$15),LOOKUP(テーブル22[[#This Row],[反復]],$AN$20:$AO$29))))</f>
        <v>0</v>
      </c>
      <c r="V144" s="42">
        <f>IF(テーブル22[[#This Row],[ｼｬﾄﾙﾗﾝ]]="",0,(IF(テーブル22[[#This Row],[性別]]="男",LOOKUP(テーブル22[[#This Row],[ｼｬﾄﾙﾗﾝ]],$AR$6:$AS$15),LOOKUP(テーブル22[[#This Row],[ｼｬﾄﾙﾗﾝ]],$AR$20:$AS$29))))</f>
        <v>0</v>
      </c>
      <c r="W144" s="42">
        <f>IF(テーブル22[[#This Row],[50m走]]="",0,(IF(テーブル22[[#This Row],[性別]]="男",LOOKUP(テーブル22[[#This Row],[50m走]],$AT$6:$AU$15),LOOKUP(テーブル22[[#This Row],[50m走]],$AT$20:$AU$29))))</f>
        <v>0</v>
      </c>
      <c r="X144" s="42">
        <f>IF(テーブル22[[#This Row],[立幅とび]]="",0,(IF(テーブル22[[#This Row],[性別]]="男",LOOKUP(テーブル22[[#This Row],[立幅とび]],$AV$6:$AW$15),LOOKUP(テーブル22[[#This Row],[立幅とび]],$AV$20:$AW$29))))</f>
        <v>0</v>
      </c>
      <c r="Y144" s="42">
        <f>IF(テーブル22[[#This Row],[ボール投げ]]="",0,(IF(テーブル22[[#This Row],[性別]]="男",LOOKUP(テーブル22[[#This Row],[ボール投げ]],$AX$6:$AY$15),LOOKUP(テーブル22[[#This Row],[ボール投げ]],$AX$20:$AY$29))))</f>
        <v>0</v>
      </c>
      <c r="Z144" s="19" t="str">
        <f>IF(テーブル22[[#This Row],[学年]]=1,6,IF(テーブル22[[#This Row],[学年]]=2,7,IF(テーブル22[[#This Row],[学年]]=3,8,IF(テーブル22[[#This Row],[学年]]=4,9,IF(テーブル22[[#This Row],[学年]]=5,10,IF(テーブル22[[#This Row],[学年]]=6,11," "))))))</f>
        <v xml:space="preserve"> </v>
      </c>
      <c r="AA144" s="125" t="str">
        <f>IF(テーブル22[[#This Row],[肥満度数値]]="","",LOOKUP(AC144,$AW$39:$AW$44,$AX$39:$AX$44))</f>
        <v/>
      </c>
      <c r="AB1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4" s="124" t="str">
        <f>IF(テーブル22[[#This Row],[体重]]="","",(テーブル22[[#This Row],[体重]]-テーブル22[[#This Row],[標準体重]])/テーブル22[[#This Row],[標準体重]]*100)</f>
        <v/>
      </c>
      <c r="AD144" s="1">
        <f>COUNTA(テーブル22[[#This Row],[握力]:[ボール投げ]])</f>
        <v>0</v>
      </c>
      <c r="AE144" s="1" t="str">
        <f>IF(テーブル22[[#This Row],[判定]]=$BD$10,"○","")</f>
        <v/>
      </c>
      <c r="AF144" s="1" t="str">
        <f>IF(AE144="","",COUNTIF($AE$6:AE144,"○"))</f>
        <v/>
      </c>
    </row>
    <row r="145" spans="1:32" x14ac:dyDescent="0.2">
      <c r="A145" s="40">
        <v>140</v>
      </c>
      <c r="B145" s="145"/>
      <c r="C145" s="148"/>
      <c r="D145" s="145"/>
      <c r="E145" s="156"/>
      <c r="F145" s="145"/>
      <c r="G145" s="145"/>
      <c r="H145" s="146"/>
      <c r="I145" s="146"/>
      <c r="J145" s="148"/>
      <c r="K145" s="145"/>
      <c r="L145" s="148"/>
      <c r="M145" s="149"/>
      <c r="N145" s="148"/>
      <c r="O145" s="150"/>
      <c r="P1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5" s="43" t="str">
        <f>IF(テーブル22[[#This Row],[得点]]="","",IF(テーブル22[[#This Row],[年齢]]&gt;10,LOOKUP(P145,$BG$6:$BG$10,$BD$6:$BD$10),IF(テーブル22[[#This Row],[年齢]]&gt;9,LOOKUP(P145,$BF$6:$BF$10,$BD$6:$BD$10),IF(テーブル22[[#This Row],[年齢]]&gt;8,LOOKUP(P145,$BE$6:$BE$10,$BD$6:$BD$10),IF(テーブル22[[#This Row],[年齢]]&gt;7,LOOKUP(P145,$BC$6:$BC$10,$BD$6:$BD$10),IF(テーブル22[[#This Row],[年齢]]&gt;6,LOOKUP(P145,$BB$6:$BB$10,$BD$6:$BD$10),LOOKUP(P145,$BA$6:$BA$10,$BD$6:$BD$10)))))))</f>
        <v/>
      </c>
      <c r="R145" s="42">
        <f>IF(H145="",0,(IF(テーブル22[[#This Row],[性別]]="男",LOOKUP(テーブル22[[#This Row],[握力]],$AH$6:$AI$15),LOOKUP(テーブル22[[#This Row],[握力]],$AH$20:$AI$29))))</f>
        <v>0</v>
      </c>
      <c r="S145" s="42">
        <f>IF(テーブル22[[#This Row],[上体]]="",0,(IF(テーブル22[[#This Row],[性別]]="男",LOOKUP(テーブル22[[#This Row],[上体]],$AJ$6:$AK$15),LOOKUP(テーブル22[[#This Row],[上体]],$AJ$20:$AK$29))))</f>
        <v>0</v>
      </c>
      <c r="T145" s="42">
        <f>IF(テーブル22[[#This Row],[長座]]="",0,(IF(テーブル22[[#This Row],[性別]]="男",LOOKUP(テーブル22[[#This Row],[長座]],$AL$6:$AM$15),LOOKUP(テーブル22[[#This Row],[長座]],$AL$20:$AM$29))))</f>
        <v>0</v>
      </c>
      <c r="U145" s="42">
        <f>IF(テーブル22[[#This Row],[反復]]="",0,(IF(テーブル22[[#This Row],[性別]]="男",LOOKUP(テーブル22[[#This Row],[反復]],$AN$6:$AO$15),LOOKUP(テーブル22[[#This Row],[反復]],$AN$20:$AO$29))))</f>
        <v>0</v>
      </c>
      <c r="V145" s="42">
        <f>IF(テーブル22[[#This Row],[ｼｬﾄﾙﾗﾝ]]="",0,(IF(テーブル22[[#This Row],[性別]]="男",LOOKUP(テーブル22[[#This Row],[ｼｬﾄﾙﾗﾝ]],$AR$6:$AS$15),LOOKUP(テーブル22[[#This Row],[ｼｬﾄﾙﾗﾝ]],$AR$20:$AS$29))))</f>
        <v>0</v>
      </c>
      <c r="W145" s="42">
        <f>IF(テーブル22[[#This Row],[50m走]]="",0,(IF(テーブル22[[#This Row],[性別]]="男",LOOKUP(テーブル22[[#This Row],[50m走]],$AT$6:$AU$15),LOOKUP(テーブル22[[#This Row],[50m走]],$AT$20:$AU$29))))</f>
        <v>0</v>
      </c>
      <c r="X145" s="42">
        <f>IF(テーブル22[[#This Row],[立幅とび]]="",0,(IF(テーブル22[[#This Row],[性別]]="男",LOOKUP(テーブル22[[#This Row],[立幅とび]],$AV$6:$AW$15),LOOKUP(テーブル22[[#This Row],[立幅とび]],$AV$20:$AW$29))))</f>
        <v>0</v>
      </c>
      <c r="Y145" s="42">
        <f>IF(テーブル22[[#This Row],[ボール投げ]]="",0,(IF(テーブル22[[#This Row],[性別]]="男",LOOKUP(テーブル22[[#This Row],[ボール投げ]],$AX$6:$AY$15),LOOKUP(テーブル22[[#This Row],[ボール投げ]],$AX$20:$AY$29))))</f>
        <v>0</v>
      </c>
      <c r="Z145" s="19" t="str">
        <f>IF(テーブル22[[#This Row],[学年]]=1,6,IF(テーブル22[[#This Row],[学年]]=2,7,IF(テーブル22[[#This Row],[学年]]=3,8,IF(テーブル22[[#This Row],[学年]]=4,9,IF(テーブル22[[#This Row],[学年]]=5,10,IF(テーブル22[[#This Row],[学年]]=6,11," "))))))</f>
        <v xml:space="preserve"> </v>
      </c>
      <c r="AA145" s="125" t="str">
        <f>IF(テーブル22[[#This Row],[肥満度数値]]="","",LOOKUP(AC145,$AW$39:$AW$44,$AX$39:$AX$44))</f>
        <v/>
      </c>
      <c r="AB1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5" s="124" t="str">
        <f>IF(テーブル22[[#This Row],[体重]]="","",(テーブル22[[#This Row],[体重]]-テーブル22[[#This Row],[標準体重]])/テーブル22[[#This Row],[標準体重]]*100)</f>
        <v/>
      </c>
      <c r="AD145" s="1">
        <f>COUNTA(テーブル22[[#This Row],[握力]:[ボール投げ]])</f>
        <v>0</v>
      </c>
      <c r="AE145" s="1" t="str">
        <f>IF(テーブル22[[#This Row],[判定]]=$BD$10,"○","")</f>
        <v/>
      </c>
      <c r="AF145" s="1" t="str">
        <f>IF(AE145="","",COUNTIF($AE$6:AE145,"○"))</f>
        <v/>
      </c>
    </row>
    <row r="146" spans="1:32" x14ac:dyDescent="0.2">
      <c r="A146" s="40">
        <v>141</v>
      </c>
      <c r="B146" s="145"/>
      <c r="C146" s="148"/>
      <c r="D146" s="145"/>
      <c r="E146" s="156"/>
      <c r="F146" s="145"/>
      <c r="G146" s="145"/>
      <c r="H146" s="146"/>
      <c r="I146" s="146"/>
      <c r="J146" s="148"/>
      <c r="K146" s="145"/>
      <c r="L146" s="148"/>
      <c r="M146" s="149"/>
      <c r="N146" s="148"/>
      <c r="O146" s="150"/>
      <c r="P1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6" s="43" t="str">
        <f>IF(テーブル22[[#This Row],[得点]]="","",IF(テーブル22[[#This Row],[年齢]]&gt;10,LOOKUP(P146,$BG$6:$BG$10,$BD$6:$BD$10),IF(テーブル22[[#This Row],[年齢]]&gt;9,LOOKUP(P146,$BF$6:$BF$10,$BD$6:$BD$10),IF(テーブル22[[#This Row],[年齢]]&gt;8,LOOKUP(P146,$BE$6:$BE$10,$BD$6:$BD$10),IF(テーブル22[[#This Row],[年齢]]&gt;7,LOOKUP(P146,$BC$6:$BC$10,$BD$6:$BD$10),IF(テーブル22[[#This Row],[年齢]]&gt;6,LOOKUP(P146,$BB$6:$BB$10,$BD$6:$BD$10),LOOKUP(P146,$BA$6:$BA$10,$BD$6:$BD$10)))))))</f>
        <v/>
      </c>
      <c r="R146" s="42">
        <f>IF(H146="",0,(IF(テーブル22[[#This Row],[性別]]="男",LOOKUP(テーブル22[[#This Row],[握力]],$AH$6:$AI$15),LOOKUP(テーブル22[[#This Row],[握力]],$AH$20:$AI$29))))</f>
        <v>0</v>
      </c>
      <c r="S146" s="42">
        <f>IF(テーブル22[[#This Row],[上体]]="",0,(IF(テーブル22[[#This Row],[性別]]="男",LOOKUP(テーブル22[[#This Row],[上体]],$AJ$6:$AK$15),LOOKUP(テーブル22[[#This Row],[上体]],$AJ$20:$AK$29))))</f>
        <v>0</v>
      </c>
      <c r="T146" s="42">
        <f>IF(テーブル22[[#This Row],[長座]]="",0,(IF(テーブル22[[#This Row],[性別]]="男",LOOKUP(テーブル22[[#This Row],[長座]],$AL$6:$AM$15),LOOKUP(テーブル22[[#This Row],[長座]],$AL$20:$AM$29))))</f>
        <v>0</v>
      </c>
      <c r="U146" s="42">
        <f>IF(テーブル22[[#This Row],[反復]]="",0,(IF(テーブル22[[#This Row],[性別]]="男",LOOKUP(テーブル22[[#This Row],[反復]],$AN$6:$AO$15),LOOKUP(テーブル22[[#This Row],[反復]],$AN$20:$AO$29))))</f>
        <v>0</v>
      </c>
      <c r="V146" s="42">
        <f>IF(テーブル22[[#This Row],[ｼｬﾄﾙﾗﾝ]]="",0,(IF(テーブル22[[#This Row],[性別]]="男",LOOKUP(テーブル22[[#This Row],[ｼｬﾄﾙﾗﾝ]],$AR$6:$AS$15),LOOKUP(テーブル22[[#This Row],[ｼｬﾄﾙﾗﾝ]],$AR$20:$AS$29))))</f>
        <v>0</v>
      </c>
      <c r="W146" s="42">
        <f>IF(テーブル22[[#This Row],[50m走]]="",0,(IF(テーブル22[[#This Row],[性別]]="男",LOOKUP(テーブル22[[#This Row],[50m走]],$AT$6:$AU$15),LOOKUP(テーブル22[[#This Row],[50m走]],$AT$20:$AU$29))))</f>
        <v>0</v>
      </c>
      <c r="X146" s="42">
        <f>IF(テーブル22[[#This Row],[立幅とび]]="",0,(IF(テーブル22[[#This Row],[性別]]="男",LOOKUP(テーブル22[[#This Row],[立幅とび]],$AV$6:$AW$15),LOOKUP(テーブル22[[#This Row],[立幅とび]],$AV$20:$AW$29))))</f>
        <v>0</v>
      </c>
      <c r="Y146" s="42">
        <f>IF(テーブル22[[#This Row],[ボール投げ]]="",0,(IF(テーブル22[[#This Row],[性別]]="男",LOOKUP(テーブル22[[#This Row],[ボール投げ]],$AX$6:$AY$15),LOOKUP(テーブル22[[#This Row],[ボール投げ]],$AX$20:$AY$29))))</f>
        <v>0</v>
      </c>
      <c r="Z146" s="19" t="str">
        <f>IF(テーブル22[[#This Row],[学年]]=1,6,IF(テーブル22[[#This Row],[学年]]=2,7,IF(テーブル22[[#This Row],[学年]]=3,8,IF(テーブル22[[#This Row],[学年]]=4,9,IF(テーブル22[[#This Row],[学年]]=5,10,IF(テーブル22[[#This Row],[学年]]=6,11," "))))))</f>
        <v xml:space="preserve"> </v>
      </c>
      <c r="AA146" s="125" t="str">
        <f>IF(テーブル22[[#This Row],[肥満度数値]]="","",LOOKUP(AC146,$AW$39:$AW$44,$AX$39:$AX$44))</f>
        <v/>
      </c>
      <c r="AB1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6" s="124" t="str">
        <f>IF(テーブル22[[#This Row],[体重]]="","",(テーブル22[[#This Row],[体重]]-テーブル22[[#This Row],[標準体重]])/テーブル22[[#This Row],[標準体重]]*100)</f>
        <v/>
      </c>
      <c r="AD146" s="1">
        <f>COUNTA(テーブル22[[#This Row],[握力]:[ボール投げ]])</f>
        <v>0</v>
      </c>
      <c r="AE146" s="1" t="str">
        <f>IF(テーブル22[[#This Row],[判定]]=$BD$10,"○","")</f>
        <v/>
      </c>
      <c r="AF146" s="1" t="str">
        <f>IF(AE146="","",COUNTIF($AE$6:AE146,"○"))</f>
        <v/>
      </c>
    </row>
    <row r="147" spans="1:32" x14ac:dyDescent="0.2">
      <c r="A147" s="40">
        <v>142</v>
      </c>
      <c r="B147" s="145"/>
      <c r="C147" s="148"/>
      <c r="D147" s="145"/>
      <c r="E147" s="156"/>
      <c r="F147" s="145"/>
      <c r="G147" s="145"/>
      <c r="H147" s="146"/>
      <c r="I147" s="146"/>
      <c r="J147" s="148"/>
      <c r="K147" s="145"/>
      <c r="L147" s="148"/>
      <c r="M147" s="149"/>
      <c r="N147" s="148"/>
      <c r="O147" s="150"/>
      <c r="P1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7" s="43" t="str">
        <f>IF(テーブル22[[#This Row],[得点]]="","",IF(テーブル22[[#This Row],[年齢]]&gt;10,LOOKUP(P147,$BG$6:$BG$10,$BD$6:$BD$10),IF(テーブル22[[#This Row],[年齢]]&gt;9,LOOKUP(P147,$BF$6:$BF$10,$BD$6:$BD$10),IF(テーブル22[[#This Row],[年齢]]&gt;8,LOOKUP(P147,$BE$6:$BE$10,$BD$6:$BD$10),IF(テーブル22[[#This Row],[年齢]]&gt;7,LOOKUP(P147,$BC$6:$BC$10,$BD$6:$BD$10),IF(テーブル22[[#This Row],[年齢]]&gt;6,LOOKUP(P147,$BB$6:$BB$10,$BD$6:$BD$10),LOOKUP(P147,$BA$6:$BA$10,$BD$6:$BD$10)))))))</f>
        <v/>
      </c>
      <c r="R147" s="42">
        <f>IF(H147="",0,(IF(テーブル22[[#This Row],[性別]]="男",LOOKUP(テーブル22[[#This Row],[握力]],$AH$6:$AI$15),LOOKUP(テーブル22[[#This Row],[握力]],$AH$20:$AI$29))))</f>
        <v>0</v>
      </c>
      <c r="S147" s="42">
        <f>IF(テーブル22[[#This Row],[上体]]="",0,(IF(テーブル22[[#This Row],[性別]]="男",LOOKUP(テーブル22[[#This Row],[上体]],$AJ$6:$AK$15),LOOKUP(テーブル22[[#This Row],[上体]],$AJ$20:$AK$29))))</f>
        <v>0</v>
      </c>
      <c r="T147" s="42">
        <f>IF(テーブル22[[#This Row],[長座]]="",0,(IF(テーブル22[[#This Row],[性別]]="男",LOOKUP(テーブル22[[#This Row],[長座]],$AL$6:$AM$15),LOOKUP(テーブル22[[#This Row],[長座]],$AL$20:$AM$29))))</f>
        <v>0</v>
      </c>
      <c r="U147" s="42">
        <f>IF(テーブル22[[#This Row],[反復]]="",0,(IF(テーブル22[[#This Row],[性別]]="男",LOOKUP(テーブル22[[#This Row],[反復]],$AN$6:$AO$15),LOOKUP(テーブル22[[#This Row],[反復]],$AN$20:$AO$29))))</f>
        <v>0</v>
      </c>
      <c r="V147" s="42">
        <f>IF(テーブル22[[#This Row],[ｼｬﾄﾙﾗﾝ]]="",0,(IF(テーブル22[[#This Row],[性別]]="男",LOOKUP(テーブル22[[#This Row],[ｼｬﾄﾙﾗﾝ]],$AR$6:$AS$15),LOOKUP(テーブル22[[#This Row],[ｼｬﾄﾙﾗﾝ]],$AR$20:$AS$29))))</f>
        <v>0</v>
      </c>
      <c r="W147" s="42">
        <f>IF(テーブル22[[#This Row],[50m走]]="",0,(IF(テーブル22[[#This Row],[性別]]="男",LOOKUP(テーブル22[[#This Row],[50m走]],$AT$6:$AU$15),LOOKUP(テーブル22[[#This Row],[50m走]],$AT$20:$AU$29))))</f>
        <v>0</v>
      </c>
      <c r="X147" s="42">
        <f>IF(テーブル22[[#This Row],[立幅とび]]="",0,(IF(テーブル22[[#This Row],[性別]]="男",LOOKUP(テーブル22[[#This Row],[立幅とび]],$AV$6:$AW$15),LOOKUP(テーブル22[[#This Row],[立幅とび]],$AV$20:$AW$29))))</f>
        <v>0</v>
      </c>
      <c r="Y147" s="42">
        <f>IF(テーブル22[[#This Row],[ボール投げ]]="",0,(IF(テーブル22[[#This Row],[性別]]="男",LOOKUP(テーブル22[[#This Row],[ボール投げ]],$AX$6:$AY$15),LOOKUP(テーブル22[[#This Row],[ボール投げ]],$AX$20:$AY$29))))</f>
        <v>0</v>
      </c>
      <c r="Z147" s="19" t="str">
        <f>IF(テーブル22[[#This Row],[学年]]=1,6,IF(テーブル22[[#This Row],[学年]]=2,7,IF(テーブル22[[#This Row],[学年]]=3,8,IF(テーブル22[[#This Row],[学年]]=4,9,IF(テーブル22[[#This Row],[学年]]=5,10,IF(テーブル22[[#This Row],[学年]]=6,11," "))))))</f>
        <v xml:space="preserve"> </v>
      </c>
      <c r="AA147" s="125" t="str">
        <f>IF(テーブル22[[#This Row],[肥満度数値]]="","",LOOKUP(AC147,$AW$39:$AW$44,$AX$39:$AX$44))</f>
        <v/>
      </c>
      <c r="AB1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7" s="124" t="str">
        <f>IF(テーブル22[[#This Row],[体重]]="","",(テーブル22[[#This Row],[体重]]-テーブル22[[#This Row],[標準体重]])/テーブル22[[#This Row],[標準体重]]*100)</f>
        <v/>
      </c>
      <c r="AD147" s="1">
        <f>COUNTA(テーブル22[[#This Row],[握力]:[ボール投げ]])</f>
        <v>0</v>
      </c>
      <c r="AE147" s="1" t="str">
        <f>IF(テーブル22[[#This Row],[判定]]=$BD$10,"○","")</f>
        <v/>
      </c>
      <c r="AF147" s="1" t="str">
        <f>IF(AE147="","",COUNTIF($AE$6:AE147,"○"))</f>
        <v/>
      </c>
    </row>
    <row r="148" spans="1:32" x14ac:dyDescent="0.2">
      <c r="A148" s="40">
        <v>143</v>
      </c>
      <c r="B148" s="145"/>
      <c r="C148" s="148"/>
      <c r="D148" s="145"/>
      <c r="E148" s="156"/>
      <c r="F148" s="145"/>
      <c r="G148" s="145"/>
      <c r="H148" s="146"/>
      <c r="I148" s="146"/>
      <c r="J148" s="148"/>
      <c r="K148" s="145"/>
      <c r="L148" s="148"/>
      <c r="M148" s="149"/>
      <c r="N148" s="148"/>
      <c r="O148" s="150"/>
      <c r="P1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8" s="43" t="str">
        <f>IF(テーブル22[[#This Row],[得点]]="","",IF(テーブル22[[#This Row],[年齢]]&gt;10,LOOKUP(P148,$BG$6:$BG$10,$BD$6:$BD$10),IF(テーブル22[[#This Row],[年齢]]&gt;9,LOOKUP(P148,$BF$6:$BF$10,$BD$6:$BD$10),IF(テーブル22[[#This Row],[年齢]]&gt;8,LOOKUP(P148,$BE$6:$BE$10,$BD$6:$BD$10),IF(テーブル22[[#This Row],[年齢]]&gt;7,LOOKUP(P148,$BC$6:$BC$10,$BD$6:$BD$10),IF(テーブル22[[#This Row],[年齢]]&gt;6,LOOKUP(P148,$BB$6:$BB$10,$BD$6:$BD$10),LOOKUP(P148,$BA$6:$BA$10,$BD$6:$BD$10)))))))</f>
        <v/>
      </c>
      <c r="R148" s="42">
        <f>IF(H148="",0,(IF(テーブル22[[#This Row],[性別]]="男",LOOKUP(テーブル22[[#This Row],[握力]],$AH$6:$AI$15),LOOKUP(テーブル22[[#This Row],[握力]],$AH$20:$AI$29))))</f>
        <v>0</v>
      </c>
      <c r="S148" s="42">
        <f>IF(テーブル22[[#This Row],[上体]]="",0,(IF(テーブル22[[#This Row],[性別]]="男",LOOKUP(テーブル22[[#This Row],[上体]],$AJ$6:$AK$15),LOOKUP(テーブル22[[#This Row],[上体]],$AJ$20:$AK$29))))</f>
        <v>0</v>
      </c>
      <c r="T148" s="42">
        <f>IF(テーブル22[[#This Row],[長座]]="",0,(IF(テーブル22[[#This Row],[性別]]="男",LOOKUP(テーブル22[[#This Row],[長座]],$AL$6:$AM$15),LOOKUP(テーブル22[[#This Row],[長座]],$AL$20:$AM$29))))</f>
        <v>0</v>
      </c>
      <c r="U148" s="42">
        <f>IF(テーブル22[[#This Row],[反復]]="",0,(IF(テーブル22[[#This Row],[性別]]="男",LOOKUP(テーブル22[[#This Row],[反復]],$AN$6:$AO$15),LOOKUP(テーブル22[[#This Row],[反復]],$AN$20:$AO$29))))</f>
        <v>0</v>
      </c>
      <c r="V148" s="42">
        <f>IF(テーブル22[[#This Row],[ｼｬﾄﾙﾗﾝ]]="",0,(IF(テーブル22[[#This Row],[性別]]="男",LOOKUP(テーブル22[[#This Row],[ｼｬﾄﾙﾗﾝ]],$AR$6:$AS$15),LOOKUP(テーブル22[[#This Row],[ｼｬﾄﾙﾗﾝ]],$AR$20:$AS$29))))</f>
        <v>0</v>
      </c>
      <c r="W148" s="42">
        <f>IF(テーブル22[[#This Row],[50m走]]="",0,(IF(テーブル22[[#This Row],[性別]]="男",LOOKUP(テーブル22[[#This Row],[50m走]],$AT$6:$AU$15),LOOKUP(テーブル22[[#This Row],[50m走]],$AT$20:$AU$29))))</f>
        <v>0</v>
      </c>
      <c r="X148" s="42">
        <f>IF(テーブル22[[#This Row],[立幅とび]]="",0,(IF(テーブル22[[#This Row],[性別]]="男",LOOKUP(テーブル22[[#This Row],[立幅とび]],$AV$6:$AW$15),LOOKUP(テーブル22[[#This Row],[立幅とび]],$AV$20:$AW$29))))</f>
        <v>0</v>
      </c>
      <c r="Y148" s="42">
        <f>IF(テーブル22[[#This Row],[ボール投げ]]="",0,(IF(テーブル22[[#This Row],[性別]]="男",LOOKUP(テーブル22[[#This Row],[ボール投げ]],$AX$6:$AY$15),LOOKUP(テーブル22[[#This Row],[ボール投げ]],$AX$20:$AY$29))))</f>
        <v>0</v>
      </c>
      <c r="Z148" s="19" t="str">
        <f>IF(テーブル22[[#This Row],[学年]]=1,6,IF(テーブル22[[#This Row],[学年]]=2,7,IF(テーブル22[[#This Row],[学年]]=3,8,IF(テーブル22[[#This Row],[学年]]=4,9,IF(テーブル22[[#This Row],[学年]]=5,10,IF(テーブル22[[#This Row],[学年]]=6,11," "))))))</f>
        <v xml:space="preserve"> </v>
      </c>
      <c r="AA148" s="125" t="str">
        <f>IF(テーブル22[[#This Row],[肥満度数値]]="","",LOOKUP(AC148,$AW$39:$AW$44,$AX$39:$AX$44))</f>
        <v/>
      </c>
      <c r="AB1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8" s="124" t="str">
        <f>IF(テーブル22[[#This Row],[体重]]="","",(テーブル22[[#This Row],[体重]]-テーブル22[[#This Row],[標準体重]])/テーブル22[[#This Row],[標準体重]]*100)</f>
        <v/>
      </c>
      <c r="AD148" s="1">
        <f>COUNTA(テーブル22[[#This Row],[握力]:[ボール投げ]])</f>
        <v>0</v>
      </c>
      <c r="AE148" s="1" t="str">
        <f>IF(テーブル22[[#This Row],[判定]]=$BD$10,"○","")</f>
        <v/>
      </c>
      <c r="AF148" s="1" t="str">
        <f>IF(AE148="","",COUNTIF($AE$6:AE148,"○"))</f>
        <v/>
      </c>
    </row>
    <row r="149" spans="1:32" x14ac:dyDescent="0.2">
      <c r="A149" s="40">
        <v>144</v>
      </c>
      <c r="B149" s="145"/>
      <c r="C149" s="148"/>
      <c r="D149" s="145"/>
      <c r="E149" s="156"/>
      <c r="F149" s="145"/>
      <c r="G149" s="145"/>
      <c r="H149" s="146"/>
      <c r="I149" s="146"/>
      <c r="J149" s="148"/>
      <c r="K149" s="145"/>
      <c r="L149" s="148"/>
      <c r="M149" s="149"/>
      <c r="N149" s="148"/>
      <c r="O149" s="150"/>
      <c r="P1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49" s="43" t="str">
        <f>IF(テーブル22[[#This Row],[得点]]="","",IF(テーブル22[[#This Row],[年齢]]&gt;10,LOOKUP(P149,$BG$6:$BG$10,$BD$6:$BD$10),IF(テーブル22[[#This Row],[年齢]]&gt;9,LOOKUP(P149,$BF$6:$BF$10,$BD$6:$BD$10),IF(テーブル22[[#This Row],[年齢]]&gt;8,LOOKUP(P149,$BE$6:$BE$10,$BD$6:$BD$10),IF(テーブル22[[#This Row],[年齢]]&gt;7,LOOKUP(P149,$BC$6:$BC$10,$BD$6:$BD$10),IF(テーブル22[[#This Row],[年齢]]&gt;6,LOOKUP(P149,$BB$6:$BB$10,$BD$6:$BD$10),LOOKUP(P149,$BA$6:$BA$10,$BD$6:$BD$10)))))))</f>
        <v/>
      </c>
      <c r="R149" s="42">
        <f>IF(H149="",0,(IF(テーブル22[[#This Row],[性別]]="男",LOOKUP(テーブル22[[#This Row],[握力]],$AH$6:$AI$15),LOOKUP(テーブル22[[#This Row],[握力]],$AH$20:$AI$29))))</f>
        <v>0</v>
      </c>
      <c r="S149" s="42">
        <f>IF(テーブル22[[#This Row],[上体]]="",0,(IF(テーブル22[[#This Row],[性別]]="男",LOOKUP(テーブル22[[#This Row],[上体]],$AJ$6:$AK$15),LOOKUP(テーブル22[[#This Row],[上体]],$AJ$20:$AK$29))))</f>
        <v>0</v>
      </c>
      <c r="T149" s="42">
        <f>IF(テーブル22[[#This Row],[長座]]="",0,(IF(テーブル22[[#This Row],[性別]]="男",LOOKUP(テーブル22[[#This Row],[長座]],$AL$6:$AM$15),LOOKUP(テーブル22[[#This Row],[長座]],$AL$20:$AM$29))))</f>
        <v>0</v>
      </c>
      <c r="U149" s="42">
        <f>IF(テーブル22[[#This Row],[反復]]="",0,(IF(テーブル22[[#This Row],[性別]]="男",LOOKUP(テーブル22[[#This Row],[反復]],$AN$6:$AO$15),LOOKUP(テーブル22[[#This Row],[反復]],$AN$20:$AO$29))))</f>
        <v>0</v>
      </c>
      <c r="V149" s="42">
        <f>IF(テーブル22[[#This Row],[ｼｬﾄﾙﾗﾝ]]="",0,(IF(テーブル22[[#This Row],[性別]]="男",LOOKUP(テーブル22[[#This Row],[ｼｬﾄﾙﾗﾝ]],$AR$6:$AS$15),LOOKUP(テーブル22[[#This Row],[ｼｬﾄﾙﾗﾝ]],$AR$20:$AS$29))))</f>
        <v>0</v>
      </c>
      <c r="W149" s="42">
        <f>IF(テーブル22[[#This Row],[50m走]]="",0,(IF(テーブル22[[#This Row],[性別]]="男",LOOKUP(テーブル22[[#This Row],[50m走]],$AT$6:$AU$15),LOOKUP(テーブル22[[#This Row],[50m走]],$AT$20:$AU$29))))</f>
        <v>0</v>
      </c>
      <c r="X149" s="42">
        <f>IF(テーブル22[[#This Row],[立幅とび]]="",0,(IF(テーブル22[[#This Row],[性別]]="男",LOOKUP(テーブル22[[#This Row],[立幅とび]],$AV$6:$AW$15),LOOKUP(テーブル22[[#This Row],[立幅とび]],$AV$20:$AW$29))))</f>
        <v>0</v>
      </c>
      <c r="Y149" s="42">
        <f>IF(テーブル22[[#This Row],[ボール投げ]]="",0,(IF(テーブル22[[#This Row],[性別]]="男",LOOKUP(テーブル22[[#This Row],[ボール投げ]],$AX$6:$AY$15),LOOKUP(テーブル22[[#This Row],[ボール投げ]],$AX$20:$AY$29))))</f>
        <v>0</v>
      </c>
      <c r="Z149" s="19" t="str">
        <f>IF(テーブル22[[#This Row],[学年]]=1,6,IF(テーブル22[[#This Row],[学年]]=2,7,IF(テーブル22[[#This Row],[学年]]=3,8,IF(テーブル22[[#This Row],[学年]]=4,9,IF(テーブル22[[#This Row],[学年]]=5,10,IF(テーブル22[[#This Row],[学年]]=6,11," "))))))</f>
        <v xml:space="preserve"> </v>
      </c>
      <c r="AA149" s="125" t="str">
        <f>IF(テーブル22[[#This Row],[肥満度数値]]="","",LOOKUP(AC149,$AW$39:$AW$44,$AX$39:$AX$44))</f>
        <v/>
      </c>
      <c r="AB1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49" s="124" t="str">
        <f>IF(テーブル22[[#This Row],[体重]]="","",(テーブル22[[#This Row],[体重]]-テーブル22[[#This Row],[標準体重]])/テーブル22[[#This Row],[標準体重]]*100)</f>
        <v/>
      </c>
      <c r="AD149" s="1">
        <f>COUNTA(テーブル22[[#This Row],[握力]:[ボール投げ]])</f>
        <v>0</v>
      </c>
      <c r="AE149" s="1" t="str">
        <f>IF(テーブル22[[#This Row],[判定]]=$BD$10,"○","")</f>
        <v/>
      </c>
      <c r="AF149" s="1" t="str">
        <f>IF(AE149="","",COUNTIF($AE$6:AE149,"○"))</f>
        <v/>
      </c>
    </row>
    <row r="150" spans="1:32" x14ac:dyDescent="0.2">
      <c r="A150" s="40">
        <v>145</v>
      </c>
      <c r="B150" s="145"/>
      <c r="C150" s="148"/>
      <c r="D150" s="145"/>
      <c r="E150" s="156"/>
      <c r="F150" s="145"/>
      <c r="G150" s="145"/>
      <c r="H150" s="146"/>
      <c r="I150" s="146"/>
      <c r="J150" s="148"/>
      <c r="K150" s="145"/>
      <c r="L150" s="148"/>
      <c r="M150" s="149"/>
      <c r="N150" s="148"/>
      <c r="O150" s="150"/>
      <c r="P1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0" s="43" t="str">
        <f>IF(テーブル22[[#This Row],[得点]]="","",IF(テーブル22[[#This Row],[年齢]]&gt;10,LOOKUP(P150,$BG$6:$BG$10,$BD$6:$BD$10),IF(テーブル22[[#This Row],[年齢]]&gt;9,LOOKUP(P150,$BF$6:$BF$10,$BD$6:$BD$10),IF(テーブル22[[#This Row],[年齢]]&gt;8,LOOKUP(P150,$BE$6:$BE$10,$BD$6:$BD$10),IF(テーブル22[[#This Row],[年齢]]&gt;7,LOOKUP(P150,$BC$6:$BC$10,$BD$6:$BD$10),IF(テーブル22[[#This Row],[年齢]]&gt;6,LOOKUP(P150,$BB$6:$BB$10,$BD$6:$BD$10),LOOKUP(P150,$BA$6:$BA$10,$BD$6:$BD$10)))))))</f>
        <v/>
      </c>
      <c r="R150" s="42">
        <f>IF(H150="",0,(IF(テーブル22[[#This Row],[性別]]="男",LOOKUP(テーブル22[[#This Row],[握力]],$AH$6:$AI$15),LOOKUP(テーブル22[[#This Row],[握力]],$AH$20:$AI$29))))</f>
        <v>0</v>
      </c>
      <c r="S150" s="42">
        <f>IF(テーブル22[[#This Row],[上体]]="",0,(IF(テーブル22[[#This Row],[性別]]="男",LOOKUP(テーブル22[[#This Row],[上体]],$AJ$6:$AK$15),LOOKUP(テーブル22[[#This Row],[上体]],$AJ$20:$AK$29))))</f>
        <v>0</v>
      </c>
      <c r="T150" s="42">
        <f>IF(テーブル22[[#This Row],[長座]]="",0,(IF(テーブル22[[#This Row],[性別]]="男",LOOKUP(テーブル22[[#This Row],[長座]],$AL$6:$AM$15),LOOKUP(テーブル22[[#This Row],[長座]],$AL$20:$AM$29))))</f>
        <v>0</v>
      </c>
      <c r="U150" s="42">
        <f>IF(テーブル22[[#This Row],[反復]]="",0,(IF(テーブル22[[#This Row],[性別]]="男",LOOKUP(テーブル22[[#This Row],[反復]],$AN$6:$AO$15),LOOKUP(テーブル22[[#This Row],[反復]],$AN$20:$AO$29))))</f>
        <v>0</v>
      </c>
      <c r="V150" s="42">
        <f>IF(テーブル22[[#This Row],[ｼｬﾄﾙﾗﾝ]]="",0,(IF(テーブル22[[#This Row],[性別]]="男",LOOKUP(テーブル22[[#This Row],[ｼｬﾄﾙﾗﾝ]],$AR$6:$AS$15),LOOKUP(テーブル22[[#This Row],[ｼｬﾄﾙﾗﾝ]],$AR$20:$AS$29))))</f>
        <v>0</v>
      </c>
      <c r="W150" s="42">
        <f>IF(テーブル22[[#This Row],[50m走]]="",0,(IF(テーブル22[[#This Row],[性別]]="男",LOOKUP(テーブル22[[#This Row],[50m走]],$AT$6:$AU$15),LOOKUP(テーブル22[[#This Row],[50m走]],$AT$20:$AU$29))))</f>
        <v>0</v>
      </c>
      <c r="X150" s="42">
        <f>IF(テーブル22[[#This Row],[立幅とび]]="",0,(IF(テーブル22[[#This Row],[性別]]="男",LOOKUP(テーブル22[[#This Row],[立幅とび]],$AV$6:$AW$15),LOOKUP(テーブル22[[#This Row],[立幅とび]],$AV$20:$AW$29))))</f>
        <v>0</v>
      </c>
      <c r="Y150" s="42">
        <f>IF(テーブル22[[#This Row],[ボール投げ]]="",0,(IF(テーブル22[[#This Row],[性別]]="男",LOOKUP(テーブル22[[#This Row],[ボール投げ]],$AX$6:$AY$15),LOOKUP(テーブル22[[#This Row],[ボール投げ]],$AX$20:$AY$29))))</f>
        <v>0</v>
      </c>
      <c r="Z150" s="19" t="str">
        <f>IF(テーブル22[[#This Row],[学年]]=1,6,IF(テーブル22[[#This Row],[学年]]=2,7,IF(テーブル22[[#This Row],[学年]]=3,8,IF(テーブル22[[#This Row],[学年]]=4,9,IF(テーブル22[[#This Row],[学年]]=5,10,IF(テーブル22[[#This Row],[学年]]=6,11," "))))))</f>
        <v xml:space="preserve"> </v>
      </c>
      <c r="AA150" s="125" t="str">
        <f>IF(テーブル22[[#This Row],[肥満度数値]]="","",LOOKUP(AC150,$AW$39:$AW$44,$AX$39:$AX$44))</f>
        <v/>
      </c>
      <c r="AB1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0" s="124" t="str">
        <f>IF(テーブル22[[#This Row],[体重]]="","",(テーブル22[[#This Row],[体重]]-テーブル22[[#This Row],[標準体重]])/テーブル22[[#This Row],[標準体重]]*100)</f>
        <v/>
      </c>
      <c r="AD150" s="1">
        <f>COUNTA(テーブル22[[#This Row],[握力]:[ボール投げ]])</f>
        <v>0</v>
      </c>
      <c r="AE150" s="1" t="str">
        <f>IF(テーブル22[[#This Row],[判定]]=$BD$10,"○","")</f>
        <v/>
      </c>
      <c r="AF150" s="1" t="str">
        <f>IF(AE150="","",COUNTIF($AE$6:AE150,"○"))</f>
        <v/>
      </c>
    </row>
    <row r="151" spans="1:32" x14ac:dyDescent="0.2">
      <c r="A151" s="40">
        <v>146</v>
      </c>
      <c r="B151" s="145"/>
      <c r="C151" s="148"/>
      <c r="D151" s="145"/>
      <c r="E151" s="156"/>
      <c r="F151" s="145"/>
      <c r="G151" s="145"/>
      <c r="H151" s="146"/>
      <c r="I151" s="146"/>
      <c r="J151" s="148"/>
      <c r="K151" s="145"/>
      <c r="L151" s="148"/>
      <c r="M151" s="149"/>
      <c r="N151" s="148"/>
      <c r="O151" s="150"/>
      <c r="P1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1" s="43" t="str">
        <f>IF(テーブル22[[#This Row],[得点]]="","",IF(テーブル22[[#This Row],[年齢]]&gt;10,LOOKUP(P151,$BG$6:$BG$10,$BD$6:$BD$10),IF(テーブル22[[#This Row],[年齢]]&gt;9,LOOKUP(P151,$BF$6:$BF$10,$BD$6:$BD$10),IF(テーブル22[[#This Row],[年齢]]&gt;8,LOOKUP(P151,$BE$6:$BE$10,$BD$6:$BD$10),IF(テーブル22[[#This Row],[年齢]]&gt;7,LOOKUP(P151,$BC$6:$BC$10,$BD$6:$BD$10),IF(テーブル22[[#This Row],[年齢]]&gt;6,LOOKUP(P151,$BB$6:$BB$10,$BD$6:$BD$10),LOOKUP(P151,$BA$6:$BA$10,$BD$6:$BD$10)))))))</f>
        <v/>
      </c>
      <c r="R151" s="42">
        <f>IF(H151="",0,(IF(テーブル22[[#This Row],[性別]]="男",LOOKUP(テーブル22[[#This Row],[握力]],$AH$6:$AI$15),LOOKUP(テーブル22[[#This Row],[握力]],$AH$20:$AI$29))))</f>
        <v>0</v>
      </c>
      <c r="S151" s="42">
        <f>IF(テーブル22[[#This Row],[上体]]="",0,(IF(テーブル22[[#This Row],[性別]]="男",LOOKUP(テーブル22[[#This Row],[上体]],$AJ$6:$AK$15),LOOKUP(テーブル22[[#This Row],[上体]],$AJ$20:$AK$29))))</f>
        <v>0</v>
      </c>
      <c r="T151" s="42">
        <f>IF(テーブル22[[#This Row],[長座]]="",0,(IF(テーブル22[[#This Row],[性別]]="男",LOOKUP(テーブル22[[#This Row],[長座]],$AL$6:$AM$15),LOOKUP(テーブル22[[#This Row],[長座]],$AL$20:$AM$29))))</f>
        <v>0</v>
      </c>
      <c r="U151" s="42">
        <f>IF(テーブル22[[#This Row],[反復]]="",0,(IF(テーブル22[[#This Row],[性別]]="男",LOOKUP(テーブル22[[#This Row],[反復]],$AN$6:$AO$15),LOOKUP(テーブル22[[#This Row],[反復]],$AN$20:$AO$29))))</f>
        <v>0</v>
      </c>
      <c r="V151" s="42">
        <f>IF(テーブル22[[#This Row],[ｼｬﾄﾙﾗﾝ]]="",0,(IF(テーブル22[[#This Row],[性別]]="男",LOOKUP(テーブル22[[#This Row],[ｼｬﾄﾙﾗﾝ]],$AR$6:$AS$15),LOOKUP(テーブル22[[#This Row],[ｼｬﾄﾙﾗﾝ]],$AR$20:$AS$29))))</f>
        <v>0</v>
      </c>
      <c r="W151" s="42">
        <f>IF(テーブル22[[#This Row],[50m走]]="",0,(IF(テーブル22[[#This Row],[性別]]="男",LOOKUP(テーブル22[[#This Row],[50m走]],$AT$6:$AU$15),LOOKUP(テーブル22[[#This Row],[50m走]],$AT$20:$AU$29))))</f>
        <v>0</v>
      </c>
      <c r="X151" s="42">
        <f>IF(テーブル22[[#This Row],[立幅とび]]="",0,(IF(テーブル22[[#This Row],[性別]]="男",LOOKUP(テーブル22[[#This Row],[立幅とび]],$AV$6:$AW$15),LOOKUP(テーブル22[[#This Row],[立幅とび]],$AV$20:$AW$29))))</f>
        <v>0</v>
      </c>
      <c r="Y151" s="42">
        <f>IF(テーブル22[[#This Row],[ボール投げ]]="",0,(IF(テーブル22[[#This Row],[性別]]="男",LOOKUP(テーブル22[[#This Row],[ボール投げ]],$AX$6:$AY$15),LOOKUP(テーブル22[[#This Row],[ボール投げ]],$AX$20:$AY$29))))</f>
        <v>0</v>
      </c>
      <c r="Z151" s="19" t="str">
        <f>IF(テーブル22[[#This Row],[学年]]=1,6,IF(テーブル22[[#This Row],[学年]]=2,7,IF(テーブル22[[#This Row],[学年]]=3,8,IF(テーブル22[[#This Row],[学年]]=4,9,IF(テーブル22[[#This Row],[学年]]=5,10,IF(テーブル22[[#This Row],[学年]]=6,11," "))))))</f>
        <v xml:space="preserve"> </v>
      </c>
      <c r="AA151" s="125" t="str">
        <f>IF(テーブル22[[#This Row],[肥満度数値]]="","",LOOKUP(AC151,$AW$39:$AW$44,$AX$39:$AX$44))</f>
        <v/>
      </c>
      <c r="AB1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1" s="124" t="str">
        <f>IF(テーブル22[[#This Row],[体重]]="","",(テーブル22[[#This Row],[体重]]-テーブル22[[#This Row],[標準体重]])/テーブル22[[#This Row],[標準体重]]*100)</f>
        <v/>
      </c>
      <c r="AD151" s="1">
        <f>COUNTA(テーブル22[[#This Row],[握力]:[ボール投げ]])</f>
        <v>0</v>
      </c>
      <c r="AE151" s="1" t="str">
        <f>IF(テーブル22[[#This Row],[判定]]=$BD$10,"○","")</f>
        <v/>
      </c>
      <c r="AF151" s="1" t="str">
        <f>IF(AE151="","",COUNTIF($AE$6:AE151,"○"))</f>
        <v/>
      </c>
    </row>
    <row r="152" spans="1:32" x14ac:dyDescent="0.2">
      <c r="A152" s="40">
        <v>147</v>
      </c>
      <c r="B152" s="145"/>
      <c r="C152" s="148"/>
      <c r="D152" s="145"/>
      <c r="E152" s="156"/>
      <c r="F152" s="145"/>
      <c r="G152" s="145"/>
      <c r="H152" s="146"/>
      <c r="I152" s="146"/>
      <c r="J152" s="148"/>
      <c r="K152" s="145"/>
      <c r="L152" s="148"/>
      <c r="M152" s="149"/>
      <c r="N152" s="148"/>
      <c r="O152" s="150"/>
      <c r="P1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2" s="43" t="str">
        <f>IF(テーブル22[[#This Row],[得点]]="","",IF(テーブル22[[#This Row],[年齢]]&gt;10,LOOKUP(P152,$BG$6:$BG$10,$BD$6:$BD$10),IF(テーブル22[[#This Row],[年齢]]&gt;9,LOOKUP(P152,$BF$6:$BF$10,$BD$6:$BD$10),IF(テーブル22[[#This Row],[年齢]]&gt;8,LOOKUP(P152,$BE$6:$BE$10,$BD$6:$BD$10),IF(テーブル22[[#This Row],[年齢]]&gt;7,LOOKUP(P152,$BC$6:$BC$10,$BD$6:$BD$10),IF(テーブル22[[#This Row],[年齢]]&gt;6,LOOKUP(P152,$BB$6:$BB$10,$BD$6:$BD$10),LOOKUP(P152,$BA$6:$BA$10,$BD$6:$BD$10)))))))</f>
        <v/>
      </c>
      <c r="R152" s="42">
        <f>IF(H152="",0,(IF(テーブル22[[#This Row],[性別]]="男",LOOKUP(テーブル22[[#This Row],[握力]],$AH$6:$AI$15),LOOKUP(テーブル22[[#This Row],[握力]],$AH$20:$AI$29))))</f>
        <v>0</v>
      </c>
      <c r="S152" s="42">
        <f>IF(テーブル22[[#This Row],[上体]]="",0,(IF(テーブル22[[#This Row],[性別]]="男",LOOKUP(テーブル22[[#This Row],[上体]],$AJ$6:$AK$15),LOOKUP(テーブル22[[#This Row],[上体]],$AJ$20:$AK$29))))</f>
        <v>0</v>
      </c>
      <c r="T152" s="42">
        <f>IF(テーブル22[[#This Row],[長座]]="",0,(IF(テーブル22[[#This Row],[性別]]="男",LOOKUP(テーブル22[[#This Row],[長座]],$AL$6:$AM$15),LOOKUP(テーブル22[[#This Row],[長座]],$AL$20:$AM$29))))</f>
        <v>0</v>
      </c>
      <c r="U152" s="42">
        <f>IF(テーブル22[[#This Row],[反復]]="",0,(IF(テーブル22[[#This Row],[性別]]="男",LOOKUP(テーブル22[[#This Row],[反復]],$AN$6:$AO$15),LOOKUP(テーブル22[[#This Row],[反復]],$AN$20:$AO$29))))</f>
        <v>0</v>
      </c>
      <c r="V152" s="42">
        <f>IF(テーブル22[[#This Row],[ｼｬﾄﾙﾗﾝ]]="",0,(IF(テーブル22[[#This Row],[性別]]="男",LOOKUP(テーブル22[[#This Row],[ｼｬﾄﾙﾗﾝ]],$AR$6:$AS$15),LOOKUP(テーブル22[[#This Row],[ｼｬﾄﾙﾗﾝ]],$AR$20:$AS$29))))</f>
        <v>0</v>
      </c>
      <c r="W152" s="42">
        <f>IF(テーブル22[[#This Row],[50m走]]="",0,(IF(テーブル22[[#This Row],[性別]]="男",LOOKUP(テーブル22[[#This Row],[50m走]],$AT$6:$AU$15),LOOKUP(テーブル22[[#This Row],[50m走]],$AT$20:$AU$29))))</f>
        <v>0</v>
      </c>
      <c r="X152" s="42">
        <f>IF(テーブル22[[#This Row],[立幅とび]]="",0,(IF(テーブル22[[#This Row],[性別]]="男",LOOKUP(テーブル22[[#This Row],[立幅とび]],$AV$6:$AW$15),LOOKUP(テーブル22[[#This Row],[立幅とび]],$AV$20:$AW$29))))</f>
        <v>0</v>
      </c>
      <c r="Y152" s="42">
        <f>IF(テーブル22[[#This Row],[ボール投げ]]="",0,(IF(テーブル22[[#This Row],[性別]]="男",LOOKUP(テーブル22[[#This Row],[ボール投げ]],$AX$6:$AY$15),LOOKUP(テーブル22[[#This Row],[ボール投げ]],$AX$20:$AY$29))))</f>
        <v>0</v>
      </c>
      <c r="Z152" s="19" t="str">
        <f>IF(テーブル22[[#This Row],[学年]]=1,6,IF(テーブル22[[#This Row],[学年]]=2,7,IF(テーブル22[[#This Row],[学年]]=3,8,IF(テーブル22[[#This Row],[学年]]=4,9,IF(テーブル22[[#This Row],[学年]]=5,10,IF(テーブル22[[#This Row],[学年]]=6,11," "))))))</f>
        <v xml:space="preserve"> </v>
      </c>
      <c r="AA152" s="125" t="str">
        <f>IF(テーブル22[[#This Row],[肥満度数値]]="","",LOOKUP(AC152,$AW$39:$AW$44,$AX$39:$AX$44))</f>
        <v/>
      </c>
      <c r="AB1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2" s="124" t="str">
        <f>IF(テーブル22[[#This Row],[体重]]="","",(テーブル22[[#This Row],[体重]]-テーブル22[[#This Row],[標準体重]])/テーブル22[[#This Row],[標準体重]]*100)</f>
        <v/>
      </c>
      <c r="AD152" s="1">
        <f>COUNTA(テーブル22[[#This Row],[握力]:[ボール投げ]])</f>
        <v>0</v>
      </c>
      <c r="AE152" s="1" t="str">
        <f>IF(テーブル22[[#This Row],[判定]]=$BD$10,"○","")</f>
        <v/>
      </c>
      <c r="AF152" s="1" t="str">
        <f>IF(AE152="","",COUNTIF($AE$6:AE152,"○"))</f>
        <v/>
      </c>
    </row>
    <row r="153" spans="1:32" x14ac:dyDescent="0.2">
      <c r="A153" s="40">
        <v>148</v>
      </c>
      <c r="B153" s="145"/>
      <c r="C153" s="148"/>
      <c r="D153" s="145"/>
      <c r="E153" s="156"/>
      <c r="F153" s="145"/>
      <c r="G153" s="145"/>
      <c r="H153" s="146"/>
      <c r="I153" s="146"/>
      <c r="J153" s="148"/>
      <c r="K153" s="145"/>
      <c r="L153" s="148"/>
      <c r="M153" s="149"/>
      <c r="N153" s="148"/>
      <c r="O153" s="150"/>
      <c r="P1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3" s="43" t="str">
        <f>IF(テーブル22[[#This Row],[得点]]="","",IF(テーブル22[[#This Row],[年齢]]&gt;10,LOOKUP(P153,$BG$6:$BG$10,$BD$6:$BD$10),IF(テーブル22[[#This Row],[年齢]]&gt;9,LOOKUP(P153,$BF$6:$BF$10,$BD$6:$BD$10),IF(テーブル22[[#This Row],[年齢]]&gt;8,LOOKUP(P153,$BE$6:$BE$10,$BD$6:$BD$10),IF(テーブル22[[#This Row],[年齢]]&gt;7,LOOKUP(P153,$BC$6:$BC$10,$BD$6:$BD$10),IF(テーブル22[[#This Row],[年齢]]&gt;6,LOOKUP(P153,$BB$6:$BB$10,$BD$6:$BD$10),LOOKUP(P153,$BA$6:$BA$10,$BD$6:$BD$10)))))))</f>
        <v/>
      </c>
      <c r="R153" s="42">
        <f>IF(H153="",0,(IF(テーブル22[[#This Row],[性別]]="男",LOOKUP(テーブル22[[#This Row],[握力]],$AH$6:$AI$15),LOOKUP(テーブル22[[#This Row],[握力]],$AH$20:$AI$29))))</f>
        <v>0</v>
      </c>
      <c r="S153" s="42">
        <f>IF(テーブル22[[#This Row],[上体]]="",0,(IF(テーブル22[[#This Row],[性別]]="男",LOOKUP(テーブル22[[#This Row],[上体]],$AJ$6:$AK$15),LOOKUP(テーブル22[[#This Row],[上体]],$AJ$20:$AK$29))))</f>
        <v>0</v>
      </c>
      <c r="T153" s="42">
        <f>IF(テーブル22[[#This Row],[長座]]="",0,(IF(テーブル22[[#This Row],[性別]]="男",LOOKUP(テーブル22[[#This Row],[長座]],$AL$6:$AM$15),LOOKUP(テーブル22[[#This Row],[長座]],$AL$20:$AM$29))))</f>
        <v>0</v>
      </c>
      <c r="U153" s="42">
        <f>IF(テーブル22[[#This Row],[反復]]="",0,(IF(テーブル22[[#This Row],[性別]]="男",LOOKUP(テーブル22[[#This Row],[反復]],$AN$6:$AO$15),LOOKUP(テーブル22[[#This Row],[反復]],$AN$20:$AO$29))))</f>
        <v>0</v>
      </c>
      <c r="V153" s="42">
        <f>IF(テーブル22[[#This Row],[ｼｬﾄﾙﾗﾝ]]="",0,(IF(テーブル22[[#This Row],[性別]]="男",LOOKUP(テーブル22[[#This Row],[ｼｬﾄﾙﾗﾝ]],$AR$6:$AS$15),LOOKUP(テーブル22[[#This Row],[ｼｬﾄﾙﾗﾝ]],$AR$20:$AS$29))))</f>
        <v>0</v>
      </c>
      <c r="W153" s="42">
        <f>IF(テーブル22[[#This Row],[50m走]]="",0,(IF(テーブル22[[#This Row],[性別]]="男",LOOKUP(テーブル22[[#This Row],[50m走]],$AT$6:$AU$15),LOOKUP(テーブル22[[#This Row],[50m走]],$AT$20:$AU$29))))</f>
        <v>0</v>
      </c>
      <c r="X153" s="42">
        <f>IF(テーブル22[[#This Row],[立幅とび]]="",0,(IF(テーブル22[[#This Row],[性別]]="男",LOOKUP(テーブル22[[#This Row],[立幅とび]],$AV$6:$AW$15),LOOKUP(テーブル22[[#This Row],[立幅とび]],$AV$20:$AW$29))))</f>
        <v>0</v>
      </c>
      <c r="Y153" s="42">
        <f>IF(テーブル22[[#This Row],[ボール投げ]]="",0,(IF(テーブル22[[#This Row],[性別]]="男",LOOKUP(テーブル22[[#This Row],[ボール投げ]],$AX$6:$AY$15),LOOKUP(テーブル22[[#This Row],[ボール投げ]],$AX$20:$AY$29))))</f>
        <v>0</v>
      </c>
      <c r="Z153" s="19" t="str">
        <f>IF(テーブル22[[#This Row],[学年]]=1,6,IF(テーブル22[[#This Row],[学年]]=2,7,IF(テーブル22[[#This Row],[学年]]=3,8,IF(テーブル22[[#This Row],[学年]]=4,9,IF(テーブル22[[#This Row],[学年]]=5,10,IF(テーブル22[[#This Row],[学年]]=6,11," "))))))</f>
        <v xml:space="preserve"> </v>
      </c>
      <c r="AA153" s="125" t="str">
        <f>IF(テーブル22[[#This Row],[肥満度数値]]="","",LOOKUP(AC153,$AW$39:$AW$44,$AX$39:$AX$44))</f>
        <v/>
      </c>
      <c r="AB1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3" s="124" t="str">
        <f>IF(テーブル22[[#This Row],[体重]]="","",(テーブル22[[#This Row],[体重]]-テーブル22[[#This Row],[標準体重]])/テーブル22[[#This Row],[標準体重]]*100)</f>
        <v/>
      </c>
      <c r="AD153" s="1">
        <f>COUNTA(テーブル22[[#This Row],[握力]:[ボール投げ]])</f>
        <v>0</v>
      </c>
      <c r="AE153" s="1" t="str">
        <f>IF(テーブル22[[#This Row],[判定]]=$BD$10,"○","")</f>
        <v/>
      </c>
      <c r="AF153" s="1" t="str">
        <f>IF(AE153="","",COUNTIF($AE$6:AE153,"○"))</f>
        <v/>
      </c>
    </row>
    <row r="154" spans="1:32" x14ac:dyDescent="0.2">
      <c r="A154" s="40">
        <v>149</v>
      </c>
      <c r="B154" s="145"/>
      <c r="C154" s="148"/>
      <c r="D154" s="145"/>
      <c r="E154" s="156"/>
      <c r="F154" s="145"/>
      <c r="G154" s="145"/>
      <c r="H154" s="146"/>
      <c r="I154" s="146"/>
      <c r="J154" s="148"/>
      <c r="K154" s="145"/>
      <c r="L154" s="148"/>
      <c r="M154" s="149"/>
      <c r="N154" s="148"/>
      <c r="O154" s="150"/>
      <c r="P1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4" s="43" t="str">
        <f>IF(テーブル22[[#This Row],[得点]]="","",IF(テーブル22[[#This Row],[年齢]]&gt;10,LOOKUP(P154,$BG$6:$BG$10,$BD$6:$BD$10),IF(テーブル22[[#This Row],[年齢]]&gt;9,LOOKUP(P154,$BF$6:$BF$10,$BD$6:$BD$10),IF(テーブル22[[#This Row],[年齢]]&gt;8,LOOKUP(P154,$BE$6:$BE$10,$BD$6:$BD$10),IF(テーブル22[[#This Row],[年齢]]&gt;7,LOOKUP(P154,$BC$6:$BC$10,$BD$6:$BD$10),IF(テーブル22[[#This Row],[年齢]]&gt;6,LOOKUP(P154,$BB$6:$BB$10,$BD$6:$BD$10),LOOKUP(P154,$BA$6:$BA$10,$BD$6:$BD$10)))))))</f>
        <v/>
      </c>
      <c r="R154" s="42">
        <f>IF(H154="",0,(IF(テーブル22[[#This Row],[性別]]="男",LOOKUP(テーブル22[[#This Row],[握力]],$AH$6:$AI$15),LOOKUP(テーブル22[[#This Row],[握力]],$AH$20:$AI$29))))</f>
        <v>0</v>
      </c>
      <c r="S154" s="42">
        <f>IF(テーブル22[[#This Row],[上体]]="",0,(IF(テーブル22[[#This Row],[性別]]="男",LOOKUP(テーブル22[[#This Row],[上体]],$AJ$6:$AK$15),LOOKUP(テーブル22[[#This Row],[上体]],$AJ$20:$AK$29))))</f>
        <v>0</v>
      </c>
      <c r="T154" s="42">
        <f>IF(テーブル22[[#This Row],[長座]]="",0,(IF(テーブル22[[#This Row],[性別]]="男",LOOKUP(テーブル22[[#This Row],[長座]],$AL$6:$AM$15),LOOKUP(テーブル22[[#This Row],[長座]],$AL$20:$AM$29))))</f>
        <v>0</v>
      </c>
      <c r="U154" s="42">
        <f>IF(テーブル22[[#This Row],[反復]]="",0,(IF(テーブル22[[#This Row],[性別]]="男",LOOKUP(テーブル22[[#This Row],[反復]],$AN$6:$AO$15),LOOKUP(テーブル22[[#This Row],[反復]],$AN$20:$AO$29))))</f>
        <v>0</v>
      </c>
      <c r="V154" s="42">
        <f>IF(テーブル22[[#This Row],[ｼｬﾄﾙﾗﾝ]]="",0,(IF(テーブル22[[#This Row],[性別]]="男",LOOKUP(テーブル22[[#This Row],[ｼｬﾄﾙﾗﾝ]],$AR$6:$AS$15),LOOKUP(テーブル22[[#This Row],[ｼｬﾄﾙﾗﾝ]],$AR$20:$AS$29))))</f>
        <v>0</v>
      </c>
      <c r="W154" s="42">
        <f>IF(テーブル22[[#This Row],[50m走]]="",0,(IF(テーブル22[[#This Row],[性別]]="男",LOOKUP(テーブル22[[#This Row],[50m走]],$AT$6:$AU$15),LOOKUP(テーブル22[[#This Row],[50m走]],$AT$20:$AU$29))))</f>
        <v>0</v>
      </c>
      <c r="X154" s="42">
        <f>IF(テーブル22[[#This Row],[立幅とび]]="",0,(IF(テーブル22[[#This Row],[性別]]="男",LOOKUP(テーブル22[[#This Row],[立幅とび]],$AV$6:$AW$15),LOOKUP(テーブル22[[#This Row],[立幅とび]],$AV$20:$AW$29))))</f>
        <v>0</v>
      </c>
      <c r="Y154" s="42">
        <f>IF(テーブル22[[#This Row],[ボール投げ]]="",0,(IF(テーブル22[[#This Row],[性別]]="男",LOOKUP(テーブル22[[#This Row],[ボール投げ]],$AX$6:$AY$15),LOOKUP(テーブル22[[#This Row],[ボール投げ]],$AX$20:$AY$29))))</f>
        <v>0</v>
      </c>
      <c r="Z154" s="19" t="str">
        <f>IF(テーブル22[[#This Row],[学年]]=1,6,IF(テーブル22[[#This Row],[学年]]=2,7,IF(テーブル22[[#This Row],[学年]]=3,8,IF(テーブル22[[#This Row],[学年]]=4,9,IF(テーブル22[[#This Row],[学年]]=5,10,IF(テーブル22[[#This Row],[学年]]=6,11," "))))))</f>
        <v xml:space="preserve"> </v>
      </c>
      <c r="AA154" s="125" t="str">
        <f>IF(テーブル22[[#This Row],[肥満度数値]]="","",LOOKUP(AC154,$AW$39:$AW$44,$AX$39:$AX$44))</f>
        <v/>
      </c>
      <c r="AB1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4" s="124" t="str">
        <f>IF(テーブル22[[#This Row],[体重]]="","",(テーブル22[[#This Row],[体重]]-テーブル22[[#This Row],[標準体重]])/テーブル22[[#This Row],[標準体重]]*100)</f>
        <v/>
      </c>
      <c r="AD154" s="1">
        <f>COUNTA(テーブル22[[#This Row],[握力]:[ボール投げ]])</f>
        <v>0</v>
      </c>
      <c r="AE154" s="1" t="str">
        <f>IF(テーブル22[[#This Row],[判定]]=$BD$10,"○","")</f>
        <v/>
      </c>
      <c r="AF154" s="1" t="str">
        <f>IF(AE154="","",COUNTIF($AE$6:AE154,"○"))</f>
        <v/>
      </c>
    </row>
    <row r="155" spans="1:32" x14ac:dyDescent="0.2">
      <c r="A155" s="40">
        <v>150</v>
      </c>
      <c r="B155" s="145"/>
      <c r="C155" s="148"/>
      <c r="D155" s="145"/>
      <c r="E155" s="156"/>
      <c r="F155" s="145"/>
      <c r="G155" s="145"/>
      <c r="H155" s="146"/>
      <c r="I155" s="146"/>
      <c r="J155" s="148"/>
      <c r="K155" s="145"/>
      <c r="L155" s="148"/>
      <c r="M155" s="149"/>
      <c r="N155" s="148"/>
      <c r="O155" s="150"/>
      <c r="P1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5" s="43" t="str">
        <f>IF(テーブル22[[#This Row],[得点]]="","",IF(テーブル22[[#This Row],[年齢]]&gt;10,LOOKUP(P155,$BG$6:$BG$10,$BD$6:$BD$10),IF(テーブル22[[#This Row],[年齢]]&gt;9,LOOKUP(P155,$BF$6:$BF$10,$BD$6:$BD$10),IF(テーブル22[[#This Row],[年齢]]&gt;8,LOOKUP(P155,$BE$6:$BE$10,$BD$6:$BD$10),IF(テーブル22[[#This Row],[年齢]]&gt;7,LOOKUP(P155,$BC$6:$BC$10,$BD$6:$BD$10),IF(テーブル22[[#This Row],[年齢]]&gt;6,LOOKUP(P155,$BB$6:$BB$10,$BD$6:$BD$10),LOOKUP(P155,$BA$6:$BA$10,$BD$6:$BD$10)))))))</f>
        <v/>
      </c>
      <c r="R155" s="42">
        <f>IF(H155="",0,(IF(テーブル22[[#This Row],[性別]]="男",LOOKUP(テーブル22[[#This Row],[握力]],$AH$6:$AI$15),LOOKUP(テーブル22[[#This Row],[握力]],$AH$20:$AI$29))))</f>
        <v>0</v>
      </c>
      <c r="S155" s="42">
        <f>IF(テーブル22[[#This Row],[上体]]="",0,(IF(テーブル22[[#This Row],[性別]]="男",LOOKUP(テーブル22[[#This Row],[上体]],$AJ$6:$AK$15),LOOKUP(テーブル22[[#This Row],[上体]],$AJ$20:$AK$29))))</f>
        <v>0</v>
      </c>
      <c r="T155" s="42">
        <f>IF(テーブル22[[#This Row],[長座]]="",0,(IF(テーブル22[[#This Row],[性別]]="男",LOOKUP(テーブル22[[#This Row],[長座]],$AL$6:$AM$15),LOOKUP(テーブル22[[#This Row],[長座]],$AL$20:$AM$29))))</f>
        <v>0</v>
      </c>
      <c r="U155" s="42">
        <f>IF(テーブル22[[#This Row],[反復]]="",0,(IF(テーブル22[[#This Row],[性別]]="男",LOOKUP(テーブル22[[#This Row],[反復]],$AN$6:$AO$15),LOOKUP(テーブル22[[#This Row],[反復]],$AN$20:$AO$29))))</f>
        <v>0</v>
      </c>
      <c r="V155" s="42">
        <f>IF(テーブル22[[#This Row],[ｼｬﾄﾙﾗﾝ]]="",0,(IF(テーブル22[[#This Row],[性別]]="男",LOOKUP(テーブル22[[#This Row],[ｼｬﾄﾙﾗﾝ]],$AR$6:$AS$15),LOOKUP(テーブル22[[#This Row],[ｼｬﾄﾙﾗﾝ]],$AR$20:$AS$29))))</f>
        <v>0</v>
      </c>
      <c r="W155" s="42">
        <f>IF(テーブル22[[#This Row],[50m走]]="",0,(IF(テーブル22[[#This Row],[性別]]="男",LOOKUP(テーブル22[[#This Row],[50m走]],$AT$6:$AU$15),LOOKUP(テーブル22[[#This Row],[50m走]],$AT$20:$AU$29))))</f>
        <v>0</v>
      </c>
      <c r="X155" s="42">
        <f>IF(テーブル22[[#This Row],[立幅とび]]="",0,(IF(テーブル22[[#This Row],[性別]]="男",LOOKUP(テーブル22[[#This Row],[立幅とび]],$AV$6:$AW$15),LOOKUP(テーブル22[[#This Row],[立幅とび]],$AV$20:$AW$29))))</f>
        <v>0</v>
      </c>
      <c r="Y155" s="42">
        <f>IF(テーブル22[[#This Row],[ボール投げ]]="",0,(IF(テーブル22[[#This Row],[性別]]="男",LOOKUP(テーブル22[[#This Row],[ボール投げ]],$AX$6:$AY$15),LOOKUP(テーブル22[[#This Row],[ボール投げ]],$AX$20:$AY$29))))</f>
        <v>0</v>
      </c>
      <c r="Z155" s="19" t="str">
        <f>IF(テーブル22[[#This Row],[学年]]=1,6,IF(テーブル22[[#This Row],[学年]]=2,7,IF(テーブル22[[#This Row],[学年]]=3,8,IF(テーブル22[[#This Row],[学年]]=4,9,IF(テーブル22[[#This Row],[学年]]=5,10,IF(テーブル22[[#This Row],[学年]]=6,11," "))))))</f>
        <v xml:space="preserve"> </v>
      </c>
      <c r="AA155" s="125" t="str">
        <f>IF(テーブル22[[#This Row],[肥満度数値]]="","",LOOKUP(AC155,$AW$39:$AW$44,$AX$39:$AX$44))</f>
        <v/>
      </c>
      <c r="AB1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5" s="124" t="str">
        <f>IF(テーブル22[[#This Row],[体重]]="","",(テーブル22[[#This Row],[体重]]-テーブル22[[#This Row],[標準体重]])/テーブル22[[#This Row],[標準体重]]*100)</f>
        <v/>
      </c>
      <c r="AD155" s="1">
        <f>COUNTA(テーブル22[[#This Row],[握力]:[ボール投げ]])</f>
        <v>0</v>
      </c>
      <c r="AE155" s="1" t="str">
        <f>IF(テーブル22[[#This Row],[判定]]=$BD$10,"○","")</f>
        <v/>
      </c>
      <c r="AF155" s="1" t="str">
        <f>IF(AE155="","",COUNTIF($AE$6:AE155,"○"))</f>
        <v/>
      </c>
    </row>
    <row r="156" spans="1:32" x14ac:dyDescent="0.2">
      <c r="A156" s="40">
        <v>151</v>
      </c>
      <c r="B156" s="145"/>
      <c r="C156" s="148"/>
      <c r="D156" s="145"/>
      <c r="E156" s="156"/>
      <c r="F156" s="145"/>
      <c r="G156" s="145"/>
      <c r="H156" s="146"/>
      <c r="I156" s="146"/>
      <c r="J156" s="148"/>
      <c r="K156" s="145"/>
      <c r="L156" s="148"/>
      <c r="M156" s="149"/>
      <c r="N156" s="148"/>
      <c r="O156" s="150"/>
      <c r="P1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6" s="43" t="str">
        <f>IF(テーブル22[[#This Row],[得点]]="","",IF(テーブル22[[#This Row],[年齢]]&gt;10,LOOKUP(P156,$BG$6:$BG$10,$BD$6:$BD$10),IF(テーブル22[[#This Row],[年齢]]&gt;9,LOOKUP(P156,$BF$6:$BF$10,$BD$6:$BD$10),IF(テーブル22[[#This Row],[年齢]]&gt;8,LOOKUP(P156,$BE$6:$BE$10,$BD$6:$BD$10),IF(テーブル22[[#This Row],[年齢]]&gt;7,LOOKUP(P156,$BC$6:$BC$10,$BD$6:$BD$10),IF(テーブル22[[#This Row],[年齢]]&gt;6,LOOKUP(P156,$BB$6:$BB$10,$BD$6:$BD$10),LOOKUP(P156,$BA$6:$BA$10,$BD$6:$BD$10)))))))</f>
        <v/>
      </c>
      <c r="R156" s="42">
        <f>IF(H156="",0,(IF(テーブル22[[#This Row],[性別]]="男",LOOKUP(テーブル22[[#This Row],[握力]],$AH$6:$AI$15),LOOKUP(テーブル22[[#This Row],[握力]],$AH$20:$AI$29))))</f>
        <v>0</v>
      </c>
      <c r="S156" s="42">
        <f>IF(テーブル22[[#This Row],[上体]]="",0,(IF(テーブル22[[#This Row],[性別]]="男",LOOKUP(テーブル22[[#This Row],[上体]],$AJ$6:$AK$15),LOOKUP(テーブル22[[#This Row],[上体]],$AJ$20:$AK$29))))</f>
        <v>0</v>
      </c>
      <c r="T156" s="42">
        <f>IF(テーブル22[[#This Row],[長座]]="",0,(IF(テーブル22[[#This Row],[性別]]="男",LOOKUP(テーブル22[[#This Row],[長座]],$AL$6:$AM$15),LOOKUP(テーブル22[[#This Row],[長座]],$AL$20:$AM$29))))</f>
        <v>0</v>
      </c>
      <c r="U156" s="42">
        <f>IF(テーブル22[[#This Row],[反復]]="",0,(IF(テーブル22[[#This Row],[性別]]="男",LOOKUP(テーブル22[[#This Row],[反復]],$AN$6:$AO$15),LOOKUP(テーブル22[[#This Row],[反復]],$AN$20:$AO$29))))</f>
        <v>0</v>
      </c>
      <c r="V156" s="42">
        <f>IF(テーブル22[[#This Row],[ｼｬﾄﾙﾗﾝ]]="",0,(IF(テーブル22[[#This Row],[性別]]="男",LOOKUP(テーブル22[[#This Row],[ｼｬﾄﾙﾗﾝ]],$AR$6:$AS$15),LOOKUP(テーブル22[[#This Row],[ｼｬﾄﾙﾗﾝ]],$AR$20:$AS$29))))</f>
        <v>0</v>
      </c>
      <c r="W156" s="42">
        <f>IF(テーブル22[[#This Row],[50m走]]="",0,(IF(テーブル22[[#This Row],[性別]]="男",LOOKUP(テーブル22[[#This Row],[50m走]],$AT$6:$AU$15),LOOKUP(テーブル22[[#This Row],[50m走]],$AT$20:$AU$29))))</f>
        <v>0</v>
      </c>
      <c r="X156" s="42">
        <f>IF(テーブル22[[#This Row],[立幅とび]]="",0,(IF(テーブル22[[#This Row],[性別]]="男",LOOKUP(テーブル22[[#This Row],[立幅とび]],$AV$6:$AW$15),LOOKUP(テーブル22[[#This Row],[立幅とび]],$AV$20:$AW$29))))</f>
        <v>0</v>
      </c>
      <c r="Y156" s="42">
        <f>IF(テーブル22[[#This Row],[ボール投げ]]="",0,(IF(テーブル22[[#This Row],[性別]]="男",LOOKUP(テーブル22[[#This Row],[ボール投げ]],$AX$6:$AY$15),LOOKUP(テーブル22[[#This Row],[ボール投げ]],$AX$20:$AY$29))))</f>
        <v>0</v>
      </c>
      <c r="Z156" s="19" t="str">
        <f>IF(テーブル22[[#This Row],[学年]]=1,6,IF(テーブル22[[#This Row],[学年]]=2,7,IF(テーブル22[[#This Row],[学年]]=3,8,IF(テーブル22[[#This Row],[学年]]=4,9,IF(テーブル22[[#This Row],[学年]]=5,10,IF(テーブル22[[#This Row],[学年]]=6,11," "))))))</f>
        <v xml:space="preserve"> </v>
      </c>
      <c r="AA156" s="125" t="str">
        <f>IF(テーブル22[[#This Row],[肥満度数値]]="","",LOOKUP(AC156,$AW$39:$AW$44,$AX$39:$AX$44))</f>
        <v/>
      </c>
      <c r="AB1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6" s="124" t="str">
        <f>IF(テーブル22[[#This Row],[体重]]="","",(テーブル22[[#This Row],[体重]]-テーブル22[[#This Row],[標準体重]])/テーブル22[[#This Row],[標準体重]]*100)</f>
        <v/>
      </c>
      <c r="AD156" s="1">
        <f>COUNTA(テーブル22[[#This Row],[握力]:[ボール投げ]])</f>
        <v>0</v>
      </c>
      <c r="AE156" s="1" t="str">
        <f>IF(テーブル22[[#This Row],[判定]]=$BD$10,"○","")</f>
        <v/>
      </c>
      <c r="AF156" s="1" t="str">
        <f>IF(AE156="","",COUNTIF($AE$6:AE156,"○"))</f>
        <v/>
      </c>
    </row>
    <row r="157" spans="1:32" x14ac:dyDescent="0.2">
      <c r="A157" s="40">
        <v>152</v>
      </c>
      <c r="B157" s="145"/>
      <c r="C157" s="148"/>
      <c r="D157" s="145"/>
      <c r="E157" s="156"/>
      <c r="F157" s="145"/>
      <c r="G157" s="145"/>
      <c r="H157" s="146"/>
      <c r="I157" s="146"/>
      <c r="J157" s="148"/>
      <c r="K157" s="145"/>
      <c r="L157" s="148"/>
      <c r="M157" s="149"/>
      <c r="N157" s="148"/>
      <c r="O157" s="150"/>
      <c r="P1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7" s="43" t="str">
        <f>IF(テーブル22[[#This Row],[得点]]="","",IF(テーブル22[[#This Row],[年齢]]&gt;10,LOOKUP(P157,$BG$6:$BG$10,$BD$6:$BD$10),IF(テーブル22[[#This Row],[年齢]]&gt;9,LOOKUP(P157,$BF$6:$BF$10,$BD$6:$BD$10),IF(テーブル22[[#This Row],[年齢]]&gt;8,LOOKUP(P157,$BE$6:$BE$10,$BD$6:$BD$10),IF(テーブル22[[#This Row],[年齢]]&gt;7,LOOKUP(P157,$BC$6:$BC$10,$BD$6:$BD$10),IF(テーブル22[[#This Row],[年齢]]&gt;6,LOOKUP(P157,$BB$6:$BB$10,$BD$6:$BD$10),LOOKUP(P157,$BA$6:$BA$10,$BD$6:$BD$10)))))))</f>
        <v/>
      </c>
      <c r="R157" s="42">
        <f>IF(H157="",0,(IF(テーブル22[[#This Row],[性別]]="男",LOOKUP(テーブル22[[#This Row],[握力]],$AH$6:$AI$15),LOOKUP(テーブル22[[#This Row],[握力]],$AH$20:$AI$29))))</f>
        <v>0</v>
      </c>
      <c r="S157" s="42">
        <f>IF(テーブル22[[#This Row],[上体]]="",0,(IF(テーブル22[[#This Row],[性別]]="男",LOOKUP(テーブル22[[#This Row],[上体]],$AJ$6:$AK$15),LOOKUP(テーブル22[[#This Row],[上体]],$AJ$20:$AK$29))))</f>
        <v>0</v>
      </c>
      <c r="T157" s="42">
        <f>IF(テーブル22[[#This Row],[長座]]="",0,(IF(テーブル22[[#This Row],[性別]]="男",LOOKUP(テーブル22[[#This Row],[長座]],$AL$6:$AM$15),LOOKUP(テーブル22[[#This Row],[長座]],$AL$20:$AM$29))))</f>
        <v>0</v>
      </c>
      <c r="U157" s="42">
        <f>IF(テーブル22[[#This Row],[反復]]="",0,(IF(テーブル22[[#This Row],[性別]]="男",LOOKUP(テーブル22[[#This Row],[反復]],$AN$6:$AO$15),LOOKUP(テーブル22[[#This Row],[反復]],$AN$20:$AO$29))))</f>
        <v>0</v>
      </c>
      <c r="V157" s="42">
        <f>IF(テーブル22[[#This Row],[ｼｬﾄﾙﾗﾝ]]="",0,(IF(テーブル22[[#This Row],[性別]]="男",LOOKUP(テーブル22[[#This Row],[ｼｬﾄﾙﾗﾝ]],$AR$6:$AS$15),LOOKUP(テーブル22[[#This Row],[ｼｬﾄﾙﾗﾝ]],$AR$20:$AS$29))))</f>
        <v>0</v>
      </c>
      <c r="W157" s="42">
        <f>IF(テーブル22[[#This Row],[50m走]]="",0,(IF(テーブル22[[#This Row],[性別]]="男",LOOKUP(テーブル22[[#This Row],[50m走]],$AT$6:$AU$15),LOOKUP(テーブル22[[#This Row],[50m走]],$AT$20:$AU$29))))</f>
        <v>0</v>
      </c>
      <c r="X157" s="42">
        <f>IF(テーブル22[[#This Row],[立幅とび]]="",0,(IF(テーブル22[[#This Row],[性別]]="男",LOOKUP(テーブル22[[#This Row],[立幅とび]],$AV$6:$AW$15),LOOKUP(テーブル22[[#This Row],[立幅とび]],$AV$20:$AW$29))))</f>
        <v>0</v>
      </c>
      <c r="Y157" s="42">
        <f>IF(テーブル22[[#This Row],[ボール投げ]]="",0,(IF(テーブル22[[#This Row],[性別]]="男",LOOKUP(テーブル22[[#This Row],[ボール投げ]],$AX$6:$AY$15),LOOKUP(テーブル22[[#This Row],[ボール投げ]],$AX$20:$AY$29))))</f>
        <v>0</v>
      </c>
      <c r="Z157" s="19" t="str">
        <f>IF(テーブル22[[#This Row],[学年]]=1,6,IF(テーブル22[[#This Row],[学年]]=2,7,IF(テーブル22[[#This Row],[学年]]=3,8,IF(テーブル22[[#This Row],[学年]]=4,9,IF(テーブル22[[#This Row],[学年]]=5,10,IF(テーブル22[[#This Row],[学年]]=6,11," "))))))</f>
        <v xml:space="preserve"> </v>
      </c>
      <c r="AA157" s="125" t="str">
        <f>IF(テーブル22[[#This Row],[肥満度数値]]="","",LOOKUP(AC157,$AW$39:$AW$44,$AX$39:$AX$44))</f>
        <v/>
      </c>
      <c r="AB1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7" s="124" t="str">
        <f>IF(テーブル22[[#This Row],[体重]]="","",(テーブル22[[#This Row],[体重]]-テーブル22[[#This Row],[標準体重]])/テーブル22[[#This Row],[標準体重]]*100)</f>
        <v/>
      </c>
      <c r="AD157" s="1">
        <f>COUNTA(テーブル22[[#This Row],[握力]:[ボール投げ]])</f>
        <v>0</v>
      </c>
      <c r="AE157" s="1" t="str">
        <f>IF(テーブル22[[#This Row],[判定]]=$BD$10,"○","")</f>
        <v/>
      </c>
      <c r="AF157" s="1" t="str">
        <f>IF(AE157="","",COUNTIF($AE$6:AE157,"○"))</f>
        <v/>
      </c>
    </row>
    <row r="158" spans="1:32" x14ac:dyDescent="0.2">
      <c r="A158" s="40">
        <v>153</v>
      </c>
      <c r="B158" s="145"/>
      <c r="C158" s="148"/>
      <c r="D158" s="145"/>
      <c r="E158" s="156"/>
      <c r="F158" s="145"/>
      <c r="G158" s="145"/>
      <c r="H158" s="146"/>
      <c r="I158" s="146"/>
      <c r="J158" s="148"/>
      <c r="K158" s="145"/>
      <c r="L158" s="148"/>
      <c r="M158" s="149"/>
      <c r="N158" s="148"/>
      <c r="O158" s="150"/>
      <c r="P1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8" s="43" t="str">
        <f>IF(テーブル22[[#This Row],[得点]]="","",IF(テーブル22[[#This Row],[年齢]]&gt;10,LOOKUP(P158,$BG$6:$BG$10,$BD$6:$BD$10),IF(テーブル22[[#This Row],[年齢]]&gt;9,LOOKUP(P158,$BF$6:$BF$10,$BD$6:$BD$10),IF(テーブル22[[#This Row],[年齢]]&gt;8,LOOKUP(P158,$BE$6:$BE$10,$BD$6:$BD$10),IF(テーブル22[[#This Row],[年齢]]&gt;7,LOOKUP(P158,$BC$6:$BC$10,$BD$6:$BD$10),IF(テーブル22[[#This Row],[年齢]]&gt;6,LOOKUP(P158,$BB$6:$BB$10,$BD$6:$BD$10),LOOKUP(P158,$BA$6:$BA$10,$BD$6:$BD$10)))))))</f>
        <v/>
      </c>
      <c r="R158" s="42">
        <f>IF(H158="",0,(IF(テーブル22[[#This Row],[性別]]="男",LOOKUP(テーブル22[[#This Row],[握力]],$AH$6:$AI$15),LOOKUP(テーブル22[[#This Row],[握力]],$AH$20:$AI$29))))</f>
        <v>0</v>
      </c>
      <c r="S158" s="42">
        <f>IF(テーブル22[[#This Row],[上体]]="",0,(IF(テーブル22[[#This Row],[性別]]="男",LOOKUP(テーブル22[[#This Row],[上体]],$AJ$6:$AK$15),LOOKUP(テーブル22[[#This Row],[上体]],$AJ$20:$AK$29))))</f>
        <v>0</v>
      </c>
      <c r="T158" s="42">
        <f>IF(テーブル22[[#This Row],[長座]]="",0,(IF(テーブル22[[#This Row],[性別]]="男",LOOKUP(テーブル22[[#This Row],[長座]],$AL$6:$AM$15),LOOKUP(テーブル22[[#This Row],[長座]],$AL$20:$AM$29))))</f>
        <v>0</v>
      </c>
      <c r="U158" s="42">
        <f>IF(テーブル22[[#This Row],[反復]]="",0,(IF(テーブル22[[#This Row],[性別]]="男",LOOKUP(テーブル22[[#This Row],[反復]],$AN$6:$AO$15),LOOKUP(テーブル22[[#This Row],[反復]],$AN$20:$AO$29))))</f>
        <v>0</v>
      </c>
      <c r="V158" s="42">
        <f>IF(テーブル22[[#This Row],[ｼｬﾄﾙﾗﾝ]]="",0,(IF(テーブル22[[#This Row],[性別]]="男",LOOKUP(テーブル22[[#This Row],[ｼｬﾄﾙﾗﾝ]],$AR$6:$AS$15),LOOKUP(テーブル22[[#This Row],[ｼｬﾄﾙﾗﾝ]],$AR$20:$AS$29))))</f>
        <v>0</v>
      </c>
      <c r="W158" s="42">
        <f>IF(テーブル22[[#This Row],[50m走]]="",0,(IF(テーブル22[[#This Row],[性別]]="男",LOOKUP(テーブル22[[#This Row],[50m走]],$AT$6:$AU$15),LOOKUP(テーブル22[[#This Row],[50m走]],$AT$20:$AU$29))))</f>
        <v>0</v>
      </c>
      <c r="X158" s="42">
        <f>IF(テーブル22[[#This Row],[立幅とび]]="",0,(IF(テーブル22[[#This Row],[性別]]="男",LOOKUP(テーブル22[[#This Row],[立幅とび]],$AV$6:$AW$15),LOOKUP(テーブル22[[#This Row],[立幅とび]],$AV$20:$AW$29))))</f>
        <v>0</v>
      </c>
      <c r="Y158" s="42">
        <f>IF(テーブル22[[#This Row],[ボール投げ]]="",0,(IF(テーブル22[[#This Row],[性別]]="男",LOOKUP(テーブル22[[#This Row],[ボール投げ]],$AX$6:$AY$15),LOOKUP(テーブル22[[#This Row],[ボール投げ]],$AX$20:$AY$29))))</f>
        <v>0</v>
      </c>
      <c r="Z158" s="19" t="str">
        <f>IF(テーブル22[[#This Row],[学年]]=1,6,IF(テーブル22[[#This Row],[学年]]=2,7,IF(テーブル22[[#This Row],[学年]]=3,8,IF(テーブル22[[#This Row],[学年]]=4,9,IF(テーブル22[[#This Row],[学年]]=5,10,IF(テーブル22[[#This Row],[学年]]=6,11," "))))))</f>
        <v xml:space="preserve"> </v>
      </c>
      <c r="AA158" s="125" t="str">
        <f>IF(テーブル22[[#This Row],[肥満度数値]]="","",LOOKUP(AC158,$AW$39:$AW$44,$AX$39:$AX$44))</f>
        <v/>
      </c>
      <c r="AB1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8" s="124" t="str">
        <f>IF(テーブル22[[#This Row],[体重]]="","",(テーブル22[[#This Row],[体重]]-テーブル22[[#This Row],[標準体重]])/テーブル22[[#This Row],[標準体重]]*100)</f>
        <v/>
      </c>
      <c r="AD158" s="1">
        <f>COUNTA(テーブル22[[#This Row],[握力]:[ボール投げ]])</f>
        <v>0</v>
      </c>
      <c r="AE158" s="1" t="str">
        <f>IF(テーブル22[[#This Row],[判定]]=$BD$10,"○","")</f>
        <v/>
      </c>
      <c r="AF158" s="1" t="str">
        <f>IF(AE158="","",COUNTIF($AE$6:AE158,"○"))</f>
        <v/>
      </c>
    </row>
    <row r="159" spans="1:32" x14ac:dyDescent="0.2">
      <c r="A159" s="40">
        <v>154</v>
      </c>
      <c r="B159" s="145"/>
      <c r="C159" s="148"/>
      <c r="D159" s="145"/>
      <c r="E159" s="156"/>
      <c r="F159" s="145"/>
      <c r="G159" s="145"/>
      <c r="H159" s="146"/>
      <c r="I159" s="146"/>
      <c r="J159" s="148"/>
      <c r="K159" s="145"/>
      <c r="L159" s="148"/>
      <c r="M159" s="149"/>
      <c r="N159" s="148"/>
      <c r="O159" s="150"/>
      <c r="P1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59" s="43" t="str">
        <f>IF(テーブル22[[#This Row],[得点]]="","",IF(テーブル22[[#This Row],[年齢]]&gt;10,LOOKUP(P159,$BG$6:$BG$10,$BD$6:$BD$10),IF(テーブル22[[#This Row],[年齢]]&gt;9,LOOKUP(P159,$BF$6:$BF$10,$BD$6:$BD$10),IF(テーブル22[[#This Row],[年齢]]&gt;8,LOOKUP(P159,$BE$6:$BE$10,$BD$6:$BD$10),IF(テーブル22[[#This Row],[年齢]]&gt;7,LOOKUP(P159,$BC$6:$BC$10,$BD$6:$BD$10),IF(テーブル22[[#This Row],[年齢]]&gt;6,LOOKUP(P159,$BB$6:$BB$10,$BD$6:$BD$10),LOOKUP(P159,$BA$6:$BA$10,$BD$6:$BD$10)))))))</f>
        <v/>
      </c>
      <c r="R159" s="42">
        <f>IF(H159="",0,(IF(テーブル22[[#This Row],[性別]]="男",LOOKUP(テーブル22[[#This Row],[握力]],$AH$6:$AI$15),LOOKUP(テーブル22[[#This Row],[握力]],$AH$20:$AI$29))))</f>
        <v>0</v>
      </c>
      <c r="S159" s="42">
        <f>IF(テーブル22[[#This Row],[上体]]="",0,(IF(テーブル22[[#This Row],[性別]]="男",LOOKUP(テーブル22[[#This Row],[上体]],$AJ$6:$AK$15),LOOKUP(テーブル22[[#This Row],[上体]],$AJ$20:$AK$29))))</f>
        <v>0</v>
      </c>
      <c r="T159" s="42">
        <f>IF(テーブル22[[#This Row],[長座]]="",0,(IF(テーブル22[[#This Row],[性別]]="男",LOOKUP(テーブル22[[#This Row],[長座]],$AL$6:$AM$15),LOOKUP(テーブル22[[#This Row],[長座]],$AL$20:$AM$29))))</f>
        <v>0</v>
      </c>
      <c r="U159" s="42">
        <f>IF(テーブル22[[#This Row],[反復]]="",0,(IF(テーブル22[[#This Row],[性別]]="男",LOOKUP(テーブル22[[#This Row],[反復]],$AN$6:$AO$15),LOOKUP(テーブル22[[#This Row],[反復]],$AN$20:$AO$29))))</f>
        <v>0</v>
      </c>
      <c r="V159" s="42">
        <f>IF(テーブル22[[#This Row],[ｼｬﾄﾙﾗﾝ]]="",0,(IF(テーブル22[[#This Row],[性別]]="男",LOOKUP(テーブル22[[#This Row],[ｼｬﾄﾙﾗﾝ]],$AR$6:$AS$15),LOOKUP(テーブル22[[#This Row],[ｼｬﾄﾙﾗﾝ]],$AR$20:$AS$29))))</f>
        <v>0</v>
      </c>
      <c r="W159" s="42">
        <f>IF(テーブル22[[#This Row],[50m走]]="",0,(IF(テーブル22[[#This Row],[性別]]="男",LOOKUP(テーブル22[[#This Row],[50m走]],$AT$6:$AU$15),LOOKUP(テーブル22[[#This Row],[50m走]],$AT$20:$AU$29))))</f>
        <v>0</v>
      </c>
      <c r="X159" s="42">
        <f>IF(テーブル22[[#This Row],[立幅とび]]="",0,(IF(テーブル22[[#This Row],[性別]]="男",LOOKUP(テーブル22[[#This Row],[立幅とび]],$AV$6:$AW$15),LOOKUP(テーブル22[[#This Row],[立幅とび]],$AV$20:$AW$29))))</f>
        <v>0</v>
      </c>
      <c r="Y159" s="42">
        <f>IF(テーブル22[[#This Row],[ボール投げ]]="",0,(IF(テーブル22[[#This Row],[性別]]="男",LOOKUP(テーブル22[[#This Row],[ボール投げ]],$AX$6:$AY$15),LOOKUP(テーブル22[[#This Row],[ボール投げ]],$AX$20:$AY$29))))</f>
        <v>0</v>
      </c>
      <c r="Z159" s="19" t="str">
        <f>IF(テーブル22[[#This Row],[学年]]=1,6,IF(テーブル22[[#This Row],[学年]]=2,7,IF(テーブル22[[#This Row],[学年]]=3,8,IF(テーブル22[[#This Row],[学年]]=4,9,IF(テーブル22[[#This Row],[学年]]=5,10,IF(テーブル22[[#This Row],[学年]]=6,11," "))))))</f>
        <v xml:space="preserve"> </v>
      </c>
      <c r="AA159" s="125" t="str">
        <f>IF(テーブル22[[#This Row],[肥満度数値]]="","",LOOKUP(AC159,$AW$39:$AW$44,$AX$39:$AX$44))</f>
        <v/>
      </c>
      <c r="AB1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59" s="124" t="str">
        <f>IF(テーブル22[[#This Row],[体重]]="","",(テーブル22[[#This Row],[体重]]-テーブル22[[#This Row],[標準体重]])/テーブル22[[#This Row],[標準体重]]*100)</f>
        <v/>
      </c>
      <c r="AD159" s="1">
        <f>COUNTA(テーブル22[[#This Row],[握力]:[ボール投げ]])</f>
        <v>0</v>
      </c>
      <c r="AE159" s="1" t="str">
        <f>IF(テーブル22[[#This Row],[判定]]=$BD$10,"○","")</f>
        <v/>
      </c>
      <c r="AF159" s="1" t="str">
        <f>IF(AE159="","",COUNTIF($AE$6:AE159,"○"))</f>
        <v/>
      </c>
    </row>
    <row r="160" spans="1:32" x14ac:dyDescent="0.2">
      <c r="A160" s="40">
        <v>155</v>
      </c>
      <c r="B160" s="145"/>
      <c r="C160" s="148"/>
      <c r="D160" s="145"/>
      <c r="E160" s="156"/>
      <c r="F160" s="145"/>
      <c r="G160" s="145"/>
      <c r="H160" s="146"/>
      <c r="I160" s="146"/>
      <c r="J160" s="148"/>
      <c r="K160" s="145"/>
      <c r="L160" s="148"/>
      <c r="M160" s="149"/>
      <c r="N160" s="148"/>
      <c r="O160" s="150"/>
      <c r="P1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0" s="43" t="str">
        <f>IF(テーブル22[[#This Row],[得点]]="","",IF(テーブル22[[#This Row],[年齢]]&gt;10,LOOKUP(P160,$BG$6:$BG$10,$BD$6:$BD$10),IF(テーブル22[[#This Row],[年齢]]&gt;9,LOOKUP(P160,$BF$6:$BF$10,$BD$6:$BD$10),IF(テーブル22[[#This Row],[年齢]]&gt;8,LOOKUP(P160,$BE$6:$BE$10,$BD$6:$BD$10),IF(テーブル22[[#This Row],[年齢]]&gt;7,LOOKUP(P160,$BC$6:$BC$10,$BD$6:$BD$10),IF(テーブル22[[#This Row],[年齢]]&gt;6,LOOKUP(P160,$BB$6:$BB$10,$BD$6:$BD$10),LOOKUP(P160,$BA$6:$BA$10,$BD$6:$BD$10)))))))</f>
        <v/>
      </c>
      <c r="R160" s="42">
        <f>IF(H160="",0,(IF(テーブル22[[#This Row],[性別]]="男",LOOKUP(テーブル22[[#This Row],[握力]],$AH$6:$AI$15),LOOKUP(テーブル22[[#This Row],[握力]],$AH$20:$AI$29))))</f>
        <v>0</v>
      </c>
      <c r="S160" s="42">
        <f>IF(テーブル22[[#This Row],[上体]]="",0,(IF(テーブル22[[#This Row],[性別]]="男",LOOKUP(テーブル22[[#This Row],[上体]],$AJ$6:$AK$15),LOOKUP(テーブル22[[#This Row],[上体]],$AJ$20:$AK$29))))</f>
        <v>0</v>
      </c>
      <c r="T160" s="42">
        <f>IF(テーブル22[[#This Row],[長座]]="",0,(IF(テーブル22[[#This Row],[性別]]="男",LOOKUP(テーブル22[[#This Row],[長座]],$AL$6:$AM$15),LOOKUP(テーブル22[[#This Row],[長座]],$AL$20:$AM$29))))</f>
        <v>0</v>
      </c>
      <c r="U160" s="42">
        <f>IF(テーブル22[[#This Row],[反復]]="",0,(IF(テーブル22[[#This Row],[性別]]="男",LOOKUP(テーブル22[[#This Row],[反復]],$AN$6:$AO$15),LOOKUP(テーブル22[[#This Row],[反復]],$AN$20:$AO$29))))</f>
        <v>0</v>
      </c>
      <c r="V160" s="42">
        <f>IF(テーブル22[[#This Row],[ｼｬﾄﾙﾗﾝ]]="",0,(IF(テーブル22[[#This Row],[性別]]="男",LOOKUP(テーブル22[[#This Row],[ｼｬﾄﾙﾗﾝ]],$AR$6:$AS$15),LOOKUP(テーブル22[[#This Row],[ｼｬﾄﾙﾗﾝ]],$AR$20:$AS$29))))</f>
        <v>0</v>
      </c>
      <c r="W160" s="42">
        <f>IF(テーブル22[[#This Row],[50m走]]="",0,(IF(テーブル22[[#This Row],[性別]]="男",LOOKUP(テーブル22[[#This Row],[50m走]],$AT$6:$AU$15),LOOKUP(テーブル22[[#This Row],[50m走]],$AT$20:$AU$29))))</f>
        <v>0</v>
      </c>
      <c r="X160" s="42">
        <f>IF(テーブル22[[#This Row],[立幅とび]]="",0,(IF(テーブル22[[#This Row],[性別]]="男",LOOKUP(テーブル22[[#This Row],[立幅とび]],$AV$6:$AW$15),LOOKUP(テーブル22[[#This Row],[立幅とび]],$AV$20:$AW$29))))</f>
        <v>0</v>
      </c>
      <c r="Y160" s="42">
        <f>IF(テーブル22[[#This Row],[ボール投げ]]="",0,(IF(テーブル22[[#This Row],[性別]]="男",LOOKUP(テーブル22[[#This Row],[ボール投げ]],$AX$6:$AY$15),LOOKUP(テーブル22[[#This Row],[ボール投げ]],$AX$20:$AY$29))))</f>
        <v>0</v>
      </c>
      <c r="Z160" s="19" t="str">
        <f>IF(テーブル22[[#This Row],[学年]]=1,6,IF(テーブル22[[#This Row],[学年]]=2,7,IF(テーブル22[[#This Row],[学年]]=3,8,IF(テーブル22[[#This Row],[学年]]=4,9,IF(テーブル22[[#This Row],[学年]]=5,10,IF(テーブル22[[#This Row],[学年]]=6,11," "))))))</f>
        <v xml:space="preserve"> </v>
      </c>
      <c r="AA160" s="125" t="str">
        <f>IF(テーブル22[[#This Row],[肥満度数値]]="","",LOOKUP(AC160,$AW$39:$AW$44,$AX$39:$AX$44))</f>
        <v/>
      </c>
      <c r="AB1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0" s="124" t="str">
        <f>IF(テーブル22[[#This Row],[体重]]="","",(テーブル22[[#This Row],[体重]]-テーブル22[[#This Row],[標準体重]])/テーブル22[[#This Row],[標準体重]]*100)</f>
        <v/>
      </c>
      <c r="AD160" s="1">
        <f>COUNTA(テーブル22[[#This Row],[握力]:[ボール投げ]])</f>
        <v>0</v>
      </c>
      <c r="AE160" s="1" t="str">
        <f>IF(テーブル22[[#This Row],[判定]]=$BD$10,"○","")</f>
        <v/>
      </c>
      <c r="AF160" s="1" t="str">
        <f>IF(AE160="","",COUNTIF($AE$6:AE160,"○"))</f>
        <v/>
      </c>
    </row>
    <row r="161" spans="1:32" x14ac:dyDescent="0.2">
      <c r="A161" s="40">
        <v>156</v>
      </c>
      <c r="B161" s="145"/>
      <c r="C161" s="148"/>
      <c r="D161" s="145"/>
      <c r="E161" s="156"/>
      <c r="F161" s="145"/>
      <c r="G161" s="145"/>
      <c r="H161" s="146"/>
      <c r="I161" s="146"/>
      <c r="J161" s="148"/>
      <c r="K161" s="145"/>
      <c r="L161" s="148"/>
      <c r="M161" s="149"/>
      <c r="N161" s="148"/>
      <c r="O161" s="150"/>
      <c r="P1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1" s="43" t="str">
        <f>IF(テーブル22[[#This Row],[得点]]="","",IF(テーブル22[[#This Row],[年齢]]&gt;10,LOOKUP(P161,$BG$6:$BG$10,$BD$6:$BD$10),IF(テーブル22[[#This Row],[年齢]]&gt;9,LOOKUP(P161,$BF$6:$BF$10,$BD$6:$BD$10),IF(テーブル22[[#This Row],[年齢]]&gt;8,LOOKUP(P161,$BE$6:$BE$10,$BD$6:$BD$10),IF(テーブル22[[#This Row],[年齢]]&gt;7,LOOKUP(P161,$BC$6:$BC$10,$BD$6:$BD$10),IF(テーブル22[[#This Row],[年齢]]&gt;6,LOOKUP(P161,$BB$6:$BB$10,$BD$6:$BD$10),LOOKUP(P161,$BA$6:$BA$10,$BD$6:$BD$10)))))))</f>
        <v/>
      </c>
      <c r="R161" s="42">
        <f>IF(H161="",0,(IF(テーブル22[[#This Row],[性別]]="男",LOOKUP(テーブル22[[#This Row],[握力]],$AH$6:$AI$15),LOOKUP(テーブル22[[#This Row],[握力]],$AH$20:$AI$29))))</f>
        <v>0</v>
      </c>
      <c r="S161" s="42">
        <f>IF(テーブル22[[#This Row],[上体]]="",0,(IF(テーブル22[[#This Row],[性別]]="男",LOOKUP(テーブル22[[#This Row],[上体]],$AJ$6:$AK$15),LOOKUP(テーブル22[[#This Row],[上体]],$AJ$20:$AK$29))))</f>
        <v>0</v>
      </c>
      <c r="T161" s="42">
        <f>IF(テーブル22[[#This Row],[長座]]="",0,(IF(テーブル22[[#This Row],[性別]]="男",LOOKUP(テーブル22[[#This Row],[長座]],$AL$6:$AM$15),LOOKUP(テーブル22[[#This Row],[長座]],$AL$20:$AM$29))))</f>
        <v>0</v>
      </c>
      <c r="U161" s="42">
        <f>IF(テーブル22[[#This Row],[反復]]="",0,(IF(テーブル22[[#This Row],[性別]]="男",LOOKUP(テーブル22[[#This Row],[反復]],$AN$6:$AO$15),LOOKUP(テーブル22[[#This Row],[反復]],$AN$20:$AO$29))))</f>
        <v>0</v>
      </c>
      <c r="V161" s="42">
        <f>IF(テーブル22[[#This Row],[ｼｬﾄﾙﾗﾝ]]="",0,(IF(テーブル22[[#This Row],[性別]]="男",LOOKUP(テーブル22[[#This Row],[ｼｬﾄﾙﾗﾝ]],$AR$6:$AS$15),LOOKUP(テーブル22[[#This Row],[ｼｬﾄﾙﾗﾝ]],$AR$20:$AS$29))))</f>
        <v>0</v>
      </c>
      <c r="W161" s="42">
        <f>IF(テーブル22[[#This Row],[50m走]]="",0,(IF(テーブル22[[#This Row],[性別]]="男",LOOKUP(テーブル22[[#This Row],[50m走]],$AT$6:$AU$15),LOOKUP(テーブル22[[#This Row],[50m走]],$AT$20:$AU$29))))</f>
        <v>0</v>
      </c>
      <c r="X161" s="42">
        <f>IF(テーブル22[[#This Row],[立幅とび]]="",0,(IF(テーブル22[[#This Row],[性別]]="男",LOOKUP(テーブル22[[#This Row],[立幅とび]],$AV$6:$AW$15),LOOKUP(テーブル22[[#This Row],[立幅とび]],$AV$20:$AW$29))))</f>
        <v>0</v>
      </c>
      <c r="Y161" s="42">
        <f>IF(テーブル22[[#This Row],[ボール投げ]]="",0,(IF(テーブル22[[#This Row],[性別]]="男",LOOKUP(テーブル22[[#This Row],[ボール投げ]],$AX$6:$AY$15),LOOKUP(テーブル22[[#This Row],[ボール投げ]],$AX$20:$AY$29))))</f>
        <v>0</v>
      </c>
      <c r="Z161" s="19" t="str">
        <f>IF(テーブル22[[#This Row],[学年]]=1,6,IF(テーブル22[[#This Row],[学年]]=2,7,IF(テーブル22[[#This Row],[学年]]=3,8,IF(テーブル22[[#This Row],[学年]]=4,9,IF(テーブル22[[#This Row],[学年]]=5,10,IF(テーブル22[[#This Row],[学年]]=6,11," "))))))</f>
        <v xml:space="preserve"> </v>
      </c>
      <c r="AA161" s="125" t="str">
        <f>IF(テーブル22[[#This Row],[肥満度数値]]="","",LOOKUP(AC161,$AW$39:$AW$44,$AX$39:$AX$44))</f>
        <v/>
      </c>
      <c r="AB1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1" s="124" t="str">
        <f>IF(テーブル22[[#This Row],[体重]]="","",(テーブル22[[#This Row],[体重]]-テーブル22[[#This Row],[標準体重]])/テーブル22[[#This Row],[標準体重]]*100)</f>
        <v/>
      </c>
      <c r="AD161" s="1">
        <f>COUNTA(テーブル22[[#This Row],[握力]:[ボール投げ]])</f>
        <v>0</v>
      </c>
      <c r="AE161" s="1" t="str">
        <f>IF(テーブル22[[#This Row],[判定]]=$BD$10,"○","")</f>
        <v/>
      </c>
      <c r="AF161" s="1" t="str">
        <f>IF(AE161="","",COUNTIF($AE$6:AE161,"○"))</f>
        <v/>
      </c>
    </row>
    <row r="162" spans="1:32" x14ac:dyDescent="0.2">
      <c r="A162" s="40">
        <v>157</v>
      </c>
      <c r="B162" s="145"/>
      <c r="C162" s="148"/>
      <c r="D162" s="145"/>
      <c r="E162" s="156"/>
      <c r="F162" s="145"/>
      <c r="G162" s="145"/>
      <c r="H162" s="146"/>
      <c r="I162" s="146"/>
      <c r="J162" s="148"/>
      <c r="K162" s="145"/>
      <c r="L162" s="148"/>
      <c r="M162" s="149"/>
      <c r="N162" s="148"/>
      <c r="O162" s="150"/>
      <c r="P1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2" s="43" t="str">
        <f>IF(テーブル22[[#This Row],[得点]]="","",IF(テーブル22[[#This Row],[年齢]]&gt;10,LOOKUP(P162,$BG$6:$BG$10,$BD$6:$BD$10),IF(テーブル22[[#This Row],[年齢]]&gt;9,LOOKUP(P162,$BF$6:$BF$10,$BD$6:$BD$10),IF(テーブル22[[#This Row],[年齢]]&gt;8,LOOKUP(P162,$BE$6:$BE$10,$BD$6:$BD$10),IF(テーブル22[[#This Row],[年齢]]&gt;7,LOOKUP(P162,$BC$6:$BC$10,$BD$6:$BD$10),IF(テーブル22[[#This Row],[年齢]]&gt;6,LOOKUP(P162,$BB$6:$BB$10,$BD$6:$BD$10),LOOKUP(P162,$BA$6:$BA$10,$BD$6:$BD$10)))))))</f>
        <v/>
      </c>
      <c r="R162" s="42">
        <f>IF(H162="",0,(IF(テーブル22[[#This Row],[性別]]="男",LOOKUP(テーブル22[[#This Row],[握力]],$AH$6:$AI$15),LOOKUP(テーブル22[[#This Row],[握力]],$AH$20:$AI$29))))</f>
        <v>0</v>
      </c>
      <c r="S162" s="42">
        <f>IF(テーブル22[[#This Row],[上体]]="",0,(IF(テーブル22[[#This Row],[性別]]="男",LOOKUP(テーブル22[[#This Row],[上体]],$AJ$6:$AK$15),LOOKUP(テーブル22[[#This Row],[上体]],$AJ$20:$AK$29))))</f>
        <v>0</v>
      </c>
      <c r="T162" s="42">
        <f>IF(テーブル22[[#This Row],[長座]]="",0,(IF(テーブル22[[#This Row],[性別]]="男",LOOKUP(テーブル22[[#This Row],[長座]],$AL$6:$AM$15),LOOKUP(テーブル22[[#This Row],[長座]],$AL$20:$AM$29))))</f>
        <v>0</v>
      </c>
      <c r="U162" s="42">
        <f>IF(テーブル22[[#This Row],[反復]]="",0,(IF(テーブル22[[#This Row],[性別]]="男",LOOKUP(テーブル22[[#This Row],[反復]],$AN$6:$AO$15),LOOKUP(テーブル22[[#This Row],[反復]],$AN$20:$AO$29))))</f>
        <v>0</v>
      </c>
      <c r="V162" s="42">
        <f>IF(テーブル22[[#This Row],[ｼｬﾄﾙﾗﾝ]]="",0,(IF(テーブル22[[#This Row],[性別]]="男",LOOKUP(テーブル22[[#This Row],[ｼｬﾄﾙﾗﾝ]],$AR$6:$AS$15),LOOKUP(テーブル22[[#This Row],[ｼｬﾄﾙﾗﾝ]],$AR$20:$AS$29))))</f>
        <v>0</v>
      </c>
      <c r="W162" s="42">
        <f>IF(テーブル22[[#This Row],[50m走]]="",0,(IF(テーブル22[[#This Row],[性別]]="男",LOOKUP(テーブル22[[#This Row],[50m走]],$AT$6:$AU$15),LOOKUP(テーブル22[[#This Row],[50m走]],$AT$20:$AU$29))))</f>
        <v>0</v>
      </c>
      <c r="X162" s="42">
        <f>IF(テーブル22[[#This Row],[立幅とび]]="",0,(IF(テーブル22[[#This Row],[性別]]="男",LOOKUP(テーブル22[[#This Row],[立幅とび]],$AV$6:$AW$15),LOOKUP(テーブル22[[#This Row],[立幅とび]],$AV$20:$AW$29))))</f>
        <v>0</v>
      </c>
      <c r="Y162" s="42">
        <f>IF(テーブル22[[#This Row],[ボール投げ]]="",0,(IF(テーブル22[[#This Row],[性別]]="男",LOOKUP(テーブル22[[#This Row],[ボール投げ]],$AX$6:$AY$15),LOOKUP(テーブル22[[#This Row],[ボール投げ]],$AX$20:$AY$29))))</f>
        <v>0</v>
      </c>
      <c r="Z162" s="19" t="str">
        <f>IF(テーブル22[[#This Row],[学年]]=1,6,IF(テーブル22[[#This Row],[学年]]=2,7,IF(テーブル22[[#This Row],[学年]]=3,8,IF(テーブル22[[#This Row],[学年]]=4,9,IF(テーブル22[[#This Row],[学年]]=5,10,IF(テーブル22[[#This Row],[学年]]=6,11," "))))))</f>
        <v xml:space="preserve"> </v>
      </c>
      <c r="AA162" s="125" t="str">
        <f>IF(テーブル22[[#This Row],[肥満度数値]]="","",LOOKUP(AC162,$AW$39:$AW$44,$AX$39:$AX$44))</f>
        <v/>
      </c>
      <c r="AB1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2" s="124" t="str">
        <f>IF(テーブル22[[#This Row],[体重]]="","",(テーブル22[[#This Row],[体重]]-テーブル22[[#This Row],[標準体重]])/テーブル22[[#This Row],[標準体重]]*100)</f>
        <v/>
      </c>
      <c r="AD162" s="1">
        <f>COUNTA(テーブル22[[#This Row],[握力]:[ボール投げ]])</f>
        <v>0</v>
      </c>
      <c r="AE162" s="1" t="str">
        <f>IF(テーブル22[[#This Row],[判定]]=$BD$10,"○","")</f>
        <v/>
      </c>
      <c r="AF162" s="1" t="str">
        <f>IF(AE162="","",COUNTIF($AE$6:AE162,"○"))</f>
        <v/>
      </c>
    </row>
    <row r="163" spans="1:32" x14ac:dyDescent="0.2">
      <c r="A163" s="40">
        <v>158</v>
      </c>
      <c r="B163" s="145"/>
      <c r="C163" s="148"/>
      <c r="D163" s="145"/>
      <c r="E163" s="156"/>
      <c r="F163" s="145"/>
      <c r="G163" s="145"/>
      <c r="H163" s="146"/>
      <c r="I163" s="146"/>
      <c r="J163" s="148"/>
      <c r="K163" s="145"/>
      <c r="L163" s="148"/>
      <c r="M163" s="149"/>
      <c r="N163" s="148"/>
      <c r="O163" s="150"/>
      <c r="P1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3" s="43" t="str">
        <f>IF(テーブル22[[#This Row],[得点]]="","",IF(テーブル22[[#This Row],[年齢]]&gt;10,LOOKUP(P163,$BG$6:$BG$10,$BD$6:$BD$10),IF(テーブル22[[#This Row],[年齢]]&gt;9,LOOKUP(P163,$BF$6:$BF$10,$BD$6:$BD$10),IF(テーブル22[[#This Row],[年齢]]&gt;8,LOOKUP(P163,$BE$6:$BE$10,$BD$6:$BD$10),IF(テーブル22[[#This Row],[年齢]]&gt;7,LOOKUP(P163,$BC$6:$BC$10,$BD$6:$BD$10),IF(テーブル22[[#This Row],[年齢]]&gt;6,LOOKUP(P163,$BB$6:$BB$10,$BD$6:$BD$10),LOOKUP(P163,$BA$6:$BA$10,$BD$6:$BD$10)))))))</f>
        <v/>
      </c>
      <c r="R163" s="42">
        <f>IF(H163="",0,(IF(テーブル22[[#This Row],[性別]]="男",LOOKUP(テーブル22[[#This Row],[握力]],$AH$6:$AI$15),LOOKUP(テーブル22[[#This Row],[握力]],$AH$20:$AI$29))))</f>
        <v>0</v>
      </c>
      <c r="S163" s="42">
        <f>IF(テーブル22[[#This Row],[上体]]="",0,(IF(テーブル22[[#This Row],[性別]]="男",LOOKUP(テーブル22[[#This Row],[上体]],$AJ$6:$AK$15),LOOKUP(テーブル22[[#This Row],[上体]],$AJ$20:$AK$29))))</f>
        <v>0</v>
      </c>
      <c r="T163" s="42">
        <f>IF(テーブル22[[#This Row],[長座]]="",0,(IF(テーブル22[[#This Row],[性別]]="男",LOOKUP(テーブル22[[#This Row],[長座]],$AL$6:$AM$15),LOOKUP(テーブル22[[#This Row],[長座]],$AL$20:$AM$29))))</f>
        <v>0</v>
      </c>
      <c r="U163" s="42">
        <f>IF(テーブル22[[#This Row],[反復]]="",0,(IF(テーブル22[[#This Row],[性別]]="男",LOOKUP(テーブル22[[#This Row],[反復]],$AN$6:$AO$15),LOOKUP(テーブル22[[#This Row],[反復]],$AN$20:$AO$29))))</f>
        <v>0</v>
      </c>
      <c r="V163" s="42">
        <f>IF(テーブル22[[#This Row],[ｼｬﾄﾙﾗﾝ]]="",0,(IF(テーブル22[[#This Row],[性別]]="男",LOOKUP(テーブル22[[#This Row],[ｼｬﾄﾙﾗﾝ]],$AR$6:$AS$15),LOOKUP(テーブル22[[#This Row],[ｼｬﾄﾙﾗﾝ]],$AR$20:$AS$29))))</f>
        <v>0</v>
      </c>
      <c r="W163" s="42">
        <f>IF(テーブル22[[#This Row],[50m走]]="",0,(IF(テーブル22[[#This Row],[性別]]="男",LOOKUP(テーブル22[[#This Row],[50m走]],$AT$6:$AU$15),LOOKUP(テーブル22[[#This Row],[50m走]],$AT$20:$AU$29))))</f>
        <v>0</v>
      </c>
      <c r="X163" s="42">
        <f>IF(テーブル22[[#This Row],[立幅とび]]="",0,(IF(テーブル22[[#This Row],[性別]]="男",LOOKUP(テーブル22[[#This Row],[立幅とび]],$AV$6:$AW$15),LOOKUP(テーブル22[[#This Row],[立幅とび]],$AV$20:$AW$29))))</f>
        <v>0</v>
      </c>
      <c r="Y163" s="42">
        <f>IF(テーブル22[[#This Row],[ボール投げ]]="",0,(IF(テーブル22[[#This Row],[性別]]="男",LOOKUP(テーブル22[[#This Row],[ボール投げ]],$AX$6:$AY$15),LOOKUP(テーブル22[[#This Row],[ボール投げ]],$AX$20:$AY$29))))</f>
        <v>0</v>
      </c>
      <c r="Z163" s="19" t="str">
        <f>IF(テーブル22[[#This Row],[学年]]=1,6,IF(テーブル22[[#This Row],[学年]]=2,7,IF(テーブル22[[#This Row],[学年]]=3,8,IF(テーブル22[[#This Row],[学年]]=4,9,IF(テーブル22[[#This Row],[学年]]=5,10,IF(テーブル22[[#This Row],[学年]]=6,11," "))))))</f>
        <v xml:space="preserve"> </v>
      </c>
      <c r="AA163" s="125" t="str">
        <f>IF(テーブル22[[#This Row],[肥満度数値]]="","",LOOKUP(AC163,$AW$39:$AW$44,$AX$39:$AX$44))</f>
        <v/>
      </c>
      <c r="AB1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3" s="124" t="str">
        <f>IF(テーブル22[[#This Row],[体重]]="","",(テーブル22[[#This Row],[体重]]-テーブル22[[#This Row],[標準体重]])/テーブル22[[#This Row],[標準体重]]*100)</f>
        <v/>
      </c>
      <c r="AD163" s="1">
        <f>COUNTA(テーブル22[[#This Row],[握力]:[ボール投げ]])</f>
        <v>0</v>
      </c>
      <c r="AE163" s="1" t="str">
        <f>IF(テーブル22[[#This Row],[判定]]=$BD$10,"○","")</f>
        <v/>
      </c>
      <c r="AF163" s="1" t="str">
        <f>IF(AE163="","",COUNTIF($AE$6:AE163,"○"))</f>
        <v/>
      </c>
    </row>
    <row r="164" spans="1:32" x14ac:dyDescent="0.2">
      <c r="A164" s="40">
        <v>159</v>
      </c>
      <c r="B164" s="145"/>
      <c r="C164" s="148"/>
      <c r="D164" s="145"/>
      <c r="E164" s="156"/>
      <c r="F164" s="145"/>
      <c r="G164" s="145"/>
      <c r="H164" s="146"/>
      <c r="I164" s="146"/>
      <c r="J164" s="148"/>
      <c r="K164" s="145"/>
      <c r="L164" s="148"/>
      <c r="M164" s="149"/>
      <c r="N164" s="148"/>
      <c r="O164" s="150"/>
      <c r="P1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4" s="43" t="str">
        <f>IF(テーブル22[[#This Row],[得点]]="","",IF(テーブル22[[#This Row],[年齢]]&gt;10,LOOKUP(P164,$BG$6:$BG$10,$BD$6:$BD$10),IF(テーブル22[[#This Row],[年齢]]&gt;9,LOOKUP(P164,$BF$6:$BF$10,$BD$6:$BD$10),IF(テーブル22[[#This Row],[年齢]]&gt;8,LOOKUP(P164,$BE$6:$BE$10,$BD$6:$BD$10),IF(テーブル22[[#This Row],[年齢]]&gt;7,LOOKUP(P164,$BC$6:$BC$10,$BD$6:$BD$10),IF(テーブル22[[#This Row],[年齢]]&gt;6,LOOKUP(P164,$BB$6:$BB$10,$BD$6:$BD$10),LOOKUP(P164,$BA$6:$BA$10,$BD$6:$BD$10)))))))</f>
        <v/>
      </c>
      <c r="R164" s="42">
        <f>IF(H164="",0,(IF(テーブル22[[#This Row],[性別]]="男",LOOKUP(テーブル22[[#This Row],[握力]],$AH$6:$AI$15),LOOKUP(テーブル22[[#This Row],[握力]],$AH$20:$AI$29))))</f>
        <v>0</v>
      </c>
      <c r="S164" s="42">
        <f>IF(テーブル22[[#This Row],[上体]]="",0,(IF(テーブル22[[#This Row],[性別]]="男",LOOKUP(テーブル22[[#This Row],[上体]],$AJ$6:$AK$15),LOOKUP(テーブル22[[#This Row],[上体]],$AJ$20:$AK$29))))</f>
        <v>0</v>
      </c>
      <c r="T164" s="42">
        <f>IF(テーブル22[[#This Row],[長座]]="",0,(IF(テーブル22[[#This Row],[性別]]="男",LOOKUP(テーブル22[[#This Row],[長座]],$AL$6:$AM$15),LOOKUP(テーブル22[[#This Row],[長座]],$AL$20:$AM$29))))</f>
        <v>0</v>
      </c>
      <c r="U164" s="42">
        <f>IF(テーブル22[[#This Row],[反復]]="",0,(IF(テーブル22[[#This Row],[性別]]="男",LOOKUP(テーブル22[[#This Row],[反復]],$AN$6:$AO$15),LOOKUP(テーブル22[[#This Row],[反復]],$AN$20:$AO$29))))</f>
        <v>0</v>
      </c>
      <c r="V164" s="42">
        <f>IF(テーブル22[[#This Row],[ｼｬﾄﾙﾗﾝ]]="",0,(IF(テーブル22[[#This Row],[性別]]="男",LOOKUP(テーブル22[[#This Row],[ｼｬﾄﾙﾗﾝ]],$AR$6:$AS$15),LOOKUP(テーブル22[[#This Row],[ｼｬﾄﾙﾗﾝ]],$AR$20:$AS$29))))</f>
        <v>0</v>
      </c>
      <c r="W164" s="42">
        <f>IF(テーブル22[[#This Row],[50m走]]="",0,(IF(テーブル22[[#This Row],[性別]]="男",LOOKUP(テーブル22[[#This Row],[50m走]],$AT$6:$AU$15),LOOKUP(テーブル22[[#This Row],[50m走]],$AT$20:$AU$29))))</f>
        <v>0</v>
      </c>
      <c r="X164" s="42">
        <f>IF(テーブル22[[#This Row],[立幅とび]]="",0,(IF(テーブル22[[#This Row],[性別]]="男",LOOKUP(テーブル22[[#This Row],[立幅とび]],$AV$6:$AW$15),LOOKUP(テーブル22[[#This Row],[立幅とび]],$AV$20:$AW$29))))</f>
        <v>0</v>
      </c>
      <c r="Y164" s="42">
        <f>IF(テーブル22[[#This Row],[ボール投げ]]="",0,(IF(テーブル22[[#This Row],[性別]]="男",LOOKUP(テーブル22[[#This Row],[ボール投げ]],$AX$6:$AY$15),LOOKUP(テーブル22[[#This Row],[ボール投げ]],$AX$20:$AY$29))))</f>
        <v>0</v>
      </c>
      <c r="Z164" s="19" t="str">
        <f>IF(テーブル22[[#This Row],[学年]]=1,6,IF(テーブル22[[#This Row],[学年]]=2,7,IF(テーブル22[[#This Row],[学年]]=3,8,IF(テーブル22[[#This Row],[学年]]=4,9,IF(テーブル22[[#This Row],[学年]]=5,10,IF(テーブル22[[#This Row],[学年]]=6,11," "))))))</f>
        <v xml:space="preserve"> </v>
      </c>
      <c r="AA164" s="125" t="str">
        <f>IF(テーブル22[[#This Row],[肥満度数値]]="","",LOOKUP(AC164,$AW$39:$AW$44,$AX$39:$AX$44))</f>
        <v/>
      </c>
      <c r="AB1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4" s="124" t="str">
        <f>IF(テーブル22[[#This Row],[体重]]="","",(テーブル22[[#This Row],[体重]]-テーブル22[[#This Row],[標準体重]])/テーブル22[[#This Row],[標準体重]]*100)</f>
        <v/>
      </c>
      <c r="AD164" s="1">
        <f>COUNTA(テーブル22[[#This Row],[握力]:[ボール投げ]])</f>
        <v>0</v>
      </c>
      <c r="AE164" s="1" t="str">
        <f>IF(テーブル22[[#This Row],[判定]]=$BD$10,"○","")</f>
        <v/>
      </c>
      <c r="AF164" s="1" t="str">
        <f>IF(AE164="","",COUNTIF($AE$6:AE164,"○"))</f>
        <v/>
      </c>
    </row>
    <row r="165" spans="1:32" x14ac:dyDescent="0.2">
      <c r="A165" s="40">
        <v>160</v>
      </c>
      <c r="B165" s="145"/>
      <c r="C165" s="148"/>
      <c r="D165" s="145"/>
      <c r="E165" s="156"/>
      <c r="F165" s="145"/>
      <c r="G165" s="145"/>
      <c r="H165" s="146"/>
      <c r="I165" s="146"/>
      <c r="J165" s="148"/>
      <c r="K165" s="145"/>
      <c r="L165" s="148"/>
      <c r="M165" s="149"/>
      <c r="N165" s="148"/>
      <c r="O165" s="150"/>
      <c r="P1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5" s="43" t="str">
        <f>IF(テーブル22[[#This Row],[得点]]="","",IF(テーブル22[[#This Row],[年齢]]&gt;10,LOOKUP(P165,$BG$6:$BG$10,$BD$6:$BD$10),IF(テーブル22[[#This Row],[年齢]]&gt;9,LOOKUP(P165,$BF$6:$BF$10,$BD$6:$BD$10),IF(テーブル22[[#This Row],[年齢]]&gt;8,LOOKUP(P165,$BE$6:$BE$10,$BD$6:$BD$10),IF(テーブル22[[#This Row],[年齢]]&gt;7,LOOKUP(P165,$BC$6:$BC$10,$BD$6:$BD$10),IF(テーブル22[[#This Row],[年齢]]&gt;6,LOOKUP(P165,$BB$6:$BB$10,$BD$6:$BD$10),LOOKUP(P165,$BA$6:$BA$10,$BD$6:$BD$10)))))))</f>
        <v/>
      </c>
      <c r="R165" s="42">
        <f>IF(H165="",0,(IF(テーブル22[[#This Row],[性別]]="男",LOOKUP(テーブル22[[#This Row],[握力]],$AH$6:$AI$15),LOOKUP(テーブル22[[#This Row],[握力]],$AH$20:$AI$29))))</f>
        <v>0</v>
      </c>
      <c r="S165" s="42">
        <f>IF(テーブル22[[#This Row],[上体]]="",0,(IF(テーブル22[[#This Row],[性別]]="男",LOOKUP(テーブル22[[#This Row],[上体]],$AJ$6:$AK$15),LOOKUP(テーブル22[[#This Row],[上体]],$AJ$20:$AK$29))))</f>
        <v>0</v>
      </c>
      <c r="T165" s="42">
        <f>IF(テーブル22[[#This Row],[長座]]="",0,(IF(テーブル22[[#This Row],[性別]]="男",LOOKUP(テーブル22[[#This Row],[長座]],$AL$6:$AM$15),LOOKUP(テーブル22[[#This Row],[長座]],$AL$20:$AM$29))))</f>
        <v>0</v>
      </c>
      <c r="U165" s="42">
        <f>IF(テーブル22[[#This Row],[反復]]="",0,(IF(テーブル22[[#This Row],[性別]]="男",LOOKUP(テーブル22[[#This Row],[反復]],$AN$6:$AO$15),LOOKUP(テーブル22[[#This Row],[反復]],$AN$20:$AO$29))))</f>
        <v>0</v>
      </c>
      <c r="V165" s="42">
        <f>IF(テーブル22[[#This Row],[ｼｬﾄﾙﾗﾝ]]="",0,(IF(テーブル22[[#This Row],[性別]]="男",LOOKUP(テーブル22[[#This Row],[ｼｬﾄﾙﾗﾝ]],$AR$6:$AS$15),LOOKUP(テーブル22[[#This Row],[ｼｬﾄﾙﾗﾝ]],$AR$20:$AS$29))))</f>
        <v>0</v>
      </c>
      <c r="W165" s="42">
        <f>IF(テーブル22[[#This Row],[50m走]]="",0,(IF(テーブル22[[#This Row],[性別]]="男",LOOKUP(テーブル22[[#This Row],[50m走]],$AT$6:$AU$15),LOOKUP(テーブル22[[#This Row],[50m走]],$AT$20:$AU$29))))</f>
        <v>0</v>
      </c>
      <c r="X165" s="42">
        <f>IF(テーブル22[[#This Row],[立幅とび]]="",0,(IF(テーブル22[[#This Row],[性別]]="男",LOOKUP(テーブル22[[#This Row],[立幅とび]],$AV$6:$AW$15),LOOKUP(テーブル22[[#This Row],[立幅とび]],$AV$20:$AW$29))))</f>
        <v>0</v>
      </c>
      <c r="Y165" s="42">
        <f>IF(テーブル22[[#This Row],[ボール投げ]]="",0,(IF(テーブル22[[#This Row],[性別]]="男",LOOKUP(テーブル22[[#This Row],[ボール投げ]],$AX$6:$AY$15),LOOKUP(テーブル22[[#This Row],[ボール投げ]],$AX$20:$AY$29))))</f>
        <v>0</v>
      </c>
      <c r="Z165" s="19" t="str">
        <f>IF(テーブル22[[#This Row],[学年]]=1,6,IF(テーブル22[[#This Row],[学年]]=2,7,IF(テーブル22[[#This Row],[学年]]=3,8,IF(テーブル22[[#This Row],[学年]]=4,9,IF(テーブル22[[#This Row],[学年]]=5,10,IF(テーブル22[[#This Row],[学年]]=6,11," "))))))</f>
        <v xml:space="preserve"> </v>
      </c>
      <c r="AA165" s="125" t="str">
        <f>IF(テーブル22[[#This Row],[肥満度数値]]="","",LOOKUP(AC165,$AW$39:$AW$44,$AX$39:$AX$44))</f>
        <v/>
      </c>
      <c r="AB1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5" s="124" t="str">
        <f>IF(テーブル22[[#This Row],[体重]]="","",(テーブル22[[#This Row],[体重]]-テーブル22[[#This Row],[標準体重]])/テーブル22[[#This Row],[標準体重]]*100)</f>
        <v/>
      </c>
      <c r="AD165" s="1">
        <f>COUNTA(テーブル22[[#This Row],[握力]:[ボール投げ]])</f>
        <v>0</v>
      </c>
      <c r="AE165" s="1" t="str">
        <f>IF(テーブル22[[#This Row],[判定]]=$BD$10,"○","")</f>
        <v/>
      </c>
      <c r="AF165" s="1" t="str">
        <f>IF(AE165="","",COUNTIF($AE$6:AE165,"○"))</f>
        <v/>
      </c>
    </row>
    <row r="166" spans="1:32" x14ac:dyDescent="0.2">
      <c r="A166" s="40">
        <v>161</v>
      </c>
      <c r="B166" s="145"/>
      <c r="C166" s="148"/>
      <c r="D166" s="145"/>
      <c r="E166" s="156"/>
      <c r="F166" s="145"/>
      <c r="G166" s="145"/>
      <c r="H166" s="146"/>
      <c r="I166" s="146"/>
      <c r="J166" s="148"/>
      <c r="K166" s="145"/>
      <c r="L166" s="148"/>
      <c r="M166" s="149"/>
      <c r="N166" s="148"/>
      <c r="O166" s="150"/>
      <c r="P1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6" s="43" t="str">
        <f>IF(テーブル22[[#This Row],[得点]]="","",IF(テーブル22[[#This Row],[年齢]]&gt;10,LOOKUP(P166,$BG$6:$BG$10,$BD$6:$BD$10),IF(テーブル22[[#This Row],[年齢]]&gt;9,LOOKUP(P166,$BF$6:$BF$10,$BD$6:$BD$10),IF(テーブル22[[#This Row],[年齢]]&gt;8,LOOKUP(P166,$BE$6:$BE$10,$BD$6:$BD$10),IF(テーブル22[[#This Row],[年齢]]&gt;7,LOOKUP(P166,$BC$6:$BC$10,$BD$6:$BD$10),IF(テーブル22[[#This Row],[年齢]]&gt;6,LOOKUP(P166,$BB$6:$BB$10,$BD$6:$BD$10),LOOKUP(P166,$BA$6:$BA$10,$BD$6:$BD$10)))))))</f>
        <v/>
      </c>
      <c r="R166" s="42">
        <f>IF(H166="",0,(IF(テーブル22[[#This Row],[性別]]="男",LOOKUP(テーブル22[[#This Row],[握力]],$AH$6:$AI$15),LOOKUP(テーブル22[[#This Row],[握力]],$AH$20:$AI$29))))</f>
        <v>0</v>
      </c>
      <c r="S166" s="42">
        <f>IF(テーブル22[[#This Row],[上体]]="",0,(IF(テーブル22[[#This Row],[性別]]="男",LOOKUP(テーブル22[[#This Row],[上体]],$AJ$6:$AK$15),LOOKUP(テーブル22[[#This Row],[上体]],$AJ$20:$AK$29))))</f>
        <v>0</v>
      </c>
      <c r="T166" s="42">
        <f>IF(テーブル22[[#This Row],[長座]]="",0,(IF(テーブル22[[#This Row],[性別]]="男",LOOKUP(テーブル22[[#This Row],[長座]],$AL$6:$AM$15),LOOKUP(テーブル22[[#This Row],[長座]],$AL$20:$AM$29))))</f>
        <v>0</v>
      </c>
      <c r="U166" s="42">
        <f>IF(テーブル22[[#This Row],[反復]]="",0,(IF(テーブル22[[#This Row],[性別]]="男",LOOKUP(テーブル22[[#This Row],[反復]],$AN$6:$AO$15),LOOKUP(テーブル22[[#This Row],[反復]],$AN$20:$AO$29))))</f>
        <v>0</v>
      </c>
      <c r="V166" s="42">
        <f>IF(テーブル22[[#This Row],[ｼｬﾄﾙﾗﾝ]]="",0,(IF(テーブル22[[#This Row],[性別]]="男",LOOKUP(テーブル22[[#This Row],[ｼｬﾄﾙﾗﾝ]],$AR$6:$AS$15),LOOKUP(テーブル22[[#This Row],[ｼｬﾄﾙﾗﾝ]],$AR$20:$AS$29))))</f>
        <v>0</v>
      </c>
      <c r="W166" s="42">
        <f>IF(テーブル22[[#This Row],[50m走]]="",0,(IF(テーブル22[[#This Row],[性別]]="男",LOOKUP(テーブル22[[#This Row],[50m走]],$AT$6:$AU$15),LOOKUP(テーブル22[[#This Row],[50m走]],$AT$20:$AU$29))))</f>
        <v>0</v>
      </c>
      <c r="X166" s="42">
        <f>IF(テーブル22[[#This Row],[立幅とび]]="",0,(IF(テーブル22[[#This Row],[性別]]="男",LOOKUP(テーブル22[[#This Row],[立幅とび]],$AV$6:$AW$15),LOOKUP(テーブル22[[#This Row],[立幅とび]],$AV$20:$AW$29))))</f>
        <v>0</v>
      </c>
      <c r="Y166" s="42">
        <f>IF(テーブル22[[#This Row],[ボール投げ]]="",0,(IF(テーブル22[[#This Row],[性別]]="男",LOOKUP(テーブル22[[#This Row],[ボール投げ]],$AX$6:$AY$15),LOOKUP(テーブル22[[#This Row],[ボール投げ]],$AX$20:$AY$29))))</f>
        <v>0</v>
      </c>
      <c r="Z166" s="19" t="str">
        <f>IF(テーブル22[[#This Row],[学年]]=1,6,IF(テーブル22[[#This Row],[学年]]=2,7,IF(テーブル22[[#This Row],[学年]]=3,8,IF(テーブル22[[#This Row],[学年]]=4,9,IF(テーブル22[[#This Row],[学年]]=5,10,IF(テーブル22[[#This Row],[学年]]=6,11," "))))))</f>
        <v xml:space="preserve"> </v>
      </c>
      <c r="AA166" s="125" t="str">
        <f>IF(テーブル22[[#This Row],[肥満度数値]]="","",LOOKUP(AC166,$AW$39:$AW$44,$AX$39:$AX$44))</f>
        <v/>
      </c>
      <c r="AB1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6" s="124" t="str">
        <f>IF(テーブル22[[#This Row],[体重]]="","",(テーブル22[[#This Row],[体重]]-テーブル22[[#This Row],[標準体重]])/テーブル22[[#This Row],[標準体重]]*100)</f>
        <v/>
      </c>
      <c r="AD166" s="1">
        <f>COUNTA(テーブル22[[#This Row],[握力]:[ボール投げ]])</f>
        <v>0</v>
      </c>
      <c r="AE166" s="1" t="str">
        <f>IF(テーブル22[[#This Row],[判定]]=$BD$10,"○","")</f>
        <v/>
      </c>
      <c r="AF166" s="1" t="str">
        <f>IF(AE166="","",COUNTIF($AE$6:AE166,"○"))</f>
        <v/>
      </c>
    </row>
    <row r="167" spans="1:32" x14ac:dyDescent="0.2">
      <c r="A167" s="40">
        <v>162</v>
      </c>
      <c r="B167" s="145"/>
      <c r="C167" s="148"/>
      <c r="D167" s="145"/>
      <c r="E167" s="156"/>
      <c r="F167" s="145"/>
      <c r="G167" s="145"/>
      <c r="H167" s="146"/>
      <c r="I167" s="146"/>
      <c r="J167" s="148"/>
      <c r="K167" s="145"/>
      <c r="L167" s="148"/>
      <c r="M167" s="149"/>
      <c r="N167" s="148"/>
      <c r="O167" s="150"/>
      <c r="P1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7" s="43" t="str">
        <f>IF(テーブル22[[#This Row],[得点]]="","",IF(テーブル22[[#This Row],[年齢]]&gt;10,LOOKUP(P167,$BG$6:$BG$10,$BD$6:$BD$10),IF(テーブル22[[#This Row],[年齢]]&gt;9,LOOKUP(P167,$BF$6:$BF$10,$BD$6:$BD$10),IF(テーブル22[[#This Row],[年齢]]&gt;8,LOOKUP(P167,$BE$6:$BE$10,$BD$6:$BD$10),IF(テーブル22[[#This Row],[年齢]]&gt;7,LOOKUP(P167,$BC$6:$BC$10,$BD$6:$BD$10),IF(テーブル22[[#This Row],[年齢]]&gt;6,LOOKUP(P167,$BB$6:$BB$10,$BD$6:$BD$10),LOOKUP(P167,$BA$6:$BA$10,$BD$6:$BD$10)))))))</f>
        <v/>
      </c>
      <c r="R167" s="42">
        <f>IF(H167="",0,(IF(テーブル22[[#This Row],[性別]]="男",LOOKUP(テーブル22[[#This Row],[握力]],$AH$6:$AI$15),LOOKUP(テーブル22[[#This Row],[握力]],$AH$20:$AI$29))))</f>
        <v>0</v>
      </c>
      <c r="S167" s="42">
        <f>IF(テーブル22[[#This Row],[上体]]="",0,(IF(テーブル22[[#This Row],[性別]]="男",LOOKUP(テーブル22[[#This Row],[上体]],$AJ$6:$AK$15),LOOKUP(テーブル22[[#This Row],[上体]],$AJ$20:$AK$29))))</f>
        <v>0</v>
      </c>
      <c r="T167" s="42">
        <f>IF(テーブル22[[#This Row],[長座]]="",0,(IF(テーブル22[[#This Row],[性別]]="男",LOOKUP(テーブル22[[#This Row],[長座]],$AL$6:$AM$15),LOOKUP(テーブル22[[#This Row],[長座]],$AL$20:$AM$29))))</f>
        <v>0</v>
      </c>
      <c r="U167" s="42">
        <f>IF(テーブル22[[#This Row],[反復]]="",0,(IF(テーブル22[[#This Row],[性別]]="男",LOOKUP(テーブル22[[#This Row],[反復]],$AN$6:$AO$15),LOOKUP(テーブル22[[#This Row],[反復]],$AN$20:$AO$29))))</f>
        <v>0</v>
      </c>
      <c r="V167" s="42">
        <f>IF(テーブル22[[#This Row],[ｼｬﾄﾙﾗﾝ]]="",0,(IF(テーブル22[[#This Row],[性別]]="男",LOOKUP(テーブル22[[#This Row],[ｼｬﾄﾙﾗﾝ]],$AR$6:$AS$15),LOOKUP(テーブル22[[#This Row],[ｼｬﾄﾙﾗﾝ]],$AR$20:$AS$29))))</f>
        <v>0</v>
      </c>
      <c r="W167" s="42">
        <f>IF(テーブル22[[#This Row],[50m走]]="",0,(IF(テーブル22[[#This Row],[性別]]="男",LOOKUP(テーブル22[[#This Row],[50m走]],$AT$6:$AU$15),LOOKUP(テーブル22[[#This Row],[50m走]],$AT$20:$AU$29))))</f>
        <v>0</v>
      </c>
      <c r="X167" s="42">
        <f>IF(テーブル22[[#This Row],[立幅とび]]="",0,(IF(テーブル22[[#This Row],[性別]]="男",LOOKUP(テーブル22[[#This Row],[立幅とび]],$AV$6:$AW$15),LOOKUP(テーブル22[[#This Row],[立幅とび]],$AV$20:$AW$29))))</f>
        <v>0</v>
      </c>
      <c r="Y167" s="42">
        <f>IF(テーブル22[[#This Row],[ボール投げ]]="",0,(IF(テーブル22[[#This Row],[性別]]="男",LOOKUP(テーブル22[[#This Row],[ボール投げ]],$AX$6:$AY$15),LOOKUP(テーブル22[[#This Row],[ボール投げ]],$AX$20:$AY$29))))</f>
        <v>0</v>
      </c>
      <c r="Z167" s="19" t="str">
        <f>IF(テーブル22[[#This Row],[学年]]=1,6,IF(テーブル22[[#This Row],[学年]]=2,7,IF(テーブル22[[#This Row],[学年]]=3,8,IF(テーブル22[[#This Row],[学年]]=4,9,IF(テーブル22[[#This Row],[学年]]=5,10,IF(テーブル22[[#This Row],[学年]]=6,11," "))))))</f>
        <v xml:space="preserve"> </v>
      </c>
      <c r="AA167" s="125" t="str">
        <f>IF(テーブル22[[#This Row],[肥満度数値]]="","",LOOKUP(AC167,$AW$39:$AW$44,$AX$39:$AX$44))</f>
        <v/>
      </c>
      <c r="AB1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7" s="124" t="str">
        <f>IF(テーブル22[[#This Row],[体重]]="","",(テーブル22[[#This Row],[体重]]-テーブル22[[#This Row],[標準体重]])/テーブル22[[#This Row],[標準体重]]*100)</f>
        <v/>
      </c>
      <c r="AD167" s="1">
        <f>COUNTA(テーブル22[[#This Row],[握力]:[ボール投げ]])</f>
        <v>0</v>
      </c>
      <c r="AE167" s="1" t="str">
        <f>IF(テーブル22[[#This Row],[判定]]=$BD$10,"○","")</f>
        <v/>
      </c>
      <c r="AF167" s="1" t="str">
        <f>IF(AE167="","",COUNTIF($AE$6:AE167,"○"))</f>
        <v/>
      </c>
    </row>
    <row r="168" spans="1:32" x14ac:dyDescent="0.2">
      <c r="A168" s="40">
        <v>163</v>
      </c>
      <c r="B168" s="145"/>
      <c r="C168" s="148"/>
      <c r="D168" s="145"/>
      <c r="E168" s="156"/>
      <c r="F168" s="145"/>
      <c r="G168" s="145"/>
      <c r="H168" s="146"/>
      <c r="I168" s="146"/>
      <c r="J168" s="148"/>
      <c r="K168" s="145"/>
      <c r="L168" s="148"/>
      <c r="M168" s="149"/>
      <c r="N168" s="148"/>
      <c r="O168" s="150"/>
      <c r="P1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8" s="43" t="str">
        <f>IF(テーブル22[[#This Row],[得点]]="","",IF(テーブル22[[#This Row],[年齢]]&gt;10,LOOKUP(P168,$BG$6:$BG$10,$BD$6:$BD$10),IF(テーブル22[[#This Row],[年齢]]&gt;9,LOOKUP(P168,$BF$6:$BF$10,$BD$6:$BD$10),IF(テーブル22[[#This Row],[年齢]]&gt;8,LOOKUP(P168,$BE$6:$BE$10,$BD$6:$BD$10),IF(テーブル22[[#This Row],[年齢]]&gt;7,LOOKUP(P168,$BC$6:$BC$10,$BD$6:$BD$10),IF(テーブル22[[#This Row],[年齢]]&gt;6,LOOKUP(P168,$BB$6:$BB$10,$BD$6:$BD$10),LOOKUP(P168,$BA$6:$BA$10,$BD$6:$BD$10)))))))</f>
        <v/>
      </c>
      <c r="R168" s="42">
        <f>IF(H168="",0,(IF(テーブル22[[#This Row],[性別]]="男",LOOKUP(テーブル22[[#This Row],[握力]],$AH$6:$AI$15),LOOKUP(テーブル22[[#This Row],[握力]],$AH$20:$AI$29))))</f>
        <v>0</v>
      </c>
      <c r="S168" s="42">
        <f>IF(テーブル22[[#This Row],[上体]]="",0,(IF(テーブル22[[#This Row],[性別]]="男",LOOKUP(テーブル22[[#This Row],[上体]],$AJ$6:$AK$15),LOOKUP(テーブル22[[#This Row],[上体]],$AJ$20:$AK$29))))</f>
        <v>0</v>
      </c>
      <c r="T168" s="42">
        <f>IF(テーブル22[[#This Row],[長座]]="",0,(IF(テーブル22[[#This Row],[性別]]="男",LOOKUP(テーブル22[[#This Row],[長座]],$AL$6:$AM$15),LOOKUP(テーブル22[[#This Row],[長座]],$AL$20:$AM$29))))</f>
        <v>0</v>
      </c>
      <c r="U168" s="42">
        <f>IF(テーブル22[[#This Row],[反復]]="",0,(IF(テーブル22[[#This Row],[性別]]="男",LOOKUP(テーブル22[[#This Row],[反復]],$AN$6:$AO$15),LOOKUP(テーブル22[[#This Row],[反復]],$AN$20:$AO$29))))</f>
        <v>0</v>
      </c>
      <c r="V168" s="42">
        <f>IF(テーブル22[[#This Row],[ｼｬﾄﾙﾗﾝ]]="",0,(IF(テーブル22[[#This Row],[性別]]="男",LOOKUP(テーブル22[[#This Row],[ｼｬﾄﾙﾗﾝ]],$AR$6:$AS$15),LOOKUP(テーブル22[[#This Row],[ｼｬﾄﾙﾗﾝ]],$AR$20:$AS$29))))</f>
        <v>0</v>
      </c>
      <c r="W168" s="42">
        <f>IF(テーブル22[[#This Row],[50m走]]="",0,(IF(テーブル22[[#This Row],[性別]]="男",LOOKUP(テーブル22[[#This Row],[50m走]],$AT$6:$AU$15),LOOKUP(テーブル22[[#This Row],[50m走]],$AT$20:$AU$29))))</f>
        <v>0</v>
      </c>
      <c r="X168" s="42">
        <f>IF(テーブル22[[#This Row],[立幅とび]]="",0,(IF(テーブル22[[#This Row],[性別]]="男",LOOKUP(テーブル22[[#This Row],[立幅とび]],$AV$6:$AW$15),LOOKUP(テーブル22[[#This Row],[立幅とび]],$AV$20:$AW$29))))</f>
        <v>0</v>
      </c>
      <c r="Y168" s="42">
        <f>IF(テーブル22[[#This Row],[ボール投げ]]="",0,(IF(テーブル22[[#This Row],[性別]]="男",LOOKUP(テーブル22[[#This Row],[ボール投げ]],$AX$6:$AY$15),LOOKUP(テーブル22[[#This Row],[ボール投げ]],$AX$20:$AY$29))))</f>
        <v>0</v>
      </c>
      <c r="Z168" s="19" t="str">
        <f>IF(テーブル22[[#This Row],[学年]]=1,6,IF(テーブル22[[#This Row],[学年]]=2,7,IF(テーブル22[[#This Row],[学年]]=3,8,IF(テーブル22[[#This Row],[学年]]=4,9,IF(テーブル22[[#This Row],[学年]]=5,10,IF(テーブル22[[#This Row],[学年]]=6,11," "))))))</f>
        <v xml:space="preserve"> </v>
      </c>
      <c r="AA168" s="125" t="str">
        <f>IF(テーブル22[[#This Row],[肥満度数値]]="","",LOOKUP(AC168,$AW$39:$AW$44,$AX$39:$AX$44))</f>
        <v/>
      </c>
      <c r="AB1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8" s="124" t="str">
        <f>IF(テーブル22[[#This Row],[体重]]="","",(テーブル22[[#This Row],[体重]]-テーブル22[[#This Row],[標準体重]])/テーブル22[[#This Row],[標準体重]]*100)</f>
        <v/>
      </c>
      <c r="AD168" s="1">
        <f>COUNTA(テーブル22[[#This Row],[握力]:[ボール投げ]])</f>
        <v>0</v>
      </c>
      <c r="AE168" s="1" t="str">
        <f>IF(テーブル22[[#This Row],[判定]]=$BD$10,"○","")</f>
        <v/>
      </c>
      <c r="AF168" s="1" t="str">
        <f>IF(AE168="","",COUNTIF($AE$6:AE168,"○"))</f>
        <v/>
      </c>
    </row>
    <row r="169" spans="1:32" x14ac:dyDescent="0.2">
      <c r="A169" s="40">
        <v>164</v>
      </c>
      <c r="B169" s="145"/>
      <c r="C169" s="148"/>
      <c r="D169" s="145"/>
      <c r="E169" s="156"/>
      <c r="F169" s="145"/>
      <c r="G169" s="145"/>
      <c r="H169" s="146"/>
      <c r="I169" s="146"/>
      <c r="J169" s="148"/>
      <c r="K169" s="145"/>
      <c r="L169" s="148"/>
      <c r="M169" s="149"/>
      <c r="N169" s="148"/>
      <c r="O169" s="150"/>
      <c r="P1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69" s="43" t="str">
        <f>IF(テーブル22[[#This Row],[得点]]="","",IF(テーブル22[[#This Row],[年齢]]&gt;10,LOOKUP(P169,$BG$6:$BG$10,$BD$6:$BD$10),IF(テーブル22[[#This Row],[年齢]]&gt;9,LOOKUP(P169,$BF$6:$BF$10,$BD$6:$BD$10),IF(テーブル22[[#This Row],[年齢]]&gt;8,LOOKUP(P169,$BE$6:$BE$10,$BD$6:$BD$10),IF(テーブル22[[#This Row],[年齢]]&gt;7,LOOKUP(P169,$BC$6:$BC$10,$BD$6:$BD$10),IF(テーブル22[[#This Row],[年齢]]&gt;6,LOOKUP(P169,$BB$6:$BB$10,$BD$6:$BD$10),LOOKUP(P169,$BA$6:$BA$10,$BD$6:$BD$10)))))))</f>
        <v/>
      </c>
      <c r="R169" s="42">
        <f>IF(H169="",0,(IF(テーブル22[[#This Row],[性別]]="男",LOOKUP(テーブル22[[#This Row],[握力]],$AH$6:$AI$15),LOOKUP(テーブル22[[#This Row],[握力]],$AH$20:$AI$29))))</f>
        <v>0</v>
      </c>
      <c r="S169" s="42">
        <f>IF(テーブル22[[#This Row],[上体]]="",0,(IF(テーブル22[[#This Row],[性別]]="男",LOOKUP(テーブル22[[#This Row],[上体]],$AJ$6:$AK$15),LOOKUP(テーブル22[[#This Row],[上体]],$AJ$20:$AK$29))))</f>
        <v>0</v>
      </c>
      <c r="T169" s="42">
        <f>IF(テーブル22[[#This Row],[長座]]="",0,(IF(テーブル22[[#This Row],[性別]]="男",LOOKUP(テーブル22[[#This Row],[長座]],$AL$6:$AM$15),LOOKUP(テーブル22[[#This Row],[長座]],$AL$20:$AM$29))))</f>
        <v>0</v>
      </c>
      <c r="U169" s="42">
        <f>IF(テーブル22[[#This Row],[反復]]="",0,(IF(テーブル22[[#This Row],[性別]]="男",LOOKUP(テーブル22[[#This Row],[反復]],$AN$6:$AO$15),LOOKUP(テーブル22[[#This Row],[反復]],$AN$20:$AO$29))))</f>
        <v>0</v>
      </c>
      <c r="V169" s="42">
        <f>IF(テーブル22[[#This Row],[ｼｬﾄﾙﾗﾝ]]="",0,(IF(テーブル22[[#This Row],[性別]]="男",LOOKUP(テーブル22[[#This Row],[ｼｬﾄﾙﾗﾝ]],$AR$6:$AS$15),LOOKUP(テーブル22[[#This Row],[ｼｬﾄﾙﾗﾝ]],$AR$20:$AS$29))))</f>
        <v>0</v>
      </c>
      <c r="W169" s="42">
        <f>IF(テーブル22[[#This Row],[50m走]]="",0,(IF(テーブル22[[#This Row],[性別]]="男",LOOKUP(テーブル22[[#This Row],[50m走]],$AT$6:$AU$15),LOOKUP(テーブル22[[#This Row],[50m走]],$AT$20:$AU$29))))</f>
        <v>0</v>
      </c>
      <c r="X169" s="42">
        <f>IF(テーブル22[[#This Row],[立幅とび]]="",0,(IF(テーブル22[[#This Row],[性別]]="男",LOOKUP(テーブル22[[#This Row],[立幅とび]],$AV$6:$AW$15),LOOKUP(テーブル22[[#This Row],[立幅とび]],$AV$20:$AW$29))))</f>
        <v>0</v>
      </c>
      <c r="Y169" s="42">
        <f>IF(テーブル22[[#This Row],[ボール投げ]]="",0,(IF(テーブル22[[#This Row],[性別]]="男",LOOKUP(テーブル22[[#This Row],[ボール投げ]],$AX$6:$AY$15),LOOKUP(テーブル22[[#This Row],[ボール投げ]],$AX$20:$AY$29))))</f>
        <v>0</v>
      </c>
      <c r="Z169" s="19" t="str">
        <f>IF(テーブル22[[#This Row],[学年]]=1,6,IF(テーブル22[[#This Row],[学年]]=2,7,IF(テーブル22[[#This Row],[学年]]=3,8,IF(テーブル22[[#This Row],[学年]]=4,9,IF(テーブル22[[#This Row],[学年]]=5,10,IF(テーブル22[[#This Row],[学年]]=6,11," "))))))</f>
        <v xml:space="preserve"> </v>
      </c>
      <c r="AA169" s="125" t="str">
        <f>IF(テーブル22[[#This Row],[肥満度数値]]="","",LOOKUP(AC169,$AW$39:$AW$44,$AX$39:$AX$44))</f>
        <v/>
      </c>
      <c r="AB1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69" s="124" t="str">
        <f>IF(テーブル22[[#This Row],[体重]]="","",(テーブル22[[#This Row],[体重]]-テーブル22[[#This Row],[標準体重]])/テーブル22[[#This Row],[標準体重]]*100)</f>
        <v/>
      </c>
      <c r="AD169" s="1">
        <f>COUNTA(テーブル22[[#This Row],[握力]:[ボール投げ]])</f>
        <v>0</v>
      </c>
      <c r="AE169" s="1" t="str">
        <f>IF(テーブル22[[#This Row],[判定]]=$BD$10,"○","")</f>
        <v/>
      </c>
      <c r="AF169" s="1" t="str">
        <f>IF(AE169="","",COUNTIF($AE$6:AE169,"○"))</f>
        <v/>
      </c>
    </row>
    <row r="170" spans="1:32" x14ac:dyDescent="0.2">
      <c r="A170" s="40">
        <v>165</v>
      </c>
      <c r="B170" s="145"/>
      <c r="C170" s="148"/>
      <c r="D170" s="145"/>
      <c r="E170" s="156"/>
      <c r="F170" s="145"/>
      <c r="G170" s="145"/>
      <c r="H170" s="146"/>
      <c r="I170" s="146"/>
      <c r="J170" s="148"/>
      <c r="K170" s="145"/>
      <c r="L170" s="148"/>
      <c r="M170" s="149"/>
      <c r="N170" s="148"/>
      <c r="O170" s="150"/>
      <c r="P1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0" s="43" t="str">
        <f>IF(テーブル22[[#This Row],[得点]]="","",IF(テーブル22[[#This Row],[年齢]]&gt;10,LOOKUP(P170,$BG$6:$BG$10,$BD$6:$BD$10),IF(テーブル22[[#This Row],[年齢]]&gt;9,LOOKUP(P170,$BF$6:$BF$10,$BD$6:$BD$10),IF(テーブル22[[#This Row],[年齢]]&gt;8,LOOKUP(P170,$BE$6:$BE$10,$BD$6:$BD$10),IF(テーブル22[[#This Row],[年齢]]&gt;7,LOOKUP(P170,$BC$6:$BC$10,$BD$6:$BD$10),IF(テーブル22[[#This Row],[年齢]]&gt;6,LOOKUP(P170,$BB$6:$BB$10,$BD$6:$BD$10),LOOKUP(P170,$BA$6:$BA$10,$BD$6:$BD$10)))))))</f>
        <v/>
      </c>
      <c r="R170" s="42">
        <f>IF(H170="",0,(IF(テーブル22[[#This Row],[性別]]="男",LOOKUP(テーブル22[[#This Row],[握力]],$AH$6:$AI$15),LOOKUP(テーブル22[[#This Row],[握力]],$AH$20:$AI$29))))</f>
        <v>0</v>
      </c>
      <c r="S170" s="42">
        <f>IF(テーブル22[[#This Row],[上体]]="",0,(IF(テーブル22[[#This Row],[性別]]="男",LOOKUP(テーブル22[[#This Row],[上体]],$AJ$6:$AK$15),LOOKUP(テーブル22[[#This Row],[上体]],$AJ$20:$AK$29))))</f>
        <v>0</v>
      </c>
      <c r="T170" s="42">
        <f>IF(テーブル22[[#This Row],[長座]]="",0,(IF(テーブル22[[#This Row],[性別]]="男",LOOKUP(テーブル22[[#This Row],[長座]],$AL$6:$AM$15),LOOKUP(テーブル22[[#This Row],[長座]],$AL$20:$AM$29))))</f>
        <v>0</v>
      </c>
      <c r="U170" s="42">
        <f>IF(テーブル22[[#This Row],[反復]]="",0,(IF(テーブル22[[#This Row],[性別]]="男",LOOKUP(テーブル22[[#This Row],[反復]],$AN$6:$AO$15),LOOKUP(テーブル22[[#This Row],[反復]],$AN$20:$AO$29))))</f>
        <v>0</v>
      </c>
      <c r="V170" s="42">
        <f>IF(テーブル22[[#This Row],[ｼｬﾄﾙﾗﾝ]]="",0,(IF(テーブル22[[#This Row],[性別]]="男",LOOKUP(テーブル22[[#This Row],[ｼｬﾄﾙﾗﾝ]],$AR$6:$AS$15),LOOKUP(テーブル22[[#This Row],[ｼｬﾄﾙﾗﾝ]],$AR$20:$AS$29))))</f>
        <v>0</v>
      </c>
      <c r="W170" s="42">
        <f>IF(テーブル22[[#This Row],[50m走]]="",0,(IF(テーブル22[[#This Row],[性別]]="男",LOOKUP(テーブル22[[#This Row],[50m走]],$AT$6:$AU$15),LOOKUP(テーブル22[[#This Row],[50m走]],$AT$20:$AU$29))))</f>
        <v>0</v>
      </c>
      <c r="X170" s="42">
        <f>IF(テーブル22[[#This Row],[立幅とび]]="",0,(IF(テーブル22[[#This Row],[性別]]="男",LOOKUP(テーブル22[[#This Row],[立幅とび]],$AV$6:$AW$15),LOOKUP(テーブル22[[#This Row],[立幅とび]],$AV$20:$AW$29))))</f>
        <v>0</v>
      </c>
      <c r="Y170" s="42">
        <f>IF(テーブル22[[#This Row],[ボール投げ]]="",0,(IF(テーブル22[[#This Row],[性別]]="男",LOOKUP(テーブル22[[#This Row],[ボール投げ]],$AX$6:$AY$15),LOOKUP(テーブル22[[#This Row],[ボール投げ]],$AX$20:$AY$29))))</f>
        <v>0</v>
      </c>
      <c r="Z170" s="19" t="str">
        <f>IF(テーブル22[[#This Row],[学年]]=1,6,IF(テーブル22[[#This Row],[学年]]=2,7,IF(テーブル22[[#This Row],[学年]]=3,8,IF(テーブル22[[#This Row],[学年]]=4,9,IF(テーブル22[[#This Row],[学年]]=5,10,IF(テーブル22[[#This Row],[学年]]=6,11," "))))))</f>
        <v xml:space="preserve"> </v>
      </c>
      <c r="AA170" s="125" t="str">
        <f>IF(テーブル22[[#This Row],[肥満度数値]]="","",LOOKUP(AC170,$AW$39:$AW$44,$AX$39:$AX$44))</f>
        <v/>
      </c>
      <c r="AB1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0" s="124" t="str">
        <f>IF(テーブル22[[#This Row],[体重]]="","",(テーブル22[[#This Row],[体重]]-テーブル22[[#This Row],[標準体重]])/テーブル22[[#This Row],[標準体重]]*100)</f>
        <v/>
      </c>
      <c r="AD170" s="1">
        <f>COUNTA(テーブル22[[#This Row],[握力]:[ボール投げ]])</f>
        <v>0</v>
      </c>
      <c r="AE170" s="1" t="str">
        <f>IF(テーブル22[[#This Row],[判定]]=$BD$10,"○","")</f>
        <v/>
      </c>
      <c r="AF170" s="1" t="str">
        <f>IF(AE170="","",COUNTIF($AE$6:AE170,"○"))</f>
        <v/>
      </c>
    </row>
    <row r="171" spans="1:32" x14ac:dyDescent="0.2">
      <c r="A171" s="40">
        <v>166</v>
      </c>
      <c r="B171" s="145"/>
      <c r="C171" s="148"/>
      <c r="D171" s="145"/>
      <c r="E171" s="156"/>
      <c r="F171" s="145"/>
      <c r="G171" s="145"/>
      <c r="H171" s="146"/>
      <c r="I171" s="146"/>
      <c r="J171" s="148"/>
      <c r="K171" s="145"/>
      <c r="L171" s="148"/>
      <c r="M171" s="149"/>
      <c r="N171" s="148"/>
      <c r="O171" s="150"/>
      <c r="P1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1" s="43" t="str">
        <f>IF(テーブル22[[#This Row],[得点]]="","",IF(テーブル22[[#This Row],[年齢]]&gt;10,LOOKUP(P171,$BG$6:$BG$10,$BD$6:$BD$10),IF(テーブル22[[#This Row],[年齢]]&gt;9,LOOKUP(P171,$BF$6:$BF$10,$BD$6:$BD$10),IF(テーブル22[[#This Row],[年齢]]&gt;8,LOOKUP(P171,$BE$6:$BE$10,$BD$6:$BD$10),IF(テーブル22[[#This Row],[年齢]]&gt;7,LOOKUP(P171,$BC$6:$BC$10,$BD$6:$BD$10),IF(テーブル22[[#This Row],[年齢]]&gt;6,LOOKUP(P171,$BB$6:$BB$10,$BD$6:$BD$10),LOOKUP(P171,$BA$6:$BA$10,$BD$6:$BD$10)))))))</f>
        <v/>
      </c>
      <c r="R171" s="42">
        <f>IF(H171="",0,(IF(テーブル22[[#This Row],[性別]]="男",LOOKUP(テーブル22[[#This Row],[握力]],$AH$6:$AI$15),LOOKUP(テーブル22[[#This Row],[握力]],$AH$20:$AI$29))))</f>
        <v>0</v>
      </c>
      <c r="S171" s="42">
        <f>IF(テーブル22[[#This Row],[上体]]="",0,(IF(テーブル22[[#This Row],[性別]]="男",LOOKUP(テーブル22[[#This Row],[上体]],$AJ$6:$AK$15),LOOKUP(テーブル22[[#This Row],[上体]],$AJ$20:$AK$29))))</f>
        <v>0</v>
      </c>
      <c r="T171" s="42">
        <f>IF(テーブル22[[#This Row],[長座]]="",0,(IF(テーブル22[[#This Row],[性別]]="男",LOOKUP(テーブル22[[#This Row],[長座]],$AL$6:$AM$15),LOOKUP(テーブル22[[#This Row],[長座]],$AL$20:$AM$29))))</f>
        <v>0</v>
      </c>
      <c r="U171" s="42">
        <f>IF(テーブル22[[#This Row],[反復]]="",0,(IF(テーブル22[[#This Row],[性別]]="男",LOOKUP(テーブル22[[#This Row],[反復]],$AN$6:$AO$15),LOOKUP(テーブル22[[#This Row],[反復]],$AN$20:$AO$29))))</f>
        <v>0</v>
      </c>
      <c r="V171" s="42">
        <f>IF(テーブル22[[#This Row],[ｼｬﾄﾙﾗﾝ]]="",0,(IF(テーブル22[[#This Row],[性別]]="男",LOOKUP(テーブル22[[#This Row],[ｼｬﾄﾙﾗﾝ]],$AR$6:$AS$15),LOOKUP(テーブル22[[#This Row],[ｼｬﾄﾙﾗﾝ]],$AR$20:$AS$29))))</f>
        <v>0</v>
      </c>
      <c r="W171" s="42">
        <f>IF(テーブル22[[#This Row],[50m走]]="",0,(IF(テーブル22[[#This Row],[性別]]="男",LOOKUP(テーブル22[[#This Row],[50m走]],$AT$6:$AU$15),LOOKUP(テーブル22[[#This Row],[50m走]],$AT$20:$AU$29))))</f>
        <v>0</v>
      </c>
      <c r="X171" s="42">
        <f>IF(テーブル22[[#This Row],[立幅とび]]="",0,(IF(テーブル22[[#This Row],[性別]]="男",LOOKUP(テーブル22[[#This Row],[立幅とび]],$AV$6:$AW$15),LOOKUP(テーブル22[[#This Row],[立幅とび]],$AV$20:$AW$29))))</f>
        <v>0</v>
      </c>
      <c r="Y171" s="42">
        <f>IF(テーブル22[[#This Row],[ボール投げ]]="",0,(IF(テーブル22[[#This Row],[性別]]="男",LOOKUP(テーブル22[[#This Row],[ボール投げ]],$AX$6:$AY$15),LOOKUP(テーブル22[[#This Row],[ボール投げ]],$AX$20:$AY$29))))</f>
        <v>0</v>
      </c>
      <c r="Z171" s="19" t="str">
        <f>IF(テーブル22[[#This Row],[学年]]=1,6,IF(テーブル22[[#This Row],[学年]]=2,7,IF(テーブル22[[#This Row],[学年]]=3,8,IF(テーブル22[[#This Row],[学年]]=4,9,IF(テーブル22[[#This Row],[学年]]=5,10,IF(テーブル22[[#This Row],[学年]]=6,11," "))))))</f>
        <v xml:space="preserve"> </v>
      </c>
      <c r="AA171" s="125" t="str">
        <f>IF(テーブル22[[#This Row],[肥満度数値]]="","",LOOKUP(AC171,$AW$39:$AW$44,$AX$39:$AX$44))</f>
        <v/>
      </c>
      <c r="AB1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1" s="124" t="str">
        <f>IF(テーブル22[[#This Row],[体重]]="","",(テーブル22[[#This Row],[体重]]-テーブル22[[#This Row],[標準体重]])/テーブル22[[#This Row],[標準体重]]*100)</f>
        <v/>
      </c>
      <c r="AD171" s="1">
        <f>COUNTA(テーブル22[[#This Row],[握力]:[ボール投げ]])</f>
        <v>0</v>
      </c>
      <c r="AE171" s="1" t="str">
        <f>IF(テーブル22[[#This Row],[判定]]=$BD$10,"○","")</f>
        <v/>
      </c>
      <c r="AF171" s="1" t="str">
        <f>IF(AE171="","",COUNTIF($AE$6:AE171,"○"))</f>
        <v/>
      </c>
    </row>
    <row r="172" spans="1:32" x14ac:dyDescent="0.2">
      <c r="A172" s="40">
        <v>167</v>
      </c>
      <c r="B172" s="145"/>
      <c r="C172" s="148"/>
      <c r="D172" s="145"/>
      <c r="E172" s="156"/>
      <c r="F172" s="145"/>
      <c r="G172" s="145"/>
      <c r="H172" s="146"/>
      <c r="I172" s="146"/>
      <c r="J172" s="148"/>
      <c r="K172" s="145"/>
      <c r="L172" s="148"/>
      <c r="M172" s="149"/>
      <c r="N172" s="148"/>
      <c r="O172" s="150"/>
      <c r="P1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2" s="43" t="str">
        <f>IF(テーブル22[[#This Row],[得点]]="","",IF(テーブル22[[#This Row],[年齢]]&gt;10,LOOKUP(P172,$BG$6:$BG$10,$BD$6:$BD$10),IF(テーブル22[[#This Row],[年齢]]&gt;9,LOOKUP(P172,$BF$6:$BF$10,$BD$6:$BD$10),IF(テーブル22[[#This Row],[年齢]]&gt;8,LOOKUP(P172,$BE$6:$BE$10,$BD$6:$BD$10),IF(テーブル22[[#This Row],[年齢]]&gt;7,LOOKUP(P172,$BC$6:$BC$10,$BD$6:$BD$10),IF(テーブル22[[#This Row],[年齢]]&gt;6,LOOKUP(P172,$BB$6:$BB$10,$BD$6:$BD$10),LOOKUP(P172,$BA$6:$BA$10,$BD$6:$BD$10)))))))</f>
        <v/>
      </c>
      <c r="R172" s="42">
        <f>IF(H172="",0,(IF(テーブル22[[#This Row],[性別]]="男",LOOKUP(テーブル22[[#This Row],[握力]],$AH$6:$AI$15),LOOKUP(テーブル22[[#This Row],[握力]],$AH$20:$AI$29))))</f>
        <v>0</v>
      </c>
      <c r="S172" s="42">
        <f>IF(テーブル22[[#This Row],[上体]]="",0,(IF(テーブル22[[#This Row],[性別]]="男",LOOKUP(テーブル22[[#This Row],[上体]],$AJ$6:$AK$15),LOOKUP(テーブル22[[#This Row],[上体]],$AJ$20:$AK$29))))</f>
        <v>0</v>
      </c>
      <c r="T172" s="42">
        <f>IF(テーブル22[[#This Row],[長座]]="",0,(IF(テーブル22[[#This Row],[性別]]="男",LOOKUP(テーブル22[[#This Row],[長座]],$AL$6:$AM$15),LOOKUP(テーブル22[[#This Row],[長座]],$AL$20:$AM$29))))</f>
        <v>0</v>
      </c>
      <c r="U172" s="42">
        <f>IF(テーブル22[[#This Row],[反復]]="",0,(IF(テーブル22[[#This Row],[性別]]="男",LOOKUP(テーブル22[[#This Row],[反復]],$AN$6:$AO$15),LOOKUP(テーブル22[[#This Row],[反復]],$AN$20:$AO$29))))</f>
        <v>0</v>
      </c>
      <c r="V172" s="42">
        <f>IF(テーブル22[[#This Row],[ｼｬﾄﾙﾗﾝ]]="",0,(IF(テーブル22[[#This Row],[性別]]="男",LOOKUP(テーブル22[[#This Row],[ｼｬﾄﾙﾗﾝ]],$AR$6:$AS$15),LOOKUP(テーブル22[[#This Row],[ｼｬﾄﾙﾗﾝ]],$AR$20:$AS$29))))</f>
        <v>0</v>
      </c>
      <c r="W172" s="42">
        <f>IF(テーブル22[[#This Row],[50m走]]="",0,(IF(テーブル22[[#This Row],[性別]]="男",LOOKUP(テーブル22[[#This Row],[50m走]],$AT$6:$AU$15),LOOKUP(テーブル22[[#This Row],[50m走]],$AT$20:$AU$29))))</f>
        <v>0</v>
      </c>
      <c r="X172" s="42">
        <f>IF(テーブル22[[#This Row],[立幅とび]]="",0,(IF(テーブル22[[#This Row],[性別]]="男",LOOKUP(テーブル22[[#This Row],[立幅とび]],$AV$6:$AW$15),LOOKUP(テーブル22[[#This Row],[立幅とび]],$AV$20:$AW$29))))</f>
        <v>0</v>
      </c>
      <c r="Y172" s="42">
        <f>IF(テーブル22[[#This Row],[ボール投げ]]="",0,(IF(テーブル22[[#This Row],[性別]]="男",LOOKUP(テーブル22[[#This Row],[ボール投げ]],$AX$6:$AY$15),LOOKUP(テーブル22[[#This Row],[ボール投げ]],$AX$20:$AY$29))))</f>
        <v>0</v>
      </c>
      <c r="Z172" s="19" t="str">
        <f>IF(テーブル22[[#This Row],[学年]]=1,6,IF(テーブル22[[#This Row],[学年]]=2,7,IF(テーブル22[[#This Row],[学年]]=3,8,IF(テーブル22[[#This Row],[学年]]=4,9,IF(テーブル22[[#This Row],[学年]]=5,10,IF(テーブル22[[#This Row],[学年]]=6,11," "))))))</f>
        <v xml:space="preserve"> </v>
      </c>
      <c r="AA172" s="125" t="str">
        <f>IF(テーブル22[[#This Row],[肥満度数値]]="","",LOOKUP(AC172,$AW$39:$AW$44,$AX$39:$AX$44))</f>
        <v/>
      </c>
      <c r="AB1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2" s="124" t="str">
        <f>IF(テーブル22[[#This Row],[体重]]="","",(テーブル22[[#This Row],[体重]]-テーブル22[[#This Row],[標準体重]])/テーブル22[[#This Row],[標準体重]]*100)</f>
        <v/>
      </c>
      <c r="AD172" s="1">
        <f>COUNTA(テーブル22[[#This Row],[握力]:[ボール投げ]])</f>
        <v>0</v>
      </c>
      <c r="AE172" s="1" t="str">
        <f>IF(テーブル22[[#This Row],[判定]]=$BD$10,"○","")</f>
        <v/>
      </c>
      <c r="AF172" s="1" t="str">
        <f>IF(AE172="","",COUNTIF($AE$6:AE172,"○"))</f>
        <v/>
      </c>
    </row>
    <row r="173" spans="1:32" x14ac:dyDescent="0.2">
      <c r="A173" s="40">
        <v>168</v>
      </c>
      <c r="B173" s="145"/>
      <c r="C173" s="148"/>
      <c r="D173" s="145"/>
      <c r="E173" s="156"/>
      <c r="F173" s="145"/>
      <c r="G173" s="145"/>
      <c r="H173" s="146"/>
      <c r="I173" s="146"/>
      <c r="J173" s="148"/>
      <c r="K173" s="145"/>
      <c r="L173" s="148"/>
      <c r="M173" s="149"/>
      <c r="N173" s="148"/>
      <c r="O173" s="150"/>
      <c r="P1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3" s="43" t="str">
        <f>IF(テーブル22[[#This Row],[得点]]="","",IF(テーブル22[[#This Row],[年齢]]&gt;10,LOOKUP(P173,$BG$6:$BG$10,$BD$6:$BD$10),IF(テーブル22[[#This Row],[年齢]]&gt;9,LOOKUP(P173,$BF$6:$BF$10,$BD$6:$BD$10),IF(テーブル22[[#This Row],[年齢]]&gt;8,LOOKUP(P173,$BE$6:$BE$10,$BD$6:$BD$10),IF(テーブル22[[#This Row],[年齢]]&gt;7,LOOKUP(P173,$BC$6:$BC$10,$BD$6:$BD$10),IF(テーブル22[[#This Row],[年齢]]&gt;6,LOOKUP(P173,$BB$6:$BB$10,$BD$6:$BD$10),LOOKUP(P173,$BA$6:$BA$10,$BD$6:$BD$10)))))))</f>
        <v/>
      </c>
      <c r="R173" s="42">
        <f>IF(H173="",0,(IF(テーブル22[[#This Row],[性別]]="男",LOOKUP(テーブル22[[#This Row],[握力]],$AH$6:$AI$15),LOOKUP(テーブル22[[#This Row],[握力]],$AH$20:$AI$29))))</f>
        <v>0</v>
      </c>
      <c r="S173" s="42">
        <f>IF(テーブル22[[#This Row],[上体]]="",0,(IF(テーブル22[[#This Row],[性別]]="男",LOOKUP(テーブル22[[#This Row],[上体]],$AJ$6:$AK$15),LOOKUP(テーブル22[[#This Row],[上体]],$AJ$20:$AK$29))))</f>
        <v>0</v>
      </c>
      <c r="T173" s="42">
        <f>IF(テーブル22[[#This Row],[長座]]="",0,(IF(テーブル22[[#This Row],[性別]]="男",LOOKUP(テーブル22[[#This Row],[長座]],$AL$6:$AM$15),LOOKUP(テーブル22[[#This Row],[長座]],$AL$20:$AM$29))))</f>
        <v>0</v>
      </c>
      <c r="U173" s="42">
        <f>IF(テーブル22[[#This Row],[反復]]="",0,(IF(テーブル22[[#This Row],[性別]]="男",LOOKUP(テーブル22[[#This Row],[反復]],$AN$6:$AO$15),LOOKUP(テーブル22[[#This Row],[反復]],$AN$20:$AO$29))))</f>
        <v>0</v>
      </c>
      <c r="V173" s="42">
        <f>IF(テーブル22[[#This Row],[ｼｬﾄﾙﾗﾝ]]="",0,(IF(テーブル22[[#This Row],[性別]]="男",LOOKUP(テーブル22[[#This Row],[ｼｬﾄﾙﾗﾝ]],$AR$6:$AS$15),LOOKUP(テーブル22[[#This Row],[ｼｬﾄﾙﾗﾝ]],$AR$20:$AS$29))))</f>
        <v>0</v>
      </c>
      <c r="W173" s="42">
        <f>IF(テーブル22[[#This Row],[50m走]]="",0,(IF(テーブル22[[#This Row],[性別]]="男",LOOKUP(テーブル22[[#This Row],[50m走]],$AT$6:$AU$15),LOOKUP(テーブル22[[#This Row],[50m走]],$AT$20:$AU$29))))</f>
        <v>0</v>
      </c>
      <c r="X173" s="42">
        <f>IF(テーブル22[[#This Row],[立幅とび]]="",0,(IF(テーブル22[[#This Row],[性別]]="男",LOOKUP(テーブル22[[#This Row],[立幅とび]],$AV$6:$AW$15),LOOKUP(テーブル22[[#This Row],[立幅とび]],$AV$20:$AW$29))))</f>
        <v>0</v>
      </c>
      <c r="Y173" s="42">
        <f>IF(テーブル22[[#This Row],[ボール投げ]]="",0,(IF(テーブル22[[#This Row],[性別]]="男",LOOKUP(テーブル22[[#This Row],[ボール投げ]],$AX$6:$AY$15),LOOKUP(テーブル22[[#This Row],[ボール投げ]],$AX$20:$AY$29))))</f>
        <v>0</v>
      </c>
      <c r="Z173" s="19" t="str">
        <f>IF(テーブル22[[#This Row],[学年]]=1,6,IF(テーブル22[[#This Row],[学年]]=2,7,IF(テーブル22[[#This Row],[学年]]=3,8,IF(テーブル22[[#This Row],[学年]]=4,9,IF(テーブル22[[#This Row],[学年]]=5,10,IF(テーブル22[[#This Row],[学年]]=6,11," "))))))</f>
        <v xml:space="preserve"> </v>
      </c>
      <c r="AA173" s="125" t="str">
        <f>IF(テーブル22[[#This Row],[肥満度数値]]="","",LOOKUP(AC173,$AW$39:$AW$44,$AX$39:$AX$44))</f>
        <v/>
      </c>
      <c r="AB1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3" s="124" t="str">
        <f>IF(テーブル22[[#This Row],[体重]]="","",(テーブル22[[#This Row],[体重]]-テーブル22[[#This Row],[標準体重]])/テーブル22[[#This Row],[標準体重]]*100)</f>
        <v/>
      </c>
      <c r="AD173" s="1">
        <f>COUNTA(テーブル22[[#This Row],[握力]:[ボール投げ]])</f>
        <v>0</v>
      </c>
      <c r="AE173" s="1" t="str">
        <f>IF(テーブル22[[#This Row],[判定]]=$BD$10,"○","")</f>
        <v/>
      </c>
      <c r="AF173" s="1" t="str">
        <f>IF(AE173="","",COUNTIF($AE$6:AE173,"○"))</f>
        <v/>
      </c>
    </row>
    <row r="174" spans="1:32" x14ac:dyDescent="0.2">
      <c r="A174" s="40">
        <v>169</v>
      </c>
      <c r="B174" s="145"/>
      <c r="C174" s="148"/>
      <c r="D174" s="145"/>
      <c r="E174" s="156"/>
      <c r="F174" s="145"/>
      <c r="G174" s="145"/>
      <c r="H174" s="146"/>
      <c r="I174" s="146"/>
      <c r="J174" s="148"/>
      <c r="K174" s="145"/>
      <c r="L174" s="148"/>
      <c r="M174" s="149"/>
      <c r="N174" s="148"/>
      <c r="O174" s="150"/>
      <c r="P1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4" s="43" t="str">
        <f>IF(テーブル22[[#This Row],[得点]]="","",IF(テーブル22[[#This Row],[年齢]]&gt;10,LOOKUP(P174,$BG$6:$BG$10,$BD$6:$BD$10),IF(テーブル22[[#This Row],[年齢]]&gt;9,LOOKUP(P174,$BF$6:$BF$10,$BD$6:$BD$10),IF(テーブル22[[#This Row],[年齢]]&gt;8,LOOKUP(P174,$BE$6:$BE$10,$BD$6:$BD$10),IF(テーブル22[[#This Row],[年齢]]&gt;7,LOOKUP(P174,$BC$6:$BC$10,$BD$6:$BD$10),IF(テーブル22[[#This Row],[年齢]]&gt;6,LOOKUP(P174,$BB$6:$BB$10,$BD$6:$BD$10),LOOKUP(P174,$BA$6:$BA$10,$BD$6:$BD$10)))))))</f>
        <v/>
      </c>
      <c r="R174" s="42">
        <f>IF(H174="",0,(IF(テーブル22[[#This Row],[性別]]="男",LOOKUP(テーブル22[[#This Row],[握力]],$AH$6:$AI$15),LOOKUP(テーブル22[[#This Row],[握力]],$AH$20:$AI$29))))</f>
        <v>0</v>
      </c>
      <c r="S174" s="42">
        <f>IF(テーブル22[[#This Row],[上体]]="",0,(IF(テーブル22[[#This Row],[性別]]="男",LOOKUP(テーブル22[[#This Row],[上体]],$AJ$6:$AK$15),LOOKUP(テーブル22[[#This Row],[上体]],$AJ$20:$AK$29))))</f>
        <v>0</v>
      </c>
      <c r="T174" s="42">
        <f>IF(テーブル22[[#This Row],[長座]]="",0,(IF(テーブル22[[#This Row],[性別]]="男",LOOKUP(テーブル22[[#This Row],[長座]],$AL$6:$AM$15),LOOKUP(テーブル22[[#This Row],[長座]],$AL$20:$AM$29))))</f>
        <v>0</v>
      </c>
      <c r="U174" s="42">
        <f>IF(テーブル22[[#This Row],[反復]]="",0,(IF(テーブル22[[#This Row],[性別]]="男",LOOKUP(テーブル22[[#This Row],[反復]],$AN$6:$AO$15),LOOKUP(テーブル22[[#This Row],[反復]],$AN$20:$AO$29))))</f>
        <v>0</v>
      </c>
      <c r="V174" s="42">
        <f>IF(テーブル22[[#This Row],[ｼｬﾄﾙﾗﾝ]]="",0,(IF(テーブル22[[#This Row],[性別]]="男",LOOKUP(テーブル22[[#This Row],[ｼｬﾄﾙﾗﾝ]],$AR$6:$AS$15),LOOKUP(テーブル22[[#This Row],[ｼｬﾄﾙﾗﾝ]],$AR$20:$AS$29))))</f>
        <v>0</v>
      </c>
      <c r="W174" s="42">
        <f>IF(テーブル22[[#This Row],[50m走]]="",0,(IF(テーブル22[[#This Row],[性別]]="男",LOOKUP(テーブル22[[#This Row],[50m走]],$AT$6:$AU$15),LOOKUP(テーブル22[[#This Row],[50m走]],$AT$20:$AU$29))))</f>
        <v>0</v>
      </c>
      <c r="X174" s="42">
        <f>IF(テーブル22[[#This Row],[立幅とび]]="",0,(IF(テーブル22[[#This Row],[性別]]="男",LOOKUP(テーブル22[[#This Row],[立幅とび]],$AV$6:$AW$15),LOOKUP(テーブル22[[#This Row],[立幅とび]],$AV$20:$AW$29))))</f>
        <v>0</v>
      </c>
      <c r="Y174" s="42">
        <f>IF(テーブル22[[#This Row],[ボール投げ]]="",0,(IF(テーブル22[[#This Row],[性別]]="男",LOOKUP(テーブル22[[#This Row],[ボール投げ]],$AX$6:$AY$15),LOOKUP(テーブル22[[#This Row],[ボール投げ]],$AX$20:$AY$29))))</f>
        <v>0</v>
      </c>
      <c r="Z174" s="19" t="str">
        <f>IF(テーブル22[[#This Row],[学年]]=1,6,IF(テーブル22[[#This Row],[学年]]=2,7,IF(テーブル22[[#This Row],[学年]]=3,8,IF(テーブル22[[#This Row],[学年]]=4,9,IF(テーブル22[[#This Row],[学年]]=5,10,IF(テーブル22[[#This Row],[学年]]=6,11," "))))))</f>
        <v xml:space="preserve"> </v>
      </c>
      <c r="AA174" s="125" t="str">
        <f>IF(テーブル22[[#This Row],[肥満度数値]]="","",LOOKUP(AC174,$AW$39:$AW$44,$AX$39:$AX$44))</f>
        <v/>
      </c>
      <c r="AB1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4" s="124" t="str">
        <f>IF(テーブル22[[#This Row],[体重]]="","",(テーブル22[[#This Row],[体重]]-テーブル22[[#This Row],[標準体重]])/テーブル22[[#This Row],[標準体重]]*100)</f>
        <v/>
      </c>
      <c r="AD174" s="1">
        <f>COUNTA(テーブル22[[#This Row],[握力]:[ボール投げ]])</f>
        <v>0</v>
      </c>
      <c r="AE174" s="1" t="str">
        <f>IF(テーブル22[[#This Row],[判定]]=$BD$10,"○","")</f>
        <v/>
      </c>
      <c r="AF174" s="1" t="str">
        <f>IF(AE174="","",COUNTIF($AE$6:AE174,"○"))</f>
        <v/>
      </c>
    </row>
    <row r="175" spans="1:32" x14ac:dyDescent="0.2">
      <c r="A175" s="40">
        <v>170</v>
      </c>
      <c r="B175" s="145"/>
      <c r="C175" s="148"/>
      <c r="D175" s="145"/>
      <c r="E175" s="156"/>
      <c r="F175" s="145"/>
      <c r="G175" s="145"/>
      <c r="H175" s="146"/>
      <c r="I175" s="146"/>
      <c r="J175" s="148"/>
      <c r="K175" s="145"/>
      <c r="L175" s="148"/>
      <c r="M175" s="149"/>
      <c r="N175" s="148"/>
      <c r="O175" s="150"/>
      <c r="P1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5" s="43" t="str">
        <f>IF(テーブル22[[#This Row],[得点]]="","",IF(テーブル22[[#This Row],[年齢]]&gt;10,LOOKUP(P175,$BG$6:$BG$10,$BD$6:$BD$10),IF(テーブル22[[#This Row],[年齢]]&gt;9,LOOKUP(P175,$BF$6:$BF$10,$BD$6:$BD$10),IF(テーブル22[[#This Row],[年齢]]&gt;8,LOOKUP(P175,$BE$6:$BE$10,$BD$6:$BD$10),IF(テーブル22[[#This Row],[年齢]]&gt;7,LOOKUP(P175,$BC$6:$BC$10,$BD$6:$BD$10),IF(テーブル22[[#This Row],[年齢]]&gt;6,LOOKUP(P175,$BB$6:$BB$10,$BD$6:$BD$10),LOOKUP(P175,$BA$6:$BA$10,$BD$6:$BD$10)))))))</f>
        <v/>
      </c>
      <c r="R175" s="42">
        <f>IF(H175="",0,(IF(テーブル22[[#This Row],[性別]]="男",LOOKUP(テーブル22[[#This Row],[握力]],$AH$6:$AI$15),LOOKUP(テーブル22[[#This Row],[握力]],$AH$20:$AI$29))))</f>
        <v>0</v>
      </c>
      <c r="S175" s="42">
        <f>IF(テーブル22[[#This Row],[上体]]="",0,(IF(テーブル22[[#This Row],[性別]]="男",LOOKUP(テーブル22[[#This Row],[上体]],$AJ$6:$AK$15),LOOKUP(テーブル22[[#This Row],[上体]],$AJ$20:$AK$29))))</f>
        <v>0</v>
      </c>
      <c r="T175" s="42">
        <f>IF(テーブル22[[#This Row],[長座]]="",0,(IF(テーブル22[[#This Row],[性別]]="男",LOOKUP(テーブル22[[#This Row],[長座]],$AL$6:$AM$15),LOOKUP(テーブル22[[#This Row],[長座]],$AL$20:$AM$29))))</f>
        <v>0</v>
      </c>
      <c r="U175" s="42">
        <f>IF(テーブル22[[#This Row],[反復]]="",0,(IF(テーブル22[[#This Row],[性別]]="男",LOOKUP(テーブル22[[#This Row],[反復]],$AN$6:$AO$15),LOOKUP(テーブル22[[#This Row],[反復]],$AN$20:$AO$29))))</f>
        <v>0</v>
      </c>
      <c r="V175" s="42">
        <f>IF(テーブル22[[#This Row],[ｼｬﾄﾙﾗﾝ]]="",0,(IF(テーブル22[[#This Row],[性別]]="男",LOOKUP(テーブル22[[#This Row],[ｼｬﾄﾙﾗﾝ]],$AR$6:$AS$15),LOOKUP(テーブル22[[#This Row],[ｼｬﾄﾙﾗﾝ]],$AR$20:$AS$29))))</f>
        <v>0</v>
      </c>
      <c r="W175" s="42">
        <f>IF(テーブル22[[#This Row],[50m走]]="",0,(IF(テーブル22[[#This Row],[性別]]="男",LOOKUP(テーブル22[[#This Row],[50m走]],$AT$6:$AU$15),LOOKUP(テーブル22[[#This Row],[50m走]],$AT$20:$AU$29))))</f>
        <v>0</v>
      </c>
      <c r="X175" s="42">
        <f>IF(テーブル22[[#This Row],[立幅とび]]="",0,(IF(テーブル22[[#This Row],[性別]]="男",LOOKUP(テーブル22[[#This Row],[立幅とび]],$AV$6:$AW$15),LOOKUP(テーブル22[[#This Row],[立幅とび]],$AV$20:$AW$29))))</f>
        <v>0</v>
      </c>
      <c r="Y175" s="42">
        <f>IF(テーブル22[[#This Row],[ボール投げ]]="",0,(IF(テーブル22[[#This Row],[性別]]="男",LOOKUP(テーブル22[[#This Row],[ボール投げ]],$AX$6:$AY$15),LOOKUP(テーブル22[[#This Row],[ボール投げ]],$AX$20:$AY$29))))</f>
        <v>0</v>
      </c>
      <c r="Z175" s="19" t="str">
        <f>IF(テーブル22[[#This Row],[学年]]=1,6,IF(テーブル22[[#This Row],[学年]]=2,7,IF(テーブル22[[#This Row],[学年]]=3,8,IF(テーブル22[[#This Row],[学年]]=4,9,IF(テーブル22[[#This Row],[学年]]=5,10,IF(テーブル22[[#This Row],[学年]]=6,11," "))))))</f>
        <v xml:space="preserve"> </v>
      </c>
      <c r="AA175" s="125" t="str">
        <f>IF(テーブル22[[#This Row],[肥満度数値]]="","",LOOKUP(AC175,$AW$39:$AW$44,$AX$39:$AX$44))</f>
        <v/>
      </c>
      <c r="AB1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5" s="124" t="str">
        <f>IF(テーブル22[[#This Row],[体重]]="","",(テーブル22[[#This Row],[体重]]-テーブル22[[#This Row],[標準体重]])/テーブル22[[#This Row],[標準体重]]*100)</f>
        <v/>
      </c>
      <c r="AD175" s="1">
        <f>COUNTA(テーブル22[[#This Row],[握力]:[ボール投げ]])</f>
        <v>0</v>
      </c>
      <c r="AE175" s="1" t="str">
        <f>IF(テーブル22[[#This Row],[判定]]=$BD$10,"○","")</f>
        <v/>
      </c>
      <c r="AF175" s="1" t="str">
        <f>IF(AE175="","",COUNTIF($AE$6:AE175,"○"))</f>
        <v/>
      </c>
    </row>
    <row r="176" spans="1:32" x14ac:dyDescent="0.2">
      <c r="A176" s="40">
        <v>171</v>
      </c>
      <c r="B176" s="145"/>
      <c r="C176" s="148"/>
      <c r="D176" s="145"/>
      <c r="E176" s="156"/>
      <c r="F176" s="145"/>
      <c r="G176" s="145"/>
      <c r="H176" s="146"/>
      <c r="I176" s="146"/>
      <c r="J176" s="148"/>
      <c r="K176" s="145"/>
      <c r="L176" s="148"/>
      <c r="M176" s="149"/>
      <c r="N176" s="148"/>
      <c r="O176" s="150"/>
      <c r="P1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6" s="43" t="str">
        <f>IF(テーブル22[[#This Row],[得点]]="","",IF(テーブル22[[#This Row],[年齢]]&gt;10,LOOKUP(P176,$BG$6:$BG$10,$BD$6:$BD$10),IF(テーブル22[[#This Row],[年齢]]&gt;9,LOOKUP(P176,$BF$6:$BF$10,$BD$6:$BD$10),IF(テーブル22[[#This Row],[年齢]]&gt;8,LOOKUP(P176,$BE$6:$BE$10,$BD$6:$BD$10),IF(テーブル22[[#This Row],[年齢]]&gt;7,LOOKUP(P176,$BC$6:$BC$10,$BD$6:$BD$10),IF(テーブル22[[#This Row],[年齢]]&gt;6,LOOKUP(P176,$BB$6:$BB$10,$BD$6:$BD$10),LOOKUP(P176,$BA$6:$BA$10,$BD$6:$BD$10)))))))</f>
        <v/>
      </c>
      <c r="R176" s="42">
        <f>IF(H176="",0,(IF(テーブル22[[#This Row],[性別]]="男",LOOKUP(テーブル22[[#This Row],[握力]],$AH$6:$AI$15),LOOKUP(テーブル22[[#This Row],[握力]],$AH$20:$AI$29))))</f>
        <v>0</v>
      </c>
      <c r="S176" s="42">
        <f>IF(テーブル22[[#This Row],[上体]]="",0,(IF(テーブル22[[#This Row],[性別]]="男",LOOKUP(テーブル22[[#This Row],[上体]],$AJ$6:$AK$15),LOOKUP(テーブル22[[#This Row],[上体]],$AJ$20:$AK$29))))</f>
        <v>0</v>
      </c>
      <c r="T176" s="42">
        <f>IF(テーブル22[[#This Row],[長座]]="",0,(IF(テーブル22[[#This Row],[性別]]="男",LOOKUP(テーブル22[[#This Row],[長座]],$AL$6:$AM$15),LOOKUP(テーブル22[[#This Row],[長座]],$AL$20:$AM$29))))</f>
        <v>0</v>
      </c>
      <c r="U176" s="42">
        <f>IF(テーブル22[[#This Row],[反復]]="",0,(IF(テーブル22[[#This Row],[性別]]="男",LOOKUP(テーブル22[[#This Row],[反復]],$AN$6:$AO$15),LOOKUP(テーブル22[[#This Row],[反復]],$AN$20:$AO$29))))</f>
        <v>0</v>
      </c>
      <c r="V176" s="42">
        <f>IF(テーブル22[[#This Row],[ｼｬﾄﾙﾗﾝ]]="",0,(IF(テーブル22[[#This Row],[性別]]="男",LOOKUP(テーブル22[[#This Row],[ｼｬﾄﾙﾗﾝ]],$AR$6:$AS$15),LOOKUP(テーブル22[[#This Row],[ｼｬﾄﾙﾗﾝ]],$AR$20:$AS$29))))</f>
        <v>0</v>
      </c>
      <c r="W176" s="42">
        <f>IF(テーブル22[[#This Row],[50m走]]="",0,(IF(テーブル22[[#This Row],[性別]]="男",LOOKUP(テーブル22[[#This Row],[50m走]],$AT$6:$AU$15),LOOKUP(テーブル22[[#This Row],[50m走]],$AT$20:$AU$29))))</f>
        <v>0</v>
      </c>
      <c r="X176" s="42">
        <f>IF(テーブル22[[#This Row],[立幅とび]]="",0,(IF(テーブル22[[#This Row],[性別]]="男",LOOKUP(テーブル22[[#This Row],[立幅とび]],$AV$6:$AW$15),LOOKUP(テーブル22[[#This Row],[立幅とび]],$AV$20:$AW$29))))</f>
        <v>0</v>
      </c>
      <c r="Y176" s="42">
        <f>IF(テーブル22[[#This Row],[ボール投げ]]="",0,(IF(テーブル22[[#This Row],[性別]]="男",LOOKUP(テーブル22[[#This Row],[ボール投げ]],$AX$6:$AY$15),LOOKUP(テーブル22[[#This Row],[ボール投げ]],$AX$20:$AY$29))))</f>
        <v>0</v>
      </c>
      <c r="Z176" s="19" t="str">
        <f>IF(テーブル22[[#This Row],[学年]]=1,6,IF(テーブル22[[#This Row],[学年]]=2,7,IF(テーブル22[[#This Row],[学年]]=3,8,IF(テーブル22[[#This Row],[学年]]=4,9,IF(テーブル22[[#This Row],[学年]]=5,10,IF(テーブル22[[#This Row],[学年]]=6,11," "))))))</f>
        <v xml:space="preserve"> </v>
      </c>
      <c r="AA176" s="125" t="str">
        <f>IF(テーブル22[[#This Row],[肥満度数値]]="","",LOOKUP(AC176,$AW$39:$AW$44,$AX$39:$AX$44))</f>
        <v/>
      </c>
      <c r="AB1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6" s="124" t="str">
        <f>IF(テーブル22[[#This Row],[体重]]="","",(テーブル22[[#This Row],[体重]]-テーブル22[[#This Row],[標準体重]])/テーブル22[[#This Row],[標準体重]]*100)</f>
        <v/>
      </c>
      <c r="AD176" s="1">
        <f>COUNTA(テーブル22[[#This Row],[握力]:[ボール投げ]])</f>
        <v>0</v>
      </c>
      <c r="AE176" s="1" t="str">
        <f>IF(テーブル22[[#This Row],[判定]]=$BD$10,"○","")</f>
        <v/>
      </c>
      <c r="AF176" s="1" t="str">
        <f>IF(AE176="","",COUNTIF($AE$6:AE176,"○"))</f>
        <v/>
      </c>
    </row>
    <row r="177" spans="1:32" x14ac:dyDescent="0.2">
      <c r="A177" s="40">
        <v>172</v>
      </c>
      <c r="B177" s="145"/>
      <c r="C177" s="148"/>
      <c r="D177" s="145"/>
      <c r="E177" s="156"/>
      <c r="F177" s="145"/>
      <c r="G177" s="145"/>
      <c r="H177" s="146"/>
      <c r="I177" s="146"/>
      <c r="J177" s="148"/>
      <c r="K177" s="145"/>
      <c r="L177" s="148"/>
      <c r="M177" s="149"/>
      <c r="N177" s="148"/>
      <c r="O177" s="150"/>
      <c r="P1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7" s="43" t="str">
        <f>IF(テーブル22[[#This Row],[得点]]="","",IF(テーブル22[[#This Row],[年齢]]&gt;10,LOOKUP(P177,$BG$6:$BG$10,$BD$6:$BD$10),IF(テーブル22[[#This Row],[年齢]]&gt;9,LOOKUP(P177,$BF$6:$BF$10,$BD$6:$BD$10),IF(テーブル22[[#This Row],[年齢]]&gt;8,LOOKUP(P177,$BE$6:$BE$10,$BD$6:$BD$10),IF(テーブル22[[#This Row],[年齢]]&gt;7,LOOKUP(P177,$BC$6:$BC$10,$BD$6:$BD$10),IF(テーブル22[[#This Row],[年齢]]&gt;6,LOOKUP(P177,$BB$6:$BB$10,$BD$6:$BD$10),LOOKUP(P177,$BA$6:$BA$10,$BD$6:$BD$10)))))))</f>
        <v/>
      </c>
      <c r="R177" s="42">
        <f>IF(H177="",0,(IF(テーブル22[[#This Row],[性別]]="男",LOOKUP(テーブル22[[#This Row],[握力]],$AH$6:$AI$15),LOOKUP(テーブル22[[#This Row],[握力]],$AH$20:$AI$29))))</f>
        <v>0</v>
      </c>
      <c r="S177" s="42">
        <f>IF(テーブル22[[#This Row],[上体]]="",0,(IF(テーブル22[[#This Row],[性別]]="男",LOOKUP(テーブル22[[#This Row],[上体]],$AJ$6:$AK$15),LOOKUP(テーブル22[[#This Row],[上体]],$AJ$20:$AK$29))))</f>
        <v>0</v>
      </c>
      <c r="T177" s="42">
        <f>IF(テーブル22[[#This Row],[長座]]="",0,(IF(テーブル22[[#This Row],[性別]]="男",LOOKUP(テーブル22[[#This Row],[長座]],$AL$6:$AM$15),LOOKUP(テーブル22[[#This Row],[長座]],$AL$20:$AM$29))))</f>
        <v>0</v>
      </c>
      <c r="U177" s="42">
        <f>IF(テーブル22[[#This Row],[反復]]="",0,(IF(テーブル22[[#This Row],[性別]]="男",LOOKUP(テーブル22[[#This Row],[反復]],$AN$6:$AO$15),LOOKUP(テーブル22[[#This Row],[反復]],$AN$20:$AO$29))))</f>
        <v>0</v>
      </c>
      <c r="V177" s="42">
        <f>IF(テーブル22[[#This Row],[ｼｬﾄﾙﾗﾝ]]="",0,(IF(テーブル22[[#This Row],[性別]]="男",LOOKUP(テーブル22[[#This Row],[ｼｬﾄﾙﾗﾝ]],$AR$6:$AS$15),LOOKUP(テーブル22[[#This Row],[ｼｬﾄﾙﾗﾝ]],$AR$20:$AS$29))))</f>
        <v>0</v>
      </c>
      <c r="W177" s="42">
        <f>IF(テーブル22[[#This Row],[50m走]]="",0,(IF(テーブル22[[#This Row],[性別]]="男",LOOKUP(テーブル22[[#This Row],[50m走]],$AT$6:$AU$15),LOOKUP(テーブル22[[#This Row],[50m走]],$AT$20:$AU$29))))</f>
        <v>0</v>
      </c>
      <c r="X177" s="42">
        <f>IF(テーブル22[[#This Row],[立幅とび]]="",0,(IF(テーブル22[[#This Row],[性別]]="男",LOOKUP(テーブル22[[#This Row],[立幅とび]],$AV$6:$AW$15),LOOKUP(テーブル22[[#This Row],[立幅とび]],$AV$20:$AW$29))))</f>
        <v>0</v>
      </c>
      <c r="Y177" s="42">
        <f>IF(テーブル22[[#This Row],[ボール投げ]]="",0,(IF(テーブル22[[#This Row],[性別]]="男",LOOKUP(テーブル22[[#This Row],[ボール投げ]],$AX$6:$AY$15),LOOKUP(テーブル22[[#This Row],[ボール投げ]],$AX$20:$AY$29))))</f>
        <v>0</v>
      </c>
      <c r="Z177" s="19" t="str">
        <f>IF(テーブル22[[#This Row],[学年]]=1,6,IF(テーブル22[[#This Row],[学年]]=2,7,IF(テーブル22[[#This Row],[学年]]=3,8,IF(テーブル22[[#This Row],[学年]]=4,9,IF(テーブル22[[#This Row],[学年]]=5,10,IF(テーブル22[[#This Row],[学年]]=6,11," "))))))</f>
        <v xml:space="preserve"> </v>
      </c>
      <c r="AA177" s="125" t="str">
        <f>IF(テーブル22[[#This Row],[肥満度数値]]="","",LOOKUP(AC177,$AW$39:$AW$44,$AX$39:$AX$44))</f>
        <v/>
      </c>
      <c r="AB1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7" s="124" t="str">
        <f>IF(テーブル22[[#This Row],[体重]]="","",(テーブル22[[#This Row],[体重]]-テーブル22[[#This Row],[標準体重]])/テーブル22[[#This Row],[標準体重]]*100)</f>
        <v/>
      </c>
      <c r="AD177" s="1">
        <f>COUNTA(テーブル22[[#This Row],[握力]:[ボール投げ]])</f>
        <v>0</v>
      </c>
      <c r="AE177" s="1" t="str">
        <f>IF(テーブル22[[#This Row],[判定]]=$BD$10,"○","")</f>
        <v/>
      </c>
      <c r="AF177" s="1" t="str">
        <f>IF(AE177="","",COUNTIF($AE$6:AE177,"○"))</f>
        <v/>
      </c>
    </row>
    <row r="178" spans="1:32" x14ac:dyDescent="0.2">
      <c r="A178" s="40">
        <v>173</v>
      </c>
      <c r="B178" s="145"/>
      <c r="C178" s="148"/>
      <c r="D178" s="145"/>
      <c r="E178" s="156"/>
      <c r="F178" s="145"/>
      <c r="G178" s="145"/>
      <c r="H178" s="146"/>
      <c r="I178" s="146"/>
      <c r="J178" s="148"/>
      <c r="K178" s="145"/>
      <c r="L178" s="148"/>
      <c r="M178" s="149"/>
      <c r="N178" s="148"/>
      <c r="O178" s="150"/>
      <c r="P1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8" s="43" t="str">
        <f>IF(テーブル22[[#This Row],[得点]]="","",IF(テーブル22[[#This Row],[年齢]]&gt;10,LOOKUP(P178,$BG$6:$BG$10,$BD$6:$BD$10),IF(テーブル22[[#This Row],[年齢]]&gt;9,LOOKUP(P178,$BF$6:$BF$10,$BD$6:$BD$10),IF(テーブル22[[#This Row],[年齢]]&gt;8,LOOKUP(P178,$BE$6:$BE$10,$BD$6:$BD$10),IF(テーブル22[[#This Row],[年齢]]&gt;7,LOOKUP(P178,$BC$6:$BC$10,$BD$6:$BD$10),IF(テーブル22[[#This Row],[年齢]]&gt;6,LOOKUP(P178,$BB$6:$BB$10,$BD$6:$BD$10),LOOKUP(P178,$BA$6:$BA$10,$BD$6:$BD$10)))))))</f>
        <v/>
      </c>
      <c r="R178" s="42">
        <f>IF(H178="",0,(IF(テーブル22[[#This Row],[性別]]="男",LOOKUP(テーブル22[[#This Row],[握力]],$AH$6:$AI$15),LOOKUP(テーブル22[[#This Row],[握力]],$AH$20:$AI$29))))</f>
        <v>0</v>
      </c>
      <c r="S178" s="42">
        <f>IF(テーブル22[[#This Row],[上体]]="",0,(IF(テーブル22[[#This Row],[性別]]="男",LOOKUP(テーブル22[[#This Row],[上体]],$AJ$6:$AK$15),LOOKUP(テーブル22[[#This Row],[上体]],$AJ$20:$AK$29))))</f>
        <v>0</v>
      </c>
      <c r="T178" s="42">
        <f>IF(テーブル22[[#This Row],[長座]]="",0,(IF(テーブル22[[#This Row],[性別]]="男",LOOKUP(テーブル22[[#This Row],[長座]],$AL$6:$AM$15),LOOKUP(テーブル22[[#This Row],[長座]],$AL$20:$AM$29))))</f>
        <v>0</v>
      </c>
      <c r="U178" s="42">
        <f>IF(テーブル22[[#This Row],[反復]]="",0,(IF(テーブル22[[#This Row],[性別]]="男",LOOKUP(テーブル22[[#This Row],[反復]],$AN$6:$AO$15),LOOKUP(テーブル22[[#This Row],[反復]],$AN$20:$AO$29))))</f>
        <v>0</v>
      </c>
      <c r="V178" s="42">
        <f>IF(テーブル22[[#This Row],[ｼｬﾄﾙﾗﾝ]]="",0,(IF(テーブル22[[#This Row],[性別]]="男",LOOKUP(テーブル22[[#This Row],[ｼｬﾄﾙﾗﾝ]],$AR$6:$AS$15),LOOKUP(テーブル22[[#This Row],[ｼｬﾄﾙﾗﾝ]],$AR$20:$AS$29))))</f>
        <v>0</v>
      </c>
      <c r="W178" s="42">
        <f>IF(テーブル22[[#This Row],[50m走]]="",0,(IF(テーブル22[[#This Row],[性別]]="男",LOOKUP(テーブル22[[#This Row],[50m走]],$AT$6:$AU$15),LOOKUP(テーブル22[[#This Row],[50m走]],$AT$20:$AU$29))))</f>
        <v>0</v>
      </c>
      <c r="X178" s="42">
        <f>IF(テーブル22[[#This Row],[立幅とび]]="",0,(IF(テーブル22[[#This Row],[性別]]="男",LOOKUP(テーブル22[[#This Row],[立幅とび]],$AV$6:$AW$15),LOOKUP(テーブル22[[#This Row],[立幅とび]],$AV$20:$AW$29))))</f>
        <v>0</v>
      </c>
      <c r="Y178" s="42">
        <f>IF(テーブル22[[#This Row],[ボール投げ]]="",0,(IF(テーブル22[[#This Row],[性別]]="男",LOOKUP(テーブル22[[#This Row],[ボール投げ]],$AX$6:$AY$15),LOOKUP(テーブル22[[#This Row],[ボール投げ]],$AX$20:$AY$29))))</f>
        <v>0</v>
      </c>
      <c r="Z178" s="19" t="str">
        <f>IF(テーブル22[[#This Row],[学年]]=1,6,IF(テーブル22[[#This Row],[学年]]=2,7,IF(テーブル22[[#This Row],[学年]]=3,8,IF(テーブル22[[#This Row],[学年]]=4,9,IF(テーブル22[[#This Row],[学年]]=5,10,IF(テーブル22[[#This Row],[学年]]=6,11," "))))))</f>
        <v xml:space="preserve"> </v>
      </c>
      <c r="AA178" s="125" t="str">
        <f>IF(テーブル22[[#This Row],[肥満度数値]]="","",LOOKUP(AC178,$AW$39:$AW$44,$AX$39:$AX$44))</f>
        <v/>
      </c>
      <c r="AB1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8" s="124" t="str">
        <f>IF(テーブル22[[#This Row],[体重]]="","",(テーブル22[[#This Row],[体重]]-テーブル22[[#This Row],[標準体重]])/テーブル22[[#This Row],[標準体重]]*100)</f>
        <v/>
      </c>
      <c r="AD178" s="1">
        <f>COUNTA(テーブル22[[#This Row],[握力]:[ボール投げ]])</f>
        <v>0</v>
      </c>
      <c r="AE178" s="1" t="str">
        <f>IF(テーブル22[[#This Row],[判定]]=$BD$10,"○","")</f>
        <v/>
      </c>
      <c r="AF178" s="1" t="str">
        <f>IF(AE178="","",COUNTIF($AE$6:AE178,"○"))</f>
        <v/>
      </c>
    </row>
    <row r="179" spans="1:32" x14ac:dyDescent="0.2">
      <c r="A179" s="40">
        <v>174</v>
      </c>
      <c r="B179" s="145"/>
      <c r="C179" s="148"/>
      <c r="D179" s="145"/>
      <c r="E179" s="156"/>
      <c r="F179" s="145"/>
      <c r="G179" s="145"/>
      <c r="H179" s="146"/>
      <c r="I179" s="146"/>
      <c r="J179" s="148"/>
      <c r="K179" s="145"/>
      <c r="L179" s="148"/>
      <c r="M179" s="149"/>
      <c r="N179" s="148"/>
      <c r="O179" s="150"/>
      <c r="P1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79" s="43" t="str">
        <f>IF(テーブル22[[#This Row],[得点]]="","",IF(テーブル22[[#This Row],[年齢]]&gt;10,LOOKUP(P179,$BG$6:$BG$10,$BD$6:$BD$10),IF(テーブル22[[#This Row],[年齢]]&gt;9,LOOKUP(P179,$BF$6:$BF$10,$BD$6:$BD$10),IF(テーブル22[[#This Row],[年齢]]&gt;8,LOOKUP(P179,$BE$6:$BE$10,$BD$6:$BD$10),IF(テーブル22[[#This Row],[年齢]]&gt;7,LOOKUP(P179,$BC$6:$BC$10,$BD$6:$BD$10),IF(テーブル22[[#This Row],[年齢]]&gt;6,LOOKUP(P179,$BB$6:$BB$10,$BD$6:$BD$10),LOOKUP(P179,$BA$6:$BA$10,$BD$6:$BD$10)))))))</f>
        <v/>
      </c>
      <c r="R179" s="42">
        <f>IF(H179="",0,(IF(テーブル22[[#This Row],[性別]]="男",LOOKUP(テーブル22[[#This Row],[握力]],$AH$6:$AI$15),LOOKUP(テーブル22[[#This Row],[握力]],$AH$20:$AI$29))))</f>
        <v>0</v>
      </c>
      <c r="S179" s="42">
        <f>IF(テーブル22[[#This Row],[上体]]="",0,(IF(テーブル22[[#This Row],[性別]]="男",LOOKUP(テーブル22[[#This Row],[上体]],$AJ$6:$AK$15),LOOKUP(テーブル22[[#This Row],[上体]],$AJ$20:$AK$29))))</f>
        <v>0</v>
      </c>
      <c r="T179" s="42">
        <f>IF(テーブル22[[#This Row],[長座]]="",0,(IF(テーブル22[[#This Row],[性別]]="男",LOOKUP(テーブル22[[#This Row],[長座]],$AL$6:$AM$15),LOOKUP(テーブル22[[#This Row],[長座]],$AL$20:$AM$29))))</f>
        <v>0</v>
      </c>
      <c r="U179" s="42">
        <f>IF(テーブル22[[#This Row],[反復]]="",0,(IF(テーブル22[[#This Row],[性別]]="男",LOOKUP(テーブル22[[#This Row],[反復]],$AN$6:$AO$15),LOOKUP(テーブル22[[#This Row],[反復]],$AN$20:$AO$29))))</f>
        <v>0</v>
      </c>
      <c r="V179" s="42">
        <f>IF(テーブル22[[#This Row],[ｼｬﾄﾙﾗﾝ]]="",0,(IF(テーブル22[[#This Row],[性別]]="男",LOOKUP(テーブル22[[#This Row],[ｼｬﾄﾙﾗﾝ]],$AR$6:$AS$15),LOOKUP(テーブル22[[#This Row],[ｼｬﾄﾙﾗﾝ]],$AR$20:$AS$29))))</f>
        <v>0</v>
      </c>
      <c r="W179" s="42">
        <f>IF(テーブル22[[#This Row],[50m走]]="",0,(IF(テーブル22[[#This Row],[性別]]="男",LOOKUP(テーブル22[[#This Row],[50m走]],$AT$6:$AU$15),LOOKUP(テーブル22[[#This Row],[50m走]],$AT$20:$AU$29))))</f>
        <v>0</v>
      </c>
      <c r="X179" s="42">
        <f>IF(テーブル22[[#This Row],[立幅とび]]="",0,(IF(テーブル22[[#This Row],[性別]]="男",LOOKUP(テーブル22[[#This Row],[立幅とび]],$AV$6:$AW$15),LOOKUP(テーブル22[[#This Row],[立幅とび]],$AV$20:$AW$29))))</f>
        <v>0</v>
      </c>
      <c r="Y179" s="42">
        <f>IF(テーブル22[[#This Row],[ボール投げ]]="",0,(IF(テーブル22[[#This Row],[性別]]="男",LOOKUP(テーブル22[[#This Row],[ボール投げ]],$AX$6:$AY$15),LOOKUP(テーブル22[[#This Row],[ボール投げ]],$AX$20:$AY$29))))</f>
        <v>0</v>
      </c>
      <c r="Z179" s="19" t="str">
        <f>IF(テーブル22[[#This Row],[学年]]=1,6,IF(テーブル22[[#This Row],[学年]]=2,7,IF(テーブル22[[#This Row],[学年]]=3,8,IF(テーブル22[[#This Row],[学年]]=4,9,IF(テーブル22[[#This Row],[学年]]=5,10,IF(テーブル22[[#This Row],[学年]]=6,11," "))))))</f>
        <v xml:space="preserve"> </v>
      </c>
      <c r="AA179" s="125" t="str">
        <f>IF(テーブル22[[#This Row],[肥満度数値]]="","",LOOKUP(AC179,$AW$39:$AW$44,$AX$39:$AX$44))</f>
        <v/>
      </c>
      <c r="AB1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79" s="124" t="str">
        <f>IF(テーブル22[[#This Row],[体重]]="","",(テーブル22[[#This Row],[体重]]-テーブル22[[#This Row],[標準体重]])/テーブル22[[#This Row],[標準体重]]*100)</f>
        <v/>
      </c>
      <c r="AD179" s="1">
        <f>COUNTA(テーブル22[[#This Row],[握力]:[ボール投げ]])</f>
        <v>0</v>
      </c>
      <c r="AE179" s="1" t="str">
        <f>IF(テーブル22[[#This Row],[判定]]=$BD$10,"○","")</f>
        <v/>
      </c>
      <c r="AF179" s="1" t="str">
        <f>IF(AE179="","",COUNTIF($AE$6:AE179,"○"))</f>
        <v/>
      </c>
    </row>
    <row r="180" spans="1:32" x14ac:dyDescent="0.2">
      <c r="A180" s="40">
        <v>175</v>
      </c>
      <c r="B180" s="145"/>
      <c r="C180" s="148"/>
      <c r="D180" s="145"/>
      <c r="E180" s="156"/>
      <c r="F180" s="145"/>
      <c r="G180" s="145"/>
      <c r="H180" s="146"/>
      <c r="I180" s="146"/>
      <c r="J180" s="148"/>
      <c r="K180" s="145"/>
      <c r="L180" s="148"/>
      <c r="M180" s="149"/>
      <c r="N180" s="148"/>
      <c r="O180" s="150"/>
      <c r="P1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0" s="43" t="str">
        <f>IF(テーブル22[[#This Row],[得点]]="","",IF(テーブル22[[#This Row],[年齢]]&gt;10,LOOKUP(P180,$BG$6:$BG$10,$BD$6:$BD$10),IF(テーブル22[[#This Row],[年齢]]&gt;9,LOOKUP(P180,$BF$6:$BF$10,$BD$6:$BD$10),IF(テーブル22[[#This Row],[年齢]]&gt;8,LOOKUP(P180,$BE$6:$BE$10,$BD$6:$BD$10),IF(テーブル22[[#This Row],[年齢]]&gt;7,LOOKUP(P180,$BC$6:$BC$10,$BD$6:$BD$10),IF(テーブル22[[#This Row],[年齢]]&gt;6,LOOKUP(P180,$BB$6:$BB$10,$BD$6:$BD$10),LOOKUP(P180,$BA$6:$BA$10,$BD$6:$BD$10)))))))</f>
        <v/>
      </c>
      <c r="R180" s="42">
        <f>IF(H180="",0,(IF(テーブル22[[#This Row],[性別]]="男",LOOKUP(テーブル22[[#This Row],[握力]],$AH$6:$AI$15),LOOKUP(テーブル22[[#This Row],[握力]],$AH$20:$AI$29))))</f>
        <v>0</v>
      </c>
      <c r="S180" s="42">
        <f>IF(テーブル22[[#This Row],[上体]]="",0,(IF(テーブル22[[#This Row],[性別]]="男",LOOKUP(テーブル22[[#This Row],[上体]],$AJ$6:$AK$15),LOOKUP(テーブル22[[#This Row],[上体]],$AJ$20:$AK$29))))</f>
        <v>0</v>
      </c>
      <c r="T180" s="42">
        <f>IF(テーブル22[[#This Row],[長座]]="",0,(IF(テーブル22[[#This Row],[性別]]="男",LOOKUP(テーブル22[[#This Row],[長座]],$AL$6:$AM$15),LOOKUP(テーブル22[[#This Row],[長座]],$AL$20:$AM$29))))</f>
        <v>0</v>
      </c>
      <c r="U180" s="42">
        <f>IF(テーブル22[[#This Row],[反復]]="",0,(IF(テーブル22[[#This Row],[性別]]="男",LOOKUP(テーブル22[[#This Row],[反復]],$AN$6:$AO$15),LOOKUP(テーブル22[[#This Row],[反復]],$AN$20:$AO$29))))</f>
        <v>0</v>
      </c>
      <c r="V180" s="42">
        <f>IF(テーブル22[[#This Row],[ｼｬﾄﾙﾗﾝ]]="",0,(IF(テーブル22[[#This Row],[性別]]="男",LOOKUP(テーブル22[[#This Row],[ｼｬﾄﾙﾗﾝ]],$AR$6:$AS$15),LOOKUP(テーブル22[[#This Row],[ｼｬﾄﾙﾗﾝ]],$AR$20:$AS$29))))</f>
        <v>0</v>
      </c>
      <c r="W180" s="42">
        <f>IF(テーブル22[[#This Row],[50m走]]="",0,(IF(テーブル22[[#This Row],[性別]]="男",LOOKUP(テーブル22[[#This Row],[50m走]],$AT$6:$AU$15),LOOKUP(テーブル22[[#This Row],[50m走]],$AT$20:$AU$29))))</f>
        <v>0</v>
      </c>
      <c r="X180" s="42">
        <f>IF(テーブル22[[#This Row],[立幅とび]]="",0,(IF(テーブル22[[#This Row],[性別]]="男",LOOKUP(テーブル22[[#This Row],[立幅とび]],$AV$6:$AW$15),LOOKUP(テーブル22[[#This Row],[立幅とび]],$AV$20:$AW$29))))</f>
        <v>0</v>
      </c>
      <c r="Y180" s="42">
        <f>IF(テーブル22[[#This Row],[ボール投げ]]="",0,(IF(テーブル22[[#This Row],[性別]]="男",LOOKUP(テーブル22[[#This Row],[ボール投げ]],$AX$6:$AY$15),LOOKUP(テーブル22[[#This Row],[ボール投げ]],$AX$20:$AY$29))))</f>
        <v>0</v>
      </c>
      <c r="Z180" s="19" t="str">
        <f>IF(テーブル22[[#This Row],[学年]]=1,6,IF(テーブル22[[#This Row],[学年]]=2,7,IF(テーブル22[[#This Row],[学年]]=3,8,IF(テーブル22[[#This Row],[学年]]=4,9,IF(テーブル22[[#This Row],[学年]]=5,10,IF(テーブル22[[#This Row],[学年]]=6,11," "))))))</f>
        <v xml:space="preserve"> </v>
      </c>
      <c r="AA180" s="125" t="str">
        <f>IF(テーブル22[[#This Row],[肥満度数値]]="","",LOOKUP(AC180,$AW$39:$AW$44,$AX$39:$AX$44))</f>
        <v/>
      </c>
      <c r="AB1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0" s="124" t="str">
        <f>IF(テーブル22[[#This Row],[体重]]="","",(テーブル22[[#This Row],[体重]]-テーブル22[[#This Row],[標準体重]])/テーブル22[[#This Row],[標準体重]]*100)</f>
        <v/>
      </c>
      <c r="AD180" s="1">
        <f>COUNTA(テーブル22[[#This Row],[握力]:[ボール投げ]])</f>
        <v>0</v>
      </c>
      <c r="AE180" s="1" t="str">
        <f>IF(テーブル22[[#This Row],[判定]]=$BD$10,"○","")</f>
        <v/>
      </c>
      <c r="AF180" s="1" t="str">
        <f>IF(AE180="","",COUNTIF($AE$6:AE180,"○"))</f>
        <v/>
      </c>
    </row>
    <row r="181" spans="1:32" x14ac:dyDescent="0.2">
      <c r="A181" s="40">
        <v>176</v>
      </c>
      <c r="B181" s="145"/>
      <c r="C181" s="148"/>
      <c r="D181" s="145"/>
      <c r="E181" s="156"/>
      <c r="F181" s="145"/>
      <c r="G181" s="145"/>
      <c r="H181" s="146"/>
      <c r="I181" s="146"/>
      <c r="J181" s="148"/>
      <c r="K181" s="145"/>
      <c r="L181" s="148"/>
      <c r="M181" s="149"/>
      <c r="N181" s="148"/>
      <c r="O181" s="150"/>
      <c r="P1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1" s="43" t="str">
        <f>IF(テーブル22[[#This Row],[得点]]="","",IF(テーブル22[[#This Row],[年齢]]&gt;10,LOOKUP(P181,$BG$6:$BG$10,$BD$6:$BD$10),IF(テーブル22[[#This Row],[年齢]]&gt;9,LOOKUP(P181,$BF$6:$BF$10,$BD$6:$BD$10),IF(テーブル22[[#This Row],[年齢]]&gt;8,LOOKUP(P181,$BE$6:$BE$10,$BD$6:$BD$10),IF(テーブル22[[#This Row],[年齢]]&gt;7,LOOKUP(P181,$BC$6:$BC$10,$BD$6:$BD$10),IF(テーブル22[[#This Row],[年齢]]&gt;6,LOOKUP(P181,$BB$6:$BB$10,$BD$6:$BD$10),LOOKUP(P181,$BA$6:$BA$10,$BD$6:$BD$10)))))))</f>
        <v/>
      </c>
      <c r="R181" s="42">
        <f>IF(H181="",0,(IF(テーブル22[[#This Row],[性別]]="男",LOOKUP(テーブル22[[#This Row],[握力]],$AH$6:$AI$15),LOOKUP(テーブル22[[#This Row],[握力]],$AH$20:$AI$29))))</f>
        <v>0</v>
      </c>
      <c r="S181" s="42">
        <f>IF(テーブル22[[#This Row],[上体]]="",0,(IF(テーブル22[[#This Row],[性別]]="男",LOOKUP(テーブル22[[#This Row],[上体]],$AJ$6:$AK$15),LOOKUP(テーブル22[[#This Row],[上体]],$AJ$20:$AK$29))))</f>
        <v>0</v>
      </c>
      <c r="T181" s="42">
        <f>IF(テーブル22[[#This Row],[長座]]="",0,(IF(テーブル22[[#This Row],[性別]]="男",LOOKUP(テーブル22[[#This Row],[長座]],$AL$6:$AM$15),LOOKUP(テーブル22[[#This Row],[長座]],$AL$20:$AM$29))))</f>
        <v>0</v>
      </c>
      <c r="U181" s="42">
        <f>IF(テーブル22[[#This Row],[反復]]="",0,(IF(テーブル22[[#This Row],[性別]]="男",LOOKUP(テーブル22[[#This Row],[反復]],$AN$6:$AO$15),LOOKUP(テーブル22[[#This Row],[反復]],$AN$20:$AO$29))))</f>
        <v>0</v>
      </c>
      <c r="V181" s="42">
        <f>IF(テーブル22[[#This Row],[ｼｬﾄﾙﾗﾝ]]="",0,(IF(テーブル22[[#This Row],[性別]]="男",LOOKUP(テーブル22[[#This Row],[ｼｬﾄﾙﾗﾝ]],$AR$6:$AS$15),LOOKUP(テーブル22[[#This Row],[ｼｬﾄﾙﾗﾝ]],$AR$20:$AS$29))))</f>
        <v>0</v>
      </c>
      <c r="W181" s="42">
        <f>IF(テーブル22[[#This Row],[50m走]]="",0,(IF(テーブル22[[#This Row],[性別]]="男",LOOKUP(テーブル22[[#This Row],[50m走]],$AT$6:$AU$15),LOOKUP(テーブル22[[#This Row],[50m走]],$AT$20:$AU$29))))</f>
        <v>0</v>
      </c>
      <c r="X181" s="42">
        <f>IF(テーブル22[[#This Row],[立幅とび]]="",0,(IF(テーブル22[[#This Row],[性別]]="男",LOOKUP(テーブル22[[#This Row],[立幅とび]],$AV$6:$AW$15),LOOKUP(テーブル22[[#This Row],[立幅とび]],$AV$20:$AW$29))))</f>
        <v>0</v>
      </c>
      <c r="Y181" s="42">
        <f>IF(テーブル22[[#This Row],[ボール投げ]]="",0,(IF(テーブル22[[#This Row],[性別]]="男",LOOKUP(テーブル22[[#This Row],[ボール投げ]],$AX$6:$AY$15),LOOKUP(テーブル22[[#This Row],[ボール投げ]],$AX$20:$AY$29))))</f>
        <v>0</v>
      </c>
      <c r="Z181" s="19" t="str">
        <f>IF(テーブル22[[#This Row],[学年]]=1,6,IF(テーブル22[[#This Row],[学年]]=2,7,IF(テーブル22[[#This Row],[学年]]=3,8,IF(テーブル22[[#This Row],[学年]]=4,9,IF(テーブル22[[#This Row],[学年]]=5,10,IF(テーブル22[[#This Row],[学年]]=6,11," "))))))</f>
        <v xml:space="preserve"> </v>
      </c>
      <c r="AA181" s="125" t="str">
        <f>IF(テーブル22[[#This Row],[肥満度数値]]="","",LOOKUP(AC181,$AW$39:$AW$44,$AX$39:$AX$44))</f>
        <v/>
      </c>
      <c r="AB1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1" s="124" t="str">
        <f>IF(テーブル22[[#This Row],[体重]]="","",(テーブル22[[#This Row],[体重]]-テーブル22[[#This Row],[標準体重]])/テーブル22[[#This Row],[標準体重]]*100)</f>
        <v/>
      </c>
      <c r="AD181" s="1">
        <f>COUNTA(テーブル22[[#This Row],[握力]:[ボール投げ]])</f>
        <v>0</v>
      </c>
      <c r="AE181" s="1" t="str">
        <f>IF(テーブル22[[#This Row],[判定]]=$BD$10,"○","")</f>
        <v/>
      </c>
      <c r="AF181" s="1" t="str">
        <f>IF(AE181="","",COUNTIF($AE$6:AE181,"○"))</f>
        <v/>
      </c>
    </row>
    <row r="182" spans="1:32" x14ac:dyDescent="0.2">
      <c r="A182" s="40">
        <v>177</v>
      </c>
      <c r="B182" s="145"/>
      <c r="C182" s="148"/>
      <c r="D182" s="145"/>
      <c r="E182" s="156"/>
      <c r="F182" s="145"/>
      <c r="G182" s="145"/>
      <c r="H182" s="146"/>
      <c r="I182" s="146"/>
      <c r="J182" s="148"/>
      <c r="K182" s="145"/>
      <c r="L182" s="148"/>
      <c r="M182" s="149"/>
      <c r="N182" s="148"/>
      <c r="O182" s="150"/>
      <c r="P1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2" s="43" t="str">
        <f>IF(テーブル22[[#This Row],[得点]]="","",IF(テーブル22[[#This Row],[年齢]]&gt;10,LOOKUP(P182,$BG$6:$BG$10,$BD$6:$BD$10),IF(テーブル22[[#This Row],[年齢]]&gt;9,LOOKUP(P182,$BF$6:$BF$10,$BD$6:$BD$10),IF(テーブル22[[#This Row],[年齢]]&gt;8,LOOKUP(P182,$BE$6:$BE$10,$BD$6:$BD$10),IF(テーブル22[[#This Row],[年齢]]&gt;7,LOOKUP(P182,$BC$6:$BC$10,$BD$6:$BD$10),IF(テーブル22[[#This Row],[年齢]]&gt;6,LOOKUP(P182,$BB$6:$BB$10,$BD$6:$BD$10),LOOKUP(P182,$BA$6:$BA$10,$BD$6:$BD$10)))))))</f>
        <v/>
      </c>
      <c r="R182" s="42">
        <f>IF(H182="",0,(IF(テーブル22[[#This Row],[性別]]="男",LOOKUP(テーブル22[[#This Row],[握力]],$AH$6:$AI$15),LOOKUP(テーブル22[[#This Row],[握力]],$AH$20:$AI$29))))</f>
        <v>0</v>
      </c>
      <c r="S182" s="42">
        <f>IF(テーブル22[[#This Row],[上体]]="",0,(IF(テーブル22[[#This Row],[性別]]="男",LOOKUP(テーブル22[[#This Row],[上体]],$AJ$6:$AK$15),LOOKUP(テーブル22[[#This Row],[上体]],$AJ$20:$AK$29))))</f>
        <v>0</v>
      </c>
      <c r="T182" s="42">
        <f>IF(テーブル22[[#This Row],[長座]]="",0,(IF(テーブル22[[#This Row],[性別]]="男",LOOKUP(テーブル22[[#This Row],[長座]],$AL$6:$AM$15),LOOKUP(テーブル22[[#This Row],[長座]],$AL$20:$AM$29))))</f>
        <v>0</v>
      </c>
      <c r="U182" s="42">
        <f>IF(テーブル22[[#This Row],[反復]]="",0,(IF(テーブル22[[#This Row],[性別]]="男",LOOKUP(テーブル22[[#This Row],[反復]],$AN$6:$AO$15),LOOKUP(テーブル22[[#This Row],[反復]],$AN$20:$AO$29))))</f>
        <v>0</v>
      </c>
      <c r="V182" s="42">
        <f>IF(テーブル22[[#This Row],[ｼｬﾄﾙﾗﾝ]]="",0,(IF(テーブル22[[#This Row],[性別]]="男",LOOKUP(テーブル22[[#This Row],[ｼｬﾄﾙﾗﾝ]],$AR$6:$AS$15),LOOKUP(テーブル22[[#This Row],[ｼｬﾄﾙﾗﾝ]],$AR$20:$AS$29))))</f>
        <v>0</v>
      </c>
      <c r="W182" s="42">
        <f>IF(テーブル22[[#This Row],[50m走]]="",0,(IF(テーブル22[[#This Row],[性別]]="男",LOOKUP(テーブル22[[#This Row],[50m走]],$AT$6:$AU$15),LOOKUP(テーブル22[[#This Row],[50m走]],$AT$20:$AU$29))))</f>
        <v>0</v>
      </c>
      <c r="X182" s="42">
        <f>IF(テーブル22[[#This Row],[立幅とび]]="",0,(IF(テーブル22[[#This Row],[性別]]="男",LOOKUP(テーブル22[[#This Row],[立幅とび]],$AV$6:$AW$15),LOOKUP(テーブル22[[#This Row],[立幅とび]],$AV$20:$AW$29))))</f>
        <v>0</v>
      </c>
      <c r="Y182" s="42">
        <f>IF(テーブル22[[#This Row],[ボール投げ]]="",0,(IF(テーブル22[[#This Row],[性別]]="男",LOOKUP(テーブル22[[#This Row],[ボール投げ]],$AX$6:$AY$15),LOOKUP(テーブル22[[#This Row],[ボール投げ]],$AX$20:$AY$29))))</f>
        <v>0</v>
      </c>
      <c r="Z182" s="19" t="str">
        <f>IF(テーブル22[[#This Row],[学年]]=1,6,IF(テーブル22[[#This Row],[学年]]=2,7,IF(テーブル22[[#This Row],[学年]]=3,8,IF(テーブル22[[#This Row],[学年]]=4,9,IF(テーブル22[[#This Row],[学年]]=5,10,IF(テーブル22[[#This Row],[学年]]=6,11," "))))))</f>
        <v xml:space="preserve"> </v>
      </c>
      <c r="AA182" s="125" t="str">
        <f>IF(テーブル22[[#This Row],[肥満度数値]]="","",LOOKUP(AC182,$AW$39:$AW$44,$AX$39:$AX$44))</f>
        <v/>
      </c>
      <c r="AB1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2" s="124" t="str">
        <f>IF(テーブル22[[#This Row],[体重]]="","",(テーブル22[[#This Row],[体重]]-テーブル22[[#This Row],[標準体重]])/テーブル22[[#This Row],[標準体重]]*100)</f>
        <v/>
      </c>
      <c r="AD182" s="1">
        <f>COUNTA(テーブル22[[#This Row],[握力]:[ボール投げ]])</f>
        <v>0</v>
      </c>
      <c r="AE182" s="1" t="str">
        <f>IF(テーブル22[[#This Row],[判定]]=$BD$10,"○","")</f>
        <v/>
      </c>
      <c r="AF182" s="1" t="str">
        <f>IF(AE182="","",COUNTIF($AE$6:AE182,"○"))</f>
        <v/>
      </c>
    </row>
    <row r="183" spans="1:32" x14ac:dyDescent="0.2">
      <c r="A183" s="40">
        <v>178</v>
      </c>
      <c r="B183" s="145"/>
      <c r="C183" s="148"/>
      <c r="D183" s="145"/>
      <c r="E183" s="156"/>
      <c r="F183" s="145"/>
      <c r="G183" s="145"/>
      <c r="H183" s="146"/>
      <c r="I183" s="146"/>
      <c r="J183" s="148"/>
      <c r="K183" s="145"/>
      <c r="L183" s="148"/>
      <c r="M183" s="149"/>
      <c r="N183" s="148"/>
      <c r="O183" s="150"/>
      <c r="P1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3" s="43" t="str">
        <f>IF(テーブル22[[#This Row],[得点]]="","",IF(テーブル22[[#This Row],[年齢]]&gt;10,LOOKUP(P183,$BG$6:$BG$10,$BD$6:$BD$10),IF(テーブル22[[#This Row],[年齢]]&gt;9,LOOKUP(P183,$BF$6:$BF$10,$BD$6:$BD$10),IF(テーブル22[[#This Row],[年齢]]&gt;8,LOOKUP(P183,$BE$6:$BE$10,$BD$6:$BD$10),IF(テーブル22[[#This Row],[年齢]]&gt;7,LOOKUP(P183,$BC$6:$BC$10,$BD$6:$BD$10),IF(テーブル22[[#This Row],[年齢]]&gt;6,LOOKUP(P183,$BB$6:$BB$10,$BD$6:$BD$10),LOOKUP(P183,$BA$6:$BA$10,$BD$6:$BD$10)))))))</f>
        <v/>
      </c>
      <c r="R183" s="42">
        <f>IF(H183="",0,(IF(テーブル22[[#This Row],[性別]]="男",LOOKUP(テーブル22[[#This Row],[握力]],$AH$6:$AI$15),LOOKUP(テーブル22[[#This Row],[握力]],$AH$20:$AI$29))))</f>
        <v>0</v>
      </c>
      <c r="S183" s="42">
        <f>IF(テーブル22[[#This Row],[上体]]="",0,(IF(テーブル22[[#This Row],[性別]]="男",LOOKUP(テーブル22[[#This Row],[上体]],$AJ$6:$AK$15),LOOKUP(テーブル22[[#This Row],[上体]],$AJ$20:$AK$29))))</f>
        <v>0</v>
      </c>
      <c r="T183" s="42">
        <f>IF(テーブル22[[#This Row],[長座]]="",0,(IF(テーブル22[[#This Row],[性別]]="男",LOOKUP(テーブル22[[#This Row],[長座]],$AL$6:$AM$15),LOOKUP(テーブル22[[#This Row],[長座]],$AL$20:$AM$29))))</f>
        <v>0</v>
      </c>
      <c r="U183" s="42">
        <f>IF(テーブル22[[#This Row],[反復]]="",0,(IF(テーブル22[[#This Row],[性別]]="男",LOOKUP(テーブル22[[#This Row],[反復]],$AN$6:$AO$15),LOOKUP(テーブル22[[#This Row],[反復]],$AN$20:$AO$29))))</f>
        <v>0</v>
      </c>
      <c r="V183" s="42">
        <f>IF(テーブル22[[#This Row],[ｼｬﾄﾙﾗﾝ]]="",0,(IF(テーブル22[[#This Row],[性別]]="男",LOOKUP(テーブル22[[#This Row],[ｼｬﾄﾙﾗﾝ]],$AR$6:$AS$15),LOOKUP(テーブル22[[#This Row],[ｼｬﾄﾙﾗﾝ]],$AR$20:$AS$29))))</f>
        <v>0</v>
      </c>
      <c r="W183" s="42">
        <f>IF(テーブル22[[#This Row],[50m走]]="",0,(IF(テーブル22[[#This Row],[性別]]="男",LOOKUP(テーブル22[[#This Row],[50m走]],$AT$6:$AU$15),LOOKUP(テーブル22[[#This Row],[50m走]],$AT$20:$AU$29))))</f>
        <v>0</v>
      </c>
      <c r="X183" s="42">
        <f>IF(テーブル22[[#This Row],[立幅とび]]="",0,(IF(テーブル22[[#This Row],[性別]]="男",LOOKUP(テーブル22[[#This Row],[立幅とび]],$AV$6:$AW$15),LOOKUP(テーブル22[[#This Row],[立幅とび]],$AV$20:$AW$29))))</f>
        <v>0</v>
      </c>
      <c r="Y183" s="42">
        <f>IF(テーブル22[[#This Row],[ボール投げ]]="",0,(IF(テーブル22[[#This Row],[性別]]="男",LOOKUP(テーブル22[[#This Row],[ボール投げ]],$AX$6:$AY$15),LOOKUP(テーブル22[[#This Row],[ボール投げ]],$AX$20:$AY$29))))</f>
        <v>0</v>
      </c>
      <c r="Z183" s="19" t="str">
        <f>IF(テーブル22[[#This Row],[学年]]=1,6,IF(テーブル22[[#This Row],[学年]]=2,7,IF(テーブル22[[#This Row],[学年]]=3,8,IF(テーブル22[[#This Row],[学年]]=4,9,IF(テーブル22[[#This Row],[学年]]=5,10,IF(テーブル22[[#This Row],[学年]]=6,11," "))))))</f>
        <v xml:space="preserve"> </v>
      </c>
      <c r="AA183" s="125" t="str">
        <f>IF(テーブル22[[#This Row],[肥満度数値]]="","",LOOKUP(AC183,$AW$39:$AW$44,$AX$39:$AX$44))</f>
        <v/>
      </c>
      <c r="AB1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3" s="124" t="str">
        <f>IF(テーブル22[[#This Row],[体重]]="","",(テーブル22[[#This Row],[体重]]-テーブル22[[#This Row],[標準体重]])/テーブル22[[#This Row],[標準体重]]*100)</f>
        <v/>
      </c>
      <c r="AD183" s="1">
        <f>COUNTA(テーブル22[[#This Row],[握力]:[ボール投げ]])</f>
        <v>0</v>
      </c>
      <c r="AE183" s="1" t="str">
        <f>IF(テーブル22[[#This Row],[判定]]=$BD$10,"○","")</f>
        <v/>
      </c>
      <c r="AF183" s="1" t="str">
        <f>IF(AE183="","",COUNTIF($AE$6:AE183,"○"))</f>
        <v/>
      </c>
    </row>
    <row r="184" spans="1:32" x14ac:dyDescent="0.2">
      <c r="A184" s="40">
        <v>179</v>
      </c>
      <c r="B184" s="145"/>
      <c r="C184" s="148"/>
      <c r="D184" s="145"/>
      <c r="E184" s="156"/>
      <c r="F184" s="145"/>
      <c r="G184" s="145"/>
      <c r="H184" s="146"/>
      <c r="I184" s="146"/>
      <c r="J184" s="148"/>
      <c r="K184" s="145"/>
      <c r="L184" s="148"/>
      <c r="M184" s="149"/>
      <c r="N184" s="148"/>
      <c r="O184" s="150"/>
      <c r="P1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4" s="43" t="str">
        <f>IF(テーブル22[[#This Row],[得点]]="","",IF(テーブル22[[#This Row],[年齢]]&gt;10,LOOKUP(P184,$BG$6:$BG$10,$BD$6:$BD$10),IF(テーブル22[[#This Row],[年齢]]&gt;9,LOOKUP(P184,$BF$6:$BF$10,$BD$6:$BD$10),IF(テーブル22[[#This Row],[年齢]]&gt;8,LOOKUP(P184,$BE$6:$BE$10,$BD$6:$BD$10),IF(テーブル22[[#This Row],[年齢]]&gt;7,LOOKUP(P184,$BC$6:$BC$10,$BD$6:$BD$10),IF(テーブル22[[#This Row],[年齢]]&gt;6,LOOKUP(P184,$BB$6:$BB$10,$BD$6:$BD$10),LOOKUP(P184,$BA$6:$BA$10,$BD$6:$BD$10)))))))</f>
        <v/>
      </c>
      <c r="R184" s="42">
        <f>IF(H184="",0,(IF(テーブル22[[#This Row],[性別]]="男",LOOKUP(テーブル22[[#This Row],[握力]],$AH$6:$AI$15),LOOKUP(テーブル22[[#This Row],[握力]],$AH$20:$AI$29))))</f>
        <v>0</v>
      </c>
      <c r="S184" s="42">
        <f>IF(テーブル22[[#This Row],[上体]]="",0,(IF(テーブル22[[#This Row],[性別]]="男",LOOKUP(テーブル22[[#This Row],[上体]],$AJ$6:$AK$15),LOOKUP(テーブル22[[#This Row],[上体]],$AJ$20:$AK$29))))</f>
        <v>0</v>
      </c>
      <c r="T184" s="42">
        <f>IF(テーブル22[[#This Row],[長座]]="",0,(IF(テーブル22[[#This Row],[性別]]="男",LOOKUP(テーブル22[[#This Row],[長座]],$AL$6:$AM$15),LOOKUP(テーブル22[[#This Row],[長座]],$AL$20:$AM$29))))</f>
        <v>0</v>
      </c>
      <c r="U184" s="42">
        <f>IF(テーブル22[[#This Row],[反復]]="",0,(IF(テーブル22[[#This Row],[性別]]="男",LOOKUP(テーブル22[[#This Row],[反復]],$AN$6:$AO$15),LOOKUP(テーブル22[[#This Row],[反復]],$AN$20:$AO$29))))</f>
        <v>0</v>
      </c>
      <c r="V184" s="42">
        <f>IF(テーブル22[[#This Row],[ｼｬﾄﾙﾗﾝ]]="",0,(IF(テーブル22[[#This Row],[性別]]="男",LOOKUP(テーブル22[[#This Row],[ｼｬﾄﾙﾗﾝ]],$AR$6:$AS$15),LOOKUP(テーブル22[[#This Row],[ｼｬﾄﾙﾗﾝ]],$AR$20:$AS$29))))</f>
        <v>0</v>
      </c>
      <c r="W184" s="42">
        <f>IF(テーブル22[[#This Row],[50m走]]="",0,(IF(テーブル22[[#This Row],[性別]]="男",LOOKUP(テーブル22[[#This Row],[50m走]],$AT$6:$AU$15),LOOKUP(テーブル22[[#This Row],[50m走]],$AT$20:$AU$29))))</f>
        <v>0</v>
      </c>
      <c r="X184" s="42">
        <f>IF(テーブル22[[#This Row],[立幅とび]]="",0,(IF(テーブル22[[#This Row],[性別]]="男",LOOKUP(テーブル22[[#This Row],[立幅とび]],$AV$6:$AW$15),LOOKUP(テーブル22[[#This Row],[立幅とび]],$AV$20:$AW$29))))</f>
        <v>0</v>
      </c>
      <c r="Y184" s="42">
        <f>IF(テーブル22[[#This Row],[ボール投げ]]="",0,(IF(テーブル22[[#This Row],[性別]]="男",LOOKUP(テーブル22[[#This Row],[ボール投げ]],$AX$6:$AY$15),LOOKUP(テーブル22[[#This Row],[ボール投げ]],$AX$20:$AY$29))))</f>
        <v>0</v>
      </c>
      <c r="Z184" s="19" t="str">
        <f>IF(テーブル22[[#This Row],[学年]]=1,6,IF(テーブル22[[#This Row],[学年]]=2,7,IF(テーブル22[[#This Row],[学年]]=3,8,IF(テーブル22[[#This Row],[学年]]=4,9,IF(テーブル22[[#This Row],[学年]]=5,10,IF(テーブル22[[#This Row],[学年]]=6,11," "))))))</f>
        <v xml:space="preserve"> </v>
      </c>
      <c r="AA184" s="125" t="str">
        <f>IF(テーブル22[[#This Row],[肥満度数値]]="","",LOOKUP(AC184,$AW$39:$AW$44,$AX$39:$AX$44))</f>
        <v/>
      </c>
      <c r="AB1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4" s="124" t="str">
        <f>IF(テーブル22[[#This Row],[体重]]="","",(テーブル22[[#This Row],[体重]]-テーブル22[[#This Row],[標準体重]])/テーブル22[[#This Row],[標準体重]]*100)</f>
        <v/>
      </c>
      <c r="AD184" s="1">
        <f>COUNTA(テーブル22[[#This Row],[握力]:[ボール投げ]])</f>
        <v>0</v>
      </c>
      <c r="AE184" s="1" t="str">
        <f>IF(テーブル22[[#This Row],[判定]]=$BD$10,"○","")</f>
        <v/>
      </c>
      <c r="AF184" s="1" t="str">
        <f>IF(AE184="","",COUNTIF($AE$6:AE184,"○"))</f>
        <v/>
      </c>
    </row>
    <row r="185" spans="1:32" x14ac:dyDescent="0.2">
      <c r="A185" s="40">
        <v>180</v>
      </c>
      <c r="B185" s="145"/>
      <c r="C185" s="148"/>
      <c r="D185" s="145"/>
      <c r="E185" s="156"/>
      <c r="F185" s="145"/>
      <c r="G185" s="145"/>
      <c r="H185" s="146"/>
      <c r="I185" s="146"/>
      <c r="J185" s="148"/>
      <c r="K185" s="145"/>
      <c r="L185" s="148"/>
      <c r="M185" s="149"/>
      <c r="N185" s="148"/>
      <c r="O185" s="150"/>
      <c r="P1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5" s="43" t="str">
        <f>IF(テーブル22[[#This Row],[得点]]="","",IF(テーブル22[[#This Row],[年齢]]&gt;10,LOOKUP(P185,$BG$6:$BG$10,$BD$6:$BD$10),IF(テーブル22[[#This Row],[年齢]]&gt;9,LOOKUP(P185,$BF$6:$BF$10,$BD$6:$BD$10),IF(テーブル22[[#This Row],[年齢]]&gt;8,LOOKUP(P185,$BE$6:$BE$10,$BD$6:$BD$10),IF(テーブル22[[#This Row],[年齢]]&gt;7,LOOKUP(P185,$BC$6:$BC$10,$BD$6:$BD$10),IF(テーブル22[[#This Row],[年齢]]&gt;6,LOOKUP(P185,$BB$6:$BB$10,$BD$6:$BD$10),LOOKUP(P185,$BA$6:$BA$10,$BD$6:$BD$10)))))))</f>
        <v/>
      </c>
      <c r="R185" s="42">
        <f>IF(H185="",0,(IF(テーブル22[[#This Row],[性別]]="男",LOOKUP(テーブル22[[#This Row],[握力]],$AH$6:$AI$15),LOOKUP(テーブル22[[#This Row],[握力]],$AH$20:$AI$29))))</f>
        <v>0</v>
      </c>
      <c r="S185" s="42">
        <f>IF(テーブル22[[#This Row],[上体]]="",0,(IF(テーブル22[[#This Row],[性別]]="男",LOOKUP(テーブル22[[#This Row],[上体]],$AJ$6:$AK$15),LOOKUP(テーブル22[[#This Row],[上体]],$AJ$20:$AK$29))))</f>
        <v>0</v>
      </c>
      <c r="T185" s="42">
        <f>IF(テーブル22[[#This Row],[長座]]="",0,(IF(テーブル22[[#This Row],[性別]]="男",LOOKUP(テーブル22[[#This Row],[長座]],$AL$6:$AM$15),LOOKUP(テーブル22[[#This Row],[長座]],$AL$20:$AM$29))))</f>
        <v>0</v>
      </c>
      <c r="U185" s="42">
        <f>IF(テーブル22[[#This Row],[反復]]="",0,(IF(テーブル22[[#This Row],[性別]]="男",LOOKUP(テーブル22[[#This Row],[反復]],$AN$6:$AO$15),LOOKUP(テーブル22[[#This Row],[反復]],$AN$20:$AO$29))))</f>
        <v>0</v>
      </c>
      <c r="V185" s="42">
        <f>IF(テーブル22[[#This Row],[ｼｬﾄﾙﾗﾝ]]="",0,(IF(テーブル22[[#This Row],[性別]]="男",LOOKUP(テーブル22[[#This Row],[ｼｬﾄﾙﾗﾝ]],$AR$6:$AS$15),LOOKUP(テーブル22[[#This Row],[ｼｬﾄﾙﾗﾝ]],$AR$20:$AS$29))))</f>
        <v>0</v>
      </c>
      <c r="W185" s="42">
        <f>IF(テーブル22[[#This Row],[50m走]]="",0,(IF(テーブル22[[#This Row],[性別]]="男",LOOKUP(テーブル22[[#This Row],[50m走]],$AT$6:$AU$15),LOOKUP(テーブル22[[#This Row],[50m走]],$AT$20:$AU$29))))</f>
        <v>0</v>
      </c>
      <c r="X185" s="42">
        <f>IF(テーブル22[[#This Row],[立幅とび]]="",0,(IF(テーブル22[[#This Row],[性別]]="男",LOOKUP(テーブル22[[#This Row],[立幅とび]],$AV$6:$AW$15),LOOKUP(テーブル22[[#This Row],[立幅とび]],$AV$20:$AW$29))))</f>
        <v>0</v>
      </c>
      <c r="Y185" s="42">
        <f>IF(テーブル22[[#This Row],[ボール投げ]]="",0,(IF(テーブル22[[#This Row],[性別]]="男",LOOKUP(テーブル22[[#This Row],[ボール投げ]],$AX$6:$AY$15),LOOKUP(テーブル22[[#This Row],[ボール投げ]],$AX$20:$AY$29))))</f>
        <v>0</v>
      </c>
      <c r="Z185" s="19" t="str">
        <f>IF(テーブル22[[#This Row],[学年]]=1,6,IF(テーブル22[[#This Row],[学年]]=2,7,IF(テーブル22[[#This Row],[学年]]=3,8,IF(テーブル22[[#This Row],[学年]]=4,9,IF(テーブル22[[#This Row],[学年]]=5,10,IF(テーブル22[[#This Row],[学年]]=6,11," "))))))</f>
        <v xml:space="preserve"> </v>
      </c>
      <c r="AA185" s="125" t="str">
        <f>IF(テーブル22[[#This Row],[肥満度数値]]="","",LOOKUP(AC185,$AW$39:$AW$44,$AX$39:$AX$44))</f>
        <v/>
      </c>
      <c r="AB1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5" s="124" t="str">
        <f>IF(テーブル22[[#This Row],[体重]]="","",(テーブル22[[#This Row],[体重]]-テーブル22[[#This Row],[標準体重]])/テーブル22[[#This Row],[標準体重]]*100)</f>
        <v/>
      </c>
      <c r="AD185" s="1">
        <f>COUNTA(テーブル22[[#This Row],[握力]:[ボール投げ]])</f>
        <v>0</v>
      </c>
      <c r="AE185" s="1" t="str">
        <f>IF(テーブル22[[#This Row],[判定]]=$BD$10,"○","")</f>
        <v/>
      </c>
      <c r="AF185" s="1" t="str">
        <f>IF(AE185="","",COUNTIF($AE$6:AE185,"○"))</f>
        <v/>
      </c>
    </row>
    <row r="186" spans="1:32" x14ac:dyDescent="0.2">
      <c r="A186" s="40">
        <v>181</v>
      </c>
      <c r="B186" s="145"/>
      <c r="C186" s="148"/>
      <c r="D186" s="145"/>
      <c r="E186" s="156"/>
      <c r="F186" s="145"/>
      <c r="G186" s="145"/>
      <c r="H186" s="146"/>
      <c r="I186" s="146"/>
      <c r="J186" s="148"/>
      <c r="K186" s="145"/>
      <c r="L186" s="148"/>
      <c r="M186" s="149"/>
      <c r="N186" s="148"/>
      <c r="O186" s="150"/>
      <c r="P1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6" s="43" t="str">
        <f>IF(テーブル22[[#This Row],[得点]]="","",IF(テーブル22[[#This Row],[年齢]]&gt;10,LOOKUP(P186,$BG$6:$BG$10,$BD$6:$BD$10),IF(テーブル22[[#This Row],[年齢]]&gt;9,LOOKUP(P186,$BF$6:$BF$10,$BD$6:$BD$10),IF(テーブル22[[#This Row],[年齢]]&gt;8,LOOKUP(P186,$BE$6:$BE$10,$BD$6:$BD$10),IF(テーブル22[[#This Row],[年齢]]&gt;7,LOOKUP(P186,$BC$6:$BC$10,$BD$6:$BD$10),IF(テーブル22[[#This Row],[年齢]]&gt;6,LOOKUP(P186,$BB$6:$BB$10,$BD$6:$BD$10),LOOKUP(P186,$BA$6:$BA$10,$BD$6:$BD$10)))))))</f>
        <v/>
      </c>
      <c r="R186" s="42">
        <f>IF(H186="",0,(IF(テーブル22[[#This Row],[性別]]="男",LOOKUP(テーブル22[[#This Row],[握力]],$AH$6:$AI$15),LOOKUP(テーブル22[[#This Row],[握力]],$AH$20:$AI$29))))</f>
        <v>0</v>
      </c>
      <c r="S186" s="42">
        <f>IF(テーブル22[[#This Row],[上体]]="",0,(IF(テーブル22[[#This Row],[性別]]="男",LOOKUP(テーブル22[[#This Row],[上体]],$AJ$6:$AK$15),LOOKUP(テーブル22[[#This Row],[上体]],$AJ$20:$AK$29))))</f>
        <v>0</v>
      </c>
      <c r="T186" s="42">
        <f>IF(テーブル22[[#This Row],[長座]]="",0,(IF(テーブル22[[#This Row],[性別]]="男",LOOKUP(テーブル22[[#This Row],[長座]],$AL$6:$AM$15),LOOKUP(テーブル22[[#This Row],[長座]],$AL$20:$AM$29))))</f>
        <v>0</v>
      </c>
      <c r="U186" s="42">
        <f>IF(テーブル22[[#This Row],[反復]]="",0,(IF(テーブル22[[#This Row],[性別]]="男",LOOKUP(テーブル22[[#This Row],[反復]],$AN$6:$AO$15),LOOKUP(テーブル22[[#This Row],[反復]],$AN$20:$AO$29))))</f>
        <v>0</v>
      </c>
      <c r="V186" s="42">
        <f>IF(テーブル22[[#This Row],[ｼｬﾄﾙﾗﾝ]]="",0,(IF(テーブル22[[#This Row],[性別]]="男",LOOKUP(テーブル22[[#This Row],[ｼｬﾄﾙﾗﾝ]],$AR$6:$AS$15),LOOKUP(テーブル22[[#This Row],[ｼｬﾄﾙﾗﾝ]],$AR$20:$AS$29))))</f>
        <v>0</v>
      </c>
      <c r="W186" s="42">
        <f>IF(テーブル22[[#This Row],[50m走]]="",0,(IF(テーブル22[[#This Row],[性別]]="男",LOOKUP(テーブル22[[#This Row],[50m走]],$AT$6:$AU$15),LOOKUP(テーブル22[[#This Row],[50m走]],$AT$20:$AU$29))))</f>
        <v>0</v>
      </c>
      <c r="X186" s="42">
        <f>IF(テーブル22[[#This Row],[立幅とび]]="",0,(IF(テーブル22[[#This Row],[性別]]="男",LOOKUP(テーブル22[[#This Row],[立幅とび]],$AV$6:$AW$15),LOOKUP(テーブル22[[#This Row],[立幅とび]],$AV$20:$AW$29))))</f>
        <v>0</v>
      </c>
      <c r="Y186" s="42">
        <f>IF(テーブル22[[#This Row],[ボール投げ]]="",0,(IF(テーブル22[[#This Row],[性別]]="男",LOOKUP(テーブル22[[#This Row],[ボール投げ]],$AX$6:$AY$15),LOOKUP(テーブル22[[#This Row],[ボール投げ]],$AX$20:$AY$29))))</f>
        <v>0</v>
      </c>
      <c r="Z186" s="19" t="str">
        <f>IF(テーブル22[[#This Row],[学年]]=1,6,IF(テーブル22[[#This Row],[学年]]=2,7,IF(テーブル22[[#This Row],[学年]]=3,8,IF(テーブル22[[#This Row],[学年]]=4,9,IF(テーブル22[[#This Row],[学年]]=5,10,IF(テーブル22[[#This Row],[学年]]=6,11," "))))))</f>
        <v xml:space="preserve"> </v>
      </c>
      <c r="AA186" s="125" t="str">
        <f>IF(テーブル22[[#This Row],[肥満度数値]]="","",LOOKUP(AC186,$AW$39:$AW$44,$AX$39:$AX$44))</f>
        <v/>
      </c>
      <c r="AB1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6" s="124" t="str">
        <f>IF(テーブル22[[#This Row],[体重]]="","",(テーブル22[[#This Row],[体重]]-テーブル22[[#This Row],[標準体重]])/テーブル22[[#This Row],[標準体重]]*100)</f>
        <v/>
      </c>
      <c r="AD186" s="1">
        <f>COUNTA(テーブル22[[#This Row],[握力]:[ボール投げ]])</f>
        <v>0</v>
      </c>
      <c r="AE186" s="1" t="str">
        <f>IF(テーブル22[[#This Row],[判定]]=$BD$10,"○","")</f>
        <v/>
      </c>
      <c r="AF186" s="1" t="str">
        <f>IF(AE186="","",COUNTIF($AE$6:AE186,"○"))</f>
        <v/>
      </c>
    </row>
    <row r="187" spans="1:32" x14ac:dyDescent="0.2">
      <c r="A187" s="40">
        <v>182</v>
      </c>
      <c r="B187" s="145"/>
      <c r="C187" s="148"/>
      <c r="D187" s="145"/>
      <c r="E187" s="156"/>
      <c r="F187" s="145"/>
      <c r="G187" s="145"/>
      <c r="H187" s="146"/>
      <c r="I187" s="146"/>
      <c r="J187" s="148"/>
      <c r="K187" s="145"/>
      <c r="L187" s="148"/>
      <c r="M187" s="149"/>
      <c r="N187" s="148"/>
      <c r="O187" s="150"/>
      <c r="P1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7" s="43" t="str">
        <f>IF(テーブル22[[#This Row],[得点]]="","",IF(テーブル22[[#This Row],[年齢]]&gt;10,LOOKUP(P187,$BG$6:$BG$10,$BD$6:$BD$10),IF(テーブル22[[#This Row],[年齢]]&gt;9,LOOKUP(P187,$BF$6:$BF$10,$BD$6:$BD$10),IF(テーブル22[[#This Row],[年齢]]&gt;8,LOOKUP(P187,$BE$6:$BE$10,$BD$6:$BD$10),IF(テーブル22[[#This Row],[年齢]]&gt;7,LOOKUP(P187,$BC$6:$BC$10,$BD$6:$BD$10),IF(テーブル22[[#This Row],[年齢]]&gt;6,LOOKUP(P187,$BB$6:$BB$10,$BD$6:$BD$10),LOOKUP(P187,$BA$6:$BA$10,$BD$6:$BD$10)))))))</f>
        <v/>
      </c>
      <c r="R187" s="42">
        <f>IF(H187="",0,(IF(テーブル22[[#This Row],[性別]]="男",LOOKUP(テーブル22[[#This Row],[握力]],$AH$6:$AI$15),LOOKUP(テーブル22[[#This Row],[握力]],$AH$20:$AI$29))))</f>
        <v>0</v>
      </c>
      <c r="S187" s="42">
        <f>IF(テーブル22[[#This Row],[上体]]="",0,(IF(テーブル22[[#This Row],[性別]]="男",LOOKUP(テーブル22[[#This Row],[上体]],$AJ$6:$AK$15),LOOKUP(テーブル22[[#This Row],[上体]],$AJ$20:$AK$29))))</f>
        <v>0</v>
      </c>
      <c r="T187" s="42">
        <f>IF(テーブル22[[#This Row],[長座]]="",0,(IF(テーブル22[[#This Row],[性別]]="男",LOOKUP(テーブル22[[#This Row],[長座]],$AL$6:$AM$15),LOOKUP(テーブル22[[#This Row],[長座]],$AL$20:$AM$29))))</f>
        <v>0</v>
      </c>
      <c r="U187" s="42">
        <f>IF(テーブル22[[#This Row],[反復]]="",0,(IF(テーブル22[[#This Row],[性別]]="男",LOOKUP(テーブル22[[#This Row],[反復]],$AN$6:$AO$15),LOOKUP(テーブル22[[#This Row],[反復]],$AN$20:$AO$29))))</f>
        <v>0</v>
      </c>
      <c r="V187" s="42">
        <f>IF(テーブル22[[#This Row],[ｼｬﾄﾙﾗﾝ]]="",0,(IF(テーブル22[[#This Row],[性別]]="男",LOOKUP(テーブル22[[#This Row],[ｼｬﾄﾙﾗﾝ]],$AR$6:$AS$15),LOOKUP(テーブル22[[#This Row],[ｼｬﾄﾙﾗﾝ]],$AR$20:$AS$29))))</f>
        <v>0</v>
      </c>
      <c r="W187" s="42">
        <f>IF(テーブル22[[#This Row],[50m走]]="",0,(IF(テーブル22[[#This Row],[性別]]="男",LOOKUP(テーブル22[[#This Row],[50m走]],$AT$6:$AU$15),LOOKUP(テーブル22[[#This Row],[50m走]],$AT$20:$AU$29))))</f>
        <v>0</v>
      </c>
      <c r="X187" s="42">
        <f>IF(テーブル22[[#This Row],[立幅とび]]="",0,(IF(テーブル22[[#This Row],[性別]]="男",LOOKUP(テーブル22[[#This Row],[立幅とび]],$AV$6:$AW$15),LOOKUP(テーブル22[[#This Row],[立幅とび]],$AV$20:$AW$29))))</f>
        <v>0</v>
      </c>
      <c r="Y187" s="42">
        <f>IF(テーブル22[[#This Row],[ボール投げ]]="",0,(IF(テーブル22[[#This Row],[性別]]="男",LOOKUP(テーブル22[[#This Row],[ボール投げ]],$AX$6:$AY$15),LOOKUP(テーブル22[[#This Row],[ボール投げ]],$AX$20:$AY$29))))</f>
        <v>0</v>
      </c>
      <c r="Z187" s="19" t="str">
        <f>IF(テーブル22[[#This Row],[学年]]=1,6,IF(テーブル22[[#This Row],[学年]]=2,7,IF(テーブル22[[#This Row],[学年]]=3,8,IF(テーブル22[[#This Row],[学年]]=4,9,IF(テーブル22[[#This Row],[学年]]=5,10,IF(テーブル22[[#This Row],[学年]]=6,11," "))))))</f>
        <v xml:space="preserve"> </v>
      </c>
      <c r="AA187" s="125" t="str">
        <f>IF(テーブル22[[#This Row],[肥満度数値]]="","",LOOKUP(AC187,$AW$39:$AW$44,$AX$39:$AX$44))</f>
        <v/>
      </c>
      <c r="AB1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7" s="124" t="str">
        <f>IF(テーブル22[[#This Row],[体重]]="","",(テーブル22[[#This Row],[体重]]-テーブル22[[#This Row],[標準体重]])/テーブル22[[#This Row],[標準体重]]*100)</f>
        <v/>
      </c>
      <c r="AD187" s="1">
        <f>COUNTA(テーブル22[[#This Row],[握力]:[ボール投げ]])</f>
        <v>0</v>
      </c>
      <c r="AE187" s="1" t="str">
        <f>IF(テーブル22[[#This Row],[判定]]=$BD$10,"○","")</f>
        <v/>
      </c>
      <c r="AF187" s="1" t="str">
        <f>IF(AE187="","",COUNTIF($AE$6:AE187,"○"))</f>
        <v/>
      </c>
    </row>
    <row r="188" spans="1:32" x14ac:dyDescent="0.2">
      <c r="A188" s="40">
        <v>183</v>
      </c>
      <c r="B188" s="145"/>
      <c r="C188" s="148"/>
      <c r="D188" s="145"/>
      <c r="E188" s="156"/>
      <c r="F188" s="145"/>
      <c r="G188" s="145"/>
      <c r="H188" s="146"/>
      <c r="I188" s="146"/>
      <c r="J188" s="148"/>
      <c r="K188" s="145"/>
      <c r="L188" s="148"/>
      <c r="M188" s="149"/>
      <c r="N188" s="148"/>
      <c r="O188" s="150"/>
      <c r="P1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8" s="43" t="str">
        <f>IF(テーブル22[[#This Row],[得点]]="","",IF(テーブル22[[#This Row],[年齢]]&gt;10,LOOKUP(P188,$BG$6:$BG$10,$BD$6:$BD$10),IF(テーブル22[[#This Row],[年齢]]&gt;9,LOOKUP(P188,$BF$6:$BF$10,$BD$6:$BD$10),IF(テーブル22[[#This Row],[年齢]]&gt;8,LOOKUP(P188,$BE$6:$BE$10,$BD$6:$BD$10),IF(テーブル22[[#This Row],[年齢]]&gt;7,LOOKUP(P188,$BC$6:$BC$10,$BD$6:$BD$10),IF(テーブル22[[#This Row],[年齢]]&gt;6,LOOKUP(P188,$BB$6:$BB$10,$BD$6:$BD$10),LOOKUP(P188,$BA$6:$BA$10,$BD$6:$BD$10)))))))</f>
        <v/>
      </c>
      <c r="R188" s="42">
        <f>IF(H188="",0,(IF(テーブル22[[#This Row],[性別]]="男",LOOKUP(テーブル22[[#This Row],[握力]],$AH$6:$AI$15),LOOKUP(テーブル22[[#This Row],[握力]],$AH$20:$AI$29))))</f>
        <v>0</v>
      </c>
      <c r="S188" s="42">
        <f>IF(テーブル22[[#This Row],[上体]]="",0,(IF(テーブル22[[#This Row],[性別]]="男",LOOKUP(テーブル22[[#This Row],[上体]],$AJ$6:$AK$15),LOOKUP(テーブル22[[#This Row],[上体]],$AJ$20:$AK$29))))</f>
        <v>0</v>
      </c>
      <c r="T188" s="42">
        <f>IF(テーブル22[[#This Row],[長座]]="",0,(IF(テーブル22[[#This Row],[性別]]="男",LOOKUP(テーブル22[[#This Row],[長座]],$AL$6:$AM$15),LOOKUP(テーブル22[[#This Row],[長座]],$AL$20:$AM$29))))</f>
        <v>0</v>
      </c>
      <c r="U188" s="42">
        <f>IF(テーブル22[[#This Row],[反復]]="",0,(IF(テーブル22[[#This Row],[性別]]="男",LOOKUP(テーブル22[[#This Row],[反復]],$AN$6:$AO$15),LOOKUP(テーブル22[[#This Row],[反復]],$AN$20:$AO$29))))</f>
        <v>0</v>
      </c>
      <c r="V188" s="42">
        <f>IF(テーブル22[[#This Row],[ｼｬﾄﾙﾗﾝ]]="",0,(IF(テーブル22[[#This Row],[性別]]="男",LOOKUP(テーブル22[[#This Row],[ｼｬﾄﾙﾗﾝ]],$AR$6:$AS$15),LOOKUP(テーブル22[[#This Row],[ｼｬﾄﾙﾗﾝ]],$AR$20:$AS$29))))</f>
        <v>0</v>
      </c>
      <c r="W188" s="42">
        <f>IF(テーブル22[[#This Row],[50m走]]="",0,(IF(テーブル22[[#This Row],[性別]]="男",LOOKUP(テーブル22[[#This Row],[50m走]],$AT$6:$AU$15),LOOKUP(テーブル22[[#This Row],[50m走]],$AT$20:$AU$29))))</f>
        <v>0</v>
      </c>
      <c r="X188" s="42">
        <f>IF(テーブル22[[#This Row],[立幅とび]]="",0,(IF(テーブル22[[#This Row],[性別]]="男",LOOKUP(テーブル22[[#This Row],[立幅とび]],$AV$6:$AW$15),LOOKUP(テーブル22[[#This Row],[立幅とび]],$AV$20:$AW$29))))</f>
        <v>0</v>
      </c>
      <c r="Y188" s="42">
        <f>IF(テーブル22[[#This Row],[ボール投げ]]="",0,(IF(テーブル22[[#This Row],[性別]]="男",LOOKUP(テーブル22[[#This Row],[ボール投げ]],$AX$6:$AY$15),LOOKUP(テーブル22[[#This Row],[ボール投げ]],$AX$20:$AY$29))))</f>
        <v>0</v>
      </c>
      <c r="Z188" s="19" t="str">
        <f>IF(テーブル22[[#This Row],[学年]]=1,6,IF(テーブル22[[#This Row],[学年]]=2,7,IF(テーブル22[[#This Row],[学年]]=3,8,IF(テーブル22[[#This Row],[学年]]=4,9,IF(テーブル22[[#This Row],[学年]]=5,10,IF(テーブル22[[#This Row],[学年]]=6,11," "))))))</f>
        <v xml:space="preserve"> </v>
      </c>
      <c r="AA188" s="125" t="str">
        <f>IF(テーブル22[[#This Row],[肥満度数値]]="","",LOOKUP(AC188,$AW$39:$AW$44,$AX$39:$AX$44))</f>
        <v/>
      </c>
      <c r="AB1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8" s="124" t="str">
        <f>IF(テーブル22[[#This Row],[体重]]="","",(テーブル22[[#This Row],[体重]]-テーブル22[[#This Row],[標準体重]])/テーブル22[[#This Row],[標準体重]]*100)</f>
        <v/>
      </c>
      <c r="AD188" s="1">
        <f>COUNTA(テーブル22[[#This Row],[握力]:[ボール投げ]])</f>
        <v>0</v>
      </c>
      <c r="AE188" s="1" t="str">
        <f>IF(テーブル22[[#This Row],[判定]]=$BD$10,"○","")</f>
        <v/>
      </c>
      <c r="AF188" s="1" t="str">
        <f>IF(AE188="","",COUNTIF($AE$6:AE188,"○"))</f>
        <v/>
      </c>
    </row>
    <row r="189" spans="1:32" x14ac:dyDescent="0.2">
      <c r="A189" s="40">
        <v>184</v>
      </c>
      <c r="B189" s="145"/>
      <c r="C189" s="148"/>
      <c r="D189" s="145"/>
      <c r="E189" s="156"/>
      <c r="F189" s="145"/>
      <c r="G189" s="145"/>
      <c r="H189" s="146"/>
      <c r="I189" s="146"/>
      <c r="J189" s="148"/>
      <c r="K189" s="145"/>
      <c r="L189" s="148"/>
      <c r="M189" s="149"/>
      <c r="N189" s="148"/>
      <c r="O189" s="150"/>
      <c r="P1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89" s="43" t="str">
        <f>IF(テーブル22[[#This Row],[得点]]="","",IF(テーブル22[[#This Row],[年齢]]&gt;10,LOOKUP(P189,$BG$6:$BG$10,$BD$6:$BD$10),IF(テーブル22[[#This Row],[年齢]]&gt;9,LOOKUP(P189,$BF$6:$BF$10,$BD$6:$BD$10),IF(テーブル22[[#This Row],[年齢]]&gt;8,LOOKUP(P189,$BE$6:$BE$10,$BD$6:$BD$10),IF(テーブル22[[#This Row],[年齢]]&gt;7,LOOKUP(P189,$BC$6:$BC$10,$BD$6:$BD$10),IF(テーブル22[[#This Row],[年齢]]&gt;6,LOOKUP(P189,$BB$6:$BB$10,$BD$6:$BD$10),LOOKUP(P189,$BA$6:$BA$10,$BD$6:$BD$10)))))))</f>
        <v/>
      </c>
      <c r="R189" s="42">
        <f>IF(H189="",0,(IF(テーブル22[[#This Row],[性別]]="男",LOOKUP(テーブル22[[#This Row],[握力]],$AH$6:$AI$15),LOOKUP(テーブル22[[#This Row],[握力]],$AH$20:$AI$29))))</f>
        <v>0</v>
      </c>
      <c r="S189" s="42">
        <f>IF(テーブル22[[#This Row],[上体]]="",0,(IF(テーブル22[[#This Row],[性別]]="男",LOOKUP(テーブル22[[#This Row],[上体]],$AJ$6:$AK$15),LOOKUP(テーブル22[[#This Row],[上体]],$AJ$20:$AK$29))))</f>
        <v>0</v>
      </c>
      <c r="T189" s="42">
        <f>IF(テーブル22[[#This Row],[長座]]="",0,(IF(テーブル22[[#This Row],[性別]]="男",LOOKUP(テーブル22[[#This Row],[長座]],$AL$6:$AM$15),LOOKUP(テーブル22[[#This Row],[長座]],$AL$20:$AM$29))))</f>
        <v>0</v>
      </c>
      <c r="U189" s="42">
        <f>IF(テーブル22[[#This Row],[反復]]="",0,(IF(テーブル22[[#This Row],[性別]]="男",LOOKUP(テーブル22[[#This Row],[反復]],$AN$6:$AO$15),LOOKUP(テーブル22[[#This Row],[反復]],$AN$20:$AO$29))))</f>
        <v>0</v>
      </c>
      <c r="V189" s="42">
        <f>IF(テーブル22[[#This Row],[ｼｬﾄﾙﾗﾝ]]="",0,(IF(テーブル22[[#This Row],[性別]]="男",LOOKUP(テーブル22[[#This Row],[ｼｬﾄﾙﾗﾝ]],$AR$6:$AS$15),LOOKUP(テーブル22[[#This Row],[ｼｬﾄﾙﾗﾝ]],$AR$20:$AS$29))))</f>
        <v>0</v>
      </c>
      <c r="W189" s="42">
        <f>IF(テーブル22[[#This Row],[50m走]]="",0,(IF(テーブル22[[#This Row],[性別]]="男",LOOKUP(テーブル22[[#This Row],[50m走]],$AT$6:$AU$15),LOOKUP(テーブル22[[#This Row],[50m走]],$AT$20:$AU$29))))</f>
        <v>0</v>
      </c>
      <c r="X189" s="42">
        <f>IF(テーブル22[[#This Row],[立幅とび]]="",0,(IF(テーブル22[[#This Row],[性別]]="男",LOOKUP(テーブル22[[#This Row],[立幅とび]],$AV$6:$AW$15),LOOKUP(テーブル22[[#This Row],[立幅とび]],$AV$20:$AW$29))))</f>
        <v>0</v>
      </c>
      <c r="Y189" s="42">
        <f>IF(テーブル22[[#This Row],[ボール投げ]]="",0,(IF(テーブル22[[#This Row],[性別]]="男",LOOKUP(テーブル22[[#This Row],[ボール投げ]],$AX$6:$AY$15),LOOKUP(テーブル22[[#This Row],[ボール投げ]],$AX$20:$AY$29))))</f>
        <v>0</v>
      </c>
      <c r="Z189" s="19" t="str">
        <f>IF(テーブル22[[#This Row],[学年]]=1,6,IF(テーブル22[[#This Row],[学年]]=2,7,IF(テーブル22[[#This Row],[学年]]=3,8,IF(テーブル22[[#This Row],[学年]]=4,9,IF(テーブル22[[#This Row],[学年]]=5,10,IF(テーブル22[[#This Row],[学年]]=6,11," "))))))</f>
        <v xml:space="preserve"> </v>
      </c>
      <c r="AA189" s="125" t="str">
        <f>IF(テーブル22[[#This Row],[肥満度数値]]="","",LOOKUP(AC189,$AW$39:$AW$44,$AX$39:$AX$44))</f>
        <v/>
      </c>
      <c r="AB1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89" s="124" t="str">
        <f>IF(テーブル22[[#This Row],[体重]]="","",(テーブル22[[#This Row],[体重]]-テーブル22[[#This Row],[標準体重]])/テーブル22[[#This Row],[標準体重]]*100)</f>
        <v/>
      </c>
      <c r="AD189" s="1">
        <f>COUNTA(テーブル22[[#This Row],[握力]:[ボール投げ]])</f>
        <v>0</v>
      </c>
      <c r="AE189" s="1" t="str">
        <f>IF(テーブル22[[#This Row],[判定]]=$BD$10,"○","")</f>
        <v/>
      </c>
      <c r="AF189" s="1" t="str">
        <f>IF(AE189="","",COUNTIF($AE$6:AE189,"○"))</f>
        <v/>
      </c>
    </row>
    <row r="190" spans="1:32" x14ac:dyDescent="0.2">
      <c r="A190" s="40">
        <v>185</v>
      </c>
      <c r="B190" s="145"/>
      <c r="C190" s="148"/>
      <c r="D190" s="145"/>
      <c r="E190" s="156"/>
      <c r="F190" s="145"/>
      <c r="G190" s="145"/>
      <c r="H190" s="146"/>
      <c r="I190" s="146"/>
      <c r="J190" s="148"/>
      <c r="K190" s="145"/>
      <c r="L190" s="148"/>
      <c r="M190" s="149"/>
      <c r="N190" s="148"/>
      <c r="O190" s="150"/>
      <c r="P1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0" s="43" t="str">
        <f>IF(テーブル22[[#This Row],[得点]]="","",IF(テーブル22[[#This Row],[年齢]]&gt;10,LOOKUP(P190,$BG$6:$BG$10,$BD$6:$BD$10),IF(テーブル22[[#This Row],[年齢]]&gt;9,LOOKUP(P190,$BF$6:$BF$10,$BD$6:$BD$10),IF(テーブル22[[#This Row],[年齢]]&gt;8,LOOKUP(P190,$BE$6:$BE$10,$BD$6:$BD$10),IF(テーブル22[[#This Row],[年齢]]&gt;7,LOOKUP(P190,$BC$6:$BC$10,$BD$6:$BD$10),IF(テーブル22[[#This Row],[年齢]]&gt;6,LOOKUP(P190,$BB$6:$BB$10,$BD$6:$BD$10),LOOKUP(P190,$BA$6:$BA$10,$BD$6:$BD$10)))))))</f>
        <v/>
      </c>
      <c r="R190" s="42">
        <f>IF(H190="",0,(IF(テーブル22[[#This Row],[性別]]="男",LOOKUP(テーブル22[[#This Row],[握力]],$AH$6:$AI$15),LOOKUP(テーブル22[[#This Row],[握力]],$AH$20:$AI$29))))</f>
        <v>0</v>
      </c>
      <c r="S190" s="42">
        <f>IF(テーブル22[[#This Row],[上体]]="",0,(IF(テーブル22[[#This Row],[性別]]="男",LOOKUP(テーブル22[[#This Row],[上体]],$AJ$6:$AK$15),LOOKUP(テーブル22[[#This Row],[上体]],$AJ$20:$AK$29))))</f>
        <v>0</v>
      </c>
      <c r="T190" s="42">
        <f>IF(テーブル22[[#This Row],[長座]]="",0,(IF(テーブル22[[#This Row],[性別]]="男",LOOKUP(テーブル22[[#This Row],[長座]],$AL$6:$AM$15),LOOKUP(テーブル22[[#This Row],[長座]],$AL$20:$AM$29))))</f>
        <v>0</v>
      </c>
      <c r="U190" s="42">
        <f>IF(テーブル22[[#This Row],[反復]]="",0,(IF(テーブル22[[#This Row],[性別]]="男",LOOKUP(テーブル22[[#This Row],[反復]],$AN$6:$AO$15),LOOKUP(テーブル22[[#This Row],[反復]],$AN$20:$AO$29))))</f>
        <v>0</v>
      </c>
      <c r="V190" s="42">
        <f>IF(テーブル22[[#This Row],[ｼｬﾄﾙﾗﾝ]]="",0,(IF(テーブル22[[#This Row],[性別]]="男",LOOKUP(テーブル22[[#This Row],[ｼｬﾄﾙﾗﾝ]],$AR$6:$AS$15),LOOKUP(テーブル22[[#This Row],[ｼｬﾄﾙﾗﾝ]],$AR$20:$AS$29))))</f>
        <v>0</v>
      </c>
      <c r="W190" s="42">
        <f>IF(テーブル22[[#This Row],[50m走]]="",0,(IF(テーブル22[[#This Row],[性別]]="男",LOOKUP(テーブル22[[#This Row],[50m走]],$AT$6:$AU$15),LOOKUP(テーブル22[[#This Row],[50m走]],$AT$20:$AU$29))))</f>
        <v>0</v>
      </c>
      <c r="X190" s="42">
        <f>IF(テーブル22[[#This Row],[立幅とび]]="",0,(IF(テーブル22[[#This Row],[性別]]="男",LOOKUP(テーブル22[[#This Row],[立幅とび]],$AV$6:$AW$15),LOOKUP(テーブル22[[#This Row],[立幅とび]],$AV$20:$AW$29))))</f>
        <v>0</v>
      </c>
      <c r="Y190" s="42">
        <f>IF(テーブル22[[#This Row],[ボール投げ]]="",0,(IF(テーブル22[[#This Row],[性別]]="男",LOOKUP(テーブル22[[#This Row],[ボール投げ]],$AX$6:$AY$15),LOOKUP(テーブル22[[#This Row],[ボール投げ]],$AX$20:$AY$29))))</f>
        <v>0</v>
      </c>
      <c r="Z190" s="19" t="str">
        <f>IF(テーブル22[[#This Row],[学年]]=1,6,IF(テーブル22[[#This Row],[学年]]=2,7,IF(テーブル22[[#This Row],[学年]]=3,8,IF(テーブル22[[#This Row],[学年]]=4,9,IF(テーブル22[[#This Row],[学年]]=5,10,IF(テーブル22[[#This Row],[学年]]=6,11," "))))))</f>
        <v xml:space="preserve"> </v>
      </c>
      <c r="AA190" s="125" t="str">
        <f>IF(テーブル22[[#This Row],[肥満度数値]]="","",LOOKUP(AC190,$AW$39:$AW$44,$AX$39:$AX$44))</f>
        <v/>
      </c>
      <c r="AB1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0" s="124" t="str">
        <f>IF(テーブル22[[#This Row],[体重]]="","",(テーブル22[[#This Row],[体重]]-テーブル22[[#This Row],[標準体重]])/テーブル22[[#This Row],[標準体重]]*100)</f>
        <v/>
      </c>
      <c r="AD190" s="1">
        <f>COUNTA(テーブル22[[#This Row],[握力]:[ボール投げ]])</f>
        <v>0</v>
      </c>
      <c r="AE190" s="1" t="str">
        <f>IF(テーブル22[[#This Row],[判定]]=$BD$10,"○","")</f>
        <v/>
      </c>
      <c r="AF190" s="1" t="str">
        <f>IF(AE190="","",COUNTIF($AE$6:AE190,"○"))</f>
        <v/>
      </c>
    </row>
    <row r="191" spans="1:32" x14ac:dyDescent="0.2">
      <c r="A191" s="40">
        <v>186</v>
      </c>
      <c r="B191" s="145"/>
      <c r="C191" s="148"/>
      <c r="D191" s="145"/>
      <c r="E191" s="156"/>
      <c r="F191" s="145"/>
      <c r="G191" s="145"/>
      <c r="H191" s="146"/>
      <c r="I191" s="146"/>
      <c r="J191" s="148"/>
      <c r="K191" s="145"/>
      <c r="L191" s="148"/>
      <c r="M191" s="149"/>
      <c r="N191" s="148"/>
      <c r="O191" s="150"/>
      <c r="P1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1" s="43" t="str">
        <f>IF(テーブル22[[#This Row],[得点]]="","",IF(テーブル22[[#This Row],[年齢]]&gt;10,LOOKUP(P191,$BG$6:$BG$10,$BD$6:$BD$10),IF(テーブル22[[#This Row],[年齢]]&gt;9,LOOKUP(P191,$BF$6:$BF$10,$BD$6:$BD$10),IF(テーブル22[[#This Row],[年齢]]&gt;8,LOOKUP(P191,$BE$6:$BE$10,$BD$6:$BD$10),IF(テーブル22[[#This Row],[年齢]]&gt;7,LOOKUP(P191,$BC$6:$BC$10,$BD$6:$BD$10),IF(テーブル22[[#This Row],[年齢]]&gt;6,LOOKUP(P191,$BB$6:$BB$10,$BD$6:$BD$10),LOOKUP(P191,$BA$6:$BA$10,$BD$6:$BD$10)))))))</f>
        <v/>
      </c>
      <c r="R191" s="42">
        <f>IF(H191="",0,(IF(テーブル22[[#This Row],[性別]]="男",LOOKUP(テーブル22[[#This Row],[握力]],$AH$6:$AI$15),LOOKUP(テーブル22[[#This Row],[握力]],$AH$20:$AI$29))))</f>
        <v>0</v>
      </c>
      <c r="S191" s="42">
        <f>IF(テーブル22[[#This Row],[上体]]="",0,(IF(テーブル22[[#This Row],[性別]]="男",LOOKUP(テーブル22[[#This Row],[上体]],$AJ$6:$AK$15),LOOKUP(テーブル22[[#This Row],[上体]],$AJ$20:$AK$29))))</f>
        <v>0</v>
      </c>
      <c r="T191" s="42">
        <f>IF(テーブル22[[#This Row],[長座]]="",0,(IF(テーブル22[[#This Row],[性別]]="男",LOOKUP(テーブル22[[#This Row],[長座]],$AL$6:$AM$15),LOOKUP(テーブル22[[#This Row],[長座]],$AL$20:$AM$29))))</f>
        <v>0</v>
      </c>
      <c r="U191" s="42">
        <f>IF(テーブル22[[#This Row],[反復]]="",0,(IF(テーブル22[[#This Row],[性別]]="男",LOOKUP(テーブル22[[#This Row],[反復]],$AN$6:$AO$15),LOOKUP(テーブル22[[#This Row],[反復]],$AN$20:$AO$29))))</f>
        <v>0</v>
      </c>
      <c r="V191" s="42">
        <f>IF(テーブル22[[#This Row],[ｼｬﾄﾙﾗﾝ]]="",0,(IF(テーブル22[[#This Row],[性別]]="男",LOOKUP(テーブル22[[#This Row],[ｼｬﾄﾙﾗﾝ]],$AR$6:$AS$15),LOOKUP(テーブル22[[#This Row],[ｼｬﾄﾙﾗﾝ]],$AR$20:$AS$29))))</f>
        <v>0</v>
      </c>
      <c r="W191" s="42">
        <f>IF(テーブル22[[#This Row],[50m走]]="",0,(IF(テーブル22[[#This Row],[性別]]="男",LOOKUP(テーブル22[[#This Row],[50m走]],$AT$6:$AU$15),LOOKUP(テーブル22[[#This Row],[50m走]],$AT$20:$AU$29))))</f>
        <v>0</v>
      </c>
      <c r="X191" s="42">
        <f>IF(テーブル22[[#This Row],[立幅とび]]="",0,(IF(テーブル22[[#This Row],[性別]]="男",LOOKUP(テーブル22[[#This Row],[立幅とび]],$AV$6:$AW$15),LOOKUP(テーブル22[[#This Row],[立幅とび]],$AV$20:$AW$29))))</f>
        <v>0</v>
      </c>
      <c r="Y191" s="42">
        <f>IF(テーブル22[[#This Row],[ボール投げ]]="",0,(IF(テーブル22[[#This Row],[性別]]="男",LOOKUP(テーブル22[[#This Row],[ボール投げ]],$AX$6:$AY$15),LOOKUP(テーブル22[[#This Row],[ボール投げ]],$AX$20:$AY$29))))</f>
        <v>0</v>
      </c>
      <c r="Z191" s="19" t="str">
        <f>IF(テーブル22[[#This Row],[学年]]=1,6,IF(テーブル22[[#This Row],[学年]]=2,7,IF(テーブル22[[#This Row],[学年]]=3,8,IF(テーブル22[[#This Row],[学年]]=4,9,IF(テーブル22[[#This Row],[学年]]=5,10,IF(テーブル22[[#This Row],[学年]]=6,11," "))))))</f>
        <v xml:space="preserve"> </v>
      </c>
      <c r="AA191" s="125" t="str">
        <f>IF(テーブル22[[#This Row],[肥満度数値]]="","",LOOKUP(AC191,$AW$39:$AW$44,$AX$39:$AX$44))</f>
        <v/>
      </c>
      <c r="AB1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1" s="124" t="str">
        <f>IF(テーブル22[[#This Row],[体重]]="","",(テーブル22[[#This Row],[体重]]-テーブル22[[#This Row],[標準体重]])/テーブル22[[#This Row],[標準体重]]*100)</f>
        <v/>
      </c>
      <c r="AD191" s="1">
        <f>COUNTA(テーブル22[[#This Row],[握力]:[ボール投げ]])</f>
        <v>0</v>
      </c>
      <c r="AE191" s="1" t="str">
        <f>IF(テーブル22[[#This Row],[判定]]=$BD$10,"○","")</f>
        <v/>
      </c>
      <c r="AF191" s="1" t="str">
        <f>IF(AE191="","",COUNTIF($AE$6:AE191,"○"))</f>
        <v/>
      </c>
    </row>
    <row r="192" spans="1:32" x14ac:dyDescent="0.2">
      <c r="A192" s="40">
        <v>187</v>
      </c>
      <c r="B192" s="145"/>
      <c r="C192" s="148"/>
      <c r="D192" s="145"/>
      <c r="E192" s="156"/>
      <c r="F192" s="145"/>
      <c r="G192" s="145"/>
      <c r="H192" s="146"/>
      <c r="I192" s="146"/>
      <c r="J192" s="148"/>
      <c r="K192" s="145"/>
      <c r="L192" s="148"/>
      <c r="M192" s="149"/>
      <c r="N192" s="148"/>
      <c r="O192" s="150"/>
      <c r="P1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2" s="43" t="str">
        <f>IF(テーブル22[[#This Row],[得点]]="","",IF(テーブル22[[#This Row],[年齢]]&gt;10,LOOKUP(P192,$BG$6:$BG$10,$BD$6:$BD$10),IF(テーブル22[[#This Row],[年齢]]&gt;9,LOOKUP(P192,$BF$6:$BF$10,$BD$6:$BD$10),IF(テーブル22[[#This Row],[年齢]]&gt;8,LOOKUP(P192,$BE$6:$BE$10,$BD$6:$BD$10),IF(テーブル22[[#This Row],[年齢]]&gt;7,LOOKUP(P192,$BC$6:$BC$10,$BD$6:$BD$10),IF(テーブル22[[#This Row],[年齢]]&gt;6,LOOKUP(P192,$BB$6:$BB$10,$BD$6:$BD$10),LOOKUP(P192,$BA$6:$BA$10,$BD$6:$BD$10)))))))</f>
        <v/>
      </c>
      <c r="R192" s="42">
        <f>IF(H192="",0,(IF(テーブル22[[#This Row],[性別]]="男",LOOKUP(テーブル22[[#This Row],[握力]],$AH$6:$AI$15),LOOKUP(テーブル22[[#This Row],[握力]],$AH$20:$AI$29))))</f>
        <v>0</v>
      </c>
      <c r="S192" s="42">
        <f>IF(テーブル22[[#This Row],[上体]]="",0,(IF(テーブル22[[#This Row],[性別]]="男",LOOKUP(テーブル22[[#This Row],[上体]],$AJ$6:$AK$15),LOOKUP(テーブル22[[#This Row],[上体]],$AJ$20:$AK$29))))</f>
        <v>0</v>
      </c>
      <c r="T192" s="42">
        <f>IF(テーブル22[[#This Row],[長座]]="",0,(IF(テーブル22[[#This Row],[性別]]="男",LOOKUP(テーブル22[[#This Row],[長座]],$AL$6:$AM$15),LOOKUP(テーブル22[[#This Row],[長座]],$AL$20:$AM$29))))</f>
        <v>0</v>
      </c>
      <c r="U192" s="42">
        <f>IF(テーブル22[[#This Row],[反復]]="",0,(IF(テーブル22[[#This Row],[性別]]="男",LOOKUP(テーブル22[[#This Row],[反復]],$AN$6:$AO$15),LOOKUP(テーブル22[[#This Row],[反復]],$AN$20:$AO$29))))</f>
        <v>0</v>
      </c>
      <c r="V192" s="42">
        <f>IF(テーブル22[[#This Row],[ｼｬﾄﾙﾗﾝ]]="",0,(IF(テーブル22[[#This Row],[性別]]="男",LOOKUP(テーブル22[[#This Row],[ｼｬﾄﾙﾗﾝ]],$AR$6:$AS$15),LOOKUP(テーブル22[[#This Row],[ｼｬﾄﾙﾗﾝ]],$AR$20:$AS$29))))</f>
        <v>0</v>
      </c>
      <c r="W192" s="42">
        <f>IF(テーブル22[[#This Row],[50m走]]="",0,(IF(テーブル22[[#This Row],[性別]]="男",LOOKUP(テーブル22[[#This Row],[50m走]],$AT$6:$AU$15),LOOKUP(テーブル22[[#This Row],[50m走]],$AT$20:$AU$29))))</f>
        <v>0</v>
      </c>
      <c r="X192" s="42">
        <f>IF(テーブル22[[#This Row],[立幅とび]]="",0,(IF(テーブル22[[#This Row],[性別]]="男",LOOKUP(テーブル22[[#This Row],[立幅とび]],$AV$6:$AW$15),LOOKUP(テーブル22[[#This Row],[立幅とび]],$AV$20:$AW$29))))</f>
        <v>0</v>
      </c>
      <c r="Y192" s="42">
        <f>IF(テーブル22[[#This Row],[ボール投げ]]="",0,(IF(テーブル22[[#This Row],[性別]]="男",LOOKUP(テーブル22[[#This Row],[ボール投げ]],$AX$6:$AY$15),LOOKUP(テーブル22[[#This Row],[ボール投げ]],$AX$20:$AY$29))))</f>
        <v>0</v>
      </c>
      <c r="Z192" s="19" t="str">
        <f>IF(テーブル22[[#This Row],[学年]]=1,6,IF(テーブル22[[#This Row],[学年]]=2,7,IF(テーブル22[[#This Row],[学年]]=3,8,IF(テーブル22[[#This Row],[学年]]=4,9,IF(テーブル22[[#This Row],[学年]]=5,10,IF(テーブル22[[#This Row],[学年]]=6,11," "))))))</f>
        <v xml:space="preserve"> </v>
      </c>
      <c r="AA192" s="125" t="str">
        <f>IF(テーブル22[[#This Row],[肥満度数値]]="","",LOOKUP(AC192,$AW$39:$AW$44,$AX$39:$AX$44))</f>
        <v/>
      </c>
      <c r="AB1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2" s="124" t="str">
        <f>IF(テーブル22[[#This Row],[体重]]="","",(テーブル22[[#This Row],[体重]]-テーブル22[[#This Row],[標準体重]])/テーブル22[[#This Row],[標準体重]]*100)</f>
        <v/>
      </c>
      <c r="AD192" s="1">
        <f>COUNTA(テーブル22[[#This Row],[握力]:[ボール投げ]])</f>
        <v>0</v>
      </c>
      <c r="AE192" s="1" t="str">
        <f>IF(テーブル22[[#This Row],[判定]]=$BD$10,"○","")</f>
        <v/>
      </c>
      <c r="AF192" s="1" t="str">
        <f>IF(AE192="","",COUNTIF($AE$6:AE192,"○"))</f>
        <v/>
      </c>
    </row>
    <row r="193" spans="1:32" x14ac:dyDescent="0.2">
      <c r="A193" s="40">
        <v>188</v>
      </c>
      <c r="B193" s="145"/>
      <c r="C193" s="148"/>
      <c r="D193" s="145"/>
      <c r="E193" s="156"/>
      <c r="F193" s="145"/>
      <c r="G193" s="145"/>
      <c r="H193" s="146"/>
      <c r="I193" s="146"/>
      <c r="J193" s="148"/>
      <c r="K193" s="145"/>
      <c r="L193" s="148"/>
      <c r="M193" s="149"/>
      <c r="N193" s="148"/>
      <c r="O193" s="150"/>
      <c r="P1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3" s="43" t="str">
        <f>IF(テーブル22[[#This Row],[得点]]="","",IF(テーブル22[[#This Row],[年齢]]&gt;10,LOOKUP(P193,$BG$6:$BG$10,$BD$6:$BD$10),IF(テーブル22[[#This Row],[年齢]]&gt;9,LOOKUP(P193,$BF$6:$BF$10,$BD$6:$BD$10),IF(テーブル22[[#This Row],[年齢]]&gt;8,LOOKUP(P193,$BE$6:$BE$10,$BD$6:$BD$10),IF(テーブル22[[#This Row],[年齢]]&gt;7,LOOKUP(P193,$BC$6:$BC$10,$BD$6:$BD$10),IF(テーブル22[[#This Row],[年齢]]&gt;6,LOOKUP(P193,$BB$6:$BB$10,$BD$6:$BD$10),LOOKUP(P193,$BA$6:$BA$10,$BD$6:$BD$10)))))))</f>
        <v/>
      </c>
      <c r="R193" s="42">
        <f>IF(H193="",0,(IF(テーブル22[[#This Row],[性別]]="男",LOOKUP(テーブル22[[#This Row],[握力]],$AH$6:$AI$15),LOOKUP(テーブル22[[#This Row],[握力]],$AH$20:$AI$29))))</f>
        <v>0</v>
      </c>
      <c r="S193" s="42">
        <f>IF(テーブル22[[#This Row],[上体]]="",0,(IF(テーブル22[[#This Row],[性別]]="男",LOOKUP(テーブル22[[#This Row],[上体]],$AJ$6:$AK$15),LOOKUP(テーブル22[[#This Row],[上体]],$AJ$20:$AK$29))))</f>
        <v>0</v>
      </c>
      <c r="T193" s="42">
        <f>IF(テーブル22[[#This Row],[長座]]="",0,(IF(テーブル22[[#This Row],[性別]]="男",LOOKUP(テーブル22[[#This Row],[長座]],$AL$6:$AM$15),LOOKUP(テーブル22[[#This Row],[長座]],$AL$20:$AM$29))))</f>
        <v>0</v>
      </c>
      <c r="U193" s="42">
        <f>IF(テーブル22[[#This Row],[反復]]="",0,(IF(テーブル22[[#This Row],[性別]]="男",LOOKUP(テーブル22[[#This Row],[反復]],$AN$6:$AO$15),LOOKUP(テーブル22[[#This Row],[反復]],$AN$20:$AO$29))))</f>
        <v>0</v>
      </c>
      <c r="V193" s="42">
        <f>IF(テーブル22[[#This Row],[ｼｬﾄﾙﾗﾝ]]="",0,(IF(テーブル22[[#This Row],[性別]]="男",LOOKUP(テーブル22[[#This Row],[ｼｬﾄﾙﾗﾝ]],$AR$6:$AS$15),LOOKUP(テーブル22[[#This Row],[ｼｬﾄﾙﾗﾝ]],$AR$20:$AS$29))))</f>
        <v>0</v>
      </c>
      <c r="W193" s="42">
        <f>IF(テーブル22[[#This Row],[50m走]]="",0,(IF(テーブル22[[#This Row],[性別]]="男",LOOKUP(テーブル22[[#This Row],[50m走]],$AT$6:$AU$15),LOOKUP(テーブル22[[#This Row],[50m走]],$AT$20:$AU$29))))</f>
        <v>0</v>
      </c>
      <c r="X193" s="42">
        <f>IF(テーブル22[[#This Row],[立幅とび]]="",0,(IF(テーブル22[[#This Row],[性別]]="男",LOOKUP(テーブル22[[#This Row],[立幅とび]],$AV$6:$AW$15),LOOKUP(テーブル22[[#This Row],[立幅とび]],$AV$20:$AW$29))))</f>
        <v>0</v>
      </c>
      <c r="Y193" s="42">
        <f>IF(テーブル22[[#This Row],[ボール投げ]]="",0,(IF(テーブル22[[#This Row],[性別]]="男",LOOKUP(テーブル22[[#This Row],[ボール投げ]],$AX$6:$AY$15),LOOKUP(テーブル22[[#This Row],[ボール投げ]],$AX$20:$AY$29))))</f>
        <v>0</v>
      </c>
      <c r="Z193" s="19" t="str">
        <f>IF(テーブル22[[#This Row],[学年]]=1,6,IF(テーブル22[[#This Row],[学年]]=2,7,IF(テーブル22[[#This Row],[学年]]=3,8,IF(テーブル22[[#This Row],[学年]]=4,9,IF(テーブル22[[#This Row],[学年]]=5,10,IF(テーブル22[[#This Row],[学年]]=6,11," "))))))</f>
        <v xml:space="preserve"> </v>
      </c>
      <c r="AA193" s="125" t="str">
        <f>IF(テーブル22[[#This Row],[肥満度数値]]="","",LOOKUP(AC193,$AW$39:$AW$44,$AX$39:$AX$44))</f>
        <v/>
      </c>
      <c r="AB1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3" s="124" t="str">
        <f>IF(テーブル22[[#This Row],[体重]]="","",(テーブル22[[#This Row],[体重]]-テーブル22[[#This Row],[標準体重]])/テーブル22[[#This Row],[標準体重]]*100)</f>
        <v/>
      </c>
      <c r="AD193" s="1">
        <f>COUNTA(テーブル22[[#This Row],[握力]:[ボール投げ]])</f>
        <v>0</v>
      </c>
      <c r="AE193" s="1" t="str">
        <f>IF(テーブル22[[#This Row],[判定]]=$BD$10,"○","")</f>
        <v/>
      </c>
      <c r="AF193" s="1" t="str">
        <f>IF(AE193="","",COUNTIF($AE$6:AE193,"○"))</f>
        <v/>
      </c>
    </row>
    <row r="194" spans="1:32" x14ac:dyDescent="0.2">
      <c r="A194" s="40">
        <v>189</v>
      </c>
      <c r="B194" s="145"/>
      <c r="C194" s="148"/>
      <c r="D194" s="145"/>
      <c r="E194" s="156"/>
      <c r="F194" s="145"/>
      <c r="G194" s="145"/>
      <c r="H194" s="146"/>
      <c r="I194" s="146"/>
      <c r="J194" s="148"/>
      <c r="K194" s="145"/>
      <c r="L194" s="148"/>
      <c r="M194" s="149"/>
      <c r="N194" s="148"/>
      <c r="O194" s="150"/>
      <c r="P1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4" s="43" t="str">
        <f>IF(テーブル22[[#This Row],[得点]]="","",IF(テーブル22[[#This Row],[年齢]]&gt;10,LOOKUP(P194,$BG$6:$BG$10,$BD$6:$BD$10),IF(テーブル22[[#This Row],[年齢]]&gt;9,LOOKUP(P194,$BF$6:$BF$10,$BD$6:$BD$10),IF(テーブル22[[#This Row],[年齢]]&gt;8,LOOKUP(P194,$BE$6:$BE$10,$BD$6:$BD$10),IF(テーブル22[[#This Row],[年齢]]&gt;7,LOOKUP(P194,$BC$6:$BC$10,$BD$6:$BD$10),IF(テーブル22[[#This Row],[年齢]]&gt;6,LOOKUP(P194,$BB$6:$BB$10,$BD$6:$BD$10),LOOKUP(P194,$BA$6:$BA$10,$BD$6:$BD$10)))))))</f>
        <v/>
      </c>
      <c r="R194" s="42">
        <f>IF(H194="",0,(IF(テーブル22[[#This Row],[性別]]="男",LOOKUP(テーブル22[[#This Row],[握力]],$AH$6:$AI$15),LOOKUP(テーブル22[[#This Row],[握力]],$AH$20:$AI$29))))</f>
        <v>0</v>
      </c>
      <c r="S194" s="42">
        <f>IF(テーブル22[[#This Row],[上体]]="",0,(IF(テーブル22[[#This Row],[性別]]="男",LOOKUP(テーブル22[[#This Row],[上体]],$AJ$6:$AK$15),LOOKUP(テーブル22[[#This Row],[上体]],$AJ$20:$AK$29))))</f>
        <v>0</v>
      </c>
      <c r="T194" s="42">
        <f>IF(テーブル22[[#This Row],[長座]]="",0,(IF(テーブル22[[#This Row],[性別]]="男",LOOKUP(テーブル22[[#This Row],[長座]],$AL$6:$AM$15),LOOKUP(テーブル22[[#This Row],[長座]],$AL$20:$AM$29))))</f>
        <v>0</v>
      </c>
      <c r="U194" s="42">
        <f>IF(テーブル22[[#This Row],[反復]]="",0,(IF(テーブル22[[#This Row],[性別]]="男",LOOKUP(テーブル22[[#This Row],[反復]],$AN$6:$AO$15),LOOKUP(テーブル22[[#This Row],[反復]],$AN$20:$AO$29))))</f>
        <v>0</v>
      </c>
      <c r="V194" s="42">
        <f>IF(テーブル22[[#This Row],[ｼｬﾄﾙﾗﾝ]]="",0,(IF(テーブル22[[#This Row],[性別]]="男",LOOKUP(テーブル22[[#This Row],[ｼｬﾄﾙﾗﾝ]],$AR$6:$AS$15),LOOKUP(テーブル22[[#This Row],[ｼｬﾄﾙﾗﾝ]],$AR$20:$AS$29))))</f>
        <v>0</v>
      </c>
      <c r="W194" s="42">
        <f>IF(テーブル22[[#This Row],[50m走]]="",0,(IF(テーブル22[[#This Row],[性別]]="男",LOOKUP(テーブル22[[#This Row],[50m走]],$AT$6:$AU$15),LOOKUP(テーブル22[[#This Row],[50m走]],$AT$20:$AU$29))))</f>
        <v>0</v>
      </c>
      <c r="X194" s="42">
        <f>IF(テーブル22[[#This Row],[立幅とび]]="",0,(IF(テーブル22[[#This Row],[性別]]="男",LOOKUP(テーブル22[[#This Row],[立幅とび]],$AV$6:$AW$15),LOOKUP(テーブル22[[#This Row],[立幅とび]],$AV$20:$AW$29))))</f>
        <v>0</v>
      </c>
      <c r="Y194" s="42">
        <f>IF(テーブル22[[#This Row],[ボール投げ]]="",0,(IF(テーブル22[[#This Row],[性別]]="男",LOOKUP(テーブル22[[#This Row],[ボール投げ]],$AX$6:$AY$15),LOOKUP(テーブル22[[#This Row],[ボール投げ]],$AX$20:$AY$29))))</f>
        <v>0</v>
      </c>
      <c r="Z194" s="19" t="str">
        <f>IF(テーブル22[[#This Row],[学年]]=1,6,IF(テーブル22[[#This Row],[学年]]=2,7,IF(テーブル22[[#This Row],[学年]]=3,8,IF(テーブル22[[#This Row],[学年]]=4,9,IF(テーブル22[[#This Row],[学年]]=5,10,IF(テーブル22[[#This Row],[学年]]=6,11," "))))))</f>
        <v xml:space="preserve"> </v>
      </c>
      <c r="AA194" s="125" t="str">
        <f>IF(テーブル22[[#This Row],[肥満度数値]]="","",LOOKUP(AC194,$AW$39:$AW$44,$AX$39:$AX$44))</f>
        <v/>
      </c>
      <c r="AB1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4" s="124" t="str">
        <f>IF(テーブル22[[#This Row],[体重]]="","",(テーブル22[[#This Row],[体重]]-テーブル22[[#This Row],[標準体重]])/テーブル22[[#This Row],[標準体重]]*100)</f>
        <v/>
      </c>
      <c r="AD194" s="1">
        <f>COUNTA(テーブル22[[#This Row],[握力]:[ボール投げ]])</f>
        <v>0</v>
      </c>
      <c r="AE194" s="1" t="str">
        <f>IF(テーブル22[[#This Row],[判定]]=$BD$10,"○","")</f>
        <v/>
      </c>
      <c r="AF194" s="1" t="str">
        <f>IF(AE194="","",COUNTIF($AE$6:AE194,"○"))</f>
        <v/>
      </c>
    </row>
    <row r="195" spans="1:32" x14ac:dyDescent="0.2">
      <c r="A195" s="40">
        <v>190</v>
      </c>
      <c r="B195" s="145"/>
      <c r="C195" s="148"/>
      <c r="D195" s="145"/>
      <c r="E195" s="156"/>
      <c r="F195" s="145"/>
      <c r="G195" s="145"/>
      <c r="H195" s="146"/>
      <c r="I195" s="146"/>
      <c r="J195" s="148"/>
      <c r="K195" s="145"/>
      <c r="L195" s="148"/>
      <c r="M195" s="149"/>
      <c r="N195" s="148"/>
      <c r="O195" s="150"/>
      <c r="P1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5" s="43" t="str">
        <f>IF(テーブル22[[#This Row],[得点]]="","",IF(テーブル22[[#This Row],[年齢]]&gt;10,LOOKUP(P195,$BG$6:$BG$10,$BD$6:$BD$10),IF(テーブル22[[#This Row],[年齢]]&gt;9,LOOKUP(P195,$BF$6:$BF$10,$BD$6:$BD$10),IF(テーブル22[[#This Row],[年齢]]&gt;8,LOOKUP(P195,$BE$6:$BE$10,$BD$6:$BD$10),IF(テーブル22[[#This Row],[年齢]]&gt;7,LOOKUP(P195,$BC$6:$BC$10,$BD$6:$BD$10),IF(テーブル22[[#This Row],[年齢]]&gt;6,LOOKUP(P195,$BB$6:$BB$10,$BD$6:$BD$10),LOOKUP(P195,$BA$6:$BA$10,$BD$6:$BD$10)))))))</f>
        <v/>
      </c>
      <c r="R195" s="42">
        <f>IF(H195="",0,(IF(テーブル22[[#This Row],[性別]]="男",LOOKUP(テーブル22[[#This Row],[握力]],$AH$6:$AI$15),LOOKUP(テーブル22[[#This Row],[握力]],$AH$20:$AI$29))))</f>
        <v>0</v>
      </c>
      <c r="S195" s="42">
        <f>IF(テーブル22[[#This Row],[上体]]="",0,(IF(テーブル22[[#This Row],[性別]]="男",LOOKUP(テーブル22[[#This Row],[上体]],$AJ$6:$AK$15),LOOKUP(テーブル22[[#This Row],[上体]],$AJ$20:$AK$29))))</f>
        <v>0</v>
      </c>
      <c r="T195" s="42">
        <f>IF(テーブル22[[#This Row],[長座]]="",0,(IF(テーブル22[[#This Row],[性別]]="男",LOOKUP(テーブル22[[#This Row],[長座]],$AL$6:$AM$15),LOOKUP(テーブル22[[#This Row],[長座]],$AL$20:$AM$29))))</f>
        <v>0</v>
      </c>
      <c r="U195" s="42">
        <f>IF(テーブル22[[#This Row],[反復]]="",0,(IF(テーブル22[[#This Row],[性別]]="男",LOOKUP(テーブル22[[#This Row],[反復]],$AN$6:$AO$15),LOOKUP(テーブル22[[#This Row],[反復]],$AN$20:$AO$29))))</f>
        <v>0</v>
      </c>
      <c r="V195" s="42">
        <f>IF(テーブル22[[#This Row],[ｼｬﾄﾙﾗﾝ]]="",0,(IF(テーブル22[[#This Row],[性別]]="男",LOOKUP(テーブル22[[#This Row],[ｼｬﾄﾙﾗﾝ]],$AR$6:$AS$15),LOOKUP(テーブル22[[#This Row],[ｼｬﾄﾙﾗﾝ]],$AR$20:$AS$29))))</f>
        <v>0</v>
      </c>
      <c r="W195" s="42">
        <f>IF(テーブル22[[#This Row],[50m走]]="",0,(IF(テーブル22[[#This Row],[性別]]="男",LOOKUP(テーブル22[[#This Row],[50m走]],$AT$6:$AU$15),LOOKUP(テーブル22[[#This Row],[50m走]],$AT$20:$AU$29))))</f>
        <v>0</v>
      </c>
      <c r="X195" s="42">
        <f>IF(テーブル22[[#This Row],[立幅とび]]="",0,(IF(テーブル22[[#This Row],[性別]]="男",LOOKUP(テーブル22[[#This Row],[立幅とび]],$AV$6:$AW$15),LOOKUP(テーブル22[[#This Row],[立幅とび]],$AV$20:$AW$29))))</f>
        <v>0</v>
      </c>
      <c r="Y195" s="42">
        <f>IF(テーブル22[[#This Row],[ボール投げ]]="",0,(IF(テーブル22[[#This Row],[性別]]="男",LOOKUP(テーブル22[[#This Row],[ボール投げ]],$AX$6:$AY$15),LOOKUP(テーブル22[[#This Row],[ボール投げ]],$AX$20:$AY$29))))</f>
        <v>0</v>
      </c>
      <c r="Z195" s="19" t="str">
        <f>IF(テーブル22[[#This Row],[学年]]=1,6,IF(テーブル22[[#This Row],[学年]]=2,7,IF(テーブル22[[#This Row],[学年]]=3,8,IF(テーブル22[[#This Row],[学年]]=4,9,IF(テーブル22[[#This Row],[学年]]=5,10,IF(テーブル22[[#This Row],[学年]]=6,11," "))))))</f>
        <v xml:space="preserve"> </v>
      </c>
      <c r="AA195" s="125" t="str">
        <f>IF(テーブル22[[#This Row],[肥満度数値]]="","",LOOKUP(AC195,$AW$39:$AW$44,$AX$39:$AX$44))</f>
        <v/>
      </c>
      <c r="AB1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5" s="124" t="str">
        <f>IF(テーブル22[[#This Row],[体重]]="","",(テーブル22[[#This Row],[体重]]-テーブル22[[#This Row],[標準体重]])/テーブル22[[#This Row],[標準体重]]*100)</f>
        <v/>
      </c>
      <c r="AD195" s="1">
        <f>COUNTA(テーブル22[[#This Row],[握力]:[ボール投げ]])</f>
        <v>0</v>
      </c>
      <c r="AE195" s="1" t="str">
        <f>IF(テーブル22[[#This Row],[判定]]=$BD$10,"○","")</f>
        <v/>
      </c>
      <c r="AF195" s="1" t="str">
        <f>IF(AE195="","",COUNTIF($AE$6:AE195,"○"))</f>
        <v/>
      </c>
    </row>
    <row r="196" spans="1:32" x14ac:dyDescent="0.2">
      <c r="A196" s="40">
        <v>191</v>
      </c>
      <c r="B196" s="145"/>
      <c r="C196" s="148"/>
      <c r="D196" s="145"/>
      <c r="E196" s="156"/>
      <c r="F196" s="145"/>
      <c r="G196" s="145"/>
      <c r="H196" s="146"/>
      <c r="I196" s="146"/>
      <c r="J196" s="148"/>
      <c r="K196" s="145"/>
      <c r="L196" s="148"/>
      <c r="M196" s="149"/>
      <c r="N196" s="148"/>
      <c r="O196" s="150"/>
      <c r="P1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6" s="43" t="str">
        <f>IF(テーブル22[[#This Row],[得点]]="","",IF(テーブル22[[#This Row],[年齢]]&gt;10,LOOKUP(P196,$BG$6:$BG$10,$BD$6:$BD$10),IF(テーブル22[[#This Row],[年齢]]&gt;9,LOOKUP(P196,$BF$6:$BF$10,$BD$6:$BD$10),IF(テーブル22[[#This Row],[年齢]]&gt;8,LOOKUP(P196,$BE$6:$BE$10,$BD$6:$BD$10),IF(テーブル22[[#This Row],[年齢]]&gt;7,LOOKUP(P196,$BC$6:$BC$10,$BD$6:$BD$10),IF(テーブル22[[#This Row],[年齢]]&gt;6,LOOKUP(P196,$BB$6:$BB$10,$BD$6:$BD$10),LOOKUP(P196,$BA$6:$BA$10,$BD$6:$BD$10)))))))</f>
        <v/>
      </c>
      <c r="R196" s="42">
        <f>IF(H196="",0,(IF(テーブル22[[#This Row],[性別]]="男",LOOKUP(テーブル22[[#This Row],[握力]],$AH$6:$AI$15),LOOKUP(テーブル22[[#This Row],[握力]],$AH$20:$AI$29))))</f>
        <v>0</v>
      </c>
      <c r="S196" s="42">
        <f>IF(テーブル22[[#This Row],[上体]]="",0,(IF(テーブル22[[#This Row],[性別]]="男",LOOKUP(テーブル22[[#This Row],[上体]],$AJ$6:$AK$15),LOOKUP(テーブル22[[#This Row],[上体]],$AJ$20:$AK$29))))</f>
        <v>0</v>
      </c>
      <c r="T196" s="42">
        <f>IF(テーブル22[[#This Row],[長座]]="",0,(IF(テーブル22[[#This Row],[性別]]="男",LOOKUP(テーブル22[[#This Row],[長座]],$AL$6:$AM$15),LOOKUP(テーブル22[[#This Row],[長座]],$AL$20:$AM$29))))</f>
        <v>0</v>
      </c>
      <c r="U196" s="42">
        <f>IF(テーブル22[[#This Row],[反復]]="",0,(IF(テーブル22[[#This Row],[性別]]="男",LOOKUP(テーブル22[[#This Row],[反復]],$AN$6:$AO$15),LOOKUP(テーブル22[[#This Row],[反復]],$AN$20:$AO$29))))</f>
        <v>0</v>
      </c>
      <c r="V196" s="42">
        <f>IF(テーブル22[[#This Row],[ｼｬﾄﾙﾗﾝ]]="",0,(IF(テーブル22[[#This Row],[性別]]="男",LOOKUP(テーブル22[[#This Row],[ｼｬﾄﾙﾗﾝ]],$AR$6:$AS$15),LOOKUP(テーブル22[[#This Row],[ｼｬﾄﾙﾗﾝ]],$AR$20:$AS$29))))</f>
        <v>0</v>
      </c>
      <c r="W196" s="42">
        <f>IF(テーブル22[[#This Row],[50m走]]="",0,(IF(テーブル22[[#This Row],[性別]]="男",LOOKUP(テーブル22[[#This Row],[50m走]],$AT$6:$AU$15),LOOKUP(テーブル22[[#This Row],[50m走]],$AT$20:$AU$29))))</f>
        <v>0</v>
      </c>
      <c r="X196" s="42">
        <f>IF(テーブル22[[#This Row],[立幅とび]]="",0,(IF(テーブル22[[#This Row],[性別]]="男",LOOKUP(テーブル22[[#This Row],[立幅とび]],$AV$6:$AW$15),LOOKUP(テーブル22[[#This Row],[立幅とび]],$AV$20:$AW$29))))</f>
        <v>0</v>
      </c>
      <c r="Y196" s="42">
        <f>IF(テーブル22[[#This Row],[ボール投げ]]="",0,(IF(テーブル22[[#This Row],[性別]]="男",LOOKUP(テーブル22[[#This Row],[ボール投げ]],$AX$6:$AY$15),LOOKUP(テーブル22[[#This Row],[ボール投げ]],$AX$20:$AY$29))))</f>
        <v>0</v>
      </c>
      <c r="Z196" s="19" t="str">
        <f>IF(テーブル22[[#This Row],[学年]]=1,6,IF(テーブル22[[#This Row],[学年]]=2,7,IF(テーブル22[[#This Row],[学年]]=3,8,IF(テーブル22[[#This Row],[学年]]=4,9,IF(テーブル22[[#This Row],[学年]]=5,10,IF(テーブル22[[#This Row],[学年]]=6,11," "))))))</f>
        <v xml:space="preserve"> </v>
      </c>
      <c r="AA196" s="125" t="str">
        <f>IF(テーブル22[[#This Row],[肥満度数値]]="","",LOOKUP(AC196,$AW$39:$AW$44,$AX$39:$AX$44))</f>
        <v/>
      </c>
      <c r="AB1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6" s="124" t="str">
        <f>IF(テーブル22[[#This Row],[体重]]="","",(テーブル22[[#This Row],[体重]]-テーブル22[[#This Row],[標準体重]])/テーブル22[[#This Row],[標準体重]]*100)</f>
        <v/>
      </c>
      <c r="AD196" s="1">
        <f>COUNTA(テーブル22[[#This Row],[握力]:[ボール投げ]])</f>
        <v>0</v>
      </c>
      <c r="AE196" s="1" t="str">
        <f>IF(テーブル22[[#This Row],[判定]]=$BD$10,"○","")</f>
        <v/>
      </c>
      <c r="AF196" s="1" t="str">
        <f>IF(AE196="","",COUNTIF($AE$6:AE196,"○"))</f>
        <v/>
      </c>
    </row>
    <row r="197" spans="1:32" x14ac:dyDescent="0.2">
      <c r="A197" s="40">
        <v>192</v>
      </c>
      <c r="B197" s="145"/>
      <c r="C197" s="148"/>
      <c r="D197" s="145"/>
      <c r="E197" s="156"/>
      <c r="F197" s="145"/>
      <c r="G197" s="145"/>
      <c r="H197" s="146"/>
      <c r="I197" s="146"/>
      <c r="J197" s="148"/>
      <c r="K197" s="145"/>
      <c r="L197" s="148"/>
      <c r="M197" s="149"/>
      <c r="N197" s="148"/>
      <c r="O197" s="150"/>
      <c r="P1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7" s="43" t="str">
        <f>IF(テーブル22[[#This Row],[得点]]="","",IF(テーブル22[[#This Row],[年齢]]&gt;10,LOOKUP(P197,$BG$6:$BG$10,$BD$6:$BD$10),IF(テーブル22[[#This Row],[年齢]]&gt;9,LOOKUP(P197,$BF$6:$BF$10,$BD$6:$BD$10),IF(テーブル22[[#This Row],[年齢]]&gt;8,LOOKUP(P197,$BE$6:$BE$10,$BD$6:$BD$10),IF(テーブル22[[#This Row],[年齢]]&gt;7,LOOKUP(P197,$BC$6:$BC$10,$BD$6:$BD$10),IF(テーブル22[[#This Row],[年齢]]&gt;6,LOOKUP(P197,$BB$6:$BB$10,$BD$6:$BD$10),LOOKUP(P197,$BA$6:$BA$10,$BD$6:$BD$10)))))))</f>
        <v/>
      </c>
      <c r="R197" s="42">
        <f>IF(H197="",0,(IF(テーブル22[[#This Row],[性別]]="男",LOOKUP(テーブル22[[#This Row],[握力]],$AH$6:$AI$15),LOOKUP(テーブル22[[#This Row],[握力]],$AH$20:$AI$29))))</f>
        <v>0</v>
      </c>
      <c r="S197" s="42">
        <f>IF(テーブル22[[#This Row],[上体]]="",0,(IF(テーブル22[[#This Row],[性別]]="男",LOOKUP(テーブル22[[#This Row],[上体]],$AJ$6:$AK$15),LOOKUP(テーブル22[[#This Row],[上体]],$AJ$20:$AK$29))))</f>
        <v>0</v>
      </c>
      <c r="T197" s="42">
        <f>IF(テーブル22[[#This Row],[長座]]="",0,(IF(テーブル22[[#This Row],[性別]]="男",LOOKUP(テーブル22[[#This Row],[長座]],$AL$6:$AM$15),LOOKUP(テーブル22[[#This Row],[長座]],$AL$20:$AM$29))))</f>
        <v>0</v>
      </c>
      <c r="U197" s="42">
        <f>IF(テーブル22[[#This Row],[反復]]="",0,(IF(テーブル22[[#This Row],[性別]]="男",LOOKUP(テーブル22[[#This Row],[反復]],$AN$6:$AO$15),LOOKUP(テーブル22[[#This Row],[反復]],$AN$20:$AO$29))))</f>
        <v>0</v>
      </c>
      <c r="V197" s="42">
        <f>IF(テーブル22[[#This Row],[ｼｬﾄﾙﾗﾝ]]="",0,(IF(テーブル22[[#This Row],[性別]]="男",LOOKUP(テーブル22[[#This Row],[ｼｬﾄﾙﾗﾝ]],$AR$6:$AS$15),LOOKUP(テーブル22[[#This Row],[ｼｬﾄﾙﾗﾝ]],$AR$20:$AS$29))))</f>
        <v>0</v>
      </c>
      <c r="W197" s="42">
        <f>IF(テーブル22[[#This Row],[50m走]]="",0,(IF(テーブル22[[#This Row],[性別]]="男",LOOKUP(テーブル22[[#This Row],[50m走]],$AT$6:$AU$15),LOOKUP(テーブル22[[#This Row],[50m走]],$AT$20:$AU$29))))</f>
        <v>0</v>
      </c>
      <c r="X197" s="42">
        <f>IF(テーブル22[[#This Row],[立幅とび]]="",0,(IF(テーブル22[[#This Row],[性別]]="男",LOOKUP(テーブル22[[#This Row],[立幅とび]],$AV$6:$AW$15),LOOKUP(テーブル22[[#This Row],[立幅とび]],$AV$20:$AW$29))))</f>
        <v>0</v>
      </c>
      <c r="Y197" s="42">
        <f>IF(テーブル22[[#This Row],[ボール投げ]]="",0,(IF(テーブル22[[#This Row],[性別]]="男",LOOKUP(テーブル22[[#This Row],[ボール投げ]],$AX$6:$AY$15),LOOKUP(テーブル22[[#This Row],[ボール投げ]],$AX$20:$AY$29))))</f>
        <v>0</v>
      </c>
      <c r="Z197" s="19" t="str">
        <f>IF(テーブル22[[#This Row],[学年]]=1,6,IF(テーブル22[[#This Row],[学年]]=2,7,IF(テーブル22[[#This Row],[学年]]=3,8,IF(テーブル22[[#This Row],[学年]]=4,9,IF(テーブル22[[#This Row],[学年]]=5,10,IF(テーブル22[[#This Row],[学年]]=6,11," "))))))</f>
        <v xml:space="preserve"> </v>
      </c>
      <c r="AA197" s="125" t="str">
        <f>IF(テーブル22[[#This Row],[肥満度数値]]="","",LOOKUP(AC197,$AW$39:$AW$44,$AX$39:$AX$44))</f>
        <v/>
      </c>
      <c r="AB1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7" s="124" t="str">
        <f>IF(テーブル22[[#This Row],[体重]]="","",(テーブル22[[#This Row],[体重]]-テーブル22[[#This Row],[標準体重]])/テーブル22[[#This Row],[標準体重]]*100)</f>
        <v/>
      </c>
      <c r="AD197" s="1">
        <f>COUNTA(テーブル22[[#This Row],[握力]:[ボール投げ]])</f>
        <v>0</v>
      </c>
      <c r="AE197" s="1" t="str">
        <f>IF(テーブル22[[#This Row],[判定]]=$BD$10,"○","")</f>
        <v/>
      </c>
      <c r="AF197" s="1" t="str">
        <f>IF(AE197="","",COUNTIF($AE$6:AE197,"○"))</f>
        <v/>
      </c>
    </row>
    <row r="198" spans="1:32" x14ac:dyDescent="0.2">
      <c r="A198" s="40">
        <v>193</v>
      </c>
      <c r="B198" s="145"/>
      <c r="C198" s="148"/>
      <c r="D198" s="145"/>
      <c r="E198" s="156"/>
      <c r="F198" s="145"/>
      <c r="G198" s="145"/>
      <c r="H198" s="146"/>
      <c r="I198" s="146"/>
      <c r="J198" s="148"/>
      <c r="K198" s="145"/>
      <c r="L198" s="148"/>
      <c r="M198" s="149"/>
      <c r="N198" s="148"/>
      <c r="O198" s="150"/>
      <c r="P1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8" s="43" t="str">
        <f>IF(テーブル22[[#This Row],[得点]]="","",IF(テーブル22[[#This Row],[年齢]]&gt;10,LOOKUP(P198,$BG$6:$BG$10,$BD$6:$BD$10),IF(テーブル22[[#This Row],[年齢]]&gt;9,LOOKUP(P198,$BF$6:$BF$10,$BD$6:$BD$10),IF(テーブル22[[#This Row],[年齢]]&gt;8,LOOKUP(P198,$BE$6:$BE$10,$BD$6:$BD$10),IF(テーブル22[[#This Row],[年齢]]&gt;7,LOOKUP(P198,$BC$6:$BC$10,$BD$6:$BD$10),IF(テーブル22[[#This Row],[年齢]]&gt;6,LOOKUP(P198,$BB$6:$BB$10,$BD$6:$BD$10),LOOKUP(P198,$BA$6:$BA$10,$BD$6:$BD$10)))))))</f>
        <v/>
      </c>
      <c r="R198" s="42">
        <f>IF(H198="",0,(IF(テーブル22[[#This Row],[性別]]="男",LOOKUP(テーブル22[[#This Row],[握力]],$AH$6:$AI$15),LOOKUP(テーブル22[[#This Row],[握力]],$AH$20:$AI$29))))</f>
        <v>0</v>
      </c>
      <c r="S198" s="42">
        <f>IF(テーブル22[[#This Row],[上体]]="",0,(IF(テーブル22[[#This Row],[性別]]="男",LOOKUP(テーブル22[[#This Row],[上体]],$AJ$6:$AK$15),LOOKUP(テーブル22[[#This Row],[上体]],$AJ$20:$AK$29))))</f>
        <v>0</v>
      </c>
      <c r="T198" s="42">
        <f>IF(テーブル22[[#This Row],[長座]]="",0,(IF(テーブル22[[#This Row],[性別]]="男",LOOKUP(テーブル22[[#This Row],[長座]],$AL$6:$AM$15),LOOKUP(テーブル22[[#This Row],[長座]],$AL$20:$AM$29))))</f>
        <v>0</v>
      </c>
      <c r="U198" s="42">
        <f>IF(テーブル22[[#This Row],[反復]]="",0,(IF(テーブル22[[#This Row],[性別]]="男",LOOKUP(テーブル22[[#This Row],[反復]],$AN$6:$AO$15),LOOKUP(テーブル22[[#This Row],[反復]],$AN$20:$AO$29))))</f>
        <v>0</v>
      </c>
      <c r="V198" s="42">
        <f>IF(テーブル22[[#This Row],[ｼｬﾄﾙﾗﾝ]]="",0,(IF(テーブル22[[#This Row],[性別]]="男",LOOKUP(テーブル22[[#This Row],[ｼｬﾄﾙﾗﾝ]],$AR$6:$AS$15),LOOKUP(テーブル22[[#This Row],[ｼｬﾄﾙﾗﾝ]],$AR$20:$AS$29))))</f>
        <v>0</v>
      </c>
      <c r="W198" s="42">
        <f>IF(テーブル22[[#This Row],[50m走]]="",0,(IF(テーブル22[[#This Row],[性別]]="男",LOOKUP(テーブル22[[#This Row],[50m走]],$AT$6:$AU$15),LOOKUP(テーブル22[[#This Row],[50m走]],$AT$20:$AU$29))))</f>
        <v>0</v>
      </c>
      <c r="X198" s="42">
        <f>IF(テーブル22[[#This Row],[立幅とび]]="",0,(IF(テーブル22[[#This Row],[性別]]="男",LOOKUP(テーブル22[[#This Row],[立幅とび]],$AV$6:$AW$15),LOOKUP(テーブル22[[#This Row],[立幅とび]],$AV$20:$AW$29))))</f>
        <v>0</v>
      </c>
      <c r="Y198" s="42">
        <f>IF(テーブル22[[#This Row],[ボール投げ]]="",0,(IF(テーブル22[[#This Row],[性別]]="男",LOOKUP(テーブル22[[#This Row],[ボール投げ]],$AX$6:$AY$15),LOOKUP(テーブル22[[#This Row],[ボール投げ]],$AX$20:$AY$29))))</f>
        <v>0</v>
      </c>
      <c r="Z198" s="19" t="str">
        <f>IF(テーブル22[[#This Row],[学年]]=1,6,IF(テーブル22[[#This Row],[学年]]=2,7,IF(テーブル22[[#This Row],[学年]]=3,8,IF(テーブル22[[#This Row],[学年]]=4,9,IF(テーブル22[[#This Row],[学年]]=5,10,IF(テーブル22[[#This Row],[学年]]=6,11," "))))))</f>
        <v xml:space="preserve"> </v>
      </c>
      <c r="AA198" s="125" t="str">
        <f>IF(テーブル22[[#This Row],[肥満度数値]]="","",LOOKUP(AC198,$AW$39:$AW$44,$AX$39:$AX$44))</f>
        <v/>
      </c>
      <c r="AB1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8" s="124" t="str">
        <f>IF(テーブル22[[#This Row],[体重]]="","",(テーブル22[[#This Row],[体重]]-テーブル22[[#This Row],[標準体重]])/テーブル22[[#This Row],[標準体重]]*100)</f>
        <v/>
      </c>
      <c r="AD198" s="1">
        <f>COUNTA(テーブル22[[#This Row],[握力]:[ボール投げ]])</f>
        <v>0</v>
      </c>
      <c r="AE198" s="1" t="str">
        <f>IF(テーブル22[[#This Row],[判定]]=$BD$10,"○","")</f>
        <v/>
      </c>
      <c r="AF198" s="1" t="str">
        <f>IF(AE198="","",COUNTIF($AE$6:AE198,"○"))</f>
        <v/>
      </c>
    </row>
    <row r="199" spans="1:32" x14ac:dyDescent="0.2">
      <c r="A199" s="40">
        <v>194</v>
      </c>
      <c r="B199" s="145"/>
      <c r="C199" s="148"/>
      <c r="D199" s="145"/>
      <c r="E199" s="156"/>
      <c r="F199" s="145"/>
      <c r="G199" s="145"/>
      <c r="H199" s="146"/>
      <c r="I199" s="146"/>
      <c r="J199" s="148"/>
      <c r="K199" s="145"/>
      <c r="L199" s="148"/>
      <c r="M199" s="149"/>
      <c r="N199" s="148"/>
      <c r="O199" s="150"/>
      <c r="P1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199" s="43" t="str">
        <f>IF(テーブル22[[#This Row],[得点]]="","",IF(テーブル22[[#This Row],[年齢]]&gt;10,LOOKUP(P199,$BG$6:$BG$10,$BD$6:$BD$10),IF(テーブル22[[#This Row],[年齢]]&gt;9,LOOKUP(P199,$BF$6:$BF$10,$BD$6:$BD$10),IF(テーブル22[[#This Row],[年齢]]&gt;8,LOOKUP(P199,$BE$6:$BE$10,$BD$6:$BD$10),IF(テーブル22[[#This Row],[年齢]]&gt;7,LOOKUP(P199,$BC$6:$BC$10,$BD$6:$BD$10),IF(テーブル22[[#This Row],[年齢]]&gt;6,LOOKUP(P199,$BB$6:$BB$10,$BD$6:$BD$10),LOOKUP(P199,$BA$6:$BA$10,$BD$6:$BD$10)))))))</f>
        <v/>
      </c>
      <c r="R199" s="42">
        <f>IF(H199="",0,(IF(テーブル22[[#This Row],[性別]]="男",LOOKUP(テーブル22[[#This Row],[握力]],$AH$6:$AI$15),LOOKUP(テーブル22[[#This Row],[握力]],$AH$20:$AI$29))))</f>
        <v>0</v>
      </c>
      <c r="S199" s="42">
        <f>IF(テーブル22[[#This Row],[上体]]="",0,(IF(テーブル22[[#This Row],[性別]]="男",LOOKUP(テーブル22[[#This Row],[上体]],$AJ$6:$AK$15),LOOKUP(テーブル22[[#This Row],[上体]],$AJ$20:$AK$29))))</f>
        <v>0</v>
      </c>
      <c r="T199" s="42">
        <f>IF(テーブル22[[#This Row],[長座]]="",0,(IF(テーブル22[[#This Row],[性別]]="男",LOOKUP(テーブル22[[#This Row],[長座]],$AL$6:$AM$15),LOOKUP(テーブル22[[#This Row],[長座]],$AL$20:$AM$29))))</f>
        <v>0</v>
      </c>
      <c r="U199" s="42">
        <f>IF(テーブル22[[#This Row],[反復]]="",0,(IF(テーブル22[[#This Row],[性別]]="男",LOOKUP(テーブル22[[#This Row],[反復]],$AN$6:$AO$15),LOOKUP(テーブル22[[#This Row],[反復]],$AN$20:$AO$29))))</f>
        <v>0</v>
      </c>
      <c r="V199" s="42">
        <f>IF(テーブル22[[#This Row],[ｼｬﾄﾙﾗﾝ]]="",0,(IF(テーブル22[[#This Row],[性別]]="男",LOOKUP(テーブル22[[#This Row],[ｼｬﾄﾙﾗﾝ]],$AR$6:$AS$15),LOOKUP(テーブル22[[#This Row],[ｼｬﾄﾙﾗﾝ]],$AR$20:$AS$29))))</f>
        <v>0</v>
      </c>
      <c r="W199" s="42">
        <f>IF(テーブル22[[#This Row],[50m走]]="",0,(IF(テーブル22[[#This Row],[性別]]="男",LOOKUP(テーブル22[[#This Row],[50m走]],$AT$6:$AU$15),LOOKUP(テーブル22[[#This Row],[50m走]],$AT$20:$AU$29))))</f>
        <v>0</v>
      </c>
      <c r="X199" s="42">
        <f>IF(テーブル22[[#This Row],[立幅とび]]="",0,(IF(テーブル22[[#This Row],[性別]]="男",LOOKUP(テーブル22[[#This Row],[立幅とび]],$AV$6:$AW$15),LOOKUP(テーブル22[[#This Row],[立幅とび]],$AV$20:$AW$29))))</f>
        <v>0</v>
      </c>
      <c r="Y199" s="42">
        <f>IF(テーブル22[[#This Row],[ボール投げ]]="",0,(IF(テーブル22[[#This Row],[性別]]="男",LOOKUP(テーブル22[[#This Row],[ボール投げ]],$AX$6:$AY$15),LOOKUP(テーブル22[[#This Row],[ボール投げ]],$AX$20:$AY$29))))</f>
        <v>0</v>
      </c>
      <c r="Z199" s="19" t="str">
        <f>IF(テーブル22[[#This Row],[学年]]=1,6,IF(テーブル22[[#This Row],[学年]]=2,7,IF(テーブル22[[#This Row],[学年]]=3,8,IF(テーブル22[[#This Row],[学年]]=4,9,IF(テーブル22[[#This Row],[学年]]=5,10,IF(テーブル22[[#This Row],[学年]]=6,11," "))))))</f>
        <v xml:space="preserve"> </v>
      </c>
      <c r="AA199" s="125" t="str">
        <f>IF(テーブル22[[#This Row],[肥満度数値]]="","",LOOKUP(AC199,$AW$39:$AW$44,$AX$39:$AX$44))</f>
        <v/>
      </c>
      <c r="AB1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199" s="124" t="str">
        <f>IF(テーブル22[[#This Row],[体重]]="","",(テーブル22[[#This Row],[体重]]-テーブル22[[#This Row],[標準体重]])/テーブル22[[#This Row],[標準体重]]*100)</f>
        <v/>
      </c>
      <c r="AD199" s="1">
        <f>COUNTA(テーブル22[[#This Row],[握力]:[ボール投げ]])</f>
        <v>0</v>
      </c>
      <c r="AE199" s="1" t="str">
        <f>IF(テーブル22[[#This Row],[判定]]=$BD$10,"○","")</f>
        <v/>
      </c>
      <c r="AF199" s="1" t="str">
        <f>IF(AE199="","",COUNTIF($AE$6:AE199,"○"))</f>
        <v/>
      </c>
    </row>
    <row r="200" spans="1:32" x14ac:dyDescent="0.2">
      <c r="A200" s="40">
        <v>195</v>
      </c>
      <c r="B200" s="145"/>
      <c r="C200" s="148"/>
      <c r="D200" s="145"/>
      <c r="E200" s="156"/>
      <c r="F200" s="145"/>
      <c r="G200" s="145"/>
      <c r="H200" s="146"/>
      <c r="I200" s="146"/>
      <c r="J200" s="148"/>
      <c r="K200" s="145"/>
      <c r="L200" s="148"/>
      <c r="M200" s="149"/>
      <c r="N200" s="148"/>
      <c r="O200" s="150"/>
      <c r="P2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0" s="43" t="str">
        <f>IF(テーブル22[[#This Row],[得点]]="","",IF(テーブル22[[#This Row],[年齢]]&gt;10,LOOKUP(P200,$BG$6:$BG$10,$BD$6:$BD$10),IF(テーブル22[[#This Row],[年齢]]&gt;9,LOOKUP(P200,$BF$6:$BF$10,$BD$6:$BD$10),IF(テーブル22[[#This Row],[年齢]]&gt;8,LOOKUP(P200,$BE$6:$BE$10,$BD$6:$BD$10),IF(テーブル22[[#This Row],[年齢]]&gt;7,LOOKUP(P200,$BC$6:$BC$10,$BD$6:$BD$10),IF(テーブル22[[#This Row],[年齢]]&gt;6,LOOKUP(P200,$BB$6:$BB$10,$BD$6:$BD$10),LOOKUP(P200,$BA$6:$BA$10,$BD$6:$BD$10)))))))</f>
        <v/>
      </c>
      <c r="R200" s="42">
        <f>IF(H200="",0,(IF(テーブル22[[#This Row],[性別]]="男",LOOKUP(テーブル22[[#This Row],[握力]],$AH$6:$AI$15),LOOKUP(テーブル22[[#This Row],[握力]],$AH$20:$AI$29))))</f>
        <v>0</v>
      </c>
      <c r="S200" s="42">
        <f>IF(テーブル22[[#This Row],[上体]]="",0,(IF(テーブル22[[#This Row],[性別]]="男",LOOKUP(テーブル22[[#This Row],[上体]],$AJ$6:$AK$15),LOOKUP(テーブル22[[#This Row],[上体]],$AJ$20:$AK$29))))</f>
        <v>0</v>
      </c>
      <c r="T200" s="42">
        <f>IF(テーブル22[[#This Row],[長座]]="",0,(IF(テーブル22[[#This Row],[性別]]="男",LOOKUP(テーブル22[[#This Row],[長座]],$AL$6:$AM$15),LOOKUP(テーブル22[[#This Row],[長座]],$AL$20:$AM$29))))</f>
        <v>0</v>
      </c>
      <c r="U200" s="42">
        <f>IF(テーブル22[[#This Row],[反復]]="",0,(IF(テーブル22[[#This Row],[性別]]="男",LOOKUP(テーブル22[[#This Row],[反復]],$AN$6:$AO$15),LOOKUP(テーブル22[[#This Row],[反復]],$AN$20:$AO$29))))</f>
        <v>0</v>
      </c>
      <c r="V200" s="42">
        <f>IF(テーブル22[[#This Row],[ｼｬﾄﾙﾗﾝ]]="",0,(IF(テーブル22[[#This Row],[性別]]="男",LOOKUP(テーブル22[[#This Row],[ｼｬﾄﾙﾗﾝ]],$AR$6:$AS$15),LOOKUP(テーブル22[[#This Row],[ｼｬﾄﾙﾗﾝ]],$AR$20:$AS$29))))</f>
        <v>0</v>
      </c>
      <c r="W200" s="42">
        <f>IF(テーブル22[[#This Row],[50m走]]="",0,(IF(テーブル22[[#This Row],[性別]]="男",LOOKUP(テーブル22[[#This Row],[50m走]],$AT$6:$AU$15),LOOKUP(テーブル22[[#This Row],[50m走]],$AT$20:$AU$29))))</f>
        <v>0</v>
      </c>
      <c r="X200" s="42">
        <f>IF(テーブル22[[#This Row],[立幅とび]]="",0,(IF(テーブル22[[#This Row],[性別]]="男",LOOKUP(テーブル22[[#This Row],[立幅とび]],$AV$6:$AW$15),LOOKUP(テーブル22[[#This Row],[立幅とび]],$AV$20:$AW$29))))</f>
        <v>0</v>
      </c>
      <c r="Y200" s="42">
        <f>IF(テーブル22[[#This Row],[ボール投げ]]="",0,(IF(テーブル22[[#This Row],[性別]]="男",LOOKUP(テーブル22[[#This Row],[ボール投げ]],$AX$6:$AY$15),LOOKUP(テーブル22[[#This Row],[ボール投げ]],$AX$20:$AY$29))))</f>
        <v>0</v>
      </c>
      <c r="Z200" s="19" t="str">
        <f>IF(テーブル22[[#This Row],[学年]]=1,6,IF(テーブル22[[#This Row],[学年]]=2,7,IF(テーブル22[[#This Row],[学年]]=3,8,IF(テーブル22[[#This Row],[学年]]=4,9,IF(テーブル22[[#This Row],[学年]]=5,10,IF(テーブル22[[#This Row],[学年]]=6,11," "))))))</f>
        <v xml:space="preserve"> </v>
      </c>
      <c r="AA200" s="125" t="str">
        <f>IF(テーブル22[[#This Row],[肥満度数値]]="","",LOOKUP(AC200,$AW$39:$AW$44,$AX$39:$AX$44))</f>
        <v/>
      </c>
      <c r="AB2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0" s="124" t="str">
        <f>IF(テーブル22[[#This Row],[体重]]="","",(テーブル22[[#This Row],[体重]]-テーブル22[[#This Row],[標準体重]])/テーブル22[[#This Row],[標準体重]]*100)</f>
        <v/>
      </c>
      <c r="AD200" s="1">
        <f>COUNTA(テーブル22[[#This Row],[握力]:[ボール投げ]])</f>
        <v>0</v>
      </c>
      <c r="AE200" s="1" t="str">
        <f>IF(テーブル22[[#This Row],[判定]]=$BD$10,"○","")</f>
        <v/>
      </c>
      <c r="AF200" s="1" t="str">
        <f>IF(AE200="","",COUNTIF($AE$6:AE200,"○"))</f>
        <v/>
      </c>
    </row>
    <row r="201" spans="1:32" x14ac:dyDescent="0.2">
      <c r="A201" s="40">
        <v>196</v>
      </c>
      <c r="B201" s="145"/>
      <c r="C201" s="148"/>
      <c r="D201" s="145"/>
      <c r="E201" s="156"/>
      <c r="F201" s="145"/>
      <c r="G201" s="145"/>
      <c r="H201" s="146"/>
      <c r="I201" s="146"/>
      <c r="J201" s="148"/>
      <c r="K201" s="145"/>
      <c r="L201" s="148"/>
      <c r="M201" s="149"/>
      <c r="N201" s="148"/>
      <c r="O201" s="150"/>
      <c r="P2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1" s="43" t="str">
        <f>IF(テーブル22[[#This Row],[得点]]="","",IF(テーブル22[[#This Row],[年齢]]&gt;10,LOOKUP(P201,$BG$6:$BG$10,$BD$6:$BD$10),IF(テーブル22[[#This Row],[年齢]]&gt;9,LOOKUP(P201,$BF$6:$BF$10,$BD$6:$BD$10),IF(テーブル22[[#This Row],[年齢]]&gt;8,LOOKUP(P201,$BE$6:$BE$10,$BD$6:$BD$10),IF(テーブル22[[#This Row],[年齢]]&gt;7,LOOKUP(P201,$BC$6:$BC$10,$BD$6:$BD$10),IF(テーブル22[[#This Row],[年齢]]&gt;6,LOOKUP(P201,$BB$6:$BB$10,$BD$6:$BD$10),LOOKUP(P201,$BA$6:$BA$10,$BD$6:$BD$10)))))))</f>
        <v/>
      </c>
      <c r="R201" s="42">
        <f>IF(H201="",0,(IF(テーブル22[[#This Row],[性別]]="男",LOOKUP(テーブル22[[#This Row],[握力]],$AH$6:$AI$15),LOOKUP(テーブル22[[#This Row],[握力]],$AH$20:$AI$29))))</f>
        <v>0</v>
      </c>
      <c r="S201" s="42">
        <f>IF(テーブル22[[#This Row],[上体]]="",0,(IF(テーブル22[[#This Row],[性別]]="男",LOOKUP(テーブル22[[#This Row],[上体]],$AJ$6:$AK$15),LOOKUP(テーブル22[[#This Row],[上体]],$AJ$20:$AK$29))))</f>
        <v>0</v>
      </c>
      <c r="T201" s="42">
        <f>IF(テーブル22[[#This Row],[長座]]="",0,(IF(テーブル22[[#This Row],[性別]]="男",LOOKUP(テーブル22[[#This Row],[長座]],$AL$6:$AM$15),LOOKUP(テーブル22[[#This Row],[長座]],$AL$20:$AM$29))))</f>
        <v>0</v>
      </c>
      <c r="U201" s="42">
        <f>IF(テーブル22[[#This Row],[反復]]="",0,(IF(テーブル22[[#This Row],[性別]]="男",LOOKUP(テーブル22[[#This Row],[反復]],$AN$6:$AO$15),LOOKUP(テーブル22[[#This Row],[反復]],$AN$20:$AO$29))))</f>
        <v>0</v>
      </c>
      <c r="V201" s="42">
        <f>IF(テーブル22[[#This Row],[ｼｬﾄﾙﾗﾝ]]="",0,(IF(テーブル22[[#This Row],[性別]]="男",LOOKUP(テーブル22[[#This Row],[ｼｬﾄﾙﾗﾝ]],$AR$6:$AS$15),LOOKUP(テーブル22[[#This Row],[ｼｬﾄﾙﾗﾝ]],$AR$20:$AS$29))))</f>
        <v>0</v>
      </c>
      <c r="W201" s="42">
        <f>IF(テーブル22[[#This Row],[50m走]]="",0,(IF(テーブル22[[#This Row],[性別]]="男",LOOKUP(テーブル22[[#This Row],[50m走]],$AT$6:$AU$15),LOOKUP(テーブル22[[#This Row],[50m走]],$AT$20:$AU$29))))</f>
        <v>0</v>
      </c>
      <c r="X201" s="42">
        <f>IF(テーブル22[[#This Row],[立幅とび]]="",0,(IF(テーブル22[[#This Row],[性別]]="男",LOOKUP(テーブル22[[#This Row],[立幅とび]],$AV$6:$AW$15),LOOKUP(テーブル22[[#This Row],[立幅とび]],$AV$20:$AW$29))))</f>
        <v>0</v>
      </c>
      <c r="Y201" s="42">
        <f>IF(テーブル22[[#This Row],[ボール投げ]]="",0,(IF(テーブル22[[#This Row],[性別]]="男",LOOKUP(テーブル22[[#This Row],[ボール投げ]],$AX$6:$AY$15),LOOKUP(テーブル22[[#This Row],[ボール投げ]],$AX$20:$AY$29))))</f>
        <v>0</v>
      </c>
      <c r="Z201" s="19" t="str">
        <f>IF(テーブル22[[#This Row],[学年]]=1,6,IF(テーブル22[[#This Row],[学年]]=2,7,IF(テーブル22[[#This Row],[学年]]=3,8,IF(テーブル22[[#This Row],[学年]]=4,9,IF(テーブル22[[#This Row],[学年]]=5,10,IF(テーブル22[[#This Row],[学年]]=6,11," "))))))</f>
        <v xml:space="preserve"> </v>
      </c>
      <c r="AA201" s="125" t="str">
        <f>IF(テーブル22[[#This Row],[肥満度数値]]="","",LOOKUP(AC201,$AW$39:$AW$44,$AX$39:$AX$44))</f>
        <v/>
      </c>
      <c r="AB2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1" s="124" t="str">
        <f>IF(テーブル22[[#This Row],[体重]]="","",(テーブル22[[#This Row],[体重]]-テーブル22[[#This Row],[標準体重]])/テーブル22[[#This Row],[標準体重]]*100)</f>
        <v/>
      </c>
      <c r="AD201" s="1">
        <f>COUNTA(テーブル22[[#This Row],[握力]:[ボール投げ]])</f>
        <v>0</v>
      </c>
      <c r="AE201" s="1" t="str">
        <f>IF(テーブル22[[#This Row],[判定]]=$BD$10,"○","")</f>
        <v/>
      </c>
      <c r="AF201" s="1" t="str">
        <f>IF(AE201="","",COUNTIF($AE$6:AE201,"○"))</f>
        <v/>
      </c>
    </row>
    <row r="202" spans="1:32" x14ac:dyDescent="0.2">
      <c r="A202" s="40">
        <v>197</v>
      </c>
      <c r="B202" s="145"/>
      <c r="C202" s="148"/>
      <c r="D202" s="145"/>
      <c r="E202" s="156"/>
      <c r="F202" s="145"/>
      <c r="G202" s="145"/>
      <c r="H202" s="146"/>
      <c r="I202" s="146"/>
      <c r="J202" s="148"/>
      <c r="K202" s="145"/>
      <c r="L202" s="148"/>
      <c r="M202" s="149"/>
      <c r="N202" s="148"/>
      <c r="O202" s="150"/>
      <c r="P2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2" s="43" t="str">
        <f>IF(テーブル22[[#This Row],[得点]]="","",IF(テーブル22[[#This Row],[年齢]]&gt;10,LOOKUP(P202,$BG$6:$BG$10,$BD$6:$BD$10),IF(テーブル22[[#This Row],[年齢]]&gt;9,LOOKUP(P202,$BF$6:$BF$10,$BD$6:$BD$10),IF(テーブル22[[#This Row],[年齢]]&gt;8,LOOKUP(P202,$BE$6:$BE$10,$BD$6:$BD$10),IF(テーブル22[[#This Row],[年齢]]&gt;7,LOOKUP(P202,$BC$6:$BC$10,$BD$6:$BD$10),IF(テーブル22[[#This Row],[年齢]]&gt;6,LOOKUP(P202,$BB$6:$BB$10,$BD$6:$BD$10),LOOKUP(P202,$BA$6:$BA$10,$BD$6:$BD$10)))))))</f>
        <v/>
      </c>
      <c r="R202" s="42">
        <f>IF(H202="",0,(IF(テーブル22[[#This Row],[性別]]="男",LOOKUP(テーブル22[[#This Row],[握力]],$AH$6:$AI$15),LOOKUP(テーブル22[[#This Row],[握力]],$AH$20:$AI$29))))</f>
        <v>0</v>
      </c>
      <c r="S202" s="42">
        <f>IF(テーブル22[[#This Row],[上体]]="",0,(IF(テーブル22[[#This Row],[性別]]="男",LOOKUP(テーブル22[[#This Row],[上体]],$AJ$6:$AK$15),LOOKUP(テーブル22[[#This Row],[上体]],$AJ$20:$AK$29))))</f>
        <v>0</v>
      </c>
      <c r="T202" s="42">
        <f>IF(テーブル22[[#This Row],[長座]]="",0,(IF(テーブル22[[#This Row],[性別]]="男",LOOKUP(テーブル22[[#This Row],[長座]],$AL$6:$AM$15),LOOKUP(テーブル22[[#This Row],[長座]],$AL$20:$AM$29))))</f>
        <v>0</v>
      </c>
      <c r="U202" s="42">
        <f>IF(テーブル22[[#This Row],[反復]]="",0,(IF(テーブル22[[#This Row],[性別]]="男",LOOKUP(テーブル22[[#This Row],[反復]],$AN$6:$AO$15),LOOKUP(テーブル22[[#This Row],[反復]],$AN$20:$AO$29))))</f>
        <v>0</v>
      </c>
      <c r="V202" s="42">
        <f>IF(テーブル22[[#This Row],[ｼｬﾄﾙﾗﾝ]]="",0,(IF(テーブル22[[#This Row],[性別]]="男",LOOKUP(テーブル22[[#This Row],[ｼｬﾄﾙﾗﾝ]],$AR$6:$AS$15),LOOKUP(テーブル22[[#This Row],[ｼｬﾄﾙﾗﾝ]],$AR$20:$AS$29))))</f>
        <v>0</v>
      </c>
      <c r="W202" s="42">
        <f>IF(テーブル22[[#This Row],[50m走]]="",0,(IF(テーブル22[[#This Row],[性別]]="男",LOOKUP(テーブル22[[#This Row],[50m走]],$AT$6:$AU$15),LOOKUP(テーブル22[[#This Row],[50m走]],$AT$20:$AU$29))))</f>
        <v>0</v>
      </c>
      <c r="X202" s="42">
        <f>IF(テーブル22[[#This Row],[立幅とび]]="",0,(IF(テーブル22[[#This Row],[性別]]="男",LOOKUP(テーブル22[[#This Row],[立幅とび]],$AV$6:$AW$15),LOOKUP(テーブル22[[#This Row],[立幅とび]],$AV$20:$AW$29))))</f>
        <v>0</v>
      </c>
      <c r="Y202" s="42">
        <f>IF(テーブル22[[#This Row],[ボール投げ]]="",0,(IF(テーブル22[[#This Row],[性別]]="男",LOOKUP(テーブル22[[#This Row],[ボール投げ]],$AX$6:$AY$15),LOOKUP(テーブル22[[#This Row],[ボール投げ]],$AX$20:$AY$29))))</f>
        <v>0</v>
      </c>
      <c r="Z202" s="19" t="str">
        <f>IF(テーブル22[[#This Row],[学年]]=1,6,IF(テーブル22[[#This Row],[学年]]=2,7,IF(テーブル22[[#This Row],[学年]]=3,8,IF(テーブル22[[#This Row],[学年]]=4,9,IF(テーブル22[[#This Row],[学年]]=5,10,IF(テーブル22[[#This Row],[学年]]=6,11," "))))))</f>
        <v xml:space="preserve"> </v>
      </c>
      <c r="AA202" s="125" t="str">
        <f>IF(テーブル22[[#This Row],[肥満度数値]]="","",LOOKUP(AC202,$AW$39:$AW$44,$AX$39:$AX$44))</f>
        <v/>
      </c>
      <c r="AB2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2" s="124" t="str">
        <f>IF(テーブル22[[#This Row],[体重]]="","",(テーブル22[[#This Row],[体重]]-テーブル22[[#This Row],[標準体重]])/テーブル22[[#This Row],[標準体重]]*100)</f>
        <v/>
      </c>
      <c r="AD202" s="1">
        <f>COUNTA(テーブル22[[#This Row],[握力]:[ボール投げ]])</f>
        <v>0</v>
      </c>
      <c r="AE202" s="1" t="str">
        <f>IF(テーブル22[[#This Row],[判定]]=$BD$10,"○","")</f>
        <v/>
      </c>
      <c r="AF202" s="1" t="str">
        <f>IF(AE202="","",COUNTIF($AE$6:AE202,"○"))</f>
        <v/>
      </c>
    </row>
    <row r="203" spans="1:32" x14ac:dyDescent="0.2">
      <c r="A203" s="40">
        <v>198</v>
      </c>
      <c r="B203" s="145"/>
      <c r="C203" s="148"/>
      <c r="D203" s="145"/>
      <c r="E203" s="156"/>
      <c r="F203" s="145"/>
      <c r="G203" s="145"/>
      <c r="H203" s="146"/>
      <c r="I203" s="146"/>
      <c r="J203" s="148"/>
      <c r="K203" s="145"/>
      <c r="L203" s="148"/>
      <c r="M203" s="149"/>
      <c r="N203" s="148"/>
      <c r="O203" s="150"/>
      <c r="P2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3" s="43" t="str">
        <f>IF(テーブル22[[#This Row],[得点]]="","",IF(テーブル22[[#This Row],[年齢]]&gt;10,LOOKUP(P203,$BG$6:$BG$10,$BD$6:$BD$10),IF(テーブル22[[#This Row],[年齢]]&gt;9,LOOKUP(P203,$BF$6:$BF$10,$BD$6:$BD$10),IF(テーブル22[[#This Row],[年齢]]&gt;8,LOOKUP(P203,$BE$6:$BE$10,$BD$6:$BD$10),IF(テーブル22[[#This Row],[年齢]]&gt;7,LOOKUP(P203,$BC$6:$BC$10,$BD$6:$BD$10),IF(テーブル22[[#This Row],[年齢]]&gt;6,LOOKUP(P203,$BB$6:$BB$10,$BD$6:$BD$10),LOOKUP(P203,$BA$6:$BA$10,$BD$6:$BD$10)))))))</f>
        <v/>
      </c>
      <c r="R203" s="42">
        <f>IF(H203="",0,(IF(テーブル22[[#This Row],[性別]]="男",LOOKUP(テーブル22[[#This Row],[握力]],$AH$6:$AI$15),LOOKUP(テーブル22[[#This Row],[握力]],$AH$20:$AI$29))))</f>
        <v>0</v>
      </c>
      <c r="S203" s="42">
        <f>IF(テーブル22[[#This Row],[上体]]="",0,(IF(テーブル22[[#This Row],[性別]]="男",LOOKUP(テーブル22[[#This Row],[上体]],$AJ$6:$AK$15),LOOKUP(テーブル22[[#This Row],[上体]],$AJ$20:$AK$29))))</f>
        <v>0</v>
      </c>
      <c r="T203" s="42">
        <f>IF(テーブル22[[#This Row],[長座]]="",0,(IF(テーブル22[[#This Row],[性別]]="男",LOOKUP(テーブル22[[#This Row],[長座]],$AL$6:$AM$15),LOOKUP(テーブル22[[#This Row],[長座]],$AL$20:$AM$29))))</f>
        <v>0</v>
      </c>
      <c r="U203" s="42">
        <f>IF(テーブル22[[#This Row],[反復]]="",0,(IF(テーブル22[[#This Row],[性別]]="男",LOOKUP(テーブル22[[#This Row],[反復]],$AN$6:$AO$15),LOOKUP(テーブル22[[#This Row],[反復]],$AN$20:$AO$29))))</f>
        <v>0</v>
      </c>
      <c r="V203" s="42">
        <f>IF(テーブル22[[#This Row],[ｼｬﾄﾙﾗﾝ]]="",0,(IF(テーブル22[[#This Row],[性別]]="男",LOOKUP(テーブル22[[#This Row],[ｼｬﾄﾙﾗﾝ]],$AR$6:$AS$15),LOOKUP(テーブル22[[#This Row],[ｼｬﾄﾙﾗﾝ]],$AR$20:$AS$29))))</f>
        <v>0</v>
      </c>
      <c r="W203" s="42">
        <f>IF(テーブル22[[#This Row],[50m走]]="",0,(IF(テーブル22[[#This Row],[性別]]="男",LOOKUP(テーブル22[[#This Row],[50m走]],$AT$6:$AU$15),LOOKUP(テーブル22[[#This Row],[50m走]],$AT$20:$AU$29))))</f>
        <v>0</v>
      </c>
      <c r="X203" s="42">
        <f>IF(テーブル22[[#This Row],[立幅とび]]="",0,(IF(テーブル22[[#This Row],[性別]]="男",LOOKUP(テーブル22[[#This Row],[立幅とび]],$AV$6:$AW$15),LOOKUP(テーブル22[[#This Row],[立幅とび]],$AV$20:$AW$29))))</f>
        <v>0</v>
      </c>
      <c r="Y203" s="42">
        <f>IF(テーブル22[[#This Row],[ボール投げ]]="",0,(IF(テーブル22[[#This Row],[性別]]="男",LOOKUP(テーブル22[[#This Row],[ボール投げ]],$AX$6:$AY$15),LOOKUP(テーブル22[[#This Row],[ボール投げ]],$AX$20:$AY$29))))</f>
        <v>0</v>
      </c>
      <c r="Z203" s="19" t="str">
        <f>IF(テーブル22[[#This Row],[学年]]=1,6,IF(テーブル22[[#This Row],[学年]]=2,7,IF(テーブル22[[#This Row],[学年]]=3,8,IF(テーブル22[[#This Row],[学年]]=4,9,IF(テーブル22[[#This Row],[学年]]=5,10,IF(テーブル22[[#This Row],[学年]]=6,11," "))))))</f>
        <v xml:space="preserve"> </v>
      </c>
      <c r="AA203" s="125" t="str">
        <f>IF(テーブル22[[#This Row],[肥満度数値]]="","",LOOKUP(AC203,$AW$39:$AW$44,$AX$39:$AX$44))</f>
        <v/>
      </c>
      <c r="AB2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3" s="124" t="str">
        <f>IF(テーブル22[[#This Row],[体重]]="","",(テーブル22[[#This Row],[体重]]-テーブル22[[#This Row],[標準体重]])/テーブル22[[#This Row],[標準体重]]*100)</f>
        <v/>
      </c>
      <c r="AD203" s="1">
        <f>COUNTA(テーブル22[[#This Row],[握力]:[ボール投げ]])</f>
        <v>0</v>
      </c>
      <c r="AE203" s="1" t="str">
        <f>IF(テーブル22[[#This Row],[判定]]=$BD$10,"○","")</f>
        <v/>
      </c>
      <c r="AF203" s="1" t="str">
        <f>IF(AE203="","",COUNTIF($AE$6:AE203,"○"))</f>
        <v/>
      </c>
    </row>
    <row r="204" spans="1:32" x14ac:dyDescent="0.2">
      <c r="A204" s="40">
        <v>199</v>
      </c>
      <c r="B204" s="145"/>
      <c r="C204" s="148"/>
      <c r="D204" s="145"/>
      <c r="E204" s="156"/>
      <c r="F204" s="145"/>
      <c r="G204" s="145"/>
      <c r="H204" s="146"/>
      <c r="I204" s="146"/>
      <c r="J204" s="148"/>
      <c r="K204" s="145"/>
      <c r="L204" s="148"/>
      <c r="M204" s="149"/>
      <c r="N204" s="148"/>
      <c r="O204" s="150"/>
      <c r="P2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4" s="43" t="str">
        <f>IF(テーブル22[[#This Row],[得点]]="","",IF(テーブル22[[#This Row],[年齢]]&gt;10,LOOKUP(P204,$BG$6:$BG$10,$BD$6:$BD$10),IF(テーブル22[[#This Row],[年齢]]&gt;9,LOOKUP(P204,$BF$6:$BF$10,$BD$6:$BD$10),IF(テーブル22[[#This Row],[年齢]]&gt;8,LOOKUP(P204,$BE$6:$BE$10,$BD$6:$BD$10),IF(テーブル22[[#This Row],[年齢]]&gt;7,LOOKUP(P204,$BC$6:$BC$10,$BD$6:$BD$10),IF(テーブル22[[#This Row],[年齢]]&gt;6,LOOKUP(P204,$BB$6:$BB$10,$BD$6:$BD$10),LOOKUP(P204,$BA$6:$BA$10,$BD$6:$BD$10)))))))</f>
        <v/>
      </c>
      <c r="R204" s="42">
        <f>IF(H204="",0,(IF(テーブル22[[#This Row],[性別]]="男",LOOKUP(テーブル22[[#This Row],[握力]],$AH$6:$AI$15),LOOKUP(テーブル22[[#This Row],[握力]],$AH$20:$AI$29))))</f>
        <v>0</v>
      </c>
      <c r="S204" s="42">
        <f>IF(テーブル22[[#This Row],[上体]]="",0,(IF(テーブル22[[#This Row],[性別]]="男",LOOKUP(テーブル22[[#This Row],[上体]],$AJ$6:$AK$15),LOOKUP(テーブル22[[#This Row],[上体]],$AJ$20:$AK$29))))</f>
        <v>0</v>
      </c>
      <c r="T204" s="42">
        <f>IF(テーブル22[[#This Row],[長座]]="",0,(IF(テーブル22[[#This Row],[性別]]="男",LOOKUP(テーブル22[[#This Row],[長座]],$AL$6:$AM$15),LOOKUP(テーブル22[[#This Row],[長座]],$AL$20:$AM$29))))</f>
        <v>0</v>
      </c>
      <c r="U204" s="42">
        <f>IF(テーブル22[[#This Row],[反復]]="",0,(IF(テーブル22[[#This Row],[性別]]="男",LOOKUP(テーブル22[[#This Row],[反復]],$AN$6:$AO$15),LOOKUP(テーブル22[[#This Row],[反復]],$AN$20:$AO$29))))</f>
        <v>0</v>
      </c>
      <c r="V204" s="42">
        <f>IF(テーブル22[[#This Row],[ｼｬﾄﾙﾗﾝ]]="",0,(IF(テーブル22[[#This Row],[性別]]="男",LOOKUP(テーブル22[[#This Row],[ｼｬﾄﾙﾗﾝ]],$AR$6:$AS$15),LOOKUP(テーブル22[[#This Row],[ｼｬﾄﾙﾗﾝ]],$AR$20:$AS$29))))</f>
        <v>0</v>
      </c>
      <c r="W204" s="42">
        <f>IF(テーブル22[[#This Row],[50m走]]="",0,(IF(テーブル22[[#This Row],[性別]]="男",LOOKUP(テーブル22[[#This Row],[50m走]],$AT$6:$AU$15),LOOKUP(テーブル22[[#This Row],[50m走]],$AT$20:$AU$29))))</f>
        <v>0</v>
      </c>
      <c r="X204" s="42">
        <f>IF(テーブル22[[#This Row],[立幅とび]]="",0,(IF(テーブル22[[#This Row],[性別]]="男",LOOKUP(テーブル22[[#This Row],[立幅とび]],$AV$6:$AW$15),LOOKUP(テーブル22[[#This Row],[立幅とび]],$AV$20:$AW$29))))</f>
        <v>0</v>
      </c>
      <c r="Y204" s="42">
        <f>IF(テーブル22[[#This Row],[ボール投げ]]="",0,(IF(テーブル22[[#This Row],[性別]]="男",LOOKUP(テーブル22[[#This Row],[ボール投げ]],$AX$6:$AY$15),LOOKUP(テーブル22[[#This Row],[ボール投げ]],$AX$20:$AY$29))))</f>
        <v>0</v>
      </c>
      <c r="Z204" s="19" t="str">
        <f>IF(テーブル22[[#This Row],[学年]]=1,6,IF(テーブル22[[#This Row],[学年]]=2,7,IF(テーブル22[[#This Row],[学年]]=3,8,IF(テーブル22[[#This Row],[学年]]=4,9,IF(テーブル22[[#This Row],[学年]]=5,10,IF(テーブル22[[#This Row],[学年]]=6,11," "))))))</f>
        <v xml:space="preserve"> </v>
      </c>
      <c r="AA204" s="125" t="str">
        <f>IF(テーブル22[[#This Row],[肥満度数値]]="","",LOOKUP(AC204,$AW$39:$AW$44,$AX$39:$AX$44))</f>
        <v/>
      </c>
      <c r="AB2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4" s="124" t="str">
        <f>IF(テーブル22[[#This Row],[体重]]="","",(テーブル22[[#This Row],[体重]]-テーブル22[[#This Row],[標準体重]])/テーブル22[[#This Row],[標準体重]]*100)</f>
        <v/>
      </c>
      <c r="AD204" s="1">
        <f>COUNTA(テーブル22[[#This Row],[握力]:[ボール投げ]])</f>
        <v>0</v>
      </c>
      <c r="AE204" s="1" t="str">
        <f>IF(テーブル22[[#This Row],[判定]]=$BD$10,"○","")</f>
        <v/>
      </c>
      <c r="AF204" s="1" t="str">
        <f>IF(AE204="","",COUNTIF($AE$6:AE204,"○"))</f>
        <v/>
      </c>
    </row>
    <row r="205" spans="1:32" x14ac:dyDescent="0.2">
      <c r="A205" s="40">
        <v>200</v>
      </c>
      <c r="B205" s="145"/>
      <c r="C205" s="148"/>
      <c r="D205" s="145"/>
      <c r="E205" s="156"/>
      <c r="F205" s="145"/>
      <c r="G205" s="145"/>
      <c r="H205" s="146"/>
      <c r="I205" s="146"/>
      <c r="J205" s="148"/>
      <c r="K205" s="145"/>
      <c r="L205" s="148"/>
      <c r="M205" s="149"/>
      <c r="N205" s="148"/>
      <c r="O205" s="150"/>
      <c r="P2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5" s="43" t="str">
        <f>IF(テーブル22[[#This Row],[得点]]="","",IF(テーブル22[[#This Row],[年齢]]&gt;10,LOOKUP(P205,$BG$6:$BG$10,$BD$6:$BD$10),IF(テーブル22[[#This Row],[年齢]]&gt;9,LOOKUP(P205,$BF$6:$BF$10,$BD$6:$BD$10),IF(テーブル22[[#This Row],[年齢]]&gt;8,LOOKUP(P205,$BE$6:$BE$10,$BD$6:$BD$10),IF(テーブル22[[#This Row],[年齢]]&gt;7,LOOKUP(P205,$BC$6:$BC$10,$BD$6:$BD$10),IF(テーブル22[[#This Row],[年齢]]&gt;6,LOOKUP(P205,$BB$6:$BB$10,$BD$6:$BD$10),LOOKUP(P205,$BA$6:$BA$10,$BD$6:$BD$10)))))))</f>
        <v/>
      </c>
      <c r="R205" s="42">
        <f>IF(H205="",0,(IF(テーブル22[[#This Row],[性別]]="男",LOOKUP(テーブル22[[#This Row],[握力]],$AH$6:$AI$15),LOOKUP(テーブル22[[#This Row],[握力]],$AH$20:$AI$29))))</f>
        <v>0</v>
      </c>
      <c r="S205" s="42">
        <f>IF(テーブル22[[#This Row],[上体]]="",0,(IF(テーブル22[[#This Row],[性別]]="男",LOOKUP(テーブル22[[#This Row],[上体]],$AJ$6:$AK$15),LOOKUP(テーブル22[[#This Row],[上体]],$AJ$20:$AK$29))))</f>
        <v>0</v>
      </c>
      <c r="T205" s="42">
        <f>IF(テーブル22[[#This Row],[長座]]="",0,(IF(テーブル22[[#This Row],[性別]]="男",LOOKUP(テーブル22[[#This Row],[長座]],$AL$6:$AM$15),LOOKUP(テーブル22[[#This Row],[長座]],$AL$20:$AM$29))))</f>
        <v>0</v>
      </c>
      <c r="U205" s="42">
        <f>IF(テーブル22[[#This Row],[反復]]="",0,(IF(テーブル22[[#This Row],[性別]]="男",LOOKUP(テーブル22[[#This Row],[反復]],$AN$6:$AO$15),LOOKUP(テーブル22[[#This Row],[反復]],$AN$20:$AO$29))))</f>
        <v>0</v>
      </c>
      <c r="V205" s="42">
        <f>IF(テーブル22[[#This Row],[ｼｬﾄﾙﾗﾝ]]="",0,(IF(テーブル22[[#This Row],[性別]]="男",LOOKUP(テーブル22[[#This Row],[ｼｬﾄﾙﾗﾝ]],$AR$6:$AS$15),LOOKUP(テーブル22[[#This Row],[ｼｬﾄﾙﾗﾝ]],$AR$20:$AS$29))))</f>
        <v>0</v>
      </c>
      <c r="W205" s="42">
        <f>IF(テーブル22[[#This Row],[50m走]]="",0,(IF(テーブル22[[#This Row],[性別]]="男",LOOKUP(テーブル22[[#This Row],[50m走]],$AT$6:$AU$15),LOOKUP(テーブル22[[#This Row],[50m走]],$AT$20:$AU$29))))</f>
        <v>0</v>
      </c>
      <c r="X205" s="42">
        <f>IF(テーブル22[[#This Row],[立幅とび]]="",0,(IF(テーブル22[[#This Row],[性別]]="男",LOOKUP(テーブル22[[#This Row],[立幅とび]],$AV$6:$AW$15),LOOKUP(テーブル22[[#This Row],[立幅とび]],$AV$20:$AW$29))))</f>
        <v>0</v>
      </c>
      <c r="Y205" s="42">
        <f>IF(テーブル22[[#This Row],[ボール投げ]]="",0,(IF(テーブル22[[#This Row],[性別]]="男",LOOKUP(テーブル22[[#This Row],[ボール投げ]],$AX$6:$AY$15),LOOKUP(テーブル22[[#This Row],[ボール投げ]],$AX$20:$AY$29))))</f>
        <v>0</v>
      </c>
      <c r="Z205" s="19" t="str">
        <f>IF(テーブル22[[#This Row],[学年]]=1,6,IF(テーブル22[[#This Row],[学年]]=2,7,IF(テーブル22[[#This Row],[学年]]=3,8,IF(テーブル22[[#This Row],[学年]]=4,9,IF(テーブル22[[#This Row],[学年]]=5,10,IF(テーブル22[[#This Row],[学年]]=6,11," "))))))</f>
        <v xml:space="preserve"> </v>
      </c>
      <c r="AA205" s="125" t="str">
        <f>IF(テーブル22[[#This Row],[肥満度数値]]="","",LOOKUP(AC205,$AW$39:$AW$44,$AX$39:$AX$44))</f>
        <v/>
      </c>
      <c r="AB2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5" s="124" t="str">
        <f>IF(テーブル22[[#This Row],[体重]]="","",(テーブル22[[#This Row],[体重]]-テーブル22[[#This Row],[標準体重]])/テーブル22[[#This Row],[標準体重]]*100)</f>
        <v/>
      </c>
      <c r="AD205" s="1">
        <f>COUNTA(テーブル22[[#This Row],[握力]:[ボール投げ]])</f>
        <v>0</v>
      </c>
      <c r="AE205" s="1" t="str">
        <f>IF(テーブル22[[#This Row],[判定]]=$BD$10,"○","")</f>
        <v/>
      </c>
      <c r="AF205" s="1" t="str">
        <f>IF(AE205="","",COUNTIF($AE$6:AE205,"○"))</f>
        <v/>
      </c>
    </row>
    <row r="206" spans="1:32" x14ac:dyDescent="0.2">
      <c r="A206" s="40">
        <v>201</v>
      </c>
      <c r="B206" s="145"/>
      <c r="C206" s="148"/>
      <c r="D206" s="145"/>
      <c r="E206" s="156"/>
      <c r="F206" s="145"/>
      <c r="G206" s="145"/>
      <c r="H206" s="146"/>
      <c r="I206" s="146"/>
      <c r="J206" s="148"/>
      <c r="K206" s="145"/>
      <c r="L206" s="148"/>
      <c r="M206" s="149"/>
      <c r="N206" s="148"/>
      <c r="O206" s="150"/>
      <c r="P2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6" s="43" t="str">
        <f>IF(テーブル22[[#This Row],[得点]]="","",IF(テーブル22[[#This Row],[年齢]]&gt;10,LOOKUP(P206,$BG$6:$BG$10,$BD$6:$BD$10),IF(テーブル22[[#This Row],[年齢]]&gt;9,LOOKUP(P206,$BF$6:$BF$10,$BD$6:$BD$10),IF(テーブル22[[#This Row],[年齢]]&gt;8,LOOKUP(P206,$BE$6:$BE$10,$BD$6:$BD$10),IF(テーブル22[[#This Row],[年齢]]&gt;7,LOOKUP(P206,$BC$6:$BC$10,$BD$6:$BD$10),IF(テーブル22[[#This Row],[年齢]]&gt;6,LOOKUP(P206,$BB$6:$BB$10,$BD$6:$BD$10),LOOKUP(P206,$BA$6:$BA$10,$BD$6:$BD$10)))))))</f>
        <v/>
      </c>
      <c r="R206" s="42">
        <f>IF(H206="",0,(IF(テーブル22[[#This Row],[性別]]="男",LOOKUP(テーブル22[[#This Row],[握力]],$AH$6:$AI$15),LOOKUP(テーブル22[[#This Row],[握力]],$AH$20:$AI$29))))</f>
        <v>0</v>
      </c>
      <c r="S206" s="42">
        <f>IF(テーブル22[[#This Row],[上体]]="",0,(IF(テーブル22[[#This Row],[性別]]="男",LOOKUP(テーブル22[[#This Row],[上体]],$AJ$6:$AK$15),LOOKUP(テーブル22[[#This Row],[上体]],$AJ$20:$AK$29))))</f>
        <v>0</v>
      </c>
      <c r="T206" s="42">
        <f>IF(テーブル22[[#This Row],[長座]]="",0,(IF(テーブル22[[#This Row],[性別]]="男",LOOKUP(テーブル22[[#This Row],[長座]],$AL$6:$AM$15),LOOKUP(テーブル22[[#This Row],[長座]],$AL$20:$AM$29))))</f>
        <v>0</v>
      </c>
      <c r="U206" s="42">
        <f>IF(テーブル22[[#This Row],[反復]]="",0,(IF(テーブル22[[#This Row],[性別]]="男",LOOKUP(テーブル22[[#This Row],[反復]],$AN$6:$AO$15),LOOKUP(テーブル22[[#This Row],[反復]],$AN$20:$AO$29))))</f>
        <v>0</v>
      </c>
      <c r="V206" s="42">
        <f>IF(テーブル22[[#This Row],[ｼｬﾄﾙﾗﾝ]]="",0,(IF(テーブル22[[#This Row],[性別]]="男",LOOKUP(テーブル22[[#This Row],[ｼｬﾄﾙﾗﾝ]],$AR$6:$AS$15),LOOKUP(テーブル22[[#This Row],[ｼｬﾄﾙﾗﾝ]],$AR$20:$AS$29))))</f>
        <v>0</v>
      </c>
      <c r="W206" s="42">
        <f>IF(テーブル22[[#This Row],[50m走]]="",0,(IF(テーブル22[[#This Row],[性別]]="男",LOOKUP(テーブル22[[#This Row],[50m走]],$AT$6:$AU$15),LOOKUP(テーブル22[[#This Row],[50m走]],$AT$20:$AU$29))))</f>
        <v>0</v>
      </c>
      <c r="X206" s="42">
        <f>IF(テーブル22[[#This Row],[立幅とび]]="",0,(IF(テーブル22[[#This Row],[性別]]="男",LOOKUP(テーブル22[[#This Row],[立幅とび]],$AV$6:$AW$15),LOOKUP(テーブル22[[#This Row],[立幅とび]],$AV$20:$AW$29))))</f>
        <v>0</v>
      </c>
      <c r="Y206" s="42">
        <f>IF(テーブル22[[#This Row],[ボール投げ]]="",0,(IF(テーブル22[[#This Row],[性別]]="男",LOOKUP(テーブル22[[#This Row],[ボール投げ]],$AX$6:$AY$15),LOOKUP(テーブル22[[#This Row],[ボール投げ]],$AX$20:$AY$29))))</f>
        <v>0</v>
      </c>
      <c r="Z206" s="19" t="str">
        <f>IF(テーブル22[[#This Row],[学年]]=1,6,IF(テーブル22[[#This Row],[学年]]=2,7,IF(テーブル22[[#This Row],[学年]]=3,8,IF(テーブル22[[#This Row],[学年]]=4,9,IF(テーブル22[[#This Row],[学年]]=5,10,IF(テーブル22[[#This Row],[学年]]=6,11," "))))))</f>
        <v xml:space="preserve"> </v>
      </c>
      <c r="AA206" s="125" t="str">
        <f>IF(テーブル22[[#This Row],[肥満度数値]]="","",LOOKUP(AC206,$AW$39:$AW$44,$AX$39:$AX$44))</f>
        <v/>
      </c>
      <c r="AB2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6" s="124" t="str">
        <f>IF(テーブル22[[#This Row],[体重]]="","",(テーブル22[[#This Row],[体重]]-テーブル22[[#This Row],[標準体重]])/テーブル22[[#This Row],[標準体重]]*100)</f>
        <v/>
      </c>
      <c r="AD206" s="1">
        <f>COUNTA(テーブル22[[#This Row],[握力]:[ボール投げ]])</f>
        <v>0</v>
      </c>
      <c r="AE206" s="1" t="str">
        <f>IF(テーブル22[[#This Row],[判定]]=$BD$10,"○","")</f>
        <v/>
      </c>
      <c r="AF206" s="1" t="str">
        <f>IF(AE206="","",COUNTIF($AE$6:AE206,"○"))</f>
        <v/>
      </c>
    </row>
    <row r="207" spans="1:32" x14ac:dyDescent="0.2">
      <c r="A207" s="40">
        <v>202</v>
      </c>
      <c r="B207" s="145"/>
      <c r="C207" s="148"/>
      <c r="D207" s="145"/>
      <c r="E207" s="156"/>
      <c r="F207" s="145"/>
      <c r="G207" s="145"/>
      <c r="H207" s="146"/>
      <c r="I207" s="146"/>
      <c r="J207" s="148"/>
      <c r="K207" s="145"/>
      <c r="L207" s="148"/>
      <c r="M207" s="149"/>
      <c r="N207" s="148"/>
      <c r="O207" s="150"/>
      <c r="P2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7" s="43" t="str">
        <f>IF(テーブル22[[#This Row],[得点]]="","",IF(テーブル22[[#This Row],[年齢]]&gt;10,LOOKUP(P207,$BG$6:$BG$10,$BD$6:$BD$10),IF(テーブル22[[#This Row],[年齢]]&gt;9,LOOKUP(P207,$BF$6:$BF$10,$BD$6:$BD$10),IF(テーブル22[[#This Row],[年齢]]&gt;8,LOOKUP(P207,$BE$6:$BE$10,$BD$6:$BD$10),IF(テーブル22[[#This Row],[年齢]]&gt;7,LOOKUP(P207,$BC$6:$BC$10,$BD$6:$BD$10),IF(テーブル22[[#This Row],[年齢]]&gt;6,LOOKUP(P207,$BB$6:$BB$10,$BD$6:$BD$10),LOOKUP(P207,$BA$6:$BA$10,$BD$6:$BD$10)))))))</f>
        <v/>
      </c>
      <c r="R207" s="42">
        <f>IF(H207="",0,(IF(テーブル22[[#This Row],[性別]]="男",LOOKUP(テーブル22[[#This Row],[握力]],$AH$6:$AI$15),LOOKUP(テーブル22[[#This Row],[握力]],$AH$20:$AI$29))))</f>
        <v>0</v>
      </c>
      <c r="S207" s="42">
        <f>IF(テーブル22[[#This Row],[上体]]="",0,(IF(テーブル22[[#This Row],[性別]]="男",LOOKUP(テーブル22[[#This Row],[上体]],$AJ$6:$AK$15),LOOKUP(テーブル22[[#This Row],[上体]],$AJ$20:$AK$29))))</f>
        <v>0</v>
      </c>
      <c r="T207" s="42">
        <f>IF(テーブル22[[#This Row],[長座]]="",0,(IF(テーブル22[[#This Row],[性別]]="男",LOOKUP(テーブル22[[#This Row],[長座]],$AL$6:$AM$15),LOOKUP(テーブル22[[#This Row],[長座]],$AL$20:$AM$29))))</f>
        <v>0</v>
      </c>
      <c r="U207" s="42">
        <f>IF(テーブル22[[#This Row],[反復]]="",0,(IF(テーブル22[[#This Row],[性別]]="男",LOOKUP(テーブル22[[#This Row],[反復]],$AN$6:$AO$15),LOOKUP(テーブル22[[#This Row],[反復]],$AN$20:$AO$29))))</f>
        <v>0</v>
      </c>
      <c r="V207" s="42">
        <f>IF(テーブル22[[#This Row],[ｼｬﾄﾙﾗﾝ]]="",0,(IF(テーブル22[[#This Row],[性別]]="男",LOOKUP(テーブル22[[#This Row],[ｼｬﾄﾙﾗﾝ]],$AR$6:$AS$15),LOOKUP(テーブル22[[#This Row],[ｼｬﾄﾙﾗﾝ]],$AR$20:$AS$29))))</f>
        <v>0</v>
      </c>
      <c r="W207" s="42">
        <f>IF(テーブル22[[#This Row],[50m走]]="",0,(IF(テーブル22[[#This Row],[性別]]="男",LOOKUP(テーブル22[[#This Row],[50m走]],$AT$6:$AU$15),LOOKUP(テーブル22[[#This Row],[50m走]],$AT$20:$AU$29))))</f>
        <v>0</v>
      </c>
      <c r="X207" s="42">
        <f>IF(テーブル22[[#This Row],[立幅とび]]="",0,(IF(テーブル22[[#This Row],[性別]]="男",LOOKUP(テーブル22[[#This Row],[立幅とび]],$AV$6:$AW$15),LOOKUP(テーブル22[[#This Row],[立幅とび]],$AV$20:$AW$29))))</f>
        <v>0</v>
      </c>
      <c r="Y207" s="42">
        <f>IF(テーブル22[[#This Row],[ボール投げ]]="",0,(IF(テーブル22[[#This Row],[性別]]="男",LOOKUP(テーブル22[[#This Row],[ボール投げ]],$AX$6:$AY$15),LOOKUP(テーブル22[[#This Row],[ボール投げ]],$AX$20:$AY$29))))</f>
        <v>0</v>
      </c>
      <c r="Z207" s="19" t="str">
        <f>IF(テーブル22[[#This Row],[学年]]=1,6,IF(テーブル22[[#This Row],[学年]]=2,7,IF(テーブル22[[#This Row],[学年]]=3,8,IF(テーブル22[[#This Row],[学年]]=4,9,IF(テーブル22[[#This Row],[学年]]=5,10,IF(テーブル22[[#This Row],[学年]]=6,11," "))))))</f>
        <v xml:space="preserve"> </v>
      </c>
      <c r="AA207" s="125" t="str">
        <f>IF(テーブル22[[#This Row],[肥満度数値]]="","",LOOKUP(AC207,$AW$39:$AW$44,$AX$39:$AX$44))</f>
        <v/>
      </c>
      <c r="AB2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7" s="124" t="str">
        <f>IF(テーブル22[[#This Row],[体重]]="","",(テーブル22[[#This Row],[体重]]-テーブル22[[#This Row],[標準体重]])/テーブル22[[#This Row],[標準体重]]*100)</f>
        <v/>
      </c>
      <c r="AD207" s="1">
        <f>COUNTA(テーブル22[[#This Row],[握力]:[ボール投げ]])</f>
        <v>0</v>
      </c>
      <c r="AE207" s="1" t="str">
        <f>IF(テーブル22[[#This Row],[判定]]=$BD$10,"○","")</f>
        <v/>
      </c>
      <c r="AF207" s="1" t="str">
        <f>IF(AE207="","",COUNTIF($AE$6:AE207,"○"))</f>
        <v/>
      </c>
    </row>
    <row r="208" spans="1:32" x14ac:dyDescent="0.2">
      <c r="A208" s="40">
        <v>203</v>
      </c>
      <c r="B208" s="145"/>
      <c r="C208" s="148"/>
      <c r="D208" s="145"/>
      <c r="E208" s="156"/>
      <c r="F208" s="145"/>
      <c r="G208" s="145"/>
      <c r="H208" s="146"/>
      <c r="I208" s="146"/>
      <c r="J208" s="148"/>
      <c r="K208" s="145"/>
      <c r="L208" s="148"/>
      <c r="M208" s="149"/>
      <c r="N208" s="148"/>
      <c r="O208" s="150"/>
      <c r="P2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8" s="43" t="str">
        <f>IF(テーブル22[[#This Row],[得点]]="","",IF(テーブル22[[#This Row],[年齢]]&gt;10,LOOKUP(P208,$BG$6:$BG$10,$BD$6:$BD$10),IF(テーブル22[[#This Row],[年齢]]&gt;9,LOOKUP(P208,$BF$6:$BF$10,$BD$6:$BD$10),IF(テーブル22[[#This Row],[年齢]]&gt;8,LOOKUP(P208,$BE$6:$BE$10,$BD$6:$BD$10),IF(テーブル22[[#This Row],[年齢]]&gt;7,LOOKUP(P208,$BC$6:$BC$10,$BD$6:$BD$10),IF(テーブル22[[#This Row],[年齢]]&gt;6,LOOKUP(P208,$BB$6:$BB$10,$BD$6:$BD$10),LOOKUP(P208,$BA$6:$BA$10,$BD$6:$BD$10)))))))</f>
        <v/>
      </c>
      <c r="R208" s="42">
        <f>IF(H208="",0,(IF(テーブル22[[#This Row],[性別]]="男",LOOKUP(テーブル22[[#This Row],[握力]],$AH$6:$AI$15),LOOKUP(テーブル22[[#This Row],[握力]],$AH$20:$AI$29))))</f>
        <v>0</v>
      </c>
      <c r="S208" s="42">
        <f>IF(テーブル22[[#This Row],[上体]]="",0,(IF(テーブル22[[#This Row],[性別]]="男",LOOKUP(テーブル22[[#This Row],[上体]],$AJ$6:$AK$15),LOOKUP(テーブル22[[#This Row],[上体]],$AJ$20:$AK$29))))</f>
        <v>0</v>
      </c>
      <c r="T208" s="42">
        <f>IF(テーブル22[[#This Row],[長座]]="",0,(IF(テーブル22[[#This Row],[性別]]="男",LOOKUP(テーブル22[[#This Row],[長座]],$AL$6:$AM$15),LOOKUP(テーブル22[[#This Row],[長座]],$AL$20:$AM$29))))</f>
        <v>0</v>
      </c>
      <c r="U208" s="42">
        <f>IF(テーブル22[[#This Row],[反復]]="",0,(IF(テーブル22[[#This Row],[性別]]="男",LOOKUP(テーブル22[[#This Row],[反復]],$AN$6:$AO$15),LOOKUP(テーブル22[[#This Row],[反復]],$AN$20:$AO$29))))</f>
        <v>0</v>
      </c>
      <c r="V208" s="42">
        <f>IF(テーブル22[[#This Row],[ｼｬﾄﾙﾗﾝ]]="",0,(IF(テーブル22[[#This Row],[性別]]="男",LOOKUP(テーブル22[[#This Row],[ｼｬﾄﾙﾗﾝ]],$AR$6:$AS$15),LOOKUP(テーブル22[[#This Row],[ｼｬﾄﾙﾗﾝ]],$AR$20:$AS$29))))</f>
        <v>0</v>
      </c>
      <c r="W208" s="42">
        <f>IF(テーブル22[[#This Row],[50m走]]="",0,(IF(テーブル22[[#This Row],[性別]]="男",LOOKUP(テーブル22[[#This Row],[50m走]],$AT$6:$AU$15),LOOKUP(テーブル22[[#This Row],[50m走]],$AT$20:$AU$29))))</f>
        <v>0</v>
      </c>
      <c r="X208" s="42">
        <f>IF(テーブル22[[#This Row],[立幅とび]]="",0,(IF(テーブル22[[#This Row],[性別]]="男",LOOKUP(テーブル22[[#This Row],[立幅とび]],$AV$6:$AW$15),LOOKUP(テーブル22[[#This Row],[立幅とび]],$AV$20:$AW$29))))</f>
        <v>0</v>
      </c>
      <c r="Y208" s="42">
        <f>IF(テーブル22[[#This Row],[ボール投げ]]="",0,(IF(テーブル22[[#This Row],[性別]]="男",LOOKUP(テーブル22[[#This Row],[ボール投げ]],$AX$6:$AY$15),LOOKUP(テーブル22[[#This Row],[ボール投げ]],$AX$20:$AY$29))))</f>
        <v>0</v>
      </c>
      <c r="Z208" s="19" t="str">
        <f>IF(テーブル22[[#This Row],[学年]]=1,6,IF(テーブル22[[#This Row],[学年]]=2,7,IF(テーブル22[[#This Row],[学年]]=3,8,IF(テーブル22[[#This Row],[学年]]=4,9,IF(テーブル22[[#This Row],[学年]]=5,10,IF(テーブル22[[#This Row],[学年]]=6,11," "))))))</f>
        <v xml:space="preserve"> </v>
      </c>
      <c r="AA208" s="125" t="str">
        <f>IF(テーブル22[[#This Row],[肥満度数値]]="","",LOOKUP(AC208,$AW$39:$AW$44,$AX$39:$AX$44))</f>
        <v/>
      </c>
      <c r="AB2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8" s="124" t="str">
        <f>IF(テーブル22[[#This Row],[体重]]="","",(テーブル22[[#This Row],[体重]]-テーブル22[[#This Row],[標準体重]])/テーブル22[[#This Row],[標準体重]]*100)</f>
        <v/>
      </c>
      <c r="AD208" s="1">
        <f>COUNTA(テーブル22[[#This Row],[握力]:[ボール投げ]])</f>
        <v>0</v>
      </c>
      <c r="AE208" s="1" t="str">
        <f>IF(テーブル22[[#This Row],[判定]]=$BD$10,"○","")</f>
        <v/>
      </c>
      <c r="AF208" s="1" t="str">
        <f>IF(AE208="","",COUNTIF($AE$6:AE208,"○"))</f>
        <v/>
      </c>
    </row>
    <row r="209" spans="1:32" x14ac:dyDescent="0.2">
      <c r="A209" s="40">
        <v>204</v>
      </c>
      <c r="B209" s="145"/>
      <c r="C209" s="148"/>
      <c r="D209" s="145"/>
      <c r="E209" s="156"/>
      <c r="F209" s="145"/>
      <c r="G209" s="145"/>
      <c r="H209" s="146"/>
      <c r="I209" s="146"/>
      <c r="J209" s="148"/>
      <c r="K209" s="145"/>
      <c r="L209" s="148"/>
      <c r="M209" s="149"/>
      <c r="N209" s="148"/>
      <c r="O209" s="150"/>
      <c r="P2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09" s="43" t="str">
        <f>IF(テーブル22[[#This Row],[得点]]="","",IF(テーブル22[[#This Row],[年齢]]&gt;10,LOOKUP(P209,$BG$6:$BG$10,$BD$6:$BD$10),IF(テーブル22[[#This Row],[年齢]]&gt;9,LOOKUP(P209,$BF$6:$BF$10,$BD$6:$BD$10),IF(テーブル22[[#This Row],[年齢]]&gt;8,LOOKUP(P209,$BE$6:$BE$10,$BD$6:$BD$10),IF(テーブル22[[#This Row],[年齢]]&gt;7,LOOKUP(P209,$BC$6:$BC$10,$BD$6:$BD$10),IF(テーブル22[[#This Row],[年齢]]&gt;6,LOOKUP(P209,$BB$6:$BB$10,$BD$6:$BD$10),LOOKUP(P209,$BA$6:$BA$10,$BD$6:$BD$10)))))))</f>
        <v/>
      </c>
      <c r="R209" s="42">
        <f>IF(H209="",0,(IF(テーブル22[[#This Row],[性別]]="男",LOOKUP(テーブル22[[#This Row],[握力]],$AH$6:$AI$15),LOOKUP(テーブル22[[#This Row],[握力]],$AH$20:$AI$29))))</f>
        <v>0</v>
      </c>
      <c r="S209" s="42">
        <f>IF(テーブル22[[#This Row],[上体]]="",0,(IF(テーブル22[[#This Row],[性別]]="男",LOOKUP(テーブル22[[#This Row],[上体]],$AJ$6:$AK$15),LOOKUP(テーブル22[[#This Row],[上体]],$AJ$20:$AK$29))))</f>
        <v>0</v>
      </c>
      <c r="T209" s="42">
        <f>IF(テーブル22[[#This Row],[長座]]="",0,(IF(テーブル22[[#This Row],[性別]]="男",LOOKUP(テーブル22[[#This Row],[長座]],$AL$6:$AM$15),LOOKUP(テーブル22[[#This Row],[長座]],$AL$20:$AM$29))))</f>
        <v>0</v>
      </c>
      <c r="U209" s="42">
        <f>IF(テーブル22[[#This Row],[反復]]="",0,(IF(テーブル22[[#This Row],[性別]]="男",LOOKUP(テーブル22[[#This Row],[反復]],$AN$6:$AO$15),LOOKUP(テーブル22[[#This Row],[反復]],$AN$20:$AO$29))))</f>
        <v>0</v>
      </c>
      <c r="V209" s="42">
        <f>IF(テーブル22[[#This Row],[ｼｬﾄﾙﾗﾝ]]="",0,(IF(テーブル22[[#This Row],[性別]]="男",LOOKUP(テーブル22[[#This Row],[ｼｬﾄﾙﾗﾝ]],$AR$6:$AS$15),LOOKUP(テーブル22[[#This Row],[ｼｬﾄﾙﾗﾝ]],$AR$20:$AS$29))))</f>
        <v>0</v>
      </c>
      <c r="W209" s="42">
        <f>IF(テーブル22[[#This Row],[50m走]]="",0,(IF(テーブル22[[#This Row],[性別]]="男",LOOKUP(テーブル22[[#This Row],[50m走]],$AT$6:$AU$15),LOOKUP(テーブル22[[#This Row],[50m走]],$AT$20:$AU$29))))</f>
        <v>0</v>
      </c>
      <c r="X209" s="42">
        <f>IF(テーブル22[[#This Row],[立幅とび]]="",0,(IF(テーブル22[[#This Row],[性別]]="男",LOOKUP(テーブル22[[#This Row],[立幅とび]],$AV$6:$AW$15),LOOKUP(テーブル22[[#This Row],[立幅とび]],$AV$20:$AW$29))))</f>
        <v>0</v>
      </c>
      <c r="Y209" s="42">
        <f>IF(テーブル22[[#This Row],[ボール投げ]]="",0,(IF(テーブル22[[#This Row],[性別]]="男",LOOKUP(テーブル22[[#This Row],[ボール投げ]],$AX$6:$AY$15),LOOKUP(テーブル22[[#This Row],[ボール投げ]],$AX$20:$AY$29))))</f>
        <v>0</v>
      </c>
      <c r="Z209" s="19" t="str">
        <f>IF(テーブル22[[#This Row],[学年]]=1,6,IF(テーブル22[[#This Row],[学年]]=2,7,IF(テーブル22[[#This Row],[学年]]=3,8,IF(テーブル22[[#This Row],[学年]]=4,9,IF(テーブル22[[#This Row],[学年]]=5,10,IF(テーブル22[[#This Row],[学年]]=6,11," "))))))</f>
        <v xml:space="preserve"> </v>
      </c>
      <c r="AA209" s="125" t="str">
        <f>IF(テーブル22[[#This Row],[肥満度数値]]="","",LOOKUP(AC209,$AW$39:$AW$44,$AX$39:$AX$44))</f>
        <v/>
      </c>
      <c r="AB2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09" s="124" t="str">
        <f>IF(テーブル22[[#This Row],[体重]]="","",(テーブル22[[#This Row],[体重]]-テーブル22[[#This Row],[標準体重]])/テーブル22[[#This Row],[標準体重]]*100)</f>
        <v/>
      </c>
      <c r="AD209" s="1">
        <f>COUNTA(テーブル22[[#This Row],[握力]:[ボール投げ]])</f>
        <v>0</v>
      </c>
      <c r="AE209" s="1" t="str">
        <f>IF(テーブル22[[#This Row],[判定]]=$BD$10,"○","")</f>
        <v/>
      </c>
      <c r="AF209" s="1" t="str">
        <f>IF(AE209="","",COUNTIF($AE$6:AE209,"○"))</f>
        <v/>
      </c>
    </row>
    <row r="210" spans="1:32" x14ac:dyDescent="0.2">
      <c r="A210" s="40">
        <v>205</v>
      </c>
      <c r="B210" s="145"/>
      <c r="C210" s="148"/>
      <c r="D210" s="145"/>
      <c r="E210" s="156"/>
      <c r="F210" s="145"/>
      <c r="G210" s="145"/>
      <c r="H210" s="146"/>
      <c r="I210" s="146"/>
      <c r="J210" s="148"/>
      <c r="K210" s="145"/>
      <c r="L210" s="148"/>
      <c r="M210" s="149"/>
      <c r="N210" s="148"/>
      <c r="O210" s="150"/>
      <c r="P2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0" s="43" t="str">
        <f>IF(テーブル22[[#This Row],[得点]]="","",IF(テーブル22[[#This Row],[年齢]]&gt;10,LOOKUP(P210,$BG$6:$BG$10,$BD$6:$BD$10),IF(テーブル22[[#This Row],[年齢]]&gt;9,LOOKUP(P210,$BF$6:$BF$10,$BD$6:$BD$10),IF(テーブル22[[#This Row],[年齢]]&gt;8,LOOKUP(P210,$BE$6:$BE$10,$BD$6:$BD$10),IF(テーブル22[[#This Row],[年齢]]&gt;7,LOOKUP(P210,$BC$6:$BC$10,$BD$6:$BD$10),IF(テーブル22[[#This Row],[年齢]]&gt;6,LOOKUP(P210,$BB$6:$BB$10,$BD$6:$BD$10),LOOKUP(P210,$BA$6:$BA$10,$BD$6:$BD$10)))))))</f>
        <v/>
      </c>
      <c r="R210" s="42">
        <f>IF(H210="",0,(IF(テーブル22[[#This Row],[性別]]="男",LOOKUP(テーブル22[[#This Row],[握力]],$AH$6:$AI$15),LOOKUP(テーブル22[[#This Row],[握力]],$AH$20:$AI$29))))</f>
        <v>0</v>
      </c>
      <c r="S210" s="42">
        <f>IF(テーブル22[[#This Row],[上体]]="",0,(IF(テーブル22[[#This Row],[性別]]="男",LOOKUP(テーブル22[[#This Row],[上体]],$AJ$6:$AK$15),LOOKUP(テーブル22[[#This Row],[上体]],$AJ$20:$AK$29))))</f>
        <v>0</v>
      </c>
      <c r="T210" s="42">
        <f>IF(テーブル22[[#This Row],[長座]]="",0,(IF(テーブル22[[#This Row],[性別]]="男",LOOKUP(テーブル22[[#This Row],[長座]],$AL$6:$AM$15),LOOKUP(テーブル22[[#This Row],[長座]],$AL$20:$AM$29))))</f>
        <v>0</v>
      </c>
      <c r="U210" s="42">
        <f>IF(テーブル22[[#This Row],[反復]]="",0,(IF(テーブル22[[#This Row],[性別]]="男",LOOKUP(テーブル22[[#This Row],[反復]],$AN$6:$AO$15),LOOKUP(テーブル22[[#This Row],[反復]],$AN$20:$AO$29))))</f>
        <v>0</v>
      </c>
      <c r="V210" s="42">
        <f>IF(テーブル22[[#This Row],[ｼｬﾄﾙﾗﾝ]]="",0,(IF(テーブル22[[#This Row],[性別]]="男",LOOKUP(テーブル22[[#This Row],[ｼｬﾄﾙﾗﾝ]],$AR$6:$AS$15),LOOKUP(テーブル22[[#This Row],[ｼｬﾄﾙﾗﾝ]],$AR$20:$AS$29))))</f>
        <v>0</v>
      </c>
      <c r="W210" s="42">
        <f>IF(テーブル22[[#This Row],[50m走]]="",0,(IF(テーブル22[[#This Row],[性別]]="男",LOOKUP(テーブル22[[#This Row],[50m走]],$AT$6:$AU$15),LOOKUP(テーブル22[[#This Row],[50m走]],$AT$20:$AU$29))))</f>
        <v>0</v>
      </c>
      <c r="X210" s="42">
        <f>IF(テーブル22[[#This Row],[立幅とび]]="",0,(IF(テーブル22[[#This Row],[性別]]="男",LOOKUP(テーブル22[[#This Row],[立幅とび]],$AV$6:$AW$15),LOOKUP(テーブル22[[#This Row],[立幅とび]],$AV$20:$AW$29))))</f>
        <v>0</v>
      </c>
      <c r="Y210" s="42">
        <f>IF(テーブル22[[#This Row],[ボール投げ]]="",0,(IF(テーブル22[[#This Row],[性別]]="男",LOOKUP(テーブル22[[#This Row],[ボール投げ]],$AX$6:$AY$15),LOOKUP(テーブル22[[#This Row],[ボール投げ]],$AX$20:$AY$29))))</f>
        <v>0</v>
      </c>
      <c r="Z210" s="19" t="str">
        <f>IF(テーブル22[[#This Row],[学年]]=1,6,IF(テーブル22[[#This Row],[学年]]=2,7,IF(テーブル22[[#This Row],[学年]]=3,8,IF(テーブル22[[#This Row],[学年]]=4,9,IF(テーブル22[[#This Row],[学年]]=5,10,IF(テーブル22[[#This Row],[学年]]=6,11," "))))))</f>
        <v xml:space="preserve"> </v>
      </c>
      <c r="AA210" s="125" t="str">
        <f>IF(テーブル22[[#This Row],[肥満度数値]]="","",LOOKUP(AC210,$AW$39:$AW$44,$AX$39:$AX$44))</f>
        <v/>
      </c>
      <c r="AB2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0" s="124" t="str">
        <f>IF(テーブル22[[#This Row],[体重]]="","",(テーブル22[[#This Row],[体重]]-テーブル22[[#This Row],[標準体重]])/テーブル22[[#This Row],[標準体重]]*100)</f>
        <v/>
      </c>
      <c r="AD210" s="1">
        <f>COUNTA(テーブル22[[#This Row],[握力]:[ボール投げ]])</f>
        <v>0</v>
      </c>
      <c r="AE210" s="1" t="str">
        <f>IF(テーブル22[[#This Row],[判定]]=$BD$10,"○","")</f>
        <v/>
      </c>
      <c r="AF210" s="1" t="str">
        <f>IF(AE210="","",COUNTIF($AE$6:AE210,"○"))</f>
        <v/>
      </c>
    </row>
    <row r="211" spans="1:32" x14ac:dyDescent="0.2">
      <c r="A211" s="40">
        <v>206</v>
      </c>
      <c r="B211" s="145"/>
      <c r="C211" s="148"/>
      <c r="D211" s="145"/>
      <c r="E211" s="156"/>
      <c r="F211" s="145"/>
      <c r="G211" s="145"/>
      <c r="H211" s="146"/>
      <c r="I211" s="146"/>
      <c r="J211" s="148"/>
      <c r="K211" s="145"/>
      <c r="L211" s="148"/>
      <c r="M211" s="149"/>
      <c r="N211" s="148"/>
      <c r="O211" s="150"/>
      <c r="P2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1" s="43" t="str">
        <f>IF(テーブル22[[#This Row],[得点]]="","",IF(テーブル22[[#This Row],[年齢]]&gt;10,LOOKUP(P211,$BG$6:$BG$10,$BD$6:$BD$10),IF(テーブル22[[#This Row],[年齢]]&gt;9,LOOKUP(P211,$BF$6:$BF$10,$BD$6:$BD$10),IF(テーブル22[[#This Row],[年齢]]&gt;8,LOOKUP(P211,$BE$6:$BE$10,$BD$6:$BD$10),IF(テーブル22[[#This Row],[年齢]]&gt;7,LOOKUP(P211,$BC$6:$BC$10,$BD$6:$BD$10),IF(テーブル22[[#This Row],[年齢]]&gt;6,LOOKUP(P211,$BB$6:$BB$10,$BD$6:$BD$10),LOOKUP(P211,$BA$6:$BA$10,$BD$6:$BD$10)))))))</f>
        <v/>
      </c>
      <c r="R211" s="42">
        <f>IF(H211="",0,(IF(テーブル22[[#This Row],[性別]]="男",LOOKUP(テーブル22[[#This Row],[握力]],$AH$6:$AI$15),LOOKUP(テーブル22[[#This Row],[握力]],$AH$20:$AI$29))))</f>
        <v>0</v>
      </c>
      <c r="S211" s="42">
        <f>IF(テーブル22[[#This Row],[上体]]="",0,(IF(テーブル22[[#This Row],[性別]]="男",LOOKUP(テーブル22[[#This Row],[上体]],$AJ$6:$AK$15),LOOKUP(テーブル22[[#This Row],[上体]],$AJ$20:$AK$29))))</f>
        <v>0</v>
      </c>
      <c r="T211" s="42">
        <f>IF(テーブル22[[#This Row],[長座]]="",0,(IF(テーブル22[[#This Row],[性別]]="男",LOOKUP(テーブル22[[#This Row],[長座]],$AL$6:$AM$15),LOOKUP(テーブル22[[#This Row],[長座]],$AL$20:$AM$29))))</f>
        <v>0</v>
      </c>
      <c r="U211" s="42">
        <f>IF(テーブル22[[#This Row],[反復]]="",0,(IF(テーブル22[[#This Row],[性別]]="男",LOOKUP(テーブル22[[#This Row],[反復]],$AN$6:$AO$15),LOOKUP(テーブル22[[#This Row],[反復]],$AN$20:$AO$29))))</f>
        <v>0</v>
      </c>
      <c r="V211" s="42">
        <f>IF(テーブル22[[#This Row],[ｼｬﾄﾙﾗﾝ]]="",0,(IF(テーブル22[[#This Row],[性別]]="男",LOOKUP(テーブル22[[#This Row],[ｼｬﾄﾙﾗﾝ]],$AR$6:$AS$15),LOOKUP(テーブル22[[#This Row],[ｼｬﾄﾙﾗﾝ]],$AR$20:$AS$29))))</f>
        <v>0</v>
      </c>
      <c r="W211" s="42">
        <f>IF(テーブル22[[#This Row],[50m走]]="",0,(IF(テーブル22[[#This Row],[性別]]="男",LOOKUP(テーブル22[[#This Row],[50m走]],$AT$6:$AU$15),LOOKUP(テーブル22[[#This Row],[50m走]],$AT$20:$AU$29))))</f>
        <v>0</v>
      </c>
      <c r="X211" s="42">
        <f>IF(テーブル22[[#This Row],[立幅とび]]="",0,(IF(テーブル22[[#This Row],[性別]]="男",LOOKUP(テーブル22[[#This Row],[立幅とび]],$AV$6:$AW$15),LOOKUP(テーブル22[[#This Row],[立幅とび]],$AV$20:$AW$29))))</f>
        <v>0</v>
      </c>
      <c r="Y211" s="42">
        <f>IF(テーブル22[[#This Row],[ボール投げ]]="",0,(IF(テーブル22[[#This Row],[性別]]="男",LOOKUP(テーブル22[[#This Row],[ボール投げ]],$AX$6:$AY$15),LOOKUP(テーブル22[[#This Row],[ボール投げ]],$AX$20:$AY$29))))</f>
        <v>0</v>
      </c>
      <c r="Z211" s="19" t="str">
        <f>IF(テーブル22[[#This Row],[学年]]=1,6,IF(テーブル22[[#This Row],[学年]]=2,7,IF(テーブル22[[#This Row],[学年]]=3,8,IF(テーブル22[[#This Row],[学年]]=4,9,IF(テーブル22[[#This Row],[学年]]=5,10,IF(テーブル22[[#This Row],[学年]]=6,11," "))))))</f>
        <v xml:space="preserve"> </v>
      </c>
      <c r="AA211" s="125" t="str">
        <f>IF(テーブル22[[#This Row],[肥満度数値]]="","",LOOKUP(AC211,$AW$39:$AW$44,$AX$39:$AX$44))</f>
        <v/>
      </c>
      <c r="AB2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1" s="124" t="str">
        <f>IF(テーブル22[[#This Row],[体重]]="","",(テーブル22[[#This Row],[体重]]-テーブル22[[#This Row],[標準体重]])/テーブル22[[#This Row],[標準体重]]*100)</f>
        <v/>
      </c>
      <c r="AD211" s="1">
        <f>COUNTA(テーブル22[[#This Row],[握力]:[ボール投げ]])</f>
        <v>0</v>
      </c>
      <c r="AE211" s="1" t="str">
        <f>IF(テーブル22[[#This Row],[判定]]=$BD$10,"○","")</f>
        <v/>
      </c>
      <c r="AF211" s="1" t="str">
        <f>IF(AE211="","",COUNTIF($AE$6:AE211,"○"))</f>
        <v/>
      </c>
    </row>
    <row r="212" spans="1:32" x14ac:dyDescent="0.2">
      <c r="A212" s="40">
        <v>207</v>
      </c>
      <c r="B212" s="145"/>
      <c r="C212" s="148"/>
      <c r="D212" s="145"/>
      <c r="E212" s="156"/>
      <c r="F212" s="145"/>
      <c r="G212" s="145"/>
      <c r="H212" s="146"/>
      <c r="I212" s="146"/>
      <c r="J212" s="148"/>
      <c r="K212" s="145"/>
      <c r="L212" s="148"/>
      <c r="M212" s="149"/>
      <c r="N212" s="148"/>
      <c r="O212" s="150"/>
      <c r="P2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2" s="43" t="str">
        <f>IF(テーブル22[[#This Row],[得点]]="","",IF(テーブル22[[#This Row],[年齢]]&gt;10,LOOKUP(P212,$BG$6:$BG$10,$BD$6:$BD$10),IF(テーブル22[[#This Row],[年齢]]&gt;9,LOOKUP(P212,$BF$6:$BF$10,$BD$6:$BD$10),IF(テーブル22[[#This Row],[年齢]]&gt;8,LOOKUP(P212,$BE$6:$BE$10,$BD$6:$BD$10),IF(テーブル22[[#This Row],[年齢]]&gt;7,LOOKUP(P212,$BC$6:$BC$10,$BD$6:$BD$10),IF(テーブル22[[#This Row],[年齢]]&gt;6,LOOKUP(P212,$BB$6:$BB$10,$BD$6:$BD$10),LOOKUP(P212,$BA$6:$BA$10,$BD$6:$BD$10)))))))</f>
        <v/>
      </c>
      <c r="R212" s="42">
        <f>IF(H212="",0,(IF(テーブル22[[#This Row],[性別]]="男",LOOKUP(テーブル22[[#This Row],[握力]],$AH$6:$AI$15),LOOKUP(テーブル22[[#This Row],[握力]],$AH$20:$AI$29))))</f>
        <v>0</v>
      </c>
      <c r="S212" s="42">
        <f>IF(テーブル22[[#This Row],[上体]]="",0,(IF(テーブル22[[#This Row],[性別]]="男",LOOKUP(テーブル22[[#This Row],[上体]],$AJ$6:$AK$15),LOOKUP(テーブル22[[#This Row],[上体]],$AJ$20:$AK$29))))</f>
        <v>0</v>
      </c>
      <c r="T212" s="42">
        <f>IF(テーブル22[[#This Row],[長座]]="",0,(IF(テーブル22[[#This Row],[性別]]="男",LOOKUP(テーブル22[[#This Row],[長座]],$AL$6:$AM$15),LOOKUP(テーブル22[[#This Row],[長座]],$AL$20:$AM$29))))</f>
        <v>0</v>
      </c>
      <c r="U212" s="42">
        <f>IF(テーブル22[[#This Row],[反復]]="",0,(IF(テーブル22[[#This Row],[性別]]="男",LOOKUP(テーブル22[[#This Row],[反復]],$AN$6:$AO$15),LOOKUP(テーブル22[[#This Row],[反復]],$AN$20:$AO$29))))</f>
        <v>0</v>
      </c>
      <c r="V212" s="42">
        <f>IF(テーブル22[[#This Row],[ｼｬﾄﾙﾗﾝ]]="",0,(IF(テーブル22[[#This Row],[性別]]="男",LOOKUP(テーブル22[[#This Row],[ｼｬﾄﾙﾗﾝ]],$AR$6:$AS$15),LOOKUP(テーブル22[[#This Row],[ｼｬﾄﾙﾗﾝ]],$AR$20:$AS$29))))</f>
        <v>0</v>
      </c>
      <c r="W212" s="42">
        <f>IF(テーブル22[[#This Row],[50m走]]="",0,(IF(テーブル22[[#This Row],[性別]]="男",LOOKUP(テーブル22[[#This Row],[50m走]],$AT$6:$AU$15),LOOKUP(テーブル22[[#This Row],[50m走]],$AT$20:$AU$29))))</f>
        <v>0</v>
      </c>
      <c r="X212" s="42">
        <f>IF(テーブル22[[#This Row],[立幅とび]]="",0,(IF(テーブル22[[#This Row],[性別]]="男",LOOKUP(テーブル22[[#This Row],[立幅とび]],$AV$6:$AW$15),LOOKUP(テーブル22[[#This Row],[立幅とび]],$AV$20:$AW$29))))</f>
        <v>0</v>
      </c>
      <c r="Y212" s="42">
        <f>IF(テーブル22[[#This Row],[ボール投げ]]="",0,(IF(テーブル22[[#This Row],[性別]]="男",LOOKUP(テーブル22[[#This Row],[ボール投げ]],$AX$6:$AY$15),LOOKUP(テーブル22[[#This Row],[ボール投げ]],$AX$20:$AY$29))))</f>
        <v>0</v>
      </c>
      <c r="Z212" s="19" t="str">
        <f>IF(テーブル22[[#This Row],[学年]]=1,6,IF(テーブル22[[#This Row],[学年]]=2,7,IF(テーブル22[[#This Row],[学年]]=3,8,IF(テーブル22[[#This Row],[学年]]=4,9,IF(テーブル22[[#This Row],[学年]]=5,10,IF(テーブル22[[#This Row],[学年]]=6,11," "))))))</f>
        <v xml:space="preserve"> </v>
      </c>
      <c r="AA212" s="125" t="str">
        <f>IF(テーブル22[[#This Row],[肥満度数値]]="","",LOOKUP(AC212,$AW$39:$AW$44,$AX$39:$AX$44))</f>
        <v/>
      </c>
      <c r="AB2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2" s="124" t="str">
        <f>IF(テーブル22[[#This Row],[体重]]="","",(テーブル22[[#This Row],[体重]]-テーブル22[[#This Row],[標準体重]])/テーブル22[[#This Row],[標準体重]]*100)</f>
        <v/>
      </c>
      <c r="AD212" s="1">
        <f>COUNTA(テーブル22[[#This Row],[握力]:[ボール投げ]])</f>
        <v>0</v>
      </c>
      <c r="AE212" s="1" t="str">
        <f>IF(テーブル22[[#This Row],[判定]]=$BD$10,"○","")</f>
        <v/>
      </c>
      <c r="AF212" s="1" t="str">
        <f>IF(AE212="","",COUNTIF($AE$6:AE212,"○"))</f>
        <v/>
      </c>
    </row>
    <row r="213" spans="1:32" x14ac:dyDescent="0.2">
      <c r="A213" s="40">
        <v>208</v>
      </c>
      <c r="B213" s="145"/>
      <c r="C213" s="148"/>
      <c r="D213" s="145"/>
      <c r="E213" s="156"/>
      <c r="F213" s="145"/>
      <c r="G213" s="145"/>
      <c r="H213" s="146"/>
      <c r="I213" s="146"/>
      <c r="J213" s="148"/>
      <c r="K213" s="145"/>
      <c r="L213" s="148"/>
      <c r="M213" s="149"/>
      <c r="N213" s="148"/>
      <c r="O213" s="150"/>
      <c r="P2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3" s="43" t="str">
        <f>IF(テーブル22[[#This Row],[得点]]="","",IF(テーブル22[[#This Row],[年齢]]&gt;10,LOOKUP(P213,$BG$6:$BG$10,$BD$6:$BD$10),IF(テーブル22[[#This Row],[年齢]]&gt;9,LOOKUP(P213,$BF$6:$BF$10,$BD$6:$BD$10),IF(テーブル22[[#This Row],[年齢]]&gt;8,LOOKUP(P213,$BE$6:$BE$10,$BD$6:$BD$10),IF(テーブル22[[#This Row],[年齢]]&gt;7,LOOKUP(P213,$BC$6:$BC$10,$BD$6:$BD$10),IF(テーブル22[[#This Row],[年齢]]&gt;6,LOOKUP(P213,$BB$6:$BB$10,$BD$6:$BD$10),LOOKUP(P213,$BA$6:$BA$10,$BD$6:$BD$10)))))))</f>
        <v/>
      </c>
      <c r="R213" s="42">
        <f>IF(H213="",0,(IF(テーブル22[[#This Row],[性別]]="男",LOOKUP(テーブル22[[#This Row],[握力]],$AH$6:$AI$15),LOOKUP(テーブル22[[#This Row],[握力]],$AH$20:$AI$29))))</f>
        <v>0</v>
      </c>
      <c r="S213" s="42">
        <f>IF(テーブル22[[#This Row],[上体]]="",0,(IF(テーブル22[[#This Row],[性別]]="男",LOOKUP(テーブル22[[#This Row],[上体]],$AJ$6:$AK$15),LOOKUP(テーブル22[[#This Row],[上体]],$AJ$20:$AK$29))))</f>
        <v>0</v>
      </c>
      <c r="T213" s="42">
        <f>IF(テーブル22[[#This Row],[長座]]="",0,(IF(テーブル22[[#This Row],[性別]]="男",LOOKUP(テーブル22[[#This Row],[長座]],$AL$6:$AM$15),LOOKUP(テーブル22[[#This Row],[長座]],$AL$20:$AM$29))))</f>
        <v>0</v>
      </c>
      <c r="U213" s="42">
        <f>IF(テーブル22[[#This Row],[反復]]="",0,(IF(テーブル22[[#This Row],[性別]]="男",LOOKUP(テーブル22[[#This Row],[反復]],$AN$6:$AO$15),LOOKUP(テーブル22[[#This Row],[反復]],$AN$20:$AO$29))))</f>
        <v>0</v>
      </c>
      <c r="V213" s="42">
        <f>IF(テーブル22[[#This Row],[ｼｬﾄﾙﾗﾝ]]="",0,(IF(テーブル22[[#This Row],[性別]]="男",LOOKUP(テーブル22[[#This Row],[ｼｬﾄﾙﾗﾝ]],$AR$6:$AS$15),LOOKUP(テーブル22[[#This Row],[ｼｬﾄﾙﾗﾝ]],$AR$20:$AS$29))))</f>
        <v>0</v>
      </c>
      <c r="W213" s="42">
        <f>IF(テーブル22[[#This Row],[50m走]]="",0,(IF(テーブル22[[#This Row],[性別]]="男",LOOKUP(テーブル22[[#This Row],[50m走]],$AT$6:$AU$15),LOOKUP(テーブル22[[#This Row],[50m走]],$AT$20:$AU$29))))</f>
        <v>0</v>
      </c>
      <c r="X213" s="42">
        <f>IF(テーブル22[[#This Row],[立幅とび]]="",0,(IF(テーブル22[[#This Row],[性別]]="男",LOOKUP(テーブル22[[#This Row],[立幅とび]],$AV$6:$AW$15),LOOKUP(テーブル22[[#This Row],[立幅とび]],$AV$20:$AW$29))))</f>
        <v>0</v>
      </c>
      <c r="Y213" s="42">
        <f>IF(テーブル22[[#This Row],[ボール投げ]]="",0,(IF(テーブル22[[#This Row],[性別]]="男",LOOKUP(テーブル22[[#This Row],[ボール投げ]],$AX$6:$AY$15),LOOKUP(テーブル22[[#This Row],[ボール投げ]],$AX$20:$AY$29))))</f>
        <v>0</v>
      </c>
      <c r="Z213" s="19" t="str">
        <f>IF(テーブル22[[#This Row],[学年]]=1,6,IF(テーブル22[[#This Row],[学年]]=2,7,IF(テーブル22[[#This Row],[学年]]=3,8,IF(テーブル22[[#This Row],[学年]]=4,9,IF(テーブル22[[#This Row],[学年]]=5,10,IF(テーブル22[[#This Row],[学年]]=6,11," "))))))</f>
        <v xml:space="preserve"> </v>
      </c>
      <c r="AA213" s="125" t="str">
        <f>IF(テーブル22[[#This Row],[肥満度数値]]="","",LOOKUP(AC213,$AW$39:$AW$44,$AX$39:$AX$44))</f>
        <v/>
      </c>
      <c r="AB2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3" s="124" t="str">
        <f>IF(テーブル22[[#This Row],[体重]]="","",(テーブル22[[#This Row],[体重]]-テーブル22[[#This Row],[標準体重]])/テーブル22[[#This Row],[標準体重]]*100)</f>
        <v/>
      </c>
      <c r="AD213" s="1">
        <f>COUNTA(テーブル22[[#This Row],[握力]:[ボール投げ]])</f>
        <v>0</v>
      </c>
      <c r="AE213" s="1" t="str">
        <f>IF(テーブル22[[#This Row],[判定]]=$BD$10,"○","")</f>
        <v/>
      </c>
      <c r="AF213" s="1" t="str">
        <f>IF(AE213="","",COUNTIF($AE$6:AE213,"○"))</f>
        <v/>
      </c>
    </row>
    <row r="214" spans="1:32" x14ac:dyDescent="0.2">
      <c r="A214" s="40">
        <v>209</v>
      </c>
      <c r="B214" s="145"/>
      <c r="C214" s="148"/>
      <c r="D214" s="145"/>
      <c r="E214" s="156"/>
      <c r="F214" s="145"/>
      <c r="G214" s="145"/>
      <c r="H214" s="146"/>
      <c r="I214" s="146"/>
      <c r="J214" s="148"/>
      <c r="K214" s="145"/>
      <c r="L214" s="148"/>
      <c r="M214" s="149"/>
      <c r="N214" s="148"/>
      <c r="O214" s="150"/>
      <c r="P2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4" s="43" t="str">
        <f>IF(テーブル22[[#This Row],[得点]]="","",IF(テーブル22[[#This Row],[年齢]]&gt;10,LOOKUP(P214,$BG$6:$BG$10,$BD$6:$BD$10),IF(テーブル22[[#This Row],[年齢]]&gt;9,LOOKUP(P214,$BF$6:$BF$10,$BD$6:$BD$10),IF(テーブル22[[#This Row],[年齢]]&gt;8,LOOKUP(P214,$BE$6:$BE$10,$BD$6:$BD$10),IF(テーブル22[[#This Row],[年齢]]&gt;7,LOOKUP(P214,$BC$6:$BC$10,$BD$6:$BD$10),IF(テーブル22[[#This Row],[年齢]]&gt;6,LOOKUP(P214,$BB$6:$BB$10,$BD$6:$BD$10),LOOKUP(P214,$BA$6:$BA$10,$BD$6:$BD$10)))))))</f>
        <v/>
      </c>
      <c r="R214" s="42">
        <f>IF(H214="",0,(IF(テーブル22[[#This Row],[性別]]="男",LOOKUP(テーブル22[[#This Row],[握力]],$AH$6:$AI$15),LOOKUP(テーブル22[[#This Row],[握力]],$AH$20:$AI$29))))</f>
        <v>0</v>
      </c>
      <c r="S214" s="42">
        <f>IF(テーブル22[[#This Row],[上体]]="",0,(IF(テーブル22[[#This Row],[性別]]="男",LOOKUP(テーブル22[[#This Row],[上体]],$AJ$6:$AK$15),LOOKUP(テーブル22[[#This Row],[上体]],$AJ$20:$AK$29))))</f>
        <v>0</v>
      </c>
      <c r="T214" s="42">
        <f>IF(テーブル22[[#This Row],[長座]]="",0,(IF(テーブル22[[#This Row],[性別]]="男",LOOKUP(テーブル22[[#This Row],[長座]],$AL$6:$AM$15),LOOKUP(テーブル22[[#This Row],[長座]],$AL$20:$AM$29))))</f>
        <v>0</v>
      </c>
      <c r="U214" s="42">
        <f>IF(テーブル22[[#This Row],[反復]]="",0,(IF(テーブル22[[#This Row],[性別]]="男",LOOKUP(テーブル22[[#This Row],[反復]],$AN$6:$AO$15),LOOKUP(テーブル22[[#This Row],[反復]],$AN$20:$AO$29))))</f>
        <v>0</v>
      </c>
      <c r="V214" s="42">
        <f>IF(テーブル22[[#This Row],[ｼｬﾄﾙﾗﾝ]]="",0,(IF(テーブル22[[#This Row],[性別]]="男",LOOKUP(テーブル22[[#This Row],[ｼｬﾄﾙﾗﾝ]],$AR$6:$AS$15),LOOKUP(テーブル22[[#This Row],[ｼｬﾄﾙﾗﾝ]],$AR$20:$AS$29))))</f>
        <v>0</v>
      </c>
      <c r="W214" s="42">
        <f>IF(テーブル22[[#This Row],[50m走]]="",0,(IF(テーブル22[[#This Row],[性別]]="男",LOOKUP(テーブル22[[#This Row],[50m走]],$AT$6:$AU$15),LOOKUP(テーブル22[[#This Row],[50m走]],$AT$20:$AU$29))))</f>
        <v>0</v>
      </c>
      <c r="X214" s="42">
        <f>IF(テーブル22[[#This Row],[立幅とび]]="",0,(IF(テーブル22[[#This Row],[性別]]="男",LOOKUP(テーブル22[[#This Row],[立幅とび]],$AV$6:$AW$15),LOOKUP(テーブル22[[#This Row],[立幅とび]],$AV$20:$AW$29))))</f>
        <v>0</v>
      </c>
      <c r="Y214" s="42">
        <f>IF(テーブル22[[#This Row],[ボール投げ]]="",0,(IF(テーブル22[[#This Row],[性別]]="男",LOOKUP(テーブル22[[#This Row],[ボール投げ]],$AX$6:$AY$15),LOOKUP(テーブル22[[#This Row],[ボール投げ]],$AX$20:$AY$29))))</f>
        <v>0</v>
      </c>
      <c r="Z214" s="19" t="str">
        <f>IF(テーブル22[[#This Row],[学年]]=1,6,IF(テーブル22[[#This Row],[学年]]=2,7,IF(テーブル22[[#This Row],[学年]]=3,8,IF(テーブル22[[#This Row],[学年]]=4,9,IF(テーブル22[[#This Row],[学年]]=5,10,IF(テーブル22[[#This Row],[学年]]=6,11," "))))))</f>
        <v xml:space="preserve"> </v>
      </c>
      <c r="AA214" s="125" t="str">
        <f>IF(テーブル22[[#This Row],[肥満度数値]]="","",LOOKUP(AC214,$AW$39:$AW$44,$AX$39:$AX$44))</f>
        <v/>
      </c>
      <c r="AB2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4" s="124" t="str">
        <f>IF(テーブル22[[#This Row],[体重]]="","",(テーブル22[[#This Row],[体重]]-テーブル22[[#This Row],[標準体重]])/テーブル22[[#This Row],[標準体重]]*100)</f>
        <v/>
      </c>
      <c r="AD214" s="1">
        <f>COUNTA(テーブル22[[#This Row],[握力]:[ボール投げ]])</f>
        <v>0</v>
      </c>
      <c r="AE214" s="1" t="str">
        <f>IF(テーブル22[[#This Row],[判定]]=$BD$10,"○","")</f>
        <v/>
      </c>
      <c r="AF214" s="1" t="str">
        <f>IF(AE214="","",COUNTIF($AE$6:AE214,"○"))</f>
        <v/>
      </c>
    </row>
    <row r="215" spans="1:32" x14ac:dyDescent="0.2">
      <c r="A215" s="40">
        <v>210</v>
      </c>
      <c r="B215" s="145"/>
      <c r="C215" s="148"/>
      <c r="D215" s="145"/>
      <c r="E215" s="156"/>
      <c r="F215" s="145"/>
      <c r="G215" s="145"/>
      <c r="H215" s="146"/>
      <c r="I215" s="146"/>
      <c r="J215" s="148"/>
      <c r="K215" s="145"/>
      <c r="L215" s="148"/>
      <c r="M215" s="149"/>
      <c r="N215" s="148"/>
      <c r="O215" s="150"/>
      <c r="P2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5" s="43" t="str">
        <f>IF(テーブル22[[#This Row],[得点]]="","",IF(テーブル22[[#This Row],[年齢]]&gt;10,LOOKUP(P215,$BG$6:$BG$10,$BD$6:$BD$10),IF(テーブル22[[#This Row],[年齢]]&gt;9,LOOKUP(P215,$BF$6:$BF$10,$BD$6:$BD$10),IF(テーブル22[[#This Row],[年齢]]&gt;8,LOOKUP(P215,$BE$6:$BE$10,$BD$6:$BD$10),IF(テーブル22[[#This Row],[年齢]]&gt;7,LOOKUP(P215,$BC$6:$BC$10,$BD$6:$BD$10),IF(テーブル22[[#This Row],[年齢]]&gt;6,LOOKUP(P215,$BB$6:$BB$10,$BD$6:$BD$10),LOOKUP(P215,$BA$6:$BA$10,$BD$6:$BD$10)))))))</f>
        <v/>
      </c>
      <c r="R215" s="42">
        <f>IF(H215="",0,(IF(テーブル22[[#This Row],[性別]]="男",LOOKUP(テーブル22[[#This Row],[握力]],$AH$6:$AI$15),LOOKUP(テーブル22[[#This Row],[握力]],$AH$20:$AI$29))))</f>
        <v>0</v>
      </c>
      <c r="S215" s="42">
        <f>IF(テーブル22[[#This Row],[上体]]="",0,(IF(テーブル22[[#This Row],[性別]]="男",LOOKUP(テーブル22[[#This Row],[上体]],$AJ$6:$AK$15),LOOKUP(テーブル22[[#This Row],[上体]],$AJ$20:$AK$29))))</f>
        <v>0</v>
      </c>
      <c r="T215" s="42">
        <f>IF(テーブル22[[#This Row],[長座]]="",0,(IF(テーブル22[[#This Row],[性別]]="男",LOOKUP(テーブル22[[#This Row],[長座]],$AL$6:$AM$15),LOOKUP(テーブル22[[#This Row],[長座]],$AL$20:$AM$29))))</f>
        <v>0</v>
      </c>
      <c r="U215" s="42">
        <f>IF(テーブル22[[#This Row],[反復]]="",0,(IF(テーブル22[[#This Row],[性別]]="男",LOOKUP(テーブル22[[#This Row],[反復]],$AN$6:$AO$15),LOOKUP(テーブル22[[#This Row],[反復]],$AN$20:$AO$29))))</f>
        <v>0</v>
      </c>
      <c r="V215" s="42">
        <f>IF(テーブル22[[#This Row],[ｼｬﾄﾙﾗﾝ]]="",0,(IF(テーブル22[[#This Row],[性別]]="男",LOOKUP(テーブル22[[#This Row],[ｼｬﾄﾙﾗﾝ]],$AR$6:$AS$15),LOOKUP(テーブル22[[#This Row],[ｼｬﾄﾙﾗﾝ]],$AR$20:$AS$29))))</f>
        <v>0</v>
      </c>
      <c r="W215" s="42">
        <f>IF(テーブル22[[#This Row],[50m走]]="",0,(IF(テーブル22[[#This Row],[性別]]="男",LOOKUP(テーブル22[[#This Row],[50m走]],$AT$6:$AU$15),LOOKUP(テーブル22[[#This Row],[50m走]],$AT$20:$AU$29))))</f>
        <v>0</v>
      </c>
      <c r="X215" s="42">
        <f>IF(テーブル22[[#This Row],[立幅とび]]="",0,(IF(テーブル22[[#This Row],[性別]]="男",LOOKUP(テーブル22[[#This Row],[立幅とび]],$AV$6:$AW$15),LOOKUP(テーブル22[[#This Row],[立幅とび]],$AV$20:$AW$29))))</f>
        <v>0</v>
      </c>
      <c r="Y215" s="42">
        <f>IF(テーブル22[[#This Row],[ボール投げ]]="",0,(IF(テーブル22[[#This Row],[性別]]="男",LOOKUP(テーブル22[[#This Row],[ボール投げ]],$AX$6:$AY$15),LOOKUP(テーブル22[[#This Row],[ボール投げ]],$AX$20:$AY$29))))</f>
        <v>0</v>
      </c>
      <c r="Z215" s="19" t="str">
        <f>IF(テーブル22[[#This Row],[学年]]=1,6,IF(テーブル22[[#This Row],[学年]]=2,7,IF(テーブル22[[#This Row],[学年]]=3,8,IF(テーブル22[[#This Row],[学年]]=4,9,IF(テーブル22[[#This Row],[学年]]=5,10,IF(テーブル22[[#This Row],[学年]]=6,11," "))))))</f>
        <v xml:space="preserve"> </v>
      </c>
      <c r="AA215" s="125" t="str">
        <f>IF(テーブル22[[#This Row],[肥満度数値]]="","",LOOKUP(AC215,$AW$39:$AW$44,$AX$39:$AX$44))</f>
        <v/>
      </c>
      <c r="AB2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5" s="124" t="str">
        <f>IF(テーブル22[[#This Row],[体重]]="","",(テーブル22[[#This Row],[体重]]-テーブル22[[#This Row],[標準体重]])/テーブル22[[#This Row],[標準体重]]*100)</f>
        <v/>
      </c>
      <c r="AD215" s="1">
        <f>COUNTA(テーブル22[[#This Row],[握力]:[ボール投げ]])</f>
        <v>0</v>
      </c>
      <c r="AE215" s="1" t="str">
        <f>IF(テーブル22[[#This Row],[判定]]=$BD$10,"○","")</f>
        <v/>
      </c>
      <c r="AF215" s="1" t="str">
        <f>IF(AE215="","",COUNTIF($AE$6:AE215,"○"))</f>
        <v/>
      </c>
    </row>
    <row r="216" spans="1:32" x14ac:dyDescent="0.2">
      <c r="A216" s="40">
        <v>211</v>
      </c>
      <c r="B216" s="145"/>
      <c r="C216" s="148"/>
      <c r="D216" s="145"/>
      <c r="E216" s="156"/>
      <c r="F216" s="145"/>
      <c r="G216" s="145"/>
      <c r="H216" s="146"/>
      <c r="I216" s="146"/>
      <c r="J216" s="148"/>
      <c r="K216" s="145"/>
      <c r="L216" s="148"/>
      <c r="M216" s="149"/>
      <c r="N216" s="148"/>
      <c r="O216" s="150"/>
      <c r="P2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6" s="43" t="str">
        <f>IF(テーブル22[[#This Row],[得点]]="","",IF(テーブル22[[#This Row],[年齢]]&gt;10,LOOKUP(P216,$BG$6:$BG$10,$BD$6:$BD$10),IF(テーブル22[[#This Row],[年齢]]&gt;9,LOOKUP(P216,$BF$6:$BF$10,$BD$6:$BD$10),IF(テーブル22[[#This Row],[年齢]]&gt;8,LOOKUP(P216,$BE$6:$BE$10,$BD$6:$BD$10),IF(テーブル22[[#This Row],[年齢]]&gt;7,LOOKUP(P216,$BC$6:$BC$10,$BD$6:$BD$10),IF(テーブル22[[#This Row],[年齢]]&gt;6,LOOKUP(P216,$BB$6:$BB$10,$BD$6:$BD$10),LOOKUP(P216,$BA$6:$BA$10,$BD$6:$BD$10)))))))</f>
        <v/>
      </c>
      <c r="R216" s="42">
        <f>IF(H216="",0,(IF(テーブル22[[#This Row],[性別]]="男",LOOKUP(テーブル22[[#This Row],[握力]],$AH$6:$AI$15),LOOKUP(テーブル22[[#This Row],[握力]],$AH$20:$AI$29))))</f>
        <v>0</v>
      </c>
      <c r="S216" s="42">
        <f>IF(テーブル22[[#This Row],[上体]]="",0,(IF(テーブル22[[#This Row],[性別]]="男",LOOKUP(テーブル22[[#This Row],[上体]],$AJ$6:$AK$15),LOOKUP(テーブル22[[#This Row],[上体]],$AJ$20:$AK$29))))</f>
        <v>0</v>
      </c>
      <c r="T216" s="42">
        <f>IF(テーブル22[[#This Row],[長座]]="",0,(IF(テーブル22[[#This Row],[性別]]="男",LOOKUP(テーブル22[[#This Row],[長座]],$AL$6:$AM$15),LOOKUP(テーブル22[[#This Row],[長座]],$AL$20:$AM$29))))</f>
        <v>0</v>
      </c>
      <c r="U216" s="42">
        <f>IF(テーブル22[[#This Row],[反復]]="",0,(IF(テーブル22[[#This Row],[性別]]="男",LOOKUP(テーブル22[[#This Row],[反復]],$AN$6:$AO$15),LOOKUP(テーブル22[[#This Row],[反復]],$AN$20:$AO$29))))</f>
        <v>0</v>
      </c>
      <c r="V216" s="42">
        <f>IF(テーブル22[[#This Row],[ｼｬﾄﾙﾗﾝ]]="",0,(IF(テーブル22[[#This Row],[性別]]="男",LOOKUP(テーブル22[[#This Row],[ｼｬﾄﾙﾗﾝ]],$AR$6:$AS$15),LOOKUP(テーブル22[[#This Row],[ｼｬﾄﾙﾗﾝ]],$AR$20:$AS$29))))</f>
        <v>0</v>
      </c>
      <c r="W216" s="42">
        <f>IF(テーブル22[[#This Row],[50m走]]="",0,(IF(テーブル22[[#This Row],[性別]]="男",LOOKUP(テーブル22[[#This Row],[50m走]],$AT$6:$AU$15),LOOKUP(テーブル22[[#This Row],[50m走]],$AT$20:$AU$29))))</f>
        <v>0</v>
      </c>
      <c r="X216" s="42">
        <f>IF(テーブル22[[#This Row],[立幅とび]]="",0,(IF(テーブル22[[#This Row],[性別]]="男",LOOKUP(テーブル22[[#This Row],[立幅とび]],$AV$6:$AW$15),LOOKUP(テーブル22[[#This Row],[立幅とび]],$AV$20:$AW$29))))</f>
        <v>0</v>
      </c>
      <c r="Y216" s="42">
        <f>IF(テーブル22[[#This Row],[ボール投げ]]="",0,(IF(テーブル22[[#This Row],[性別]]="男",LOOKUP(テーブル22[[#This Row],[ボール投げ]],$AX$6:$AY$15),LOOKUP(テーブル22[[#This Row],[ボール投げ]],$AX$20:$AY$29))))</f>
        <v>0</v>
      </c>
      <c r="Z216" s="19" t="str">
        <f>IF(テーブル22[[#This Row],[学年]]=1,6,IF(テーブル22[[#This Row],[学年]]=2,7,IF(テーブル22[[#This Row],[学年]]=3,8,IF(テーブル22[[#This Row],[学年]]=4,9,IF(テーブル22[[#This Row],[学年]]=5,10,IF(テーブル22[[#This Row],[学年]]=6,11," "))))))</f>
        <v xml:space="preserve"> </v>
      </c>
      <c r="AA216" s="125" t="str">
        <f>IF(テーブル22[[#This Row],[肥満度数値]]="","",LOOKUP(AC216,$AW$39:$AW$44,$AX$39:$AX$44))</f>
        <v/>
      </c>
      <c r="AB2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6" s="124" t="str">
        <f>IF(テーブル22[[#This Row],[体重]]="","",(テーブル22[[#This Row],[体重]]-テーブル22[[#This Row],[標準体重]])/テーブル22[[#This Row],[標準体重]]*100)</f>
        <v/>
      </c>
      <c r="AD216" s="1">
        <f>COUNTA(テーブル22[[#This Row],[握力]:[ボール投げ]])</f>
        <v>0</v>
      </c>
      <c r="AE216" s="1" t="str">
        <f>IF(テーブル22[[#This Row],[判定]]=$BD$10,"○","")</f>
        <v/>
      </c>
      <c r="AF216" s="1" t="str">
        <f>IF(AE216="","",COUNTIF($AE$6:AE216,"○"))</f>
        <v/>
      </c>
    </row>
    <row r="217" spans="1:32" x14ac:dyDescent="0.2">
      <c r="A217" s="40">
        <v>212</v>
      </c>
      <c r="B217" s="145"/>
      <c r="C217" s="148"/>
      <c r="D217" s="145"/>
      <c r="E217" s="156"/>
      <c r="F217" s="145"/>
      <c r="G217" s="145"/>
      <c r="H217" s="146"/>
      <c r="I217" s="146"/>
      <c r="J217" s="148"/>
      <c r="K217" s="145"/>
      <c r="L217" s="148"/>
      <c r="M217" s="149"/>
      <c r="N217" s="148"/>
      <c r="O217" s="150"/>
      <c r="P2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7" s="43" t="str">
        <f>IF(テーブル22[[#This Row],[得点]]="","",IF(テーブル22[[#This Row],[年齢]]&gt;10,LOOKUP(P217,$BG$6:$BG$10,$BD$6:$BD$10),IF(テーブル22[[#This Row],[年齢]]&gt;9,LOOKUP(P217,$BF$6:$BF$10,$BD$6:$BD$10),IF(テーブル22[[#This Row],[年齢]]&gt;8,LOOKUP(P217,$BE$6:$BE$10,$BD$6:$BD$10),IF(テーブル22[[#This Row],[年齢]]&gt;7,LOOKUP(P217,$BC$6:$BC$10,$BD$6:$BD$10),IF(テーブル22[[#This Row],[年齢]]&gt;6,LOOKUP(P217,$BB$6:$BB$10,$BD$6:$BD$10),LOOKUP(P217,$BA$6:$BA$10,$BD$6:$BD$10)))))))</f>
        <v/>
      </c>
      <c r="R217" s="42">
        <f>IF(H217="",0,(IF(テーブル22[[#This Row],[性別]]="男",LOOKUP(テーブル22[[#This Row],[握力]],$AH$6:$AI$15),LOOKUP(テーブル22[[#This Row],[握力]],$AH$20:$AI$29))))</f>
        <v>0</v>
      </c>
      <c r="S217" s="42">
        <f>IF(テーブル22[[#This Row],[上体]]="",0,(IF(テーブル22[[#This Row],[性別]]="男",LOOKUP(テーブル22[[#This Row],[上体]],$AJ$6:$AK$15),LOOKUP(テーブル22[[#This Row],[上体]],$AJ$20:$AK$29))))</f>
        <v>0</v>
      </c>
      <c r="T217" s="42">
        <f>IF(テーブル22[[#This Row],[長座]]="",0,(IF(テーブル22[[#This Row],[性別]]="男",LOOKUP(テーブル22[[#This Row],[長座]],$AL$6:$AM$15),LOOKUP(テーブル22[[#This Row],[長座]],$AL$20:$AM$29))))</f>
        <v>0</v>
      </c>
      <c r="U217" s="42">
        <f>IF(テーブル22[[#This Row],[反復]]="",0,(IF(テーブル22[[#This Row],[性別]]="男",LOOKUP(テーブル22[[#This Row],[反復]],$AN$6:$AO$15),LOOKUP(テーブル22[[#This Row],[反復]],$AN$20:$AO$29))))</f>
        <v>0</v>
      </c>
      <c r="V217" s="42">
        <f>IF(テーブル22[[#This Row],[ｼｬﾄﾙﾗﾝ]]="",0,(IF(テーブル22[[#This Row],[性別]]="男",LOOKUP(テーブル22[[#This Row],[ｼｬﾄﾙﾗﾝ]],$AR$6:$AS$15),LOOKUP(テーブル22[[#This Row],[ｼｬﾄﾙﾗﾝ]],$AR$20:$AS$29))))</f>
        <v>0</v>
      </c>
      <c r="W217" s="42">
        <f>IF(テーブル22[[#This Row],[50m走]]="",0,(IF(テーブル22[[#This Row],[性別]]="男",LOOKUP(テーブル22[[#This Row],[50m走]],$AT$6:$AU$15),LOOKUP(テーブル22[[#This Row],[50m走]],$AT$20:$AU$29))))</f>
        <v>0</v>
      </c>
      <c r="X217" s="42">
        <f>IF(テーブル22[[#This Row],[立幅とび]]="",0,(IF(テーブル22[[#This Row],[性別]]="男",LOOKUP(テーブル22[[#This Row],[立幅とび]],$AV$6:$AW$15),LOOKUP(テーブル22[[#This Row],[立幅とび]],$AV$20:$AW$29))))</f>
        <v>0</v>
      </c>
      <c r="Y217" s="42">
        <f>IF(テーブル22[[#This Row],[ボール投げ]]="",0,(IF(テーブル22[[#This Row],[性別]]="男",LOOKUP(テーブル22[[#This Row],[ボール投げ]],$AX$6:$AY$15),LOOKUP(テーブル22[[#This Row],[ボール投げ]],$AX$20:$AY$29))))</f>
        <v>0</v>
      </c>
      <c r="Z217" s="19" t="str">
        <f>IF(テーブル22[[#This Row],[学年]]=1,6,IF(テーブル22[[#This Row],[学年]]=2,7,IF(テーブル22[[#This Row],[学年]]=3,8,IF(テーブル22[[#This Row],[学年]]=4,9,IF(テーブル22[[#This Row],[学年]]=5,10,IF(テーブル22[[#This Row],[学年]]=6,11," "))))))</f>
        <v xml:space="preserve"> </v>
      </c>
      <c r="AA217" s="125" t="str">
        <f>IF(テーブル22[[#This Row],[肥満度数値]]="","",LOOKUP(AC217,$AW$39:$AW$44,$AX$39:$AX$44))</f>
        <v/>
      </c>
      <c r="AB2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7" s="124" t="str">
        <f>IF(テーブル22[[#This Row],[体重]]="","",(テーブル22[[#This Row],[体重]]-テーブル22[[#This Row],[標準体重]])/テーブル22[[#This Row],[標準体重]]*100)</f>
        <v/>
      </c>
      <c r="AD217" s="1">
        <f>COUNTA(テーブル22[[#This Row],[握力]:[ボール投げ]])</f>
        <v>0</v>
      </c>
      <c r="AE217" s="1" t="str">
        <f>IF(テーブル22[[#This Row],[判定]]=$BD$10,"○","")</f>
        <v/>
      </c>
      <c r="AF217" s="1" t="str">
        <f>IF(AE217="","",COUNTIF($AE$6:AE217,"○"))</f>
        <v/>
      </c>
    </row>
    <row r="218" spans="1:32" x14ac:dyDescent="0.2">
      <c r="A218" s="40">
        <v>213</v>
      </c>
      <c r="B218" s="145"/>
      <c r="C218" s="148"/>
      <c r="D218" s="145"/>
      <c r="E218" s="156"/>
      <c r="F218" s="145"/>
      <c r="G218" s="145"/>
      <c r="H218" s="146"/>
      <c r="I218" s="146"/>
      <c r="J218" s="148"/>
      <c r="K218" s="145"/>
      <c r="L218" s="148"/>
      <c r="M218" s="149"/>
      <c r="N218" s="148"/>
      <c r="O218" s="150"/>
      <c r="P2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8" s="43" t="str">
        <f>IF(テーブル22[[#This Row],[得点]]="","",IF(テーブル22[[#This Row],[年齢]]&gt;10,LOOKUP(P218,$BG$6:$BG$10,$BD$6:$BD$10),IF(テーブル22[[#This Row],[年齢]]&gt;9,LOOKUP(P218,$BF$6:$BF$10,$BD$6:$BD$10),IF(テーブル22[[#This Row],[年齢]]&gt;8,LOOKUP(P218,$BE$6:$BE$10,$BD$6:$BD$10),IF(テーブル22[[#This Row],[年齢]]&gt;7,LOOKUP(P218,$BC$6:$BC$10,$BD$6:$BD$10),IF(テーブル22[[#This Row],[年齢]]&gt;6,LOOKUP(P218,$BB$6:$BB$10,$BD$6:$BD$10),LOOKUP(P218,$BA$6:$BA$10,$BD$6:$BD$10)))))))</f>
        <v/>
      </c>
      <c r="R218" s="42">
        <f>IF(H218="",0,(IF(テーブル22[[#This Row],[性別]]="男",LOOKUP(テーブル22[[#This Row],[握力]],$AH$6:$AI$15),LOOKUP(テーブル22[[#This Row],[握力]],$AH$20:$AI$29))))</f>
        <v>0</v>
      </c>
      <c r="S218" s="42">
        <f>IF(テーブル22[[#This Row],[上体]]="",0,(IF(テーブル22[[#This Row],[性別]]="男",LOOKUP(テーブル22[[#This Row],[上体]],$AJ$6:$AK$15),LOOKUP(テーブル22[[#This Row],[上体]],$AJ$20:$AK$29))))</f>
        <v>0</v>
      </c>
      <c r="T218" s="42">
        <f>IF(テーブル22[[#This Row],[長座]]="",0,(IF(テーブル22[[#This Row],[性別]]="男",LOOKUP(テーブル22[[#This Row],[長座]],$AL$6:$AM$15),LOOKUP(テーブル22[[#This Row],[長座]],$AL$20:$AM$29))))</f>
        <v>0</v>
      </c>
      <c r="U218" s="42">
        <f>IF(テーブル22[[#This Row],[反復]]="",0,(IF(テーブル22[[#This Row],[性別]]="男",LOOKUP(テーブル22[[#This Row],[反復]],$AN$6:$AO$15),LOOKUP(テーブル22[[#This Row],[反復]],$AN$20:$AO$29))))</f>
        <v>0</v>
      </c>
      <c r="V218" s="42">
        <f>IF(テーブル22[[#This Row],[ｼｬﾄﾙﾗﾝ]]="",0,(IF(テーブル22[[#This Row],[性別]]="男",LOOKUP(テーブル22[[#This Row],[ｼｬﾄﾙﾗﾝ]],$AR$6:$AS$15),LOOKUP(テーブル22[[#This Row],[ｼｬﾄﾙﾗﾝ]],$AR$20:$AS$29))))</f>
        <v>0</v>
      </c>
      <c r="W218" s="42">
        <f>IF(テーブル22[[#This Row],[50m走]]="",0,(IF(テーブル22[[#This Row],[性別]]="男",LOOKUP(テーブル22[[#This Row],[50m走]],$AT$6:$AU$15),LOOKUP(テーブル22[[#This Row],[50m走]],$AT$20:$AU$29))))</f>
        <v>0</v>
      </c>
      <c r="X218" s="42">
        <f>IF(テーブル22[[#This Row],[立幅とび]]="",0,(IF(テーブル22[[#This Row],[性別]]="男",LOOKUP(テーブル22[[#This Row],[立幅とび]],$AV$6:$AW$15),LOOKUP(テーブル22[[#This Row],[立幅とび]],$AV$20:$AW$29))))</f>
        <v>0</v>
      </c>
      <c r="Y218" s="42">
        <f>IF(テーブル22[[#This Row],[ボール投げ]]="",0,(IF(テーブル22[[#This Row],[性別]]="男",LOOKUP(テーブル22[[#This Row],[ボール投げ]],$AX$6:$AY$15),LOOKUP(テーブル22[[#This Row],[ボール投げ]],$AX$20:$AY$29))))</f>
        <v>0</v>
      </c>
      <c r="Z218" s="19" t="str">
        <f>IF(テーブル22[[#This Row],[学年]]=1,6,IF(テーブル22[[#This Row],[学年]]=2,7,IF(テーブル22[[#This Row],[学年]]=3,8,IF(テーブル22[[#This Row],[学年]]=4,9,IF(テーブル22[[#This Row],[学年]]=5,10,IF(テーブル22[[#This Row],[学年]]=6,11," "))))))</f>
        <v xml:space="preserve"> </v>
      </c>
      <c r="AA218" s="125" t="str">
        <f>IF(テーブル22[[#This Row],[肥満度数値]]="","",LOOKUP(AC218,$AW$39:$AW$44,$AX$39:$AX$44))</f>
        <v/>
      </c>
      <c r="AB2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8" s="124" t="str">
        <f>IF(テーブル22[[#This Row],[体重]]="","",(テーブル22[[#This Row],[体重]]-テーブル22[[#This Row],[標準体重]])/テーブル22[[#This Row],[標準体重]]*100)</f>
        <v/>
      </c>
      <c r="AD218" s="1">
        <f>COUNTA(テーブル22[[#This Row],[握力]:[ボール投げ]])</f>
        <v>0</v>
      </c>
      <c r="AE218" s="1" t="str">
        <f>IF(テーブル22[[#This Row],[判定]]=$BD$10,"○","")</f>
        <v/>
      </c>
      <c r="AF218" s="1" t="str">
        <f>IF(AE218="","",COUNTIF($AE$6:AE218,"○"))</f>
        <v/>
      </c>
    </row>
    <row r="219" spans="1:32" x14ac:dyDescent="0.2">
      <c r="A219" s="40">
        <v>214</v>
      </c>
      <c r="B219" s="145"/>
      <c r="C219" s="148"/>
      <c r="D219" s="145"/>
      <c r="E219" s="156"/>
      <c r="F219" s="145"/>
      <c r="G219" s="145"/>
      <c r="H219" s="146"/>
      <c r="I219" s="146"/>
      <c r="J219" s="148"/>
      <c r="K219" s="145"/>
      <c r="L219" s="148"/>
      <c r="M219" s="149"/>
      <c r="N219" s="148"/>
      <c r="O219" s="150"/>
      <c r="P2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19" s="43" t="str">
        <f>IF(テーブル22[[#This Row],[得点]]="","",IF(テーブル22[[#This Row],[年齢]]&gt;10,LOOKUP(P219,$BG$6:$BG$10,$BD$6:$BD$10),IF(テーブル22[[#This Row],[年齢]]&gt;9,LOOKUP(P219,$BF$6:$BF$10,$BD$6:$BD$10),IF(テーブル22[[#This Row],[年齢]]&gt;8,LOOKUP(P219,$BE$6:$BE$10,$BD$6:$BD$10),IF(テーブル22[[#This Row],[年齢]]&gt;7,LOOKUP(P219,$BC$6:$BC$10,$BD$6:$BD$10),IF(テーブル22[[#This Row],[年齢]]&gt;6,LOOKUP(P219,$BB$6:$BB$10,$BD$6:$BD$10),LOOKUP(P219,$BA$6:$BA$10,$BD$6:$BD$10)))))))</f>
        <v/>
      </c>
      <c r="R219" s="42">
        <f>IF(H219="",0,(IF(テーブル22[[#This Row],[性別]]="男",LOOKUP(テーブル22[[#This Row],[握力]],$AH$6:$AI$15),LOOKUP(テーブル22[[#This Row],[握力]],$AH$20:$AI$29))))</f>
        <v>0</v>
      </c>
      <c r="S219" s="42">
        <f>IF(テーブル22[[#This Row],[上体]]="",0,(IF(テーブル22[[#This Row],[性別]]="男",LOOKUP(テーブル22[[#This Row],[上体]],$AJ$6:$AK$15),LOOKUP(テーブル22[[#This Row],[上体]],$AJ$20:$AK$29))))</f>
        <v>0</v>
      </c>
      <c r="T219" s="42">
        <f>IF(テーブル22[[#This Row],[長座]]="",0,(IF(テーブル22[[#This Row],[性別]]="男",LOOKUP(テーブル22[[#This Row],[長座]],$AL$6:$AM$15),LOOKUP(テーブル22[[#This Row],[長座]],$AL$20:$AM$29))))</f>
        <v>0</v>
      </c>
      <c r="U219" s="42">
        <f>IF(テーブル22[[#This Row],[反復]]="",0,(IF(テーブル22[[#This Row],[性別]]="男",LOOKUP(テーブル22[[#This Row],[反復]],$AN$6:$AO$15),LOOKUP(テーブル22[[#This Row],[反復]],$AN$20:$AO$29))))</f>
        <v>0</v>
      </c>
      <c r="V219" s="42">
        <f>IF(テーブル22[[#This Row],[ｼｬﾄﾙﾗﾝ]]="",0,(IF(テーブル22[[#This Row],[性別]]="男",LOOKUP(テーブル22[[#This Row],[ｼｬﾄﾙﾗﾝ]],$AR$6:$AS$15),LOOKUP(テーブル22[[#This Row],[ｼｬﾄﾙﾗﾝ]],$AR$20:$AS$29))))</f>
        <v>0</v>
      </c>
      <c r="W219" s="42">
        <f>IF(テーブル22[[#This Row],[50m走]]="",0,(IF(テーブル22[[#This Row],[性別]]="男",LOOKUP(テーブル22[[#This Row],[50m走]],$AT$6:$AU$15),LOOKUP(テーブル22[[#This Row],[50m走]],$AT$20:$AU$29))))</f>
        <v>0</v>
      </c>
      <c r="X219" s="42">
        <f>IF(テーブル22[[#This Row],[立幅とび]]="",0,(IF(テーブル22[[#This Row],[性別]]="男",LOOKUP(テーブル22[[#This Row],[立幅とび]],$AV$6:$AW$15),LOOKUP(テーブル22[[#This Row],[立幅とび]],$AV$20:$AW$29))))</f>
        <v>0</v>
      </c>
      <c r="Y219" s="42">
        <f>IF(テーブル22[[#This Row],[ボール投げ]]="",0,(IF(テーブル22[[#This Row],[性別]]="男",LOOKUP(テーブル22[[#This Row],[ボール投げ]],$AX$6:$AY$15),LOOKUP(テーブル22[[#This Row],[ボール投げ]],$AX$20:$AY$29))))</f>
        <v>0</v>
      </c>
      <c r="Z219" s="19" t="str">
        <f>IF(テーブル22[[#This Row],[学年]]=1,6,IF(テーブル22[[#This Row],[学年]]=2,7,IF(テーブル22[[#This Row],[学年]]=3,8,IF(テーブル22[[#This Row],[学年]]=4,9,IF(テーブル22[[#This Row],[学年]]=5,10,IF(テーブル22[[#This Row],[学年]]=6,11," "))))))</f>
        <v xml:space="preserve"> </v>
      </c>
      <c r="AA219" s="125" t="str">
        <f>IF(テーブル22[[#This Row],[肥満度数値]]="","",LOOKUP(AC219,$AW$39:$AW$44,$AX$39:$AX$44))</f>
        <v/>
      </c>
      <c r="AB2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19" s="124" t="str">
        <f>IF(テーブル22[[#This Row],[体重]]="","",(テーブル22[[#This Row],[体重]]-テーブル22[[#This Row],[標準体重]])/テーブル22[[#This Row],[標準体重]]*100)</f>
        <v/>
      </c>
      <c r="AD219" s="1">
        <f>COUNTA(テーブル22[[#This Row],[握力]:[ボール投げ]])</f>
        <v>0</v>
      </c>
      <c r="AE219" s="1" t="str">
        <f>IF(テーブル22[[#This Row],[判定]]=$BD$10,"○","")</f>
        <v/>
      </c>
      <c r="AF219" s="1" t="str">
        <f>IF(AE219="","",COUNTIF($AE$6:AE219,"○"))</f>
        <v/>
      </c>
    </row>
    <row r="220" spans="1:32" x14ac:dyDescent="0.2">
      <c r="A220" s="40">
        <v>215</v>
      </c>
      <c r="B220" s="145"/>
      <c r="C220" s="148"/>
      <c r="D220" s="145"/>
      <c r="E220" s="156"/>
      <c r="F220" s="145"/>
      <c r="G220" s="145"/>
      <c r="H220" s="146"/>
      <c r="I220" s="146"/>
      <c r="J220" s="148"/>
      <c r="K220" s="145"/>
      <c r="L220" s="148"/>
      <c r="M220" s="149"/>
      <c r="N220" s="148"/>
      <c r="O220" s="150"/>
      <c r="P2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0" s="43" t="str">
        <f>IF(テーブル22[[#This Row],[得点]]="","",IF(テーブル22[[#This Row],[年齢]]&gt;10,LOOKUP(P220,$BG$6:$BG$10,$BD$6:$BD$10),IF(テーブル22[[#This Row],[年齢]]&gt;9,LOOKUP(P220,$BF$6:$BF$10,$BD$6:$BD$10),IF(テーブル22[[#This Row],[年齢]]&gt;8,LOOKUP(P220,$BE$6:$BE$10,$BD$6:$BD$10),IF(テーブル22[[#This Row],[年齢]]&gt;7,LOOKUP(P220,$BC$6:$BC$10,$BD$6:$BD$10),IF(テーブル22[[#This Row],[年齢]]&gt;6,LOOKUP(P220,$BB$6:$BB$10,$BD$6:$BD$10),LOOKUP(P220,$BA$6:$BA$10,$BD$6:$BD$10)))))))</f>
        <v/>
      </c>
      <c r="R220" s="42">
        <f>IF(H220="",0,(IF(テーブル22[[#This Row],[性別]]="男",LOOKUP(テーブル22[[#This Row],[握力]],$AH$6:$AI$15),LOOKUP(テーブル22[[#This Row],[握力]],$AH$20:$AI$29))))</f>
        <v>0</v>
      </c>
      <c r="S220" s="42">
        <f>IF(テーブル22[[#This Row],[上体]]="",0,(IF(テーブル22[[#This Row],[性別]]="男",LOOKUP(テーブル22[[#This Row],[上体]],$AJ$6:$AK$15),LOOKUP(テーブル22[[#This Row],[上体]],$AJ$20:$AK$29))))</f>
        <v>0</v>
      </c>
      <c r="T220" s="42">
        <f>IF(テーブル22[[#This Row],[長座]]="",0,(IF(テーブル22[[#This Row],[性別]]="男",LOOKUP(テーブル22[[#This Row],[長座]],$AL$6:$AM$15),LOOKUP(テーブル22[[#This Row],[長座]],$AL$20:$AM$29))))</f>
        <v>0</v>
      </c>
      <c r="U220" s="42">
        <f>IF(テーブル22[[#This Row],[反復]]="",0,(IF(テーブル22[[#This Row],[性別]]="男",LOOKUP(テーブル22[[#This Row],[反復]],$AN$6:$AO$15),LOOKUP(テーブル22[[#This Row],[反復]],$AN$20:$AO$29))))</f>
        <v>0</v>
      </c>
      <c r="V220" s="42">
        <f>IF(テーブル22[[#This Row],[ｼｬﾄﾙﾗﾝ]]="",0,(IF(テーブル22[[#This Row],[性別]]="男",LOOKUP(テーブル22[[#This Row],[ｼｬﾄﾙﾗﾝ]],$AR$6:$AS$15),LOOKUP(テーブル22[[#This Row],[ｼｬﾄﾙﾗﾝ]],$AR$20:$AS$29))))</f>
        <v>0</v>
      </c>
      <c r="W220" s="42">
        <f>IF(テーブル22[[#This Row],[50m走]]="",0,(IF(テーブル22[[#This Row],[性別]]="男",LOOKUP(テーブル22[[#This Row],[50m走]],$AT$6:$AU$15),LOOKUP(テーブル22[[#This Row],[50m走]],$AT$20:$AU$29))))</f>
        <v>0</v>
      </c>
      <c r="X220" s="42">
        <f>IF(テーブル22[[#This Row],[立幅とび]]="",0,(IF(テーブル22[[#This Row],[性別]]="男",LOOKUP(テーブル22[[#This Row],[立幅とび]],$AV$6:$AW$15),LOOKUP(テーブル22[[#This Row],[立幅とび]],$AV$20:$AW$29))))</f>
        <v>0</v>
      </c>
      <c r="Y220" s="42">
        <f>IF(テーブル22[[#This Row],[ボール投げ]]="",0,(IF(テーブル22[[#This Row],[性別]]="男",LOOKUP(テーブル22[[#This Row],[ボール投げ]],$AX$6:$AY$15),LOOKUP(テーブル22[[#This Row],[ボール投げ]],$AX$20:$AY$29))))</f>
        <v>0</v>
      </c>
      <c r="Z220" s="19" t="str">
        <f>IF(テーブル22[[#This Row],[学年]]=1,6,IF(テーブル22[[#This Row],[学年]]=2,7,IF(テーブル22[[#This Row],[学年]]=3,8,IF(テーブル22[[#This Row],[学年]]=4,9,IF(テーブル22[[#This Row],[学年]]=5,10,IF(テーブル22[[#This Row],[学年]]=6,11," "))))))</f>
        <v xml:space="preserve"> </v>
      </c>
      <c r="AA220" s="125" t="str">
        <f>IF(テーブル22[[#This Row],[肥満度数値]]="","",LOOKUP(AC220,$AW$39:$AW$44,$AX$39:$AX$44))</f>
        <v/>
      </c>
      <c r="AB2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0" s="124" t="str">
        <f>IF(テーブル22[[#This Row],[体重]]="","",(テーブル22[[#This Row],[体重]]-テーブル22[[#This Row],[標準体重]])/テーブル22[[#This Row],[標準体重]]*100)</f>
        <v/>
      </c>
      <c r="AD220" s="1">
        <f>COUNTA(テーブル22[[#This Row],[握力]:[ボール投げ]])</f>
        <v>0</v>
      </c>
      <c r="AE220" s="1" t="str">
        <f>IF(テーブル22[[#This Row],[判定]]=$BD$10,"○","")</f>
        <v/>
      </c>
      <c r="AF220" s="1" t="str">
        <f>IF(AE220="","",COUNTIF($AE$6:AE220,"○"))</f>
        <v/>
      </c>
    </row>
    <row r="221" spans="1:32" x14ac:dyDescent="0.2">
      <c r="A221" s="40">
        <v>216</v>
      </c>
      <c r="B221" s="145"/>
      <c r="C221" s="148"/>
      <c r="D221" s="145"/>
      <c r="E221" s="156"/>
      <c r="F221" s="145"/>
      <c r="G221" s="145"/>
      <c r="H221" s="146"/>
      <c r="I221" s="146"/>
      <c r="J221" s="148"/>
      <c r="K221" s="145"/>
      <c r="L221" s="148"/>
      <c r="M221" s="149"/>
      <c r="N221" s="148"/>
      <c r="O221" s="150"/>
      <c r="P2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1" s="43" t="str">
        <f>IF(テーブル22[[#This Row],[得点]]="","",IF(テーブル22[[#This Row],[年齢]]&gt;10,LOOKUP(P221,$BG$6:$BG$10,$BD$6:$BD$10),IF(テーブル22[[#This Row],[年齢]]&gt;9,LOOKUP(P221,$BF$6:$BF$10,$BD$6:$BD$10),IF(テーブル22[[#This Row],[年齢]]&gt;8,LOOKUP(P221,$BE$6:$BE$10,$BD$6:$BD$10),IF(テーブル22[[#This Row],[年齢]]&gt;7,LOOKUP(P221,$BC$6:$BC$10,$BD$6:$BD$10),IF(テーブル22[[#This Row],[年齢]]&gt;6,LOOKUP(P221,$BB$6:$BB$10,$BD$6:$BD$10),LOOKUP(P221,$BA$6:$BA$10,$BD$6:$BD$10)))))))</f>
        <v/>
      </c>
      <c r="R221" s="42">
        <f>IF(H221="",0,(IF(テーブル22[[#This Row],[性別]]="男",LOOKUP(テーブル22[[#This Row],[握力]],$AH$6:$AI$15),LOOKUP(テーブル22[[#This Row],[握力]],$AH$20:$AI$29))))</f>
        <v>0</v>
      </c>
      <c r="S221" s="42">
        <f>IF(テーブル22[[#This Row],[上体]]="",0,(IF(テーブル22[[#This Row],[性別]]="男",LOOKUP(テーブル22[[#This Row],[上体]],$AJ$6:$AK$15),LOOKUP(テーブル22[[#This Row],[上体]],$AJ$20:$AK$29))))</f>
        <v>0</v>
      </c>
      <c r="T221" s="42">
        <f>IF(テーブル22[[#This Row],[長座]]="",0,(IF(テーブル22[[#This Row],[性別]]="男",LOOKUP(テーブル22[[#This Row],[長座]],$AL$6:$AM$15),LOOKUP(テーブル22[[#This Row],[長座]],$AL$20:$AM$29))))</f>
        <v>0</v>
      </c>
      <c r="U221" s="42">
        <f>IF(テーブル22[[#This Row],[反復]]="",0,(IF(テーブル22[[#This Row],[性別]]="男",LOOKUP(テーブル22[[#This Row],[反復]],$AN$6:$AO$15),LOOKUP(テーブル22[[#This Row],[反復]],$AN$20:$AO$29))))</f>
        <v>0</v>
      </c>
      <c r="V221" s="42">
        <f>IF(テーブル22[[#This Row],[ｼｬﾄﾙﾗﾝ]]="",0,(IF(テーブル22[[#This Row],[性別]]="男",LOOKUP(テーブル22[[#This Row],[ｼｬﾄﾙﾗﾝ]],$AR$6:$AS$15),LOOKUP(テーブル22[[#This Row],[ｼｬﾄﾙﾗﾝ]],$AR$20:$AS$29))))</f>
        <v>0</v>
      </c>
      <c r="W221" s="42">
        <f>IF(テーブル22[[#This Row],[50m走]]="",0,(IF(テーブル22[[#This Row],[性別]]="男",LOOKUP(テーブル22[[#This Row],[50m走]],$AT$6:$AU$15),LOOKUP(テーブル22[[#This Row],[50m走]],$AT$20:$AU$29))))</f>
        <v>0</v>
      </c>
      <c r="X221" s="42">
        <f>IF(テーブル22[[#This Row],[立幅とび]]="",0,(IF(テーブル22[[#This Row],[性別]]="男",LOOKUP(テーブル22[[#This Row],[立幅とび]],$AV$6:$AW$15),LOOKUP(テーブル22[[#This Row],[立幅とび]],$AV$20:$AW$29))))</f>
        <v>0</v>
      </c>
      <c r="Y221" s="42">
        <f>IF(テーブル22[[#This Row],[ボール投げ]]="",0,(IF(テーブル22[[#This Row],[性別]]="男",LOOKUP(テーブル22[[#This Row],[ボール投げ]],$AX$6:$AY$15),LOOKUP(テーブル22[[#This Row],[ボール投げ]],$AX$20:$AY$29))))</f>
        <v>0</v>
      </c>
      <c r="Z221" s="19" t="str">
        <f>IF(テーブル22[[#This Row],[学年]]=1,6,IF(テーブル22[[#This Row],[学年]]=2,7,IF(テーブル22[[#This Row],[学年]]=3,8,IF(テーブル22[[#This Row],[学年]]=4,9,IF(テーブル22[[#This Row],[学年]]=5,10,IF(テーブル22[[#This Row],[学年]]=6,11," "))))))</f>
        <v xml:space="preserve"> </v>
      </c>
      <c r="AA221" s="125" t="str">
        <f>IF(テーブル22[[#This Row],[肥満度数値]]="","",LOOKUP(AC221,$AW$39:$AW$44,$AX$39:$AX$44))</f>
        <v/>
      </c>
      <c r="AB2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1" s="124" t="str">
        <f>IF(テーブル22[[#This Row],[体重]]="","",(テーブル22[[#This Row],[体重]]-テーブル22[[#This Row],[標準体重]])/テーブル22[[#This Row],[標準体重]]*100)</f>
        <v/>
      </c>
      <c r="AD221" s="1">
        <f>COUNTA(テーブル22[[#This Row],[握力]:[ボール投げ]])</f>
        <v>0</v>
      </c>
      <c r="AE221" s="1" t="str">
        <f>IF(テーブル22[[#This Row],[判定]]=$BD$10,"○","")</f>
        <v/>
      </c>
      <c r="AF221" s="1" t="str">
        <f>IF(AE221="","",COUNTIF($AE$6:AE221,"○"))</f>
        <v/>
      </c>
    </row>
    <row r="222" spans="1:32" x14ac:dyDescent="0.2">
      <c r="A222" s="40">
        <v>217</v>
      </c>
      <c r="B222" s="145"/>
      <c r="C222" s="148"/>
      <c r="D222" s="145"/>
      <c r="E222" s="156"/>
      <c r="F222" s="145"/>
      <c r="G222" s="145"/>
      <c r="H222" s="146"/>
      <c r="I222" s="146"/>
      <c r="J222" s="148"/>
      <c r="K222" s="145"/>
      <c r="L222" s="148"/>
      <c r="M222" s="149"/>
      <c r="N222" s="148"/>
      <c r="O222" s="150"/>
      <c r="P2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2" s="43" t="str">
        <f>IF(テーブル22[[#This Row],[得点]]="","",IF(テーブル22[[#This Row],[年齢]]&gt;10,LOOKUP(P222,$BG$6:$BG$10,$BD$6:$BD$10),IF(テーブル22[[#This Row],[年齢]]&gt;9,LOOKUP(P222,$BF$6:$BF$10,$BD$6:$BD$10),IF(テーブル22[[#This Row],[年齢]]&gt;8,LOOKUP(P222,$BE$6:$BE$10,$BD$6:$BD$10),IF(テーブル22[[#This Row],[年齢]]&gt;7,LOOKUP(P222,$BC$6:$BC$10,$BD$6:$BD$10),IF(テーブル22[[#This Row],[年齢]]&gt;6,LOOKUP(P222,$BB$6:$BB$10,$BD$6:$BD$10),LOOKUP(P222,$BA$6:$BA$10,$BD$6:$BD$10)))))))</f>
        <v/>
      </c>
      <c r="R222" s="42">
        <f>IF(H222="",0,(IF(テーブル22[[#This Row],[性別]]="男",LOOKUP(テーブル22[[#This Row],[握力]],$AH$6:$AI$15),LOOKUP(テーブル22[[#This Row],[握力]],$AH$20:$AI$29))))</f>
        <v>0</v>
      </c>
      <c r="S222" s="42">
        <f>IF(テーブル22[[#This Row],[上体]]="",0,(IF(テーブル22[[#This Row],[性別]]="男",LOOKUP(テーブル22[[#This Row],[上体]],$AJ$6:$AK$15),LOOKUP(テーブル22[[#This Row],[上体]],$AJ$20:$AK$29))))</f>
        <v>0</v>
      </c>
      <c r="T222" s="42">
        <f>IF(テーブル22[[#This Row],[長座]]="",0,(IF(テーブル22[[#This Row],[性別]]="男",LOOKUP(テーブル22[[#This Row],[長座]],$AL$6:$AM$15),LOOKUP(テーブル22[[#This Row],[長座]],$AL$20:$AM$29))))</f>
        <v>0</v>
      </c>
      <c r="U222" s="42">
        <f>IF(テーブル22[[#This Row],[反復]]="",0,(IF(テーブル22[[#This Row],[性別]]="男",LOOKUP(テーブル22[[#This Row],[反復]],$AN$6:$AO$15),LOOKUP(テーブル22[[#This Row],[反復]],$AN$20:$AO$29))))</f>
        <v>0</v>
      </c>
      <c r="V222" s="42">
        <f>IF(テーブル22[[#This Row],[ｼｬﾄﾙﾗﾝ]]="",0,(IF(テーブル22[[#This Row],[性別]]="男",LOOKUP(テーブル22[[#This Row],[ｼｬﾄﾙﾗﾝ]],$AR$6:$AS$15),LOOKUP(テーブル22[[#This Row],[ｼｬﾄﾙﾗﾝ]],$AR$20:$AS$29))))</f>
        <v>0</v>
      </c>
      <c r="W222" s="42">
        <f>IF(テーブル22[[#This Row],[50m走]]="",0,(IF(テーブル22[[#This Row],[性別]]="男",LOOKUP(テーブル22[[#This Row],[50m走]],$AT$6:$AU$15),LOOKUP(テーブル22[[#This Row],[50m走]],$AT$20:$AU$29))))</f>
        <v>0</v>
      </c>
      <c r="X222" s="42">
        <f>IF(テーブル22[[#This Row],[立幅とび]]="",0,(IF(テーブル22[[#This Row],[性別]]="男",LOOKUP(テーブル22[[#This Row],[立幅とび]],$AV$6:$AW$15),LOOKUP(テーブル22[[#This Row],[立幅とび]],$AV$20:$AW$29))))</f>
        <v>0</v>
      </c>
      <c r="Y222" s="42">
        <f>IF(テーブル22[[#This Row],[ボール投げ]]="",0,(IF(テーブル22[[#This Row],[性別]]="男",LOOKUP(テーブル22[[#This Row],[ボール投げ]],$AX$6:$AY$15),LOOKUP(テーブル22[[#This Row],[ボール投げ]],$AX$20:$AY$29))))</f>
        <v>0</v>
      </c>
      <c r="Z222" s="19" t="str">
        <f>IF(テーブル22[[#This Row],[学年]]=1,6,IF(テーブル22[[#This Row],[学年]]=2,7,IF(テーブル22[[#This Row],[学年]]=3,8,IF(テーブル22[[#This Row],[学年]]=4,9,IF(テーブル22[[#This Row],[学年]]=5,10,IF(テーブル22[[#This Row],[学年]]=6,11," "))))))</f>
        <v xml:space="preserve"> </v>
      </c>
      <c r="AA222" s="125" t="str">
        <f>IF(テーブル22[[#This Row],[肥満度数値]]="","",LOOKUP(AC222,$AW$39:$AW$44,$AX$39:$AX$44))</f>
        <v/>
      </c>
      <c r="AB2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2" s="124" t="str">
        <f>IF(テーブル22[[#This Row],[体重]]="","",(テーブル22[[#This Row],[体重]]-テーブル22[[#This Row],[標準体重]])/テーブル22[[#This Row],[標準体重]]*100)</f>
        <v/>
      </c>
      <c r="AD222" s="1">
        <f>COUNTA(テーブル22[[#This Row],[握力]:[ボール投げ]])</f>
        <v>0</v>
      </c>
      <c r="AE222" s="1" t="str">
        <f>IF(テーブル22[[#This Row],[判定]]=$BD$10,"○","")</f>
        <v/>
      </c>
      <c r="AF222" s="1" t="str">
        <f>IF(AE222="","",COUNTIF($AE$6:AE222,"○"))</f>
        <v/>
      </c>
    </row>
    <row r="223" spans="1:32" x14ac:dyDescent="0.2">
      <c r="A223" s="40">
        <v>218</v>
      </c>
      <c r="B223" s="145"/>
      <c r="C223" s="148"/>
      <c r="D223" s="145"/>
      <c r="E223" s="156"/>
      <c r="F223" s="145"/>
      <c r="G223" s="145"/>
      <c r="H223" s="146"/>
      <c r="I223" s="146"/>
      <c r="J223" s="148"/>
      <c r="K223" s="145"/>
      <c r="L223" s="148"/>
      <c r="M223" s="149"/>
      <c r="N223" s="148"/>
      <c r="O223" s="150"/>
      <c r="P2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3" s="43" t="str">
        <f>IF(テーブル22[[#This Row],[得点]]="","",IF(テーブル22[[#This Row],[年齢]]&gt;10,LOOKUP(P223,$BG$6:$BG$10,$BD$6:$BD$10),IF(テーブル22[[#This Row],[年齢]]&gt;9,LOOKUP(P223,$BF$6:$BF$10,$BD$6:$BD$10),IF(テーブル22[[#This Row],[年齢]]&gt;8,LOOKUP(P223,$BE$6:$BE$10,$BD$6:$BD$10),IF(テーブル22[[#This Row],[年齢]]&gt;7,LOOKUP(P223,$BC$6:$BC$10,$BD$6:$BD$10),IF(テーブル22[[#This Row],[年齢]]&gt;6,LOOKUP(P223,$BB$6:$BB$10,$BD$6:$BD$10),LOOKUP(P223,$BA$6:$BA$10,$BD$6:$BD$10)))))))</f>
        <v/>
      </c>
      <c r="R223" s="42">
        <f>IF(H223="",0,(IF(テーブル22[[#This Row],[性別]]="男",LOOKUP(テーブル22[[#This Row],[握力]],$AH$6:$AI$15),LOOKUP(テーブル22[[#This Row],[握力]],$AH$20:$AI$29))))</f>
        <v>0</v>
      </c>
      <c r="S223" s="42">
        <f>IF(テーブル22[[#This Row],[上体]]="",0,(IF(テーブル22[[#This Row],[性別]]="男",LOOKUP(テーブル22[[#This Row],[上体]],$AJ$6:$AK$15),LOOKUP(テーブル22[[#This Row],[上体]],$AJ$20:$AK$29))))</f>
        <v>0</v>
      </c>
      <c r="T223" s="42">
        <f>IF(テーブル22[[#This Row],[長座]]="",0,(IF(テーブル22[[#This Row],[性別]]="男",LOOKUP(テーブル22[[#This Row],[長座]],$AL$6:$AM$15),LOOKUP(テーブル22[[#This Row],[長座]],$AL$20:$AM$29))))</f>
        <v>0</v>
      </c>
      <c r="U223" s="42">
        <f>IF(テーブル22[[#This Row],[反復]]="",0,(IF(テーブル22[[#This Row],[性別]]="男",LOOKUP(テーブル22[[#This Row],[反復]],$AN$6:$AO$15),LOOKUP(テーブル22[[#This Row],[反復]],$AN$20:$AO$29))))</f>
        <v>0</v>
      </c>
      <c r="V223" s="42">
        <f>IF(テーブル22[[#This Row],[ｼｬﾄﾙﾗﾝ]]="",0,(IF(テーブル22[[#This Row],[性別]]="男",LOOKUP(テーブル22[[#This Row],[ｼｬﾄﾙﾗﾝ]],$AR$6:$AS$15),LOOKUP(テーブル22[[#This Row],[ｼｬﾄﾙﾗﾝ]],$AR$20:$AS$29))))</f>
        <v>0</v>
      </c>
      <c r="W223" s="42">
        <f>IF(テーブル22[[#This Row],[50m走]]="",0,(IF(テーブル22[[#This Row],[性別]]="男",LOOKUP(テーブル22[[#This Row],[50m走]],$AT$6:$AU$15),LOOKUP(テーブル22[[#This Row],[50m走]],$AT$20:$AU$29))))</f>
        <v>0</v>
      </c>
      <c r="X223" s="42">
        <f>IF(テーブル22[[#This Row],[立幅とび]]="",0,(IF(テーブル22[[#This Row],[性別]]="男",LOOKUP(テーブル22[[#This Row],[立幅とび]],$AV$6:$AW$15),LOOKUP(テーブル22[[#This Row],[立幅とび]],$AV$20:$AW$29))))</f>
        <v>0</v>
      </c>
      <c r="Y223" s="42">
        <f>IF(テーブル22[[#This Row],[ボール投げ]]="",0,(IF(テーブル22[[#This Row],[性別]]="男",LOOKUP(テーブル22[[#This Row],[ボール投げ]],$AX$6:$AY$15),LOOKUP(テーブル22[[#This Row],[ボール投げ]],$AX$20:$AY$29))))</f>
        <v>0</v>
      </c>
      <c r="Z223" s="19" t="str">
        <f>IF(テーブル22[[#This Row],[学年]]=1,6,IF(テーブル22[[#This Row],[学年]]=2,7,IF(テーブル22[[#This Row],[学年]]=3,8,IF(テーブル22[[#This Row],[学年]]=4,9,IF(テーブル22[[#This Row],[学年]]=5,10,IF(テーブル22[[#This Row],[学年]]=6,11," "))))))</f>
        <v xml:space="preserve"> </v>
      </c>
      <c r="AA223" s="125" t="str">
        <f>IF(テーブル22[[#This Row],[肥満度数値]]="","",LOOKUP(AC223,$AW$39:$AW$44,$AX$39:$AX$44))</f>
        <v/>
      </c>
      <c r="AB2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3" s="124" t="str">
        <f>IF(テーブル22[[#This Row],[体重]]="","",(テーブル22[[#This Row],[体重]]-テーブル22[[#This Row],[標準体重]])/テーブル22[[#This Row],[標準体重]]*100)</f>
        <v/>
      </c>
      <c r="AD223" s="1">
        <f>COUNTA(テーブル22[[#This Row],[握力]:[ボール投げ]])</f>
        <v>0</v>
      </c>
      <c r="AE223" s="1" t="str">
        <f>IF(テーブル22[[#This Row],[判定]]=$BD$10,"○","")</f>
        <v/>
      </c>
      <c r="AF223" s="1" t="str">
        <f>IF(AE223="","",COUNTIF($AE$6:AE223,"○"))</f>
        <v/>
      </c>
    </row>
    <row r="224" spans="1:32" x14ac:dyDescent="0.2">
      <c r="A224" s="40">
        <v>219</v>
      </c>
      <c r="B224" s="145"/>
      <c r="C224" s="148"/>
      <c r="D224" s="145"/>
      <c r="E224" s="156"/>
      <c r="F224" s="145"/>
      <c r="G224" s="145"/>
      <c r="H224" s="146"/>
      <c r="I224" s="146"/>
      <c r="J224" s="148"/>
      <c r="K224" s="145"/>
      <c r="L224" s="148"/>
      <c r="M224" s="149"/>
      <c r="N224" s="148"/>
      <c r="O224" s="150"/>
      <c r="P2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4" s="43" t="str">
        <f>IF(テーブル22[[#This Row],[得点]]="","",IF(テーブル22[[#This Row],[年齢]]&gt;10,LOOKUP(P224,$BG$6:$BG$10,$BD$6:$BD$10),IF(テーブル22[[#This Row],[年齢]]&gt;9,LOOKUP(P224,$BF$6:$BF$10,$BD$6:$BD$10),IF(テーブル22[[#This Row],[年齢]]&gt;8,LOOKUP(P224,$BE$6:$BE$10,$BD$6:$BD$10),IF(テーブル22[[#This Row],[年齢]]&gt;7,LOOKUP(P224,$BC$6:$BC$10,$BD$6:$BD$10),IF(テーブル22[[#This Row],[年齢]]&gt;6,LOOKUP(P224,$BB$6:$BB$10,$BD$6:$BD$10),LOOKUP(P224,$BA$6:$BA$10,$BD$6:$BD$10)))))))</f>
        <v/>
      </c>
      <c r="R224" s="42">
        <f>IF(H224="",0,(IF(テーブル22[[#This Row],[性別]]="男",LOOKUP(テーブル22[[#This Row],[握力]],$AH$6:$AI$15),LOOKUP(テーブル22[[#This Row],[握力]],$AH$20:$AI$29))))</f>
        <v>0</v>
      </c>
      <c r="S224" s="42">
        <f>IF(テーブル22[[#This Row],[上体]]="",0,(IF(テーブル22[[#This Row],[性別]]="男",LOOKUP(テーブル22[[#This Row],[上体]],$AJ$6:$AK$15),LOOKUP(テーブル22[[#This Row],[上体]],$AJ$20:$AK$29))))</f>
        <v>0</v>
      </c>
      <c r="T224" s="42">
        <f>IF(テーブル22[[#This Row],[長座]]="",0,(IF(テーブル22[[#This Row],[性別]]="男",LOOKUP(テーブル22[[#This Row],[長座]],$AL$6:$AM$15),LOOKUP(テーブル22[[#This Row],[長座]],$AL$20:$AM$29))))</f>
        <v>0</v>
      </c>
      <c r="U224" s="42">
        <f>IF(テーブル22[[#This Row],[反復]]="",0,(IF(テーブル22[[#This Row],[性別]]="男",LOOKUP(テーブル22[[#This Row],[反復]],$AN$6:$AO$15),LOOKUP(テーブル22[[#This Row],[反復]],$AN$20:$AO$29))))</f>
        <v>0</v>
      </c>
      <c r="V224" s="42">
        <f>IF(テーブル22[[#This Row],[ｼｬﾄﾙﾗﾝ]]="",0,(IF(テーブル22[[#This Row],[性別]]="男",LOOKUP(テーブル22[[#This Row],[ｼｬﾄﾙﾗﾝ]],$AR$6:$AS$15),LOOKUP(テーブル22[[#This Row],[ｼｬﾄﾙﾗﾝ]],$AR$20:$AS$29))))</f>
        <v>0</v>
      </c>
      <c r="W224" s="42">
        <f>IF(テーブル22[[#This Row],[50m走]]="",0,(IF(テーブル22[[#This Row],[性別]]="男",LOOKUP(テーブル22[[#This Row],[50m走]],$AT$6:$AU$15),LOOKUP(テーブル22[[#This Row],[50m走]],$AT$20:$AU$29))))</f>
        <v>0</v>
      </c>
      <c r="X224" s="42">
        <f>IF(テーブル22[[#This Row],[立幅とび]]="",0,(IF(テーブル22[[#This Row],[性別]]="男",LOOKUP(テーブル22[[#This Row],[立幅とび]],$AV$6:$AW$15),LOOKUP(テーブル22[[#This Row],[立幅とび]],$AV$20:$AW$29))))</f>
        <v>0</v>
      </c>
      <c r="Y224" s="42">
        <f>IF(テーブル22[[#This Row],[ボール投げ]]="",0,(IF(テーブル22[[#This Row],[性別]]="男",LOOKUP(テーブル22[[#This Row],[ボール投げ]],$AX$6:$AY$15),LOOKUP(テーブル22[[#This Row],[ボール投げ]],$AX$20:$AY$29))))</f>
        <v>0</v>
      </c>
      <c r="Z224" s="19" t="str">
        <f>IF(テーブル22[[#This Row],[学年]]=1,6,IF(テーブル22[[#This Row],[学年]]=2,7,IF(テーブル22[[#This Row],[学年]]=3,8,IF(テーブル22[[#This Row],[学年]]=4,9,IF(テーブル22[[#This Row],[学年]]=5,10,IF(テーブル22[[#This Row],[学年]]=6,11," "))))))</f>
        <v xml:space="preserve"> </v>
      </c>
      <c r="AA224" s="125" t="str">
        <f>IF(テーブル22[[#This Row],[肥満度数値]]="","",LOOKUP(AC224,$AW$39:$AW$44,$AX$39:$AX$44))</f>
        <v/>
      </c>
      <c r="AB2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4" s="124" t="str">
        <f>IF(テーブル22[[#This Row],[体重]]="","",(テーブル22[[#This Row],[体重]]-テーブル22[[#This Row],[標準体重]])/テーブル22[[#This Row],[標準体重]]*100)</f>
        <v/>
      </c>
      <c r="AD224" s="1">
        <f>COUNTA(テーブル22[[#This Row],[握力]:[ボール投げ]])</f>
        <v>0</v>
      </c>
      <c r="AE224" s="1" t="str">
        <f>IF(テーブル22[[#This Row],[判定]]=$BD$10,"○","")</f>
        <v/>
      </c>
      <c r="AF224" s="1" t="str">
        <f>IF(AE224="","",COUNTIF($AE$6:AE224,"○"))</f>
        <v/>
      </c>
    </row>
    <row r="225" spans="1:32" x14ac:dyDescent="0.2">
      <c r="A225" s="40">
        <v>220</v>
      </c>
      <c r="B225" s="145"/>
      <c r="C225" s="148"/>
      <c r="D225" s="145"/>
      <c r="E225" s="156"/>
      <c r="F225" s="145"/>
      <c r="G225" s="145"/>
      <c r="H225" s="146"/>
      <c r="I225" s="146"/>
      <c r="J225" s="148"/>
      <c r="K225" s="145"/>
      <c r="L225" s="148"/>
      <c r="M225" s="149"/>
      <c r="N225" s="148"/>
      <c r="O225" s="150"/>
      <c r="P2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5" s="43" t="str">
        <f>IF(テーブル22[[#This Row],[得点]]="","",IF(テーブル22[[#This Row],[年齢]]&gt;10,LOOKUP(P225,$BG$6:$BG$10,$BD$6:$BD$10),IF(テーブル22[[#This Row],[年齢]]&gt;9,LOOKUP(P225,$BF$6:$BF$10,$BD$6:$BD$10),IF(テーブル22[[#This Row],[年齢]]&gt;8,LOOKUP(P225,$BE$6:$BE$10,$BD$6:$BD$10),IF(テーブル22[[#This Row],[年齢]]&gt;7,LOOKUP(P225,$BC$6:$BC$10,$BD$6:$BD$10),IF(テーブル22[[#This Row],[年齢]]&gt;6,LOOKUP(P225,$BB$6:$BB$10,$BD$6:$BD$10),LOOKUP(P225,$BA$6:$BA$10,$BD$6:$BD$10)))))))</f>
        <v/>
      </c>
      <c r="R225" s="42">
        <f>IF(H225="",0,(IF(テーブル22[[#This Row],[性別]]="男",LOOKUP(テーブル22[[#This Row],[握力]],$AH$6:$AI$15),LOOKUP(テーブル22[[#This Row],[握力]],$AH$20:$AI$29))))</f>
        <v>0</v>
      </c>
      <c r="S225" s="42">
        <f>IF(テーブル22[[#This Row],[上体]]="",0,(IF(テーブル22[[#This Row],[性別]]="男",LOOKUP(テーブル22[[#This Row],[上体]],$AJ$6:$AK$15),LOOKUP(テーブル22[[#This Row],[上体]],$AJ$20:$AK$29))))</f>
        <v>0</v>
      </c>
      <c r="T225" s="42">
        <f>IF(テーブル22[[#This Row],[長座]]="",0,(IF(テーブル22[[#This Row],[性別]]="男",LOOKUP(テーブル22[[#This Row],[長座]],$AL$6:$AM$15),LOOKUP(テーブル22[[#This Row],[長座]],$AL$20:$AM$29))))</f>
        <v>0</v>
      </c>
      <c r="U225" s="42">
        <f>IF(テーブル22[[#This Row],[反復]]="",0,(IF(テーブル22[[#This Row],[性別]]="男",LOOKUP(テーブル22[[#This Row],[反復]],$AN$6:$AO$15),LOOKUP(テーブル22[[#This Row],[反復]],$AN$20:$AO$29))))</f>
        <v>0</v>
      </c>
      <c r="V225" s="42">
        <f>IF(テーブル22[[#This Row],[ｼｬﾄﾙﾗﾝ]]="",0,(IF(テーブル22[[#This Row],[性別]]="男",LOOKUP(テーブル22[[#This Row],[ｼｬﾄﾙﾗﾝ]],$AR$6:$AS$15),LOOKUP(テーブル22[[#This Row],[ｼｬﾄﾙﾗﾝ]],$AR$20:$AS$29))))</f>
        <v>0</v>
      </c>
      <c r="W225" s="42">
        <f>IF(テーブル22[[#This Row],[50m走]]="",0,(IF(テーブル22[[#This Row],[性別]]="男",LOOKUP(テーブル22[[#This Row],[50m走]],$AT$6:$AU$15),LOOKUP(テーブル22[[#This Row],[50m走]],$AT$20:$AU$29))))</f>
        <v>0</v>
      </c>
      <c r="X225" s="42">
        <f>IF(テーブル22[[#This Row],[立幅とび]]="",0,(IF(テーブル22[[#This Row],[性別]]="男",LOOKUP(テーブル22[[#This Row],[立幅とび]],$AV$6:$AW$15),LOOKUP(テーブル22[[#This Row],[立幅とび]],$AV$20:$AW$29))))</f>
        <v>0</v>
      </c>
      <c r="Y225" s="42">
        <f>IF(テーブル22[[#This Row],[ボール投げ]]="",0,(IF(テーブル22[[#This Row],[性別]]="男",LOOKUP(テーブル22[[#This Row],[ボール投げ]],$AX$6:$AY$15),LOOKUP(テーブル22[[#This Row],[ボール投げ]],$AX$20:$AY$29))))</f>
        <v>0</v>
      </c>
      <c r="Z225" s="19" t="str">
        <f>IF(テーブル22[[#This Row],[学年]]=1,6,IF(テーブル22[[#This Row],[学年]]=2,7,IF(テーブル22[[#This Row],[学年]]=3,8,IF(テーブル22[[#This Row],[学年]]=4,9,IF(テーブル22[[#This Row],[学年]]=5,10,IF(テーブル22[[#This Row],[学年]]=6,11," "))))))</f>
        <v xml:space="preserve"> </v>
      </c>
      <c r="AA225" s="125" t="str">
        <f>IF(テーブル22[[#This Row],[肥満度数値]]="","",LOOKUP(AC225,$AW$39:$AW$44,$AX$39:$AX$44))</f>
        <v/>
      </c>
      <c r="AB2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5" s="124" t="str">
        <f>IF(テーブル22[[#This Row],[体重]]="","",(テーブル22[[#This Row],[体重]]-テーブル22[[#This Row],[標準体重]])/テーブル22[[#This Row],[標準体重]]*100)</f>
        <v/>
      </c>
      <c r="AD225" s="1">
        <f>COUNTA(テーブル22[[#This Row],[握力]:[ボール投げ]])</f>
        <v>0</v>
      </c>
      <c r="AE225" s="1" t="str">
        <f>IF(テーブル22[[#This Row],[判定]]=$BD$10,"○","")</f>
        <v/>
      </c>
      <c r="AF225" s="1" t="str">
        <f>IF(AE225="","",COUNTIF($AE$6:AE225,"○"))</f>
        <v/>
      </c>
    </row>
    <row r="226" spans="1:32" x14ac:dyDescent="0.2">
      <c r="A226" s="40">
        <v>221</v>
      </c>
      <c r="B226" s="145"/>
      <c r="C226" s="148"/>
      <c r="D226" s="145"/>
      <c r="E226" s="156"/>
      <c r="F226" s="145"/>
      <c r="G226" s="145"/>
      <c r="H226" s="146"/>
      <c r="I226" s="146"/>
      <c r="J226" s="148"/>
      <c r="K226" s="145"/>
      <c r="L226" s="148"/>
      <c r="M226" s="149"/>
      <c r="N226" s="148"/>
      <c r="O226" s="150"/>
      <c r="P2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6" s="43" t="str">
        <f>IF(テーブル22[[#This Row],[得点]]="","",IF(テーブル22[[#This Row],[年齢]]&gt;10,LOOKUP(P226,$BG$6:$BG$10,$BD$6:$BD$10),IF(テーブル22[[#This Row],[年齢]]&gt;9,LOOKUP(P226,$BF$6:$BF$10,$BD$6:$BD$10),IF(テーブル22[[#This Row],[年齢]]&gt;8,LOOKUP(P226,$BE$6:$BE$10,$BD$6:$BD$10),IF(テーブル22[[#This Row],[年齢]]&gt;7,LOOKUP(P226,$BC$6:$BC$10,$BD$6:$BD$10),IF(テーブル22[[#This Row],[年齢]]&gt;6,LOOKUP(P226,$BB$6:$BB$10,$BD$6:$BD$10),LOOKUP(P226,$BA$6:$BA$10,$BD$6:$BD$10)))))))</f>
        <v/>
      </c>
      <c r="R226" s="42">
        <f>IF(H226="",0,(IF(テーブル22[[#This Row],[性別]]="男",LOOKUP(テーブル22[[#This Row],[握力]],$AH$6:$AI$15),LOOKUP(テーブル22[[#This Row],[握力]],$AH$20:$AI$29))))</f>
        <v>0</v>
      </c>
      <c r="S226" s="42">
        <f>IF(テーブル22[[#This Row],[上体]]="",0,(IF(テーブル22[[#This Row],[性別]]="男",LOOKUP(テーブル22[[#This Row],[上体]],$AJ$6:$AK$15),LOOKUP(テーブル22[[#This Row],[上体]],$AJ$20:$AK$29))))</f>
        <v>0</v>
      </c>
      <c r="T226" s="42">
        <f>IF(テーブル22[[#This Row],[長座]]="",0,(IF(テーブル22[[#This Row],[性別]]="男",LOOKUP(テーブル22[[#This Row],[長座]],$AL$6:$AM$15),LOOKUP(テーブル22[[#This Row],[長座]],$AL$20:$AM$29))))</f>
        <v>0</v>
      </c>
      <c r="U226" s="42">
        <f>IF(テーブル22[[#This Row],[反復]]="",0,(IF(テーブル22[[#This Row],[性別]]="男",LOOKUP(テーブル22[[#This Row],[反復]],$AN$6:$AO$15),LOOKUP(テーブル22[[#This Row],[反復]],$AN$20:$AO$29))))</f>
        <v>0</v>
      </c>
      <c r="V226" s="42">
        <f>IF(テーブル22[[#This Row],[ｼｬﾄﾙﾗﾝ]]="",0,(IF(テーブル22[[#This Row],[性別]]="男",LOOKUP(テーブル22[[#This Row],[ｼｬﾄﾙﾗﾝ]],$AR$6:$AS$15),LOOKUP(テーブル22[[#This Row],[ｼｬﾄﾙﾗﾝ]],$AR$20:$AS$29))))</f>
        <v>0</v>
      </c>
      <c r="W226" s="42">
        <f>IF(テーブル22[[#This Row],[50m走]]="",0,(IF(テーブル22[[#This Row],[性別]]="男",LOOKUP(テーブル22[[#This Row],[50m走]],$AT$6:$AU$15),LOOKUP(テーブル22[[#This Row],[50m走]],$AT$20:$AU$29))))</f>
        <v>0</v>
      </c>
      <c r="X226" s="42">
        <f>IF(テーブル22[[#This Row],[立幅とび]]="",0,(IF(テーブル22[[#This Row],[性別]]="男",LOOKUP(テーブル22[[#This Row],[立幅とび]],$AV$6:$AW$15),LOOKUP(テーブル22[[#This Row],[立幅とび]],$AV$20:$AW$29))))</f>
        <v>0</v>
      </c>
      <c r="Y226" s="42">
        <f>IF(テーブル22[[#This Row],[ボール投げ]]="",0,(IF(テーブル22[[#This Row],[性別]]="男",LOOKUP(テーブル22[[#This Row],[ボール投げ]],$AX$6:$AY$15),LOOKUP(テーブル22[[#This Row],[ボール投げ]],$AX$20:$AY$29))))</f>
        <v>0</v>
      </c>
      <c r="Z226" s="19" t="str">
        <f>IF(テーブル22[[#This Row],[学年]]=1,6,IF(テーブル22[[#This Row],[学年]]=2,7,IF(テーブル22[[#This Row],[学年]]=3,8,IF(テーブル22[[#This Row],[学年]]=4,9,IF(テーブル22[[#This Row],[学年]]=5,10,IF(テーブル22[[#This Row],[学年]]=6,11," "))))))</f>
        <v xml:space="preserve"> </v>
      </c>
      <c r="AA226" s="125" t="str">
        <f>IF(テーブル22[[#This Row],[肥満度数値]]="","",LOOKUP(AC226,$AW$39:$AW$44,$AX$39:$AX$44))</f>
        <v/>
      </c>
      <c r="AB2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6" s="124" t="str">
        <f>IF(テーブル22[[#This Row],[体重]]="","",(テーブル22[[#This Row],[体重]]-テーブル22[[#This Row],[標準体重]])/テーブル22[[#This Row],[標準体重]]*100)</f>
        <v/>
      </c>
      <c r="AD226" s="1">
        <f>COUNTA(テーブル22[[#This Row],[握力]:[ボール投げ]])</f>
        <v>0</v>
      </c>
      <c r="AE226" s="1" t="str">
        <f>IF(テーブル22[[#This Row],[判定]]=$BD$10,"○","")</f>
        <v/>
      </c>
      <c r="AF226" s="1" t="str">
        <f>IF(AE226="","",COUNTIF($AE$6:AE226,"○"))</f>
        <v/>
      </c>
    </row>
    <row r="227" spans="1:32" x14ac:dyDescent="0.2">
      <c r="A227" s="40">
        <v>222</v>
      </c>
      <c r="B227" s="145"/>
      <c r="C227" s="148"/>
      <c r="D227" s="145"/>
      <c r="E227" s="156"/>
      <c r="F227" s="145"/>
      <c r="G227" s="145"/>
      <c r="H227" s="146"/>
      <c r="I227" s="146"/>
      <c r="J227" s="148"/>
      <c r="K227" s="145"/>
      <c r="L227" s="148"/>
      <c r="M227" s="149"/>
      <c r="N227" s="148"/>
      <c r="O227" s="150"/>
      <c r="P2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7" s="43" t="str">
        <f>IF(テーブル22[[#This Row],[得点]]="","",IF(テーブル22[[#This Row],[年齢]]&gt;10,LOOKUP(P227,$BG$6:$BG$10,$BD$6:$BD$10),IF(テーブル22[[#This Row],[年齢]]&gt;9,LOOKUP(P227,$BF$6:$BF$10,$BD$6:$BD$10),IF(テーブル22[[#This Row],[年齢]]&gt;8,LOOKUP(P227,$BE$6:$BE$10,$BD$6:$BD$10),IF(テーブル22[[#This Row],[年齢]]&gt;7,LOOKUP(P227,$BC$6:$BC$10,$BD$6:$BD$10),IF(テーブル22[[#This Row],[年齢]]&gt;6,LOOKUP(P227,$BB$6:$BB$10,$BD$6:$BD$10),LOOKUP(P227,$BA$6:$BA$10,$BD$6:$BD$10)))))))</f>
        <v/>
      </c>
      <c r="R227" s="42">
        <f>IF(H227="",0,(IF(テーブル22[[#This Row],[性別]]="男",LOOKUP(テーブル22[[#This Row],[握力]],$AH$6:$AI$15),LOOKUP(テーブル22[[#This Row],[握力]],$AH$20:$AI$29))))</f>
        <v>0</v>
      </c>
      <c r="S227" s="42">
        <f>IF(テーブル22[[#This Row],[上体]]="",0,(IF(テーブル22[[#This Row],[性別]]="男",LOOKUP(テーブル22[[#This Row],[上体]],$AJ$6:$AK$15),LOOKUP(テーブル22[[#This Row],[上体]],$AJ$20:$AK$29))))</f>
        <v>0</v>
      </c>
      <c r="T227" s="42">
        <f>IF(テーブル22[[#This Row],[長座]]="",0,(IF(テーブル22[[#This Row],[性別]]="男",LOOKUP(テーブル22[[#This Row],[長座]],$AL$6:$AM$15),LOOKUP(テーブル22[[#This Row],[長座]],$AL$20:$AM$29))))</f>
        <v>0</v>
      </c>
      <c r="U227" s="42">
        <f>IF(テーブル22[[#This Row],[反復]]="",0,(IF(テーブル22[[#This Row],[性別]]="男",LOOKUP(テーブル22[[#This Row],[反復]],$AN$6:$AO$15),LOOKUP(テーブル22[[#This Row],[反復]],$AN$20:$AO$29))))</f>
        <v>0</v>
      </c>
      <c r="V227" s="42">
        <f>IF(テーブル22[[#This Row],[ｼｬﾄﾙﾗﾝ]]="",0,(IF(テーブル22[[#This Row],[性別]]="男",LOOKUP(テーブル22[[#This Row],[ｼｬﾄﾙﾗﾝ]],$AR$6:$AS$15),LOOKUP(テーブル22[[#This Row],[ｼｬﾄﾙﾗﾝ]],$AR$20:$AS$29))))</f>
        <v>0</v>
      </c>
      <c r="W227" s="42">
        <f>IF(テーブル22[[#This Row],[50m走]]="",0,(IF(テーブル22[[#This Row],[性別]]="男",LOOKUP(テーブル22[[#This Row],[50m走]],$AT$6:$AU$15),LOOKUP(テーブル22[[#This Row],[50m走]],$AT$20:$AU$29))))</f>
        <v>0</v>
      </c>
      <c r="X227" s="42">
        <f>IF(テーブル22[[#This Row],[立幅とび]]="",0,(IF(テーブル22[[#This Row],[性別]]="男",LOOKUP(テーブル22[[#This Row],[立幅とび]],$AV$6:$AW$15),LOOKUP(テーブル22[[#This Row],[立幅とび]],$AV$20:$AW$29))))</f>
        <v>0</v>
      </c>
      <c r="Y227" s="42">
        <f>IF(テーブル22[[#This Row],[ボール投げ]]="",0,(IF(テーブル22[[#This Row],[性別]]="男",LOOKUP(テーブル22[[#This Row],[ボール投げ]],$AX$6:$AY$15),LOOKUP(テーブル22[[#This Row],[ボール投げ]],$AX$20:$AY$29))))</f>
        <v>0</v>
      </c>
      <c r="Z227" s="19" t="str">
        <f>IF(テーブル22[[#This Row],[学年]]=1,6,IF(テーブル22[[#This Row],[学年]]=2,7,IF(テーブル22[[#This Row],[学年]]=3,8,IF(テーブル22[[#This Row],[学年]]=4,9,IF(テーブル22[[#This Row],[学年]]=5,10,IF(テーブル22[[#This Row],[学年]]=6,11," "))))))</f>
        <v xml:space="preserve"> </v>
      </c>
      <c r="AA227" s="125" t="str">
        <f>IF(テーブル22[[#This Row],[肥満度数値]]="","",LOOKUP(AC227,$AW$39:$AW$44,$AX$39:$AX$44))</f>
        <v/>
      </c>
      <c r="AB2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7" s="124" t="str">
        <f>IF(テーブル22[[#This Row],[体重]]="","",(テーブル22[[#This Row],[体重]]-テーブル22[[#This Row],[標準体重]])/テーブル22[[#This Row],[標準体重]]*100)</f>
        <v/>
      </c>
      <c r="AD227" s="1">
        <f>COUNTA(テーブル22[[#This Row],[握力]:[ボール投げ]])</f>
        <v>0</v>
      </c>
      <c r="AE227" s="1" t="str">
        <f>IF(テーブル22[[#This Row],[判定]]=$BD$10,"○","")</f>
        <v/>
      </c>
      <c r="AF227" s="1" t="str">
        <f>IF(AE227="","",COUNTIF($AE$6:AE227,"○"))</f>
        <v/>
      </c>
    </row>
    <row r="228" spans="1:32" x14ac:dyDescent="0.2">
      <c r="A228" s="40">
        <v>223</v>
      </c>
      <c r="B228" s="145"/>
      <c r="C228" s="148"/>
      <c r="D228" s="145"/>
      <c r="E228" s="156"/>
      <c r="F228" s="145"/>
      <c r="G228" s="145"/>
      <c r="H228" s="146"/>
      <c r="I228" s="146"/>
      <c r="J228" s="148"/>
      <c r="K228" s="145"/>
      <c r="L228" s="148"/>
      <c r="M228" s="149"/>
      <c r="N228" s="148"/>
      <c r="O228" s="150"/>
      <c r="P2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8" s="43" t="str">
        <f>IF(テーブル22[[#This Row],[得点]]="","",IF(テーブル22[[#This Row],[年齢]]&gt;10,LOOKUP(P228,$BG$6:$BG$10,$BD$6:$BD$10),IF(テーブル22[[#This Row],[年齢]]&gt;9,LOOKUP(P228,$BF$6:$BF$10,$BD$6:$BD$10),IF(テーブル22[[#This Row],[年齢]]&gt;8,LOOKUP(P228,$BE$6:$BE$10,$BD$6:$BD$10),IF(テーブル22[[#This Row],[年齢]]&gt;7,LOOKUP(P228,$BC$6:$BC$10,$BD$6:$BD$10),IF(テーブル22[[#This Row],[年齢]]&gt;6,LOOKUP(P228,$BB$6:$BB$10,$BD$6:$BD$10),LOOKUP(P228,$BA$6:$BA$10,$BD$6:$BD$10)))))))</f>
        <v/>
      </c>
      <c r="R228" s="42">
        <f>IF(H228="",0,(IF(テーブル22[[#This Row],[性別]]="男",LOOKUP(テーブル22[[#This Row],[握力]],$AH$6:$AI$15),LOOKUP(テーブル22[[#This Row],[握力]],$AH$20:$AI$29))))</f>
        <v>0</v>
      </c>
      <c r="S228" s="42">
        <f>IF(テーブル22[[#This Row],[上体]]="",0,(IF(テーブル22[[#This Row],[性別]]="男",LOOKUP(テーブル22[[#This Row],[上体]],$AJ$6:$AK$15),LOOKUP(テーブル22[[#This Row],[上体]],$AJ$20:$AK$29))))</f>
        <v>0</v>
      </c>
      <c r="T228" s="42">
        <f>IF(テーブル22[[#This Row],[長座]]="",0,(IF(テーブル22[[#This Row],[性別]]="男",LOOKUP(テーブル22[[#This Row],[長座]],$AL$6:$AM$15),LOOKUP(テーブル22[[#This Row],[長座]],$AL$20:$AM$29))))</f>
        <v>0</v>
      </c>
      <c r="U228" s="42">
        <f>IF(テーブル22[[#This Row],[反復]]="",0,(IF(テーブル22[[#This Row],[性別]]="男",LOOKUP(テーブル22[[#This Row],[反復]],$AN$6:$AO$15),LOOKUP(テーブル22[[#This Row],[反復]],$AN$20:$AO$29))))</f>
        <v>0</v>
      </c>
      <c r="V228" s="42">
        <f>IF(テーブル22[[#This Row],[ｼｬﾄﾙﾗﾝ]]="",0,(IF(テーブル22[[#This Row],[性別]]="男",LOOKUP(テーブル22[[#This Row],[ｼｬﾄﾙﾗﾝ]],$AR$6:$AS$15),LOOKUP(テーブル22[[#This Row],[ｼｬﾄﾙﾗﾝ]],$AR$20:$AS$29))))</f>
        <v>0</v>
      </c>
      <c r="W228" s="42">
        <f>IF(テーブル22[[#This Row],[50m走]]="",0,(IF(テーブル22[[#This Row],[性別]]="男",LOOKUP(テーブル22[[#This Row],[50m走]],$AT$6:$AU$15),LOOKUP(テーブル22[[#This Row],[50m走]],$AT$20:$AU$29))))</f>
        <v>0</v>
      </c>
      <c r="X228" s="42">
        <f>IF(テーブル22[[#This Row],[立幅とび]]="",0,(IF(テーブル22[[#This Row],[性別]]="男",LOOKUP(テーブル22[[#This Row],[立幅とび]],$AV$6:$AW$15),LOOKUP(テーブル22[[#This Row],[立幅とび]],$AV$20:$AW$29))))</f>
        <v>0</v>
      </c>
      <c r="Y228" s="42">
        <f>IF(テーブル22[[#This Row],[ボール投げ]]="",0,(IF(テーブル22[[#This Row],[性別]]="男",LOOKUP(テーブル22[[#This Row],[ボール投げ]],$AX$6:$AY$15),LOOKUP(テーブル22[[#This Row],[ボール投げ]],$AX$20:$AY$29))))</f>
        <v>0</v>
      </c>
      <c r="Z228" s="19" t="str">
        <f>IF(テーブル22[[#This Row],[学年]]=1,6,IF(テーブル22[[#This Row],[学年]]=2,7,IF(テーブル22[[#This Row],[学年]]=3,8,IF(テーブル22[[#This Row],[学年]]=4,9,IF(テーブル22[[#This Row],[学年]]=5,10,IF(テーブル22[[#This Row],[学年]]=6,11," "))))))</f>
        <v xml:space="preserve"> </v>
      </c>
      <c r="AA228" s="125" t="str">
        <f>IF(テーブル22[[#This Row],[肥満度数値]]="","",LOOKUP(AC228,$AW$39:$AW$44,$AX$39:$AX$44))</f>
        <v/>
      </c>
      <c r="AB2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8" s="124" t="str">
        <f>IF(テーブル22[[#This Row],[体重]]="","",(テーブル22[[#This Row],[体重]]-テーブル22[[#This Row],[標準体重]])/テーブル22[[#This Row],[標準体重]]*100)</f>
        <v/>
      </c>
      <c r="AD228" s="1">
        <f>COUNTA(テーブル22[[#This Row],[握力]:[ボール投げ]])</f>
        <v>0</v>
      </c>
      <c r="AE228" s="1" t="str">
        <f>IF(テーブル22[[#This Row],[判定]]=$BD$10,"○","")</f>
        <v/>
      </c>
      <c r="AF228" s="1" t="str">
        <f>IF(AE228="","",COUNTIF($AE$6:AE228,"○"))</f>
        <v/>
      </c>
    </row>
    <row r="229" spans="1:32" x14ac:dyDescent="0.2">
      <c r="A229" s="40">
        <v>224</v>
      </c>
      <c r="B229" s="145"/>
      <c r="C229" s="148"/>
      <c r="D229" s="145"/>
      <c r="E229" s="156"/>
      <c r="F229" s="145"/>
      <c r="G229" s="145"/>
      <c r="H229" s="146"/>
      <c r="I229" s="146"/>
      <c r="J229" s="148"/>
      <c r="K229" s="145"/>
      <c r="L229" s="148"/>
      <c r="M229" s="149"/>
      <c r="N229" s="148"/>
      <c r="O229" s="150"/>
      <c r="P2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29" s="43" t="str">
        <f>IF(テーブル22[[#This Row],[得点]]="","",IF(テーブル22[[#This Row],[年齢]]&gt;10,LOOKUP(P229,$BG$6:$BG$10,$BD$6:$BD$10),IF(テーブル22[[#This Row],[年齢]]&gt;9,LOOKUP(P229,$BF$6:$BF$10,$BD$6:$BD$10),IF(テーブル22[[#This Row],[年齢]]&gt;8,LOOKUP(P229,$BE$6:$BE$10,$BD$6:$BD$10),IF(テーブル22[[#This Row],[年齢]]&gt;7,LOOKUP(P229,$BC$6:$BC$10,$BD$6:$BD$10),IF(テーブル22[[#This Row],[年齢]]&gt;6,LOOKUP(P229,$BB$6:$BB$10,$BD$6:$BD$10),LOOKUP(P229,$BA$6:$BA$10,$BD$6:$BD$10)))))))</f>
        <v/>
      </c>
      <c r="R229" s="42">
        <f>IF(H229="",0,(IF(テーブル22[[#This Row],[性別]]="男",LOOKUP(テーブル22[[#This Row],[握力]],$AH$6:$AI$15),LOOKUP(テーブル22[[#This Row],[握力]],$AH$20:$AI$29))))</f>
        <v>0</v>
      </c>
      <c r="S229" s="42">
        <f>IF(テーブル22[[#This Row],[上体]]="",0,(IF(テーブル22[[#This Row],[性別]]="男",LOOKUP(テーブル22[[#This Row],[上体]],$AJ$6:$AK$15),LOOKUP(テーブル22[[#This Row],[上体]],$AJ$20:$AK$29))))</f>
        <v>0</v>
      </c>
      <c r="T229" s="42">
        <f>IF(テーブル22[[#This Row],[長座]]="",0,(IF(テーブル22[[#This Row],[性別]]="男",LOOKUP(テーブル22[[#This Row],[長座]],$AL$6:$AM$15),LOOKUP(テーブル22[[#This Row],[長座]],$AL$20:$AM$29))))</f>
        <v>0</v>
      </c>
      <c r="U229" s="42">
        <f>IF(テーブル22[[#This Row],[反復]]="",0,(IF(テーブル22[[#This Row],[性別]]="男",LOOKUP(テーブル22[[#This Row],[反復]],$AN$6:$AO$15),LOOKUP(テーブル22[[#This Row],[反復]],$AN$20:$AO$29))))</f>
        <v>0</v>
      </c>
      <c r="V229" s="42">
        <f>IF(テーブル22[[#This Row],[ｼｬﾄﾙﾗﾝ]]="",0,(IF(テーブル22[[#This Row],[性別]]="男",LOOKUP(テーブル22[[#This Row],[ｼｬﾄﾙﾗﾝ]],$AR$6:$AS$15),LOOKUP(テーブル22[[#This Row],[ｼｬﾄﾙﾗﾝ]],$AR$20:$AS$29))))</f>
        <v>0</v>
      </c>
      <c r="W229" s="42">
        <f>IF(テーブル22[[#This Row],[50m走]]="",0,(IF(テーブル22[[#This Row],[性別]]="男",LOOKUP(テーブル22[[#This Row],[50m走]],$AT$6:$AU$15),LOOKUP(テーブル22[[#This Row],[50m走]],$AT$20:$AU$29))))</f>
        <v>0</v>
      </c>
      <c r="X229" s="42">
        <f>IF(テーブル22[[#This Row],[立幅とび]]="",0,(IF(テーブル22[[#This Row],[性別]]="男",LOOKUP(テーブル22[[#This Row],[立幅とび]],$AV$6:$AW$15),LOOKUP(テーブル22[[#This Row],[立幅とび]],$AV$20:$AW$29))))</f>
        <v>0</v>
      </c>
      <c r="Y229" s="42">
        <f>IF(テーブル22[[#This Row],[ボール投げ]]="",0,(IF(テーブル22[[#This Row],[性別]]="男",LOOKUP(テーブル22[[#This Row],[ボール投げ]],$AX$6:$AY$15),LOOKUP(テーブル22[[#This Row],[ボール投げ]],$AX$20:$AY$29))))</f>
        <v>0</v>
      </c>
      <c r="Z229" s="19" t="str">
        <f>IF(テーブル22[[#This Row],[学年]]=1,6,IF(テーブル22[[#This Row],[学年]]=2,7,IF(テーブル22[[#This Row],[学年]]=3,8,IF(テーブル22[[#This Row],[学年]]=4,9,IF(テーブル22[[#This Row],[学年]]=5,10,IF(テーブル22[[#This Row],[学年]]=6,11," "))))))</f>
        <v xml:space="preserve"> </v>
      </c>
      <c r="AA229" s="125" t="str">
        <f>IF(テーブル22[[#This Row],[肥満度数値]]="","",LOOKUP(AC229,$AW$39:$AW$44,$AX$39:$AX$44))</f>
        <v/>
      </c>
      <c r="AB2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29" s="124" t="str">
        <f>IF(テーブル22[[#This Row],[体重]]="","",(テーブル22[[#This Row],[体重]]-テーブル22[[#This Row],[標準体重]])/テーブル22[[#This Row],[標準体重]]*100)</f>
        <v/>
      </c>
      <c r="AD229" s="1">
        <f>COUNTA(テーブル22[[#This Row],[握力]:[ボール投げ]])</f>
        <v>0</v>
      </c>
      <c r="AE229" s="1" t="str">
        <f>IF(テーブル22[[#This Row],[判定]]=$BD$10,"○","")</f>
        <v/>
      </c>
      <c r="AF229" s="1" t="str">
        <f>IF(AE229="","",COUNTIF($AE$6:AE229,"○"))</f>
        <v/>
      </c>
    </row>
    <row r="230" spans="1:32" x14ac:dyDescent="0.2">
      <c r="A230" s="40">
        <v>225</v>
      </c>
      <c r="B230" s="145"/>
      <c r="C230" s="148"/>
      <c r="D230" s="145"/>
      <c r="E230" s="156"/>
      <c r="F230" s="145"/>
      <c r="G230" s="145"/>
      <c r="H230" s="146"/>
      <c r="I230" s="146"/>
      <c r="J230" s="148"/>
      <c r="K230" s="145"/>
      <c r="L230" s="148"/>
      <c r="M230" s="149"/>
      <c r="N230" s="148"/>
      <c r="O230" s="150"/>
      <c r="P2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0" s="43" t="str">
        <f>IF(テーブル22[[#This Row],[得点]]="","",IF(テーブル22[[#This Row],[年齢]]&gt;10,LOOKUP(P230,$BG$6:$BG$10,$BD$6:$BD$10),IF(テーブル22[[#This Row],[年齢]]&gt;9,LOOKUP(P230,$BF$6:$BF$10,$BD$6:$BD$10),IF(テーブル22[[#This Row],[年齢]]&gt;8,LOOKUP(P230,$BE$6:$BE$10,$BD$6:$BD$10),IF(テーブル22[[#This Row],[年齢]]&gt;7,LOOKUP(P230,$BC$6:$BC$10,$BD$6:$BD$10),IF(テーブル22[[#This Row],[年齢]]&gt;6,LOOKUP(P230,$BB$6:$BB$10,$BD$6:$BD$10),LOOKUP(P230,$BA$6:$BA$10,$BD$6:$BD$10)))))))</f>
        <v/>
      </c>
      <c r="R230" s="42">
        <f>IF(H230="",0,(IF(テーブル22[[#This Row],[性別]]="男",LOOKUP(テーブル22[[#This Row],[握力]],$AH$6:$AI$15),LOOKUP(テーブル22[[#This Row],[握力]],$AH$20:$AI$29))))</f>
        <v>0</v>
      </c>
      <c r="S230" s="42">
        <f>IF(テーブル22[[#This Row],[上体]]="",0,(IF(テーブル22[[#This Row],[性別]]="男",LOOKUP(テーブル22[[#This Row],[上体]],$AJ$6:$AK$15),LOOKUP(テーブル22[[#This Row],[上体]],$AJ$20:$AK$29))))</f>
        <v>0</v>
      </c>
      <c r="T230" s="42">
        <f>IF(テーブル22[[#This Row],[長座]]="",0,(IF(テーブル22[[#This Row],[性別]]="男",LOOKUP(テーブル22[[#This Row],[長座]],$AL$6:$AM$15),LOOKUP(テーブル22[[#This Row],[長座]],$AL$20:$AM$29))))</f>
        <v>0</v>
      </c>
      <c r="U230" s="42">
        <f>IF(テーブル22[[#This Row],[反復]]="",0,(IF(テーブル22[[#This Row],[性別]]="男",LOOKUP(テーブル22[[#This Row],[反復]],$AN$6:$AO$15),LOOKUP(テーブル22[[#This Row],[反復]],$AN$20:$AO$29))))</f>
        <v>0</v>
      </c>
      <c r="V230" s="42">
        <f>IF(テーブル22[[#This Row],[ｼｬﾄﾙﾗﾝ]]="",0,(IF(テーブル22[[#This Row],[性別]]="男",LOOKUP(テーブル22[[#This Row],[ｼｬﾄﾙﾗﾝ]],$AR$6:$AS$15),LOOKUP(テーブル22[[#This Row],[ｼｬﾄﾙﾗﾝ]],$AR$20:$AS$29))))</f>
        <v>0</v>
      </c>
      <c r="W230" s="42">
        <f>IF(テーブル22[[#This Row],[50m走]]="",0,(IF(テーブル22[[#This Row],[性別]]="男",LOOKUP(テーブル22[[#This Row],[50m走]],$AT$6:$AU$15),LOOKUP(テーブル22[[#This Row],[50m走]],$AT$20:$AU$29))))</f>
        <v>0</v>
      </c>
      <c r="X230" s="42">
        <f>IF(テーブル22[[#This Row],[立幅とび]]="",0,(IF(テーブル22[[#This Row],[性別]]="男",LOOKUP(テーブル22[[#This Row],[立幅とび]],$AV$6:$AW$15),LOOKUP(テーブル22[[#This Row],[立幅とび]],$AV$20:$AW$29))))</f>
        <v>0</v>
      </c>
      <c r="Y230" s="42">
        <f>IF(テーブル22[[#This Row],[ボール投げ]]="",0,(IF(テーブル22[[#This Row],[性別]]="男",LOOKUP(テーブル22[[#This Row],[ボール投げ]],$AX$6:$AY$15),LOOKUP(テーブル22[[#This Row],[ボール投げ]],$AX$20:$AY$29))))</f>
        <v>0</v>
      </c>
      <c r="Z230" s="19" t="str">
        <f>IF(テーブル22[[#This Row],[学年]]=1,6,IF(テーブル22[[#This Row],[学年]]=2,7,IF(テーブル22[[#This Row],[学年]]=3,8,IF(テーブル22[[#This Row],[学年]]=4,9,IF(テーブル22[[#This Row],[学年]]=5,10,IF(テーブル22[[#This Row],[学年]]=6,11," "))))))</f>
        <v xml:space="preserve"> </v>
      </c>
      <c r="AA230" s="125" t="str">
        <f>IF(テーブル22[[#This Row],[肥満度数値]]="","",LOOKUP(AC230,$AW$39:$AW$44,$AX$39:$AX$44))</f>
        <v/>
      </c>
      <c r="AB2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0" s="124" t="str">
        <f>IF(テーブル22[[#This Row],[体重]]="","",(テーブル22[[#This Row],[体重]]-テーブル22[[#This Row],[標準体重]])/テーブル22[[#This Row],[標準体重]]*100)</f>
        <v/>
      </c>
      <c r="AD230" s="1">
        <f>COUNTA(テーブル22[[#This Row],[握力]:[ボール投げ]])</f>
        <v>0</v>
      </c>
      <c r="AE230" s="1" t="str">
        <f>IF(テーブル22[[#This Row],[判定]]=$BD$10,"○","")</f>
        <v/>
      </c>
      <c r="AF230" s="1" t="str">
        <f>IF(AE230="","",COUNTIF($AE$6:AE230,"○"))</f>
        <v/>
      </c>
    </row>
    <row r="231" spans="1:32" x14ac:dyDescent="0.2">
      <c r="A231" s="40">
        <v>226</v>
      </c>
      <c r="B231" s="145"/>
      <c r="C231" s="148"/>
      <c r="D231" s="145"/>
      <c r="E231" s="156"/>
      <c r="F231" s="145"/>
      <c r="G231" s="145"/>
      <c r="H231" s="146"/>
      <c r="I231" s="146"/>
      <c r="J231" s="148"/>
      <c r="K231" s="145"/>
      <c r="L231" s="148"/>
      <c r="M231" s="149"/>
      <c r="N231" s="148"/>
      <c r="O231" s="150"/>
      <c r="P2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1" s="43" t="str">
        <f>IF(テーブル22[[#This Row],[得点]]="","",IF(テーブル22[[#This Row],[年齢]]&gt;10,LOOKUP(P231,$BG$6:$BG$10,$BD$6:$BD$10),IF(テーブル22[[#This Row],[年齢]]&gt;9,LOOKUP(P231,$BF$6:$BF$10,$BD$6:$BD$10),IF(テーブル22[[#This Row],[年齢]]&gt;8,LOOKUP(P231,$BE$6:$BE$10,$BD$6:$BD$10),IF(テーブル22[[#This Row],[年齢]]&gt;7,LOOKUP(P231,$BC$6:$BC$10,$BD$6:$BD$10),IF(テーブル22[[#This Row],[年齢]]&gt;6,LOOKUP(P231,$BB$6:$BB$10,$BD$6:$BD$10),LOOKUP(P231,$BA$6:$BA$10,$BD$6:$BD$10)))))))</f>
        <v/>
      </c>
      <c r="R231" s="42">
        <f>IF(H231="",0,(IF(テーブル22[[#This Row],[性別]]="男",LOOKUP(テーブル22[[#This Row],[握力]],$AH$6:$AI$15),LOOKUP(テーブル22[[#This Row],[握力]],$AH$20:$AI$29))))</f>
        <v>0</v>
      </c>
      <c r="S231" s="42">
        <f>IF(テーブル22[[#This Row],[上体]]="",0,(IF(テーブル22[[#This Row],[性別]]="男",LOOKUP(テーブル22[[#This Row],[上体]],$AJ$6:$AK$15),LOOKUP(テーブル22[[#This Row],[上体]],$AJ$20:$AK$29))))</f>
        <v>0</v>
      </c>
      <c r="T231" s="42">
        <f>IF(テーブル22[[#This Row],[長座]]="",0,(IF(テーブル22[[#This Row],[性別]]="男",LOOKUP(テーブル22[[#This Row],[長座]],$AL$6:$AM$15),LOOKUP(テーブル22[[#This Row],[長座]],$AL$20:$AM$29))))</f>
        <v>0</v>
      </c>
      <c r="U231" s="42">
        <f>IF(テーブル22[[#This Row],[反復]]="",0,(IF(テーブル22[[#This Row],[性別]]="男",LOOKUP(テーブル22[[#This Row],[反復]],$AN$6:$AO$15),LOOKUP(テーブル22[[#This Row],[反復]],$AN$20:$AO$29))))</f>
        <v>0</v>
      </c>
      <c r="V231" s="42">
        <f>IF(テーブル22[[#This Row],[ｼｬﾄﾙﾗﾝ]]="",0,(IF(テーブル22[[#This Row],[性別]]="男",LOOKUP(テーブル22[[#This Row],[ｼｬﾄﾙﾗﾝ]],$AR$6:$AS$15),LOOKUP(テーブル22[[#This Row],[ｼｬﾄﾙﾗﾝ]],$AR$20:$AS$29))))</f>
        <v>0</v>
      </c>
      <c r="W231" s="42">
        <f>IF(テーブル22[[#This Row],[50m走]]="",0,(IF(テーブル22[[#This Row],[性別]]="男",LOOKUP(テーブル22[[#This Row],[50m走]],$AT$6:$AU$15),LOOKUP(テーブル22[[#This Row],[50m走]],$AT$20:$AU$29))))</f>
        <v>0</v>
      </c>
      <c r="X231" s="42">
        <f>IF(テーブル22[[#This Row],[立幅とび]]="",0,(IF(テーブル22[[#This Row],[性別]]="男",LOOKUP(テーブル22[[#This Row],[立幅とび]],$AV$6:$AW$15),LOOKUP(テーブル22[[#This Row],[立幅とび]],$AV$20:$AW$29))))</f>
        <v>0</v>
      </c>
      <c r="Y231" s="42">
        <f>IF(テーブル22[[#This Row],[ボール投げ]]="",0,(IF(テーブル22[[#This Row],[性別]]="男",LOOKUP(テーブル22[[#This Row],[ボール投げ]],$AX$6:$AY$15),LOOKUP(テーブル22[[#This Row],[ボール投げ]],$AX$20:$AY$29))))</f>
        <v>0</v>
      </c>
      <c r="Z231" s="19" t="str">
        <f>IF(テーブル22[[#This Row],[学年]]=1,6,IF(テーブル22[[#This Row],[学年]]=2,7,IF(テーブル22[[#This Row],[学年]]=3,8,IF(テーブル22[[#This Row],[学年]]=4,9,IF(テーブル22[[#This Row],[学年]]=5,10,IF(テーブル22[[#This Row],[学年]]=6,11," "))))))</f>
        <v xml:space="preserve"> </v>
      </c>
      <c r="AA231" s="125" t="str">
        <f>IF(テーブル22[[#This Row],[肥満度数値]]="","",LOOKUP(AC231,$AW$39:$AW$44,$AX$39:$AX$44))</f>
        <v/>
      </c>
      <c r="AB2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1" s="124" t="str">
        <f>IF(テーブル22[[#This Row],[体重]]="","",(テーブル22[[#This Row],[体重]]-テーブル22[[#This Row],[標準体重]])/テーブル22[[#This Row],[標準体重]]*100)</f>
        <v/>
      </c>
      <c r="AD231" s="1">
        <f>COUNTA(テーブル22[[#This Row],[握力]:[ボール投げ]])</f>
        <v>0</v>
      </c>
      <c r="AE231" s="1" t="str">
        <f>IF(テーブル22[[#This Row],[判定]]=$BD$10,"○","")</f>
        <v/>
      </c>
      <c r="AF231" s="1" t="str">
        <f>IF(AE231="","",COUNTIF($AE$6:AE231,"○"))</f>
        <v/>
      </c>
    </row>
    <row r="232" spans="1:32" x14ac:dyDescent="0.2">
      <c r="A232" s="40">
        <v>227</v>
      </c>
      <c r="B232" s="145"/>
      <c r="C232" s="148"/>
      <c r="D232" s="145"/>
      <c r="E232" s="156"/>
      <c r="F232" s="145"/>
      <c r="G232" s="145"/>
      <c r="H232" s="146"/>
      <c r="I232" s="146"/>
      <c r="J232" s="148"/>
      <c r="K232" s="145"/>
      <c r="L232" s="148"/>
      <c r="M232" s="149"/>
      <c r="N232" s="148"/>
      <c r="O232" s="150"/>
      <c r="P2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2" s="43" t="str">
        <f>IF(テーブル22[[#This Row],[得点]]="","",IF(テーブル22[[#This Row],[年齢]]&gt;10,LOOKUP(P232,$BG$6:$BG$10,$BD$6:$BD$10),IF(テーブル22[[#This Row],[年齢]]&gt;9,LOOKUP(P232,$BF$6:$BF$10,$BD$6:$BD$10),IF(テーブル22[[#This Row],[年齢]]&gt;8,LOOKUP(P232,$BE$6:$BE$10,$BD$6:$BD$10),IF(テーブル22[[#This Row],[年齢]]&gt;7,LOOKUP(P232,$BC$6:$BC$10,$BD$6:$BD$10),IF(テーブル22[[#This Row],[年齢]]&gt;6,LOOKUP(P232,$BB$6:$BB$10,$BD$6:$BD$10),LOOKUP(P232,$BA$6:$BA$10,$BD$6:$BD$10)))))))</f>
        <v/>
      </c>
      <c r="R232" s="42">
        <f>IF(H232="",0,(IF(テーブル22[[#This Row],[性別]]="男",LOOKUP(テーブル22[[#This Row],[握力]],$AH$6:$AI$15),LOOKUP(テーブル22[[#This Row],[握力]],$AH$20:$AI$29))))</f>
        <v>0</v>
      </c>
      <c r="S232" s="42">
        <f>IF(テーブル22[[#This Row],[上体]]="",0,(IF(テーブル22[[#This Row],[性別]]="男",LOOKUP(テーブル22[[#This Row],[上体]],$AJ$6:$AK$15),LOOKUP(テーブル22[[#This Row],[上体]],$AJ$20:$AK$29))))</f>
        <v>0</v>
      </c>
      <c r="T232" s="42">
        <f>IF(テーブル22[[#This Row],[長座]]="",0,(IF(テーブル22[[#This Row],[性別]]="男",LOOKUP(テーブル22[[#This Row],[長座]],$AL$6:$AM$15),LOOKUP(テーブル22[[#This Row],[長座]],$AL$20:$AM$29))))</f>
        <v>0</v>
      </c>
      <c r="U232" s="42">
        <f>IF(テーブル22[[#This Row],[反復]]="",0,(IF(テーブル22[[#This Row],[性別]]="男",LOOKUP(テーブル22[[#This Row],[反復]],$AN$6:$AO$15),LOOKUP(テーブル22[[#This Row],[反復]],$AN$20:$AO$29))))</f>
        <v>0</v>
      </c>
      <c r="V232" s="42">
        <f>IF(テーブル22[[#This Row],[ｼｬﾄﾙﾗﾝ]]="",0,(IF(テーブル22[[#This Row],[性別]]="男",LOOKUP(テーブル22[[#This Row],[ｼｬﾄﾙﾗﾝ]],$AR$6:$AS$15),LOOKUP(テーブル22[[#This Row],[ｼｬﾄﾙﾗﾝ]],$AR$20:$AS$29))))</f>
        <v>0</v>
      </c>
      <c r="W232" s="42">
        <f>IF(テーブル22[[#This Row],[50m走]]="",0,(IF(テーブル22[[#This Row],[性別]]="男",LOOKUP(テーブル22[[#This Row],[50m走]],$AT$6:$AU$15),LOOKUP(テーブル22[[#This Row],[50m走]],$AT$20:$AU$29))))</f>
        <v>0</v>
      </c>
      <c r="X232" s="42">
        <f>IF(テーブル22[[#This Row],[立幅とび]]="",0,(IF(テーブル22[[#This Row],[性別]]="男",LOOKUP(テーブル22[[#This Row],[立幅とび]],$AV$6:$AW$15),LOOKUP(テーブル22[[#This Row],[立幅とび]],$AV$20:$AW$29))))</f>
        <v>0</v>
      </c>
      <c r="Y232" s="42">
        <f>IF(テーブル22[[#This Row],[ボール投げ]]="",0,(IF(テーブル22[[#This Row],[性別]]="男",LOOKUP(テーブル22[[#This Row],[ボール投げ]],$AX$6:$AY$15),LOOKUP(テーブル22[[#This Row],[ボール投げ]],$AX$20:$AY$29))))</f>
        <v>0</v>
      </c>
      <c r="Z232" s="19" t="str">
        <f>IF(テーブル22[[#This Row],[学年]]=1,6,IF(テーブル22[[#This Row],[学年]]=2,7,IF(テーブル22[[#This Row],[学年]]=3,8,IF(テーブル22[[#This Row],[学年]]=4,9,IF(テーブル22[[#This Row],[学年]]=5,10,IF(テーブル22[[#This Row],[学年]]=6,11," "))))))</f>
        <v xml:space="preserve"> </v>
      </c>
      <c r="AA232" s="125" t="str">
        <f>IF(テーブル22[[#This Row],[肥満度数値]]="","",LOOKUP(AC232,$AW$39:$AW$44,$AX$39:$AX$44))</f>
        <v/>
      </c>
      <c r="AB2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2" s="124" t="str">
        <f>IF(テーブル22[[#This Row],[体重]]="","",(テーブル22[[#This Row],[体重]]-テーブル22[[#This Row],[標準体重]])/テーブル22[[#This Row],[標準体重]]*100)</f>
        <v/>
      </c>
      <c r="AD232" s="1">
        <f>COUNTA(テーブル22[[#This Row],[握力]:[ボール投げ]])</f>
        <v>0</v>
      </c>
      <c r="AE232" s="1" t="str">
        <f>IF(テーブル22[[#This Row],[判定]]=$BD$10,"○","")</f>
        <v/>
      </c>
      <c r="AF232" s="1" t="str">
        <f>IF(AE232="","",COUNTIF($AE$6:AE232,"○"))</f>
        <v/>
      </c>
    </row>
    <row r="233" spans="1:32" x14ac:dyDescent="0.2">
      <c r="A233" s="40">
        <v>228</v>
      </c>
      <c r="B233" s="145"/>
      <c r="C233" s="148"/>
      <c r="D233" s="145"/>
      <c r="E233" s="156"/>
      <c r="F233" s="145"/>
      <c r="G233" s="145"/>
      <c r="H233" s="146"/>
      <c r="I233" s="146"/>
      <c r="J233" s="148"/>
      <c r="K233" s="145"/>
      <c r="L233" s="148"/>
      <c r="M233" s="149"/>
      <c r="N233" s="148"/>
      <c r="O233" s="150"/>
      <c r="P2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3" s="43" t="str">
        <f>IF(テーブル22[[#This Row],[得点]]="","",IF(テーブル22[[#This Row],[年齢]]&gt;10,LOOKUP(P233,$BG$6:$BG$10,$BD$6:$BD$10),IF(テーブル22[[#This Row],[年齢]]&gt;9,LOOKUP(P233,$BF$6:$BF$10,$BD$6:$BD$10),IF(テーブル22[[#This Row],[年齢]]&gt;8,LOOKUP(P233,$BE$6:$BE$10,$BD$6:$BD$10),IF(テーブル22[[#This Row],[年齢]]&gt;7,LOOKUP(P233,$BC$6:$BC$10,$BD$6:$BD$10),IF(テーブル22[[#This Row],[年齢]]&gt;6,LOOKUP(P233,$BB$6:$BB$10,$BD$6:$BD$10),LOOKUP(P233,$BA$6:$BA$10,$BD$6:$BD$10)))))))</f>
        <v/>
      </c>
      <c r="R233" s="42">
        <f>IF(H233="",0,(IF(テーブル22[[#This Row],[性別]]="男",LOOKUP(テーブル22[[#This Row],[握力]],$AH$6:$AI$15),LOOKUP(テーブル22[[#This Row],[握力]],$AH$20:$AI$29))))</f>
        <v>0</v>
      </c>
      <c r="S233" s="42">
        <f>IF(テーブル22[[#This Row],[上体]]="",0,(IF(テーブル22[[#This Row],[性別]]="男",LOOKUP(テーブル22[[#This Row],[上体]],$AJ$6:$AK$15),LOOKUP(テーブル22[[#This Row],[上体]],$AJ$20:$AK$29))))</f>
        <v>0</v>
      </c>
      <c r="T233" s="42">
        <f>IF(テーブル22[[#This Row],[長座]]="",0,(IF(テーブル22[[#This Row],[性別]]="男",LOOKUP(テーブル22[[#This Row],[長座]],$AL$6:$AM$15),LOOKUP(テーブル22[[#This Row],[長座]],$AL$20:$AM$29))))</f>
        <v>0</v>
      </c>
      <c r="U233" s="42">
        <f>IF(テーブル22[[#This Row],[反復]]="",0,(IF(テーブル22[[#This Row],[性別]]="男",LOOKUP(テーブル22[[#This Row],[反復]],$AN$6:$AO$15),LOOKUP(テーブル22[[#This Row],[反復]],$AN$20:$AO$29))))</f>
        <v>0</v>
      </c>
      <c r="V233" s="42">
        <f>IF(テーブル22[[#This Row],[ｼｬﾄﾙﾗﾝ]]="",0,(IF(テーブル22[[#This Row],[性別]]="男",LOOKUP(テーブル22[[#This Row],[ｼｬﾄﾙﾗﾝ]],$AR$6:$AS$15),LOOKUP(テーブル22[[#This Row],[ｼｬﾄﾙﾗﾝ]],$AR$20:$AS$29))))</f>
        <v>0</v>
      </c>
      <c r="W233" s="42">
        <f>IF(テーブル22[[#This Row],[50m走]]="",0,(IF(テーブル22[[#This Row],[性別]]="男",LOOKUP(テーブル22[[#This Row],[50m走]],$AT$6:$AU$15),LOOKUP(テーブル22[[#This Row],[50m走]],$AT$20:$AU$29))))</f>
        <v>0</v>
      </c>
      <c r="X233" s="42">
        <f>IF(テーブル22[[#This Row],[立幅とび]]="",0,(IF(テーブル22[[#This Row],[性別]]="男",LOOKUP(テーブル22[[#This Row],[立幅とび]],$AV$6:$AW$15),LOOKUP(テーブル22[[#This Row],[立幅とび]],$AV$20:$AW$29))))</f>
        <v>0</v>
      </c>
      <c r="Y233" s="42">
        <f>IF(テーブル22[[#This Row],[ボール投げ]]="",0,(IF(テーブル22[[#This Row],[性別]]="男",LOOKUP(テーブル22[[#This Row],[ボール投げ]],$AX$6:$AY$15),LOOKUP(テーブル22[[#This Row],[ボール投げ]],$AX$20:$AY$29))))</f>
        <v>0</v>
      </c>
      <c r="Z233" s="19" t="str">
        <f>IF(テーブル22[[#This Row],[学年]]=1,6,IF(テーブル22[[#This Row],[学年]]=2,7,IF(テーブル22[[#This Row],[学年]]=3,8,IF(テーブル22[[#This Row],[学年]]=4,9,IF(テーブル22[[#This Row],[学年]]=5,10,IF(テーブル22[[#This Row],[学年]]=6,11," "))))))</f>
        <v xml:space="preserve"> </v>
      </c>
      <c r="AA233" s="125" t="str">
        <f>IF(テーブル22[[#This Row],[肥満度数値]]="","",LOOKUP(AC233,$AW$39:$AW$44,$AX$39:$AX$44))</f>
        <v/>
      </c>
      <c r="AB2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3" s="124" t="str">
        <f>IF(テーブル22[[#This Row],[体重]]="","",(テーブル22[[#This Row],[体重]]-テーブル22[[#This Row],[標準体重]])/テーブル22[[#This Row],[標準体重]]*100)</f>
        <v/>
      </c>
      <c r="AD233" s="1">
        <f>COUNTA(テーブル22[[#This Row],[握力]:[ボール投げ]])</f>
        <v>0</v>
      </c>
      <c r="AE233" s="1" t="str">
        <f>IF(テーブル22[[#This Row],[判定]]=$BD$10,"○","")</f>
        <v/>
      </c>
      <c r="AF233" s="1" t="str">
        <f>IF(AE233="","",COUNTIF($AE$6:AE233,"○"))</f>
        <v/>
      </c>
    </row>
    <row r="234" spans="1:32" x14ac:dyDescent="0.2">
      <c r="A234" s="40">
        <v>229</v>
      </c>
      <c r="B234" s="145"/>
      <c r="C234" s="148"/>
      <c r="D234" s="145"/>
      <c r="E234" s="156"/>
      <c r="F234" s="145"/>
      <c r="G234" s="145"/>
      <c r="H234" s="146"/>
      <c r="I234" s="146"/>
      <c r="J234" s="148"/>
      <c r="K234" s="145"/>
      <c r="L234" s="148"/>
      <c r="M234" s="149"/>
      <c r="N234" s="148"/>
      <c r="O234" s="150"/>
      <c r="P2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4" s="43" t="str">
        <f>IF(テーブル22[[#This Row],[得点]]="","",IF(テーブル22[[#This Row],[年齢]]&gt;10,LOOKUP(P234,$BG$6:$BG$10,$BD$6:$BD$10),IF(テーブル22[[#This Row],[年齢]]&gt;9,LOOKUP(P234,$BF$6:$BF$10,$BD$6:$BD$10),IF(テーブル22[[#This Row],[年齢]]&gt;8,LOOKUP(P234,$BE$6:$BE$10,$BD$6:$BD$10),IF(テーブル22[[#This Row],[年齢]]&gt;7,LOOKUP(P234,$BC$6:$BC$10,$BD$6:$BD$10),IF(テーブル22[[#This Row],[年齢]]&gt;6,LOOKUP(P234,$BB$6:$BB$10,$BD$6:$BD$10),LOOKUP(P234,$BA$6:$BA$10,$BD$6:$BD$10)))))))</f>
        <v/>
      </c>
      <c r="R234" s="42">
        <f>IF(H234="",0,(IF(テーブル22[[#This Row],[性別]]="男",LOOKUP(テーブル22[[#This Row],[握力]],$AH$6:$AI$15),LOOKUP(テーブル22[[#This Row],[握力]],$AH$20:$AI$29))))</f>
        <v>0</v>
      </c>
      <c r="S234" s="42">
        <f>IF(テーブル22[[#This Row],[上体]]="",0,(IF(テーブル22[[#This Row],[性別]]="男",LOOKUP(テーブル22[[#This Row],[上体]],$AJ$6:$AK$15),LOOKUP(テーブル22[[#This Row],[上体]],$AJ$20:$AK$29))))</f>
        <v>0</v>
      </c>
      <c r="T234" s="42">
        <f>IF(テーブル22[[#This Row],[長座]]="",0,(IF(テーブル22[[#This Row],[性別]]="男",LOOKUP(テーブル22[[#This Row],[長座]],$AL$6:$AM$15),LOOKUP(テーブル22[[#This Row],[長座]],$AL$20:$AM$29))))</f>
        <v>0</v>
      </c>
      <c r="U234" s="42">
        <f>IF(テーブル22[[#This Row],[反復]]="",0,(IF(テーブル22[[#This Row],[性別]]="男",LOOKUP(テーブル22[[#This Row],[反復]],$AN$6:$AO$15),LOOKUP(テーブル22[[#This Row],[反復]],$AN$20:$AO$29))))</f>
        <v>0</v>
      </c>
      <c r="V234" s="42">
        <f>IF(テーブル22[[#This Row],[ｼｬﾄﾙﾗﾝ]]="",0,(IF(テーブル22[[#This Row],[性別]]="男",LOOKUP(テーブル22[[#This Row],[ｼｬﾄﾙﾗﾝ]],$AR$6:$AS$15),LOOKUP(テーブル22[[#This Row],[ｼｬﾄﾙﾗﾝ]],$AR$20:$AS$29))))</f>
        <v>0</v>
      </c>
      <c r="W234" s="42">
        <f>IF(テーブル22[[#This Row],[50m走]]="",0,(IF(テーブル22[[#This Row],[性別]]="男",LOOKUP(テーブル22[[#This Row],[50m走]],$AT$6:$AU$15),LOOKUP(テーブル22[[#This Row],[50m走]],$AT$20:$AU$29))))</f>
        <v>0</v>
      </c>
      <c r="X234" s="42">
        <f>IF(テーブル22[[#This Row],[立幅とび]]="",0,(IF(テーブル22[[#This Row],[性別]]="男",LOOKUP(テーブル22[[#This Row],[立幅とび]],$AV$6:$AW$15),LOOKUP(テーブル22[[#This Row],[立幅とび]],$AV$20:$AW$29))))</f>
        <v>0</v>
      </c>
      <c r="Y234" s="42">
        <f>IF(テーブル22[[#This Row],[ボール投げ]]="",0,(IF(テーブル22[[#This Row],[性別]]="男",LOOKUP(テーブル22[[#This Row],[ボール投げ]],$AX$6:$AY$15),LOOKUP(テーブル22[[#This Row],[ボール投げ]],$AX$20:$AY$29))))</f>
        <v>0</v>
      </c>
      <c r="Z234" s="19" t="str">
        <f>IF(テーブル22[[#This Row],[学年]]=1,6,IF(テーブル22[[#This Row],[学年]]=2,7,IF(テーブル22[[#This Row],[学年]]=3,8,IF(テーブル22[[#This Row],[学年]]=4,9,IF(テーブル22[[#This Row],[学年]]=5,10,IF(テーブル22[[#This Row],[学年]]=6,11," "))))))</f>
        <v xml:space="preserve"> </v>
      </c>
      <c r="AA234" s="125" t="str">
        <f>IF(テーブル22[[#This Row],[肥満度数値]]="","",LOOKUP(AC234,$AW$39:$AW$44,$AX$39:$AX$44))</f>
        <v/>
      </c>
      <c r="AB2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4" s="124" t="str">
        <f>IF(テーブル22[[#This Row],[体重]]="","",(テーブル22[[#This Row],[体重]]-テーブル22[[#This Row],[標準体重]])/テーブル22[[#This Row],[標準体重]]*100)</f>
        <v/>
      </c>
      <c r="AD234" s="1">
        <f>COUNTA(テーブル22[[#This Row],[握力]:[ボール投げ]])</f>
        <v>0</v>
      </c>
      <c r="AE234" s="1" t="str">
        <f>IF(テーブル22[[#This Row],[判定]]=$BD$10,"○","")</f>
        <v/>
      </c>
      <c r="AF234" s="1" t="str">
        <f>IF(AE234="","",COUNTIF($AE$6:AE234,"○"))</f>
        <v/>
      </c>
    </row>
    <row r="235" spans="1:32" x14ac:dyDescent="0.2">
      <c r="A235" s="40">
        <v>230</v>
      </c>
      <c r="B235" s="145"/>
      <c r="C235" s="148"/>
      <c r="D235" s="145"/>
      <c r="E235" s="156"/>
      <c r="F235" s="145"/>
      <c r="G235" s="145"/>
      <c r="H235" s="146"/>
      <c r="I235" s="146"/>
      <c r="J235" s="148"/>
      <c r="K235" s="145"/>
      <c r="L235" s="148"/>
      <c r="M235" s="149"/>
      <c r="N235" s="148"/>
      <c r="O235" s="150"/>
      <c r="P2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5" s="43" t="str">
        <f>IF(テーブル22[[#This Row],[得点]]="","",IF(テーブル22[[#This Row],[年齢]]&gt;10,LOOKUP(P235,$BG$6:$BG$10,$BD$6:$BD$10),IF(テーブル22[[#This Row],[年齢]]&gt;9,LOOKUP(P235,$BF$6:$BF$10,$BD$6:$BD$10),IF(テーブル22[[#This Row],[年齢]]&gt;8,LOOKUP(P235,$BE$6:$BE$10,$BD$6:$BD$10),IF(テーブル22[[#This Row],[年齢]]&gt;7,LOOKUP(P235,$BC$6:$BC$10,$BD$6:$BD$10),IF(テーブル22[[#This Row],[年齢]]&gt;6,LOOKUP(P235,$BB$6:$BB$10,$BD$6:$BD$10),LOOKUP(P235,$BA$6:$BA$10,$BD$6:$BD$10)))))))</f>
        <v/>
      </c>
      <c r="R235" s="42">
        <f>IF(H235="",0,(IF(テーブル22[[#This Row],[性別]]="男",LOOKUP(テーブル22[[#This Row],[握力]],$AH$6:$AI$15),LOOKUP(テーブル22[[#This Row],[握力]],$AH$20:$AI$29))))</f>
        <v>0</v>
      </c>
      <c r="S235" s="42">
        <f>IF(テーブル22[[#This Row],[上体]]="",0,(IF(テーブル22[[#This Row],[性別]]="男",LOOKUP(テーブル22[[#This Row],[上体]],$AJ$6:$AK$15),LOOKUP(テーブル22[[#This Row],[上体]],$AJ$20:$AK$29))))</f>
        <v>0</v>
      </c>
      <c r="T235" s="42">
        <f>IF(テーブル22[[#This Row],[長座]]="",0,(IF(テーブル22[[#This Row],[性別]]="男",LOOKUP(テーブル22[[#This Row],[長座]],$AL$6:$AM$15),LOOKUP(テーブル22[[#This Row],[長座]],$AL$20:$AM$29))))</f>
        <v>0</v>
      </c>
      <c r="U235" s="42">
        <f>IF(テーブル22[[#This Row],[反復]]="",0,(IF(テーブル22[[#This Row],[性別]]="男",LOOKUP(テーブル22[[#This Row],[反復]],$AN$6:$AO$15),LOOKUP(テーブル22[[#This Row],[反復]],$AN$20:$AO$29))))</f>
        <v>0</v>
      </c>
      <c r="V235" s="42">
        <f>IF(テーブル22[[#This Row],[ｼｬﾄﾙﾗﾝ]]="",0,(IF(テーブル22[[#This Row],[性別]]="男",LOOKUP(テーブル22[[#This Row],[ｼｬﾄﾙﾗﾝ]],$AR$6:$AS$15),LOOKUP(テーブル22[[#This Row],[ｼｬﾄﾙﾗﾝ]],$AR$20:$AS$29))))</f>
        <v>0</v>
      </c>
      <c r="W235" s="42">
        <f>IF(テーブル22[[#This Row],[50m走]]="",0,(IF(テーブル22[[#This Row],[性別]]="男",LOOKUP(テーブル22[[#This Row],[50m走]],$AT$6:$AU$15),LOOKUP(テーブル22[[#This Row],[50m走]],$AT$20:$AU$29))))</f>
        <v>0</v>
      </c>
      <c r="X235" s="42">
        <f>IF(テーブル22[[#This Row],[立幅とび]]="",0,(IF(テーブル22[[#This Row],[性別]]="男",LOOKUP(テーブル22[[#This Row],[立幅とび]],$AV$6:$AW$15),LOOKUP(テーブル22[[#This Row],[立幅とび]],$AV$20:$AW$29))))</f>
        <v>0</v>
      </c>
      <c r="Y235" s="42">
        <f>IF(テーブル22[[#This Row],[ボール投げ]]="",0,(IF(テーブル22[[#This Row],[性別]]="男",LOOKUP(テーブル22[[#This Row],[ボール投げ]],$AX$6:$AY$15),LOOKUP(テーブル22[[#This Row],[ボール投げ]],$AX$20:$AY$29))))</f>
        <v>0</v>
      </c>
      <c r="Z235" s="19" t="str">
        <f>IF(テーブル22[[#This Row],[学年]]=1,6,IF(テーブル22[[#This Row],[学年]]=2,7,IF(テーブル22[[#This Row],[学年]]=3,8,IF(テーブル22[[#This Row],[学年]]=4,9,IF(テーブル22[[#This Row],[学年]]=5,10,IF(テーブル22[[#This Row],[学年]]=6,11," "))))))</f>
        <v xml:space="preserve"> </v>
      </c>
      <c r="AA235" s="125" t="str">
        <f>IF(テーブル22[[#This Row],[肥満度数値]]="","",LOOKUP(AC235,$AW$39:$AW$44,$AX$39:$AX$44))</f>
        <v/>
      </c>
      <c r="AB2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5" s="124" t="str">
        <f>IF(テーブル22[[#This Row],[体重]]="","",(テーブル22[[#This Row],[体重]]-テーブル22[[#This Row],[標準体重]])/テーブル22[[#This Row],[標準体重]]*100)</f>
        <v/>
      </c>
      <c r="AD235" s="1">
        <f>COUNTA(テーブル22[[#This Row],[握力]:[ボール投げ]])</f>
        <v>0</v>
      </c>
      <c r="AE235" s="1" t="str">
        <f>IF(テーブル22[[#This Row],[判定]]=$BD$10,"○","")</f>
        <v/>
      </c>
      <c r="AF235" s="1" t="str">
        <f>IF(AE235="","",COUNTIF($AE$6:AE235,"○"))</f>
        <v/>
      </c>
    </row>
    <row r="236" spans="1:32" x14ac:dyDescent="0.2">
      <c r="A236" s="40">
        <v>231</v>
      </c>
      <c r="B236" s="145"/>
      <c r="C236" s="148"/>
      <c r="D236" s="145"/>
      <c r="E236" s="156"/>
      <c r="F236" s="145"/>
      <c r="G236" s="145"/>
      <c r="H236" s="146"/>
      <c r="I236" s="146"/>
      <c r="J236" s="148"/>
      <c r="K236" s="145"/>
      <c r="L236" s="148"/>
      <c r="M236" s="149"/>
      <c r="N236" s="148"/>
      <c r="O236" s="150"/>
      <c r="P2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6" s="43" t="str">
        <f>IF(テーブル22[[#This Row],[得点]]="","",IF(テーブル22[[#This Row],[年齢]]&gt;10,LOOKUP(P236,$BG$6:$BG$10,$BD$6:$BD$10),IF(テーブル22[[#This Row],[年齢]]&gt;9,LOOKUP(P236,$BF$6:$BF$10,$BD$6:$BD$10),IF(テーブル22[[#This Row],[年齢]]&gt;8,LOOKUP(P236,$BE$6:$BE$10,$BD$6:$BD$10),IF(テーブル22[[#This Row],[年齢]]&gt;7,LOOKUP(P236,$BC$6:$BC$10,$BD$6:$BD$10),IF(テーブル22[[#This Row],[年齢]]&gt;6,LOOKUP(P236,$BB$6:$BB$10,$BD$6:$BD$10),LOOKUP(P236,$BA$6:$BA$10,$BD$6:$BD$10)))))))</f>
        <v/>
      </c>
      <c r="R236" s="42">
        <f>IF(H236="",0,(IF(テーブル22[[#This Row],[性別]]="男",LOOKUP(テーブル22[[#This Row],[握力]],$AH$6:$AI$15),LOOKUP(テーブル22[[#This Row],[握力]],$AH$20:$AI$29))))</f>
        <v>0</v>
      </c>
      <c r="S236" s="42">
        <f>IF(テーブル22[[#This Row],[上体]]="",0,(IF(テーブル22[[#This Row],[性別]]="男",LOOKUP(テーブル22[[#This Row],[上体]],$AJ$6:$AK$15),LOOKUP(テーブル22[[#This Row],[上体]],$AJ$20:$AK$29))))</f>
        <v>0</v>
      </c>
      <c r="T236" s="42">
        <f>IF(テーブル22[[#This Row],[長座]]="",0,(IF(テーブル22[[#This Row],[性別]]="男",LOOKUP(テーブル22[[#This Row],[長座]],$AL$6:$AM$15),LOOKUP(テーブル22[[#This Row],[長座]],$AL$20:$AM$29))))</f>
        <v>0</v>
      </c>
      <c r="U236" s="42">
        <f>IF(テーブル22[[#This Row],[反復]]="",0,(IF(テーブル22[[#This Row],[性別]]="男",LOOKUP(テーブル22[[#This Row],[反復]],$AN$6:$AO$15),LOOKUP(テーブル22[[#This Row],[反復]],$AN$20:$AO$29))))</f>
        <v>0</v>
      </c>
      <c r="V236" s="42">
        <f>IF(テーブル22[[#This Row],[ｼｬﾄﾙﾗﾝ]]="",0,(IF(テーブル22[[#This Row],[性別]]="男",LOOKUP(テーブル22[[#This Row],[ｼｬﾄﾙﾗﾝ]],$AR$6:$AS$15),LOOKUP(テーブル22[[#This Row],[ｼｬﾄﾙﾗﾝ]],$AR$20:$AS$29))))</f>
        <v>0</v>
      </c>
      <c r="W236" s="42">
        <f>IF(テーブル22[[#This Row],[50m走]]="",0,(IF(テーブル22[[#This Row],[性別]]="男",LOOKUP(テーブル22[[#This Row],[50m走]],$AT$6:$AU$15),LOOKUP(テーブル22[[#This Row],[50m走]],$AT$20:$AU$29))))</f>
        <v>0</v>
      </c>
      <c r="X236" s="42">
        <f>IF(テーブル22[[#This Row],[立幅とび]]="",0,(IF(テーブル22[[#This Row],[性別]]="男",LOOKUP(テーブル22[[#This Row],[立幅とび]],$AV$6:$AW$15),LOOKUP(テーブル22[[#This Row],[立幅とび]],$AV$20:$AW$29))))</f>
        <v>0</v>
      </c>
      <c r="Y236" s="42">
        <f>IF(テーブル22[[#This Row],[ボール投げ]]="",0,(IF(テーブル22[[#This Row],[性別]]="男",LOOKUP(テーブル22[[#This Row],[ボール投げ]],$AX$6:$AY$15),LOOKUP(テーブル22[[#This Row],[ボール投げ]],$AX$20:$AY$29))))</f>
        <v>0</v>
      </c>
      <c r="Z236" s="19" t="str">
        <f>IF(テーブル22[[#This Row],[学年]]=1,6,IF(テーブル22[[#This Row],[学年]]=2,7,IF(テーブル22[[#This Row],[学年]]=3,8,IF(テーブル22[[#This Row],[学年]]=4,9,IF(テーブル22[[#This Row],[学年]]=5,10,IF(テーブル22[[#This Row],[学年]]=6,11," "))))))</f>
        <v xml:space="preserve"> </v>
      </c>
      <c r="AA236" s="125" t="str">
        <f>IF(テーブル22[[#This Row],[肥満度数値]]="","",LOOKUP(AC236,$AW$39:$AW$44,$AX$39:$AX$44))</f>
        <v/>
      </c>
      <c r="AB2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6" s="124" t="str">
        <f>IF(テーブル22[[#This Row],[体重]]="","",(テーブル22[[#This Row],[体重]]-テーブル22[[#This Row],[標準体重]])/テーブル22[[#This Row],[標準体重]]*100)</f>
        <v/>
      </c>
      <c r="AD236" s="1">
        <f>COUNTA(テーブル22[[#This Row],[握力]:[ボール投げ]])</f>
        <v>0</v>
      </c>
      <c r="AE236" s="1" t="str">
        <f>IF(テーブル22[[#This Row],[判定]]=$BD$10,"○","")</f>
        <v/>
      </c>
      <c r="AF236" s="1" t="str">
        <f>IF(AE236="","",COUNTIF($AE$6:AE236,"○"))</f>
        <v/>
      </c>
    </row>
    <row r="237" spans="1:32" x14ac:dyDescent="0.2">
      <c r="A237" s="40">
        <v>232</v>
      </c>
      <c r="B237" s="145"/>
      <c r="C237" s="148"/>
      <c r="D237" s="145"/>
      <c r="E237" s="156"/>
      <c r="F237" s="145"/>
      <c r="G237" s="145"/>
      <c r="H237" s="146"/>
      <c r="I237" s="146"/>
      <c r="J237" s="148"/>
      <c r="K237" s="145"/>
      <c r="L237" s="148"/>
      <c r="M237" s="149"/>
      <c r="N237" s="148"/>
      <c r="O237" s="150"/>
      <c r="P2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7" s="43" t="str">
        <f>IF(テーブル22[[#This Row],[得点]]="","",IF(テーブル22[[#This Row],[年齢]]&gt;10,LOOKUP(P237,$BG$6:$BG$10,$BD$6:$BD$10),IF(テーブル22[[#This Row],[年齢]]&gt;9,LOOKUP(P237,$BF$6:$BF$10,$BD$6:$BD$10),IF(テーブル22[[#This Row],[年齢]]&gt;8,LOOKUP(P237,$BE$6:$BE$10,$BD$6:$BD$10),IF(テーブル22[[#This Row],[年齢]]&gt;7,LOOKUP(P237,$BC$6:$BC$10,$BD$6:$BD$10),IF(テーブル22[[#This Row],[年齢]]&gt;6,LOOKUP(P237,$BB$6:$BB$10,$BD$6:$BD$10),LOOKUP(P237,$BA$6:$BA$10,$BD$6:$BD$10)))))))</f>
        <v/>
      </c>
      <c r="R237" s="42">
        <f>IF(H237="",0,(IF(テーブル22[[#This Row],[性別]]="男",LOOKUP(テーブル22[[#This Row],[握力]],$AH$6:$AI$15),LOOKUP(テーブル22[[#This Row],[握力]],$AH$20:$AI$29))))</f>
        <v>0</v>
      </c>
      <c r="S237" s="42">
        <f>IF(テーブル22[[#This Row],[上体]]="",0,(IF(テーブル22[[#This Row],[性別]]="男",LOOKUP(テーブル22[[#This Row],[上体]],$AJ$6:$AK$15),LOOKUP(テーブル22[[#This Row],[上体]],$AJ$20:$AK$29))))</f>
        <v>0</v>
      </c>
      <c r="T237" s="42">
        <f>IF(テーブル22[[#This Row],[長座]]="",0,(IF(テーブル22[[#This Row],[性別]]="男",LOOKUP(テーブル22[[#This Row],[長座]],$AL$6:$AM$15),LOOKUP(テーブル22[[#This Row],[長座]],$AL$20:$AM$29))))</f>
        <v>0</v>
      </c>
      <c r="U237" s="42">
        <f>IF(テーブル22[[#This Row],[反復]]="",0,(IF(テーブル22[[#This Row],[性別]]="男",LOOKUP(テーブル22[[#This Row],[反復]],$AN$6:$AO$15),LOOKUP(テーブル22[[#This Row],[反復]],$AN$20:$AO$29))))</f>
        <v>0</v>
      </c>
      <c r="V237" s="42">
        <f>IF(テーブル22[[#This Row],[ｼｬﾄﾙﾗﾝ]]="",0,(IF(テーブル22[[#This Row],[性別]]="男",LOOKUP(テーブル22[[#This Row],[ｼｬﾄﾙﾗﾝ]],$AR$6:$AS$15),LOOKUP(テーブル22[[#This Row],[ｼｬﾄﾙﾗﾝ]],$AR$20:$AS$29))))</f>
        <v>0</v>
      </c>
      <c r="W237" s="42">
        <f>IF(テーブル22[[#This Row],[50m走]]="",0,(IF(テーブル22[[#This Row],[性別]]="男",LOOKUP(テーブル22[[#This Row],[50m走]],$AT$6:$AU$15),LOOKUP(テーブル22[[#This Row],[50m走]],$AT$20:$AU$29))))</f>
        <v>0</v>
      </c>
      <c r="X237" s="42">
        <f>IF(テーブル22[[#This Row],[立幅とび]]="",0,(IF(テーブル22[[#This Row],[性別]]="男",LOOKUP(テーブル22[[#This Row],[立幅とび]],$AV$6:$AW$15),LOOKUP(テーブル22[[#This Row],[立幅とび]],$AV$20:$AW$29))))</f>
        <v>0</v>
      </c>
      <c r="Y237" s="42">
        <f>IF(テーブル22[[#This Row],[ボール投げ]]="",0,(IF(テーブル22[[#This Row],[性別]]="男",LOOKUP(テーブル22[[#This Row],[ボール投げ]],$AX$6:$AY$15),LOOKUP(テーブル22[[#This Row],[ボール投げ]],$AX$20:$AY$29))))</f>
        <v>0</v>
      </c>
      <c r="Z237" s="19" t="str">
        <f>IF(テーブル22[[#This Row],[学年]]=1,6,IF(テーブル22[[#This Row],[学年]]=2,7,IF(テーブル22[[#This Row],[学年]]=3,8,IF(テーブル22[[#This Row],[学年]]=4,9,IF(テーブル22[[#This Row],[学年]]=5,10,IF(テーブル22[[#This Row],[学年]]=6,11," "))))))</f>
        <v xml:space="preserve"> </v>
      </c>
      <c r="AA237" s="125" t="str">
        <f>IF(テーブル22[[#This Row],[肥満度数値]]="","",LOOKUP(AC237,$AW$39:$AW$44,$AX$39:$AX$44))</f>
        <v/>
      </c>
      <c r="AB2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7" s="124" t="str">
        <f>IF(テーブル22[[#This Row],[体重]]="","",(テーブル22[[#This Row],[体重]]-テーブル22[[#This Row],[標準体重]])/テーブル22[[#This Row],[標準体重]]*100)</f>
        <v/>
      </c>
      <c r="AD237" s="1">
        <f>COUNTA(テーブル22[[#This Row],[握力]:[ボール投げ]])</f>
        <v>0</v>
      </c>
      <c r="AE237" s="1" t="str">
        <f>IF(テーブル22[[#This Row],[判定]]=$BD$10,"○","")</f>
        <v/>
      </c>
      <c r="AF237" s="1" t="str">
        <f>IF(AE237="","",COUNTIF($AE$6:AE237,"○"))</f>
        <v/>
      </c>
    </row>
    <row r="238" spans="1:32" x14ac:dyDescent="0.2">
      <c r="A238" s="40">
        <v>233</v>
      </c>
      <c r="B238" s="145"/>
      <c r="C238" s="148"/>
      <c r="D238" s="145"/>
      <c r="E238" s="156"/>
      <c r="F238" s="145"/>
      <c r="G238" s="145"/>
      <c r="H238" s="146"/>
      <c r="I238" s="146"/>
      <c r="J238" s="148"/>
      <c r="K238" s="145"/>
      <c r="L238" s="148"/>
      <c r="M238" s="149"/>
      <c r="N238" s="148"/>
      <c r="O238" s="150"/>
      <c r="P2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8" s="43" t="str">
        <f>IF(テーブル22[[#This Row],[得点]]="","",IF(テーブル22[[#This Row],[年齢]]&gt;10,LOOKUP(P238,$BG$6:$BG$10,$BD$6:$BD$10),IF(テーブル22[[#This Row],[年齢]]&gt;9,LOOKUP(P238,$BF$6:$BF$10,$BD$6:$BD$10),IF(テーブル22[[#This Row],[年齢]]&gt;8,LOOKUP(P238,$BE$6:$BE$10,$BD$6:$BD$10),IF(テーブル22[[#This Row],[年齢]]&gt;7,LOOKUP(P238,$BC$6:$BC$10,$BD$6:$BD$10),IF(テーブル22[[#This Row],[年齢]]&gt;6,LOOKUP(P238,$BB$6:$BB$10,$BD$6:$BD$10),LOOKUP(P238,$BA$6:$BA$10,$BD$6:$BD$10)))))))</f>
        <v/>
      </c>
      <c r="R238" s="42">
        <f>IF(H238="",0,(IF(テーブル22[[#This Row],[性別]]="男",LOOKUP(テーブル22[[#This Row],[握力]],$AH$6:$AI$15),LOOKUP(テーブル22[[#This Row],[握力]],$AH$20:$AI$29))))</f>
        <v>0</v>
      </c>
      <c r="S238" s="42">
        <f>IF(テーブル22[[#This Row],[上体]]="",0,(IF(テーブル22[[#This Row],[性別]]="男",LOOKUP(テーブル22[[#This Row],[上体]],$AJ$6:$AK$15),LOOKUP(テーブル22[[#This Row],[上体]],$AJ$20:$AK$29))))</f>
        <v>0</v>
      </c>
      <c r="T238" s="42">
        <f>IF(テーブル22[[#This Row],[長座]]="",0,(IF(テーブル22[[#This Row],[性別]]="男",LOOKUP(テーブル22[[#This Row],[長座]],$AL$6:$AM$15),LOOKUP(テーブル22[[#This Row],[長座]],$AL$20:$AM$29))))</f>
        <v>0</v>
      </c>
      <c r="U238" s="42">
        <f>IF(テーブル22[[#This Row],[反復]]="",0,(IF(テーブル22[[#This Row],[性別]]="男",LOOKUP(テーブル22[[#This Row],[反復]],$AN$6:$AO$15),LOOKUP(テーブル22[[#This Row],[反復]],$AN$20:$AO$29))))</f>
        <v>0</v>
      </c>
      <c r="V238" s="42">
        <f>IF(テーブル22[[#This Row],[ｼｬﾄﾙﾗﾝ]]="",0,(IF(テーブル22[[#This Row],[性別]]="男",LOOKUP(テーブル22[[#This Row],[ｼｬﾄﾙﾗﾝ]],$AR$6:$AS$15),LOOKUP(テーブル22[[#This Row],[ｼｬﾄﾙﾗﾝ]],$AR$20:$AS$29))))</f>
        <v>0</v>
      </c>
      <c r="W238" s="42">
        <f>IF(テーブル22[[#This Row],[50m走]]="",0,(IF(テーブル22[[#This Row],[性別]]="男",LOOKUP(テーブル22[[#This Row],[50m走]],$AT$6:$AU$15),LOOKUP(テーブル22[[#This Row],[50m走]],$AT$20:$AU$29))))</f>
        <v>0</v>
      </c>
      <c r="X238" s="42">
        <f>IF(テーブル22[[#This Row],[立幅とび]]="",0,(IF(テーブル22[[#This Row],[性別]]="男",LOOKUP(テーブル22[[#This Row],[立幅とび]],$AV$6:$AW$15),LOOKUP(テーブル22[[#This Row],[立幅とび]],$AV$20:$AW$29))))</f>
        <v>0</v>
      </c>
      <c r="Y238" s="42">
        <f>IF(テーブル22[[#This Row],[ボール投げ]]="",0,(IF(テーブル22[[#This Row],[性別]]="男",LOOKUP(テーブル22[[#This Row],[ボール投げ]],$AX$6:$AY$15),LOOKUP(テーブル22[[#This Row],[ボール投げ]],$AX$20:$AY$29))))</f>
        <v>0</v>
      </c>
      <c r="Z238" s="19" t="str">
        <f>IF(テーブル22[[#This Row],[学年]]=1,6,IF(テーブル22[[#This Row],[学年]]=2,7,IF(テーブル22[[#This Row],[学年]]=3,8,IF(テーブル22[[#This Row],[学年]]=4,9,IF(テーブル22[[#This Row],[学年]]=5,10,IF(テーブル22[[#This Row],[学年]]=6,11," "))))))</f>
        <v xml:space="preserve"> </v>
      </c>
      <c r="AA238" s="125" t="str">
        <f>IF(テーブル22[[#This Row],[肥満度数値]]="","",LOOKUP(AC238,$AW$39:$AW$44,$AX$39:$AX$44))</f>
        <v/>
      </c>
      <c r="AB2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8" s="124" t="str">
        <f>IF(テーブル22[[#This Row],[体重]]="","",(テーブル22[[#This Row],[体重]]-テーブル22[[#This Row],[標準体重]])/テーブル22[[#This Row],[標準体重]]*100)</f>
        <v/>
      </c>
      <c r="AD238" s="1">
        <f>COUNTA(テーブル22[[#This Row],[握力]:[ボール投げ]])</f>
        <v>0</v>
      </c>
      <c r="AE238" s="1" t="str">
        <f>IF(テーブル22[[#This Row],[判定]]=$BD$10,"○","")</f>
        <v/>
      </c>
      <c r="AF238" s="1" t="str">
        <f>IF(AE238="","",COUNTIF($AE$6:AE238,"○"))</f>
        <v/>
      </c>
    </row>
    <row r="239" spans="1:32" x14ac:dyDescent="0.2">
      <c r="A239" s="40">
        <v>234</v>
      </c>
      <c r="B239" s="145"/>
      <c r="C239" s="148"/>
      <c r="D239" s="145"/>
      <c r="E239" s="156"/>
      <c r="F239" s="145"/>
      <c r="G239" s="145"/>
      <c r="H239" s="146"/>
      <c r="I239" s="146"/>
      <c r="J239" s="148"/>
      <c r="K239" s="145"/>
      <c r="L239" s="148"/>
      <c r="M239" s="149"/>
      <c r="N239" s="148"/>
      <c r="O239" s="150"/>
      <c r="P2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39" s="43" t="str">
        <f>IF(テーブル22[[#This Row],[得点]]="","",IF(テーブル22[[#This Row],[年齢]]&gt;10,LOOKUP(P239,$BG$6:$BG$10,$BD$6:$BD$10),IF(テーブル22[[#This Row],[年齢]]&gt;9,LOOKUP(P239,$BF$6:$BF$10,$BD$6:$BD$10),IF(テーブル22[[#This Row],[年齢]]&gt;8,LOOKUP(P239,$BE$6:$BE$10,$BD$6:$BD$10),IF(テーブル22[[#This Row],[年齢]]&gt;7,LOOKUP(P239,$BC$6:$BC$10,$BD$6:$BD$10),IF(テーブル22[[#This Row],[年齢]]&gt;6,LOOKUP(P239,$BB$6:$BB$10,$BD$6:$BD$10),LOOKUP(P239,$BA$6:$BA$10,$BD$6:$BD$10)))))))</f>
        <v/>
      </c>
      <c r="R239" s="42">
        <f>IF(H239="",0,(IF(テーブル22[[#This Row],[性別]]="男",LOOKUP(テーブル22[[#This Row],[握力]],$AH$6:$AI$15),LOOKUP(テーブル22[[#This Row],[握力]],$AH$20:$AI$29))))</f>
        <v>0</v>
      </c>
      <c r="S239" s="42">
        <f>IF(テーブル22[[#This Row],[上体]]="",0,(IF(テーブル22[[#This Row],[性別]]="男",LOOKUP(テーブル22[[#This Row],[上体]],$AJ$6:$AK$15),LOOKUP(テーブル22[[#This Row],[上体]],$AJ$20:$AK$29))))</f>
        <v>0</v>
      </c>
      <c r="T239" s="42">
        <f>IF(テーブル22[[#This Row],[長座]]="",0,(IF(テーブル22[[#This Row],[性別]]="男",LOOKUP(テーブル22[[#This Row],[長座]],$AL$6:$AM$15),LOOKUP(テーブル22[[#This Row],[長座]],$AL$20:$AM$29))))</f>
        <v>0</v>
      </c>
      <c r="U239" s="42">
        <f>IF(テーブル22[[#This Row],[反復]]="",0,(IF(テーブル22[[#This Row],[性別]]="男",LOOKUP(テーブル22[[#This Row],[反復]],$AN$6:$AO$15),LOOKUP(テーブル22[[#This Row],[反復]],$AN$20:$AO$29))))</f>
        <v>0</v>
      </c>
      <c r="V239" s="42">
        <f>IF(テーブル22[[#This Row],[ｼｬﾄﾙﾗﾝ]]="",0,(IF(テーブル22[[#This Row],[性別]]="男",LOOKUP(テーブル22[[#This Row],[ｼｬﾄﾙﾗﾝ]],$AR$6:$AS$15),LOOKUP(テーブル22[[#This Row],[ｼｬﾄﾙﾗﾝ]],$AR$20:$AS$29))))</f>
        <v>0</v>
      </c>
      <c r="W239" s="42">
        <f>IF(テーブル22[[#This Row],[50m走]]="",0,(IF(テーブル22[[#This Row],[性別]]="男",LOOKUP(テーブル22[[#This Row],[50m走]],$AT$6:$AU$15),LOOKUP(テーブル22[[#This Row],[50m走]],$AT$20:$AU$29))))</f>
        <v>0</v>
      </c>
      <c r="X239" s="42">
        <f>IF(テーブル22[[#This Row],[立幅とび]]="",0,(IF(テーブル22[[#This Row],[性別]]="男",LOOKUP(テーブル22[[#This Row],[立幅とび]],$AV$6:$AW$15),LOOKUP(テーブル22[[#This Row],[立幅とび]],$AV$20:$AW$29))))</f>
        <v>0</v>
      </c>
      <c r="Y239" s="42">
        <f>IF(テーブル22[[#This Row],[ボール投げ]]="",0,(IF(テーブル22[[#This Row],[性別]]="男",LOOKUP(テーブル22[[#This Row],[ボール投げ]],$AX$6:$AY$15),LOOKUP(テーブル22[[#This Row],[ボール投げ]],$AX$20:$AY$29))))</f>
        <v>0</v>
      </c>
      <c r="Z239" s="19" t="str">
        <f>IF(テーブル22[[#This Row],[学年]]=1,6,IF(テーブル22[[#This Row],[学年]]=2,7,IF(テーブル22[[#This Row],[学年]]=3,8,IF(テーブル22[[#This Row],[学年]]=4,9,IF(テーブル22[[#This Row],[学年]]=5,10,IF(テーブル22[[#This Row],[学年]]=6,11," "))))))</f>
        <v xml:space="preserve"> </v>
      </c>
      <c r="AA239" s="125" t="str">
        <f>IF(テーブル22[[#This Row],[肥満度数値]]="","",LOOKUP(AC239,$AW$39:$AW$44,$AX$39:$AX$44))</f>
        <v/>
      </c>
      <c r="AB2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39" s="124" t="str">
        <f>IF(テーブル22[[#This Row],[体重]]="","",(テーブル22[[#This Row],[体重]]-テーブル22[[#This Row],[標準体重]])/テーブル22[[#This Row],[標準体重]]*100)</f>
        <v/>
      </c>
      <c r="AD239" s="1">
        <f>COUNTA(テーブル22[[#This Row],[握力]:[ボール投げ]])</f>
        <v>0</v>
      </c>
      <c r="AE239" s="1" t="str">
        <f>IF(テーブル22[[#This Row],[判定]]=$BD$10,"○","")</f>
        <v/>
      </c>
      <c r="AF239" s="1" t="str">
        <f>IF(AE239="","",COUNTIF($AE$6:AE239,"○"))</f>
        <v/>
      </c>
    </row>
    <row r="240" spans="1:32" x14ac:dyDescent="0.2">
      <c r="A240" s="40">
        <v>235</v>
      </c>
      <c r="B240" s="145"/>
      <c r="C240" s="148"/>
      <c r="D240" s="145"/>
      <c r="E240" s="156"/>
      <c r="F240" s="145"/>
      <c r="G240" s="145"/>
      <c r="H240" s="146"/>
      <c r="I240" s="146"/>
      <c r="J240" s="148"/>
      <c r="K240" s="145"/>
      <c r="L240" s="148"/>
      <c r="M240" s="149"/>
      <c r="N240" s="148"/>
      <c r="O240" s="150"/>
      <c r="P2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0" s="43" t="str">
        <f>IF(テーブル22[[#This Row],[得点]]="","",IF(テーブル22[[#This Row],[年齢]]&gt;10,LOOKUP(P240,$BG$6:$BG$10,$BD$6:$BD$10),IF(テーブル22[[#This Row],[年齢]]&gt;9,LOOKUP(P240,$BF$6:$BF$10,$BD$6:$BD$10),IF(テーブル22[[#This Row],[年齢]]&gt;8,LOOKUP(P240,$BE$6:$BE$10,$BD$6:$BD$10),IF(テーブル22[[#This Row],[年齢]]&gt;7,LOOKUP(P240,$BC$6:$BC$10,$BD$6:$BD$10),IF(テーブル22[[#This Row],[年齢]]&gt;6,LOOKUP(P240,$BB$6:$BB$10,$BD$6:$BD$10),LOOKUP(P240,$BA$6:$BA$10,$BD$6:$BD$10)))))))</f>
        <v/>
      </c>
      <c r="R240" s="42">
        <f>IF(H240="",0,(IF(テーブル22[[#This Row],[性別]]="男",LOOKUP(テーブル22[[#This Row],[握力]],$AH$6:$AI$15),LOOKUP(テーブル22[[#This Row],[握力]],$AH$20:$AI$29))))</f>
        <v>0</v>
      </c>
      <c r="S240" s="42">
        <f>IF(テーブル22[[#This Row],[上体]]="",0,(IF(テーブル22[[#This Row],[性別]]="男",LOOKUP(テーブル22[[#This Row],[上体]],$AJ$6:$AK$15),LOOKUP(テーブル22[[#This Row],[上体]],$AJ$20:$AK$29))))</f>
        <v>0</v>
      </c>
      <c r="T240" s="42">
        <f>IF(テーブル22[[#This Row],[長座]]="",0,(IF(テーブル22[[#This Row],[性別]]="男",LOOKUP(テーブル22[[#This Row],[長座]],$AL$6:$AM$15),LOOKUP(テーブル22[[#This Row],[長座]],$AL$20:$AM$29))))</f>
        <v>0</v>
      </c>
      <c r="U240" s="42">
        <f>IF(テーブル22[[#This Row],[反復]]="",0,(IF(テーブル22[[#This Row],[性別]]="男",LOOKUP(テーブル22[[#This Row],[反復]],$AN$6:$AO$15),LOOKUP(テーブル22[[#This Row],[反復]],$AN$20:$AO$29))))</f>
        <v>0</v>
      </c>
      <c r="V240" s="42">
        <f>IF(テーブル22[[#This Row],[ｼｬﾄﾙﾗﾝ]]="",0,(IF(テーブル22[[#This Row],[性別]]="男",LOOKUP(テーブル22[[#This Row],[ｼｬﾄﾙﾗﾝ]],$AR$6:$AS$15),LOOKUP(テーブル22[[#This Row],[ｼｬﾄﾙﾗﾝ]],$AR$20:$AS$29))))</f>
        <v>0</v>
      </c>
      <c r="W240" s="42">
        <f>IF(テーブル22[[#This Row],[50m走]]="",0,(IF(テーブル22[[#This Row],[性別]]="男",LOOKUP(テーブル22[[#This Row],[50m走]],$AT$6:$AU$15),LOOKUP(テーブル22[[#This Row],[50m走]],$AT$20:$AU$29))))</f>
        <v>0</v>
      </c>
      <c r="X240" s="42">
        <f>IF(テーブル22[[#This Row],[立幅とび]]="",0,(IF(テーブル22[[#This Row],[性別]]="男",LOOKUP(テーブル22[[#This Row],[立幅とび]],$AV$6:$AW$15),LOOKUP(テーブル22[[#This Row],[立幅とび]],$AV$20:$AW$29))))</f>
        <v>0</v>
      </c>
      <c r="Y240" s="42">
        <f>IF(テーブル22[[#This Row],[ボール投げ]]="",0,(IF(テーブル22[[#This Row],[性別]]="男",LOOKUP(テーブル22[[#This Row],[ボール投げ]],$AX$6:$AY$15),LOOKUP(テーブル22[[#This Row],[ボール投げ]],$AX$20:$AY$29))))</f>
        <v>0</v>
      </c>
      <c r="Z240" s="19" t="str">
        <f>IF(テーブル22[[#This Row],[学年]]=1,6,IF(テーブル22[[#This Row],[学年]]=2,7,IF(テーブル22[[#This Row],[学年]]=3,8,IF(テーブル22[[#This Row],[学年]]=4,9,IF(テーブル22[[#This Row],[学年]]=5,10,IF(テーブル22[[#This Row],[学年]]=6,11," "))))))</f>
        <v xml:space="preserve"> </v>
      </c>
      <c r="AA240" s="125" t="str">
        <f>IF(テーブル22[[#This Row],[肥満度数値]]="","",LOOKUP(AC240,$AW$39:$AW$44,$AX$39:$AX$44))</f>
        <v/>
      </c>
      <c r="AB2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0" s="124" t="str">
        <f>IF(テーブル22[[#This Row],[体重]]="","",(テーブル22[[#This Row],[体重]]-テーブル22[[#This Row],[標準体重]])/テーブル22[[#This Row],[標準体重]]*100)</f>
        <v/>
      </c>
      <c r="AD240" s="1">
        <f>COUNTA(テーブル22[[#This Row],[握力]:[ボール投げ]])</f>
        <v>0</v>
      </c>
      <c r="AE240" s="1" t="str">
        <f>IF(テーブル22[[#This Row],[判定]]=$BD$10,"○","")</f>
        <v/>
      </c>
      <c r="AF240" s="1" t="str">
        <f>IF(AE240="","",COUNTIF($AE$6:AE240,"○"))</f>
        <v/>
      </c>
    </row>
    <row r="241" spans="1:32" x14ac:dyDescent="0.2">
      <c r="A241" s="40">
        <v>236</v>
      </c>
      <c r="B241" s="145"/>
      <c r="C241" s="148"/>
      <c r="D241" s="145"/>
      <c r="E241" s="156"/>
      <c r="F241" s="145"/>
      <c r="G241" s="145"/>
      <c r="H241" s="146"/>
      <c r="I241" s="146"/>
      <c r="J241" s="148"/>
      <c r="K241" s="145"/>
      <c r="L241" s="148"/>
      <c r="M241" s="149"/>
      <c r="N241" s="148"/>
      <c r="O241" s="150"/>
      <c r="P2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1" s="43" t="str">
        <f>IF(テーブル22[[#This Row],[得点]]="","",IF(テーブル22[[#This Row],[年齢]]&gt;10,LOOKUP(P241,$BG$6:$BG$10,$BD$6:$BD$10),IF(テーブル22[[#This Row],[年齢]]&gt;9,LOOKUP(P241,$BF$6:$BF$10,$BD$6:$BD$10),IF(テーブル22[[#This Row],[年齢]]&gt;8,LOOKUP(P241,$BE$6:$BE$10,$BD$6:$BD$10),IF(テーブル22[[#This Row],[年齢]]&gt;7,LOOKUP(P241,$BC$6:$BC$10,$BD$6:$BD$10),IF(テーブル22[[#This Row],[年齢]]&gt;6,LOOKUP(P241,$BB$6:$BB$10,$BD$6:$BD$10),LOOKUP(P241,$BA$6:$BA$10,$BD$6:$BD$10)))))))</f>
        <v/>
      </c>
      <c r="R241" s="42">
        <f>IF(H241="",0,(IF(テーブル22[[#This Row],[性別]]="男",LOOKUP(テーブル22[[#This Row],[握力]],$AH$6:$AI$15),LOOKUP(テーブル22[[#This Row],[握力]],$AH$20:$AI$29))))</f>
        <v>0</v>
      </c>
      <c r="S241" s="42">
        <f>IF(テーブル22[[#This Row],[上体]]="",0,(IF(テーブル22[[#This Row],[性別]]="男",LOOKUP(テーブル22[[#This Row],[上体]],$AJ$6:$AK$15),LOOKUP(テーブル22[[#This Row],[上体]],$AJ$20:$AK$29))))</f>
        <v>0</v>
      </c>
      <c r="T241" s="42">
        <f>IF(テーブル22[[#This Row],[長座]]="",0,(IF(テーブル22[[#This Row],[性別]]="男",LOOKUP(テーブル22[[#This Row],[長座]],$AL$6:$AM$15),LOOKUP(テーブル22[[#This Row],[長座]],$AL$20:$AM$29))))</f>
        <v>0</v>
      </c>
      <c r="U241" s="42">
        <f>IF(テーブル22[[#This Row],[反復]]="",0,(IF(テーブル22[[#This Row],[性別]]="男",LOOKUP(テーブル22[[#This Row],[反復]],$AN$6:$AO$15),LOOKUP(テーブル22[[#This Row],[反復]],$AN$20:$AO$29))))</f>
        <v>0</v>
      </c>
      <c r="V241" s="42">
        <f>IF(テーブル22[[#This Row],[ｼｬﾄﾙﾗﾝ]]="",0,(IF(テーブル22[[#This Row],[性別]]="男",LOOKUP(テーブル22[[#This Row],[ｼｬﾄﾙﾗﾝ]],$AR$6:$AS$15),LOOKUP(テーブル22[[#This Row],[ｼｬﾄﾙﾗﾝ]],$AR$20:$AS$29))))</f>
        <v>0</v>
      </c>
      <c r="W241" s="42">
        <f>IF(テーブル22[[#This Row],[50m走]]="",0,(IF(テーブル22[[#This Row],[性別]]="男",LOOKUP(テーブル22[[#This Row],[50m走]],$AT$6:$AU$15),LOOKUP(テーブル22[[#This Row],[50m走]],$AT$20:$AU$29))))</f>
        <v>0</v>
      </c>
      <c r="X241" s="42">
        <f>IF(テーブル22[[#This Row],[立幅とび]]="",0,(IF(テーブル22[[#This Row],[性別]]="男",LOOKUP(テーブル22[[#This Row],[立幅とび]],$AV$6:$AW$15),LOOKUP(テーブル22[[#This Row],[立幅とび]],$AV$20:$AW$29))))</f>
        <v>0</v>
      </c>
      <c r="Y241" s="42">
        <f>IF(テーブル22[[#This Row],[ボール投げ]]="",0,(IF(テーブル22[[#This Row],[性別]]="男",LOOKUP(テーブル22[[#This Row],[ボール投げ]],$AX$6:$AY$15),LOOKUP(テーブル22[[#This Row],[ボール投げ]],$AX$20:$AY$29))))</f>
        <v>0</v>
      </c>
      <c r="Z241" s="19" t="str">
        <f>IF(テーブル22[[#This Row],[学年]]=1,6,IF(テーブル22[[#This Row],[学年]]=2,7,IF(テーブル22[[#This Row],[学年]]=3,8,IF(テーブル22[[#This Row],[学年]]=4,9,IF(テーブル22[[#This Row],[学年]]=5,10,IF(テーブル22[[#This Row],[学年]]=6,11," "))))))</f>
        <v xml:space="preserve"> </v>
      </c>
      <c r="AA241" s="125" t="str">
        <f>IF(テーブル22[[#This Row],[肥満度数値]]="","",LOOKUP(AC241,$AW$39:$AW$44,$AX$39:$AX$44))</f>
        <v/>
      </c>
      <c r="AB2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1" s="124" t="str">
        <f>IF(テーブル22[[#This Row],[体重]]="","",(テーブル22[[#This Row],[体重]]-テーブル22[[#This Row],[標準体重]])/テーブル22[[#This Row],[標準体重]]*100)</f>
        <v/>
      </c>
      <c r="AD241" s="1">
        <f>COUNTA(テーブル22[[#This Row],[握力]:[ボール投げ]])</f>
        <v>0</v>
      </c>
      <c r="AE241" s="1" t="str">
        <f>IF(テーブル22[[#This Row],[判定]]=$BD$10,"○","")</f>
        <v/>
      </c>
      <c r="AF241" s="1" t="str">
        <f>IF(AE241="","",COUNTIF($AE$6:AE241,"○"))</f>
        <v/>
      </c>
    </row>
    <row r="242" spans="1:32" x14ac:dyDescent="0.2">
      <c r="A242" s="40">
        <v>237</v>
      </c>
      <c r="B242" s="145"/>
      <c r="C242" s="148"/>
      <c r="D242" s="145"/>
      <c r="E242" s="156"/>
      <c r="F242" s="145"/>
      <c r="G242" s="145"/>
      <c r="H242" s="146"/>
      <c r="I242" s="146"/>
      <c r="J242" s="148"/>
      <c r="K242" s="145"/>
      <c r="L242" s="148"/>
      <c r="M242" s="149"/>
      <c r="N242" s="148"/>
      <c r="O242" s="150"/>
      <c r="P2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2" s="43" t="str">
        <f>IF(テーブル22[[#This Row],[得点]]="","",IF(テーブル22[[#This Row],[年齢]]&gt;10,LOOKUP(P242,$BG$6:$BG$10,$BD$6:$BD$10),IF(テーブル22[[#This Row],[年齢]]&gt;9,LOOKUP(P242,$BF$6:$BF$10,$BD$6:$BD$10),IF(テーブル22[[#This Row],[年齢]]&gt;8,LOOKUP(P242,$BE$6:$BE$10,$BD$6:$BD$10),IF(テーブル22[[#This Row],[年齢]]&gt;7,LOOKUP(P242,$BC$6:$BC$10,$BD$6:$BD$10),IF(テーブル22[[#This Row],[年齢]]&gt;6,LOOKUP(P242,$BB$6:$BB$10,$BD$6:$BD$10),LOOKUP(P242,$BA$6:$BA$10,$BD$6:$BD$10)))))))</f>
        <v/>
      </c>
      <c r="R242" s="42">
        <f>IF(H242="",0,(IF(テーブル22[[#This Row],[性別]]="男",LOOKUP(テーブル22[[#This Row],[握力]],$AH$6:$AI$15),LOOKUP(テーブル22[[#This Row],[握力]],$AH$20:$AI$29))))</f>
        <v>0</v>
      </c>
      <c r="S242" s="42">
        <f>IF(テーブル22[[#This Row],[上体]]="",0,(IF(テーブル22[[#This Row],[性別]]="男",LOOKUP(テーブル22[[#This Row],[上体]],$AJ$6:$AK$15),LOOKUP(テーブル22[[#This Row],[上体]],$AJ$20:$AK$29))))</f>
        <v>0</v>
      </c>
      <c r="T242" s="42">
        <f>IF(テーブル22[[#This Row],[長座]]="",0,(IF(テーブル22[[#This Row],[性別]]="男",LOOKUP(テーブル22[[#This Row],[長座]],$AL$6:$AM$15),LOOKUP(テーブル22[[#This Row],[長座]],$AL$20:$AM$29))))</f>
        <v>0</v>
      </c>
      <c r="U242" s="42">
        <f>IF(テーブル22[[#This Row],[反復]]="",0,(IF(テーブル22[[#This Row],[性別]]="男",LOOKUP(テーブル22[[#This Row],[反復]],$AN$6:$AO$15),LOOKUP(テーブル22[[#This Row],[反復]],$AN$20:$AO$29))))</f>
        <v>0</v>
      </c>
      <c r="V242" s="42">
        <f>IF(テーブル22[[#This Row],[ｼｬﾄﾙﾗﾝ]]="",0,(IF(テーブル22[[#This Row],[性別]]="男",LOOKUP(テーブル22[[#This Row],[ｼｬﾄﾙﾗﾝ]],$AR$6:$AS$15),LOOKUP(テーブル22[[#This Row],[ｼｬﾄﾙﾗﾝ]],$AR$20:$AS$29))))</f>
        <v>0</v>
      </c>
      <c r="W242" s="42">
        <f>IF(テーブル22[[#This Row],[50m走]]="",0,(IF(テーブル22[[#This Row],[性別]]="男",LOOKUP(テーブル22[[#This Row],[50m走]],$AT$6:$AU$15),LOOKUP(テーブル22[[#This Row],[50m走]],$AT$20:$AU$29))))</f>
        <v>0</v>
      </c>
      <c r="X242" s="42">
        <f>IF(テーブル22[[#This Row],[立幅とび]]="",0,(IF(テーブル22[[#This Row],[性別]]="男",LOOKUP(テーブル22[[#This Row],[立幅とび]],$AV$6:$AW$15),LOOKUP(テーブル22[[#This Row],[立幅とび]],$AV$20:$AW$29))))</f>
        <v>0</v>
      </c>
      <c r="Y242" s="42">
        <f>IF(テーブル22[[#This Row],[ボール投げ]]="",0,(IF(テーブル22[[#This Row],[性別]]="男",LOOKUP(テーブル22[[#This Row],[ボール投げ]],$AX$6:$AY$15),LOOKUP(テーブル22[[#This Row],[ボール投げ]],$AX$20:$AY$29))))</f>
        <v>0</v>
      </c>
      <c r="Z242" s="19" t="str">
        <f>IF(テーブル22[[#This Row],[学年]]=1,6,IF(テーブル22[[#This Row],[学年]]=2,7,IF(テーブル22[[#This Row],[学年]]=3,8,IF(テーブル22[[#This Row],[学年]]=4,9,IF(テーブル22[[#This Row],[学年]]=5,10,IF(テーブル22[[#This Row],[学年]]=6,11," "))))))</f>
        <v xml:space="preserve"> </v>
      </c>
      <c r="AA242" s="125" t="str">
        <f>IF(テーブル22[[#This Row],[肥満度数値]]="","",LOOKUP(AC242,$AW$39:$AW$44,$AX$39:$AX$44))</f>
        <v/>
      </c>
      <c r="AB2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2" s="124" t="str">
        <f>IF(テーブル22[[#This Row],[体重]]="","",(テーブル22[[#This Row],[体重]]-テーブル22[[#This Row],[標準体重]])/テーブル22[[#This Row],[標準体重]]*100)</f>
        <v/>
      </c>
      <c r="AD242" s="1">
        <f>COUNTA(テーブル22[[#This Row],[握力]:[ボール投げ]])</f>
        <v>0</v>
      </c>
      <c r="AE242" s="1" t="str">
        <f>IF(テーブル22[[#This Row],[判定]]=$BD$10,"○","")</f>
        <v/>
      </c>
      <c r="AF242" s="1" t="str">
        <f>IF(AE242="","",COUNTIF($AE$6:AE242,"○"))</f>
        <v/>
      </c>
    </row>
    <row r="243" spans="1:32" x14ac:dyDescent="0.2">
      <c r="A243" s="40">
        <v>238</v>
      </c>
      <c r="B243" s="145"/>
      <c r="C243" s="148"/>
      <c r="D243" s="145"/>
      <c r="E243" s="156"/>
      <c r="F243" s="145"/>
      <c r="G243" s="145"/>
      <c r="H243" s="146"/>
      <c r="I243" s="146"/>
      <c r="J243" s="148"/>
      <c r="K243" s="145"/>
      <c r="L243" s="148"/>
      <c r="M243" s="149"/>
      <c r="N243" s="148"/>
      <c r="O243" s="150"/>
      <c r="P2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3" s="43" t="str">
        <f>IF(テーブル22[[#This Row],[得点]]="","",IF(テーブル22[[#This Row],[年齢]]&gt;10,LOOKUP(P243,$BG$6:$BG$10,$BD$6:$BD$10),IF(テーブル22[[#This Row],[年齢]]&gt;9,LOOKUP(P243,$BF$6:$BF$10,$BD$6:$BD$10),IF(テーブル22[[#This Row],[年齢]]&gt;8,LOOKUP(P243,$BE$6:$BE$10,$BD$6:$BD$10),IF(テーブル22[[#This Row],[年齢]]&gt;7,LOOKUP(P243,$BC$6:$BC$10,$BD$6:$BD$10),IF(テーブル22[[#This Row],[年齢]]&gt;6,LOOKUP(P243,$BB$6:$BB$10,$BD$6:$BD$10),LOOKUP(P243,$BA$6:$BA$10,$BD$6:$BD$10)))))))</f>
        <v/>
      </c>
      <c r="R243" s="42">
        <f>IF(H243="",0,(IF(テーブル22[[#This Row],[性別]]="男",LOOKUP(テーブル22[[#This Row],[握力]],$AH$6:$AI$15),LOOKUP(テーブル22[[#This Row],[握力]],$AH$20:$AI$29))))</f>
        <v>0</v>
      </c>
      <c r="S243" s="42">
        <f>IF(テーブル22[[#This Row],[上体]]="",0,(IF(テーブル22[[#This Row],[性別]]="男",LOOKUP(テーブル22[[#This Row],[上体]],$AJ$6:$AK$15),LOOKUP(テーブル22[[#This Row],[上体]],$AJ$20:$AK$29))))</f>
        <v>0</v>
      </c>
      <c r="T243" s="42">
        <f>IF(テーブル22[[#This Row],[長座]]="",0,(IF(テーブル22[[#This Row],[性別]]="男",LOOKUP(テーブル22[[#This Row],[長座]],$AL$6:$AM$15),LOOKUP(テーブル22[[#This Row],[長座]],$AL$20:$AM$29))))</f>
        <v>0</v>
      </c>
      <c r="U243" s="42">
        <f>IF(テーブル22[[#This Row],[反復]]="",0,(IF(テーブル22[[#This Row],[性別]]="男",LOOKUP(テーブル22[[#This Row],[反復]],$AN$6:$AO$15),LOOKUP(テーブル22[[#This Row],[反復]],$AN$20:$AO$29))))</f>
        <v>0</v>
      </c>
      <c r="V243" s="42">
        <f>IF(テーブル22[[#This Row],[ｼｬﾄﾙﾗﾝ]]="",0,(IF(テーブル22[[#This Row],[性別]]="男",LOOKUP(テーブル22[[#This Row],[ｼｬﾄﾙﾗﾝ]],$AR$6:$AS$15),LOOKUP(テーブル22[[#This Row],[ｼｬﾄﾙﾗﾝ]],$AR$20:$AS$29))))</f>
        <v>0</v>
      </c>
      <c r="W243" s="42">
        <f>IF(テーブル22[[#This Row],[50m走]]="",0,(IF(テーブル22[[#This Row],[性別]]="男",LOOKUP(テーブル22[[#This Row],[50m走]],$AT$6:$AU$15),LOOKUP(テーブル22[[#This Row],[50m走]],$AT$20:$AU$29))))</f>
        <v>0</v>
      </c>
      <c r="X243" s="42">
        <f>IF(テーブル22[[#This Row],[立幅とび]]="",0,(IF(テーブル22[[#This Row],[性別]]="男",LOOKUP(テーブル22[[#This Row],[立幅とび]],$AV$6:$AW$15),LOOKUP(テーブル22[[#This Row],[立幅とび]],$AV$20:$AW$29))))</f>
        <v>0</v>
      </c>
      <c r="Y243" s="42">
        <f>IF(テーブル22[[#This Row],[ボール投げ]]="",0,(IF(テーブル22[[#This Row],[性別]]="男",LOOKUP(テーブル22[[#This Row],[ボール投げ]],$AX$6:$AY$15),LOOKUP(テーブル22[[#This Row],[ボール投げ]],$AX$20:$AY$29))))</f>
        <v>0</v>
      </c>
      <c r="Z243" s="19" t="str">
        <f>IF(テーブル22[[#This Row],[学年]]=1,6,IF(テーブル22[[#This Row],[学年]]=2,7,IF(テーブル22[[#This Row],[学年]]=3,8,IF(テーブル22[[#This Row],[学年]]=4,9,IF(テーブル22[[#This Row],[学年]]=5,10,IF(テーブル22[[#This Row],[学年]]=6,11," "))))))</f>
        <v xml:space="preserve"> </v>
      </c>
      <c r="AA243" s="125" t="str">
        <f>IF(テーブル22[[#This Row],[肥満度数値]]="","",LOOKUP(AC243,$AW$39:$AW$44,$AX$39:$AX$44))</f>
        <v/>
      </c>
      <c r="AB2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3" s="124" t="str">
        <f>IF(テーブル22[[#This Row],[体重]]="","",(テーブル22[[#This Row],[体重]]-テーブル22[[#This Row],[標準体重]])/テーブル22[[#This Row],[標準体重]]*100)</f>
        <v/>
      </c>
      <c r="AD243" s="1">
        <f>COUNTA(テーブル22[[#This Row],[握力]:[ボール投げ]])</f>
        <v>0</v>
      </c>
      <c r="AE243" s="1" t="str">
        <f>IF(テーブル22[[#This Row],[判定]]=$BD$10,"○","")</f>
        <v/>
      </c>
      <c r="AF243" s="1" t="str">
        <f>IF(AE243="","",COUNTIF($AE$6:AE243,"○"))</f>
        <v/>
      </c>
    </row>
    <row r="244" spans="1:32" x14ac:dyDescent="0.2">
      <c r="A244" s="40">
        <v>239</v>
      </c>
      <c r="B244" s="145"/>
      <c r="C244" s="148"/>
      <c r="D244" s="145"/>
      <c r="E244" s="156"/>
      <c r="F244" s="145"/>
      <c r="G244" s="145"/>
      <c r="H244" s="146"/>
      <c r="I244" s="146"/>
      <c r="J244" s="148"/>
      <c r="K244" s="145"/>
      <c r="L244" s="148"/>
      <c r="M244" s="149"/>
      <c r="N244" s="148"/>
      <c r="O244" s="150"/>
      <c r="P2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4" s="43" t="str">
        <f>IF(テーブル22[[#This Row],[得点]]="","",IF(テーブル22[[#This Row],[年齢]]&gt;10,LOOKUP(P244,$BG$6:$BG$10,$BD$6:$BD$10),IF(テーブル22[[#This Row],[年齢]]&gt;9,LOOKUP(P244,$BF$6:$BF$10,$BD$6:$BD$10),IF(テーブル22[[#This Row],[年齢]]&gt;8,LOOKUP(P244,$BE$6:$BE$10,$BD$6:$BD$10),IF(テーブル22[[#This Row],[年齢]]&gt;7,LOOKUP(P244,$BC$6:$BC$10,$BD$6:$BD$10),IF(テーブル22[[#This Row],[年齢]]&gt;6,LOOKUP(P244,$BB$6:$BB$10,$BD$6:$BD$10),LOOKUP(P244,$BA$6:$BA$10,$BD$6:$BD$10)))))))</f>
        <v/>
      </c>
      <c r="R244" s="42">
        <f>IF(H244="",0,(IF(テーブル22[[#This Row],[性別]]="男",LOOKUP(テーブル22[[#This Row],[握力]],$AH$6:$AI$15),LOOKUP(テーブル22[[#This Row],[握力]],$AH$20:$AI$29))))</f>
        <v>0</v>
      </c>
      <c r="S244" s="42">
        <f>IF(テーブル22[[#This Row],[上体]]="",0,(IF(テーブル22[[#This Row],[性別]]="男",LOOKUP(テーブル22[[#This Row],[上体]],$AJ$6:$AK$15),LOOKUP(テーブル22[[#This Row],[上体]],$AJ$20:$AK$29))))</f>
        <v>0</v>
      </c>
      <c r="T244" s="42">
        <f>IF(テーブル22[[#This Row],[長座]]="",0,(IF(テーブル22[[#This Row],[性別]]="男",LOOKUP(テーブル22[[#This Row],[長座]],$AL$6:$AM$15),LOOKUP(テーブル22[[#This Row],[長座]],$AL$20:$AM$29))))</f>
        <v>0</v>
      </c>
      <c r="U244" s="42">
        <f>IF(テーブル22[[#This Row],[反復]]="",0,(IF(テーブル22[[#This Row],[性別]]="男",LOOKUP(テーブル22[[#This Row],[反復]],$AN$6:$AO$15),LOOKUP(テーブル22[[#This Row],[反復]],$AN$20:$AO$29))))</f>
        <v>0</v>
      </c>
      <c r="V244" s="42">
        <f>IF(テーブル22[[#This Row],[ｼｬﾄﾙﾗﾝ]]="",0,(IF(テーブル22[[#This Row],[性別]]="男",LOOKUP(テーブル22[[#This Row],[ｼｬﾄﾙﾗﾝ]],$AR$6:$AS$15),LOOKUP(テーブル22[[#This Row],[ｼｬﾄﾙﾗﾝ]],$AR$20:$AS$29))))</f>
        <v>0</v>
      </c>
      <c r="W244" s="42">
        <f>IF(テーブル22[[#This Row],[50m走]]="",0,(IF(テーブル22[[#This Row],[性別]]="男",LOOKUP(テーブル22[[#This Row],[50m走]],$AT$6:$AU$15),LOOKUP(テーブル22[[#This Row],[50m走]],$AT$20:$AU$29))))</f>
        <v>0</v>
      </c>
      <c r="X244" s="42">
        <f>IF(テーブル22[[#This Row],[立幅とび]]="",0,(IF(テーブル22[[#This Row],[性別]]="男",LOOKUP(テーブル22[[#This Row],[立幅とび]],$AV$6:$AW$15),LOOKUP(テーブル22[[#This Row],[立幅とび]],$AV$20:$AW$29))))</f>
        <v>0</v>
      </c>
      <c r="Y244" s="42">
        <f>IF(テーブル22[[#This Row],[ボール投げ]]="",0,(IF(テーブル22[[#This Row],[性別]]="男",LOOKUP(テーブル22[[#This Row],[ボール投げ]],$AX$6:$AY$15),LOOKUP(テーブル22[[#This Row],[ボール投げ]],$AX$20:$AY$29))))</f>
        <v>0</v>
      </c>
      <c r="Z244" s="19" t="str">
        <f>IF(テーブル22[[#This Row],[学年]]=1,6,IF(テーブル22[[#This Row],[学年]]=2,7,IF(テーブル22[[#This Row],[学年]]=3,8,IF(テーブル22[[#This Row],[学年]]=4,9,IF(テーブル22[[#This Row],[学年]]=5,10,IF(テーブル22[[#This Row],[学年]]=6,11," "))))))</f>
        <v xml:space="preserve"> </v>
      </c>
      <c r="AA244" s="125" t="str">
        <f>IF(テーブル22[[#This Row],[肥満度数値]]="","",LOOKUP(AC244,$AW$39:$AW$44,$AX$39:$AX$44))</f>
        <v/>
      </c>
      <c r="AB2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4" s="124" t="str">
        <f>IF(テーブル22[[#This Row],[体重]]="","",(テーブル22[[#This Row],[体重]]-テーブル22[[#This Row],[標準体重]])/テーブル22[[#This Row],[標準体重]]*100)</f>
        <v/>
      </c>
      <c r="AD244" s="1">
        <f>COUNTA(テーブル22[[#This Row],[握力]:[ボール投げ]])</f>
        <v>0</v>
      </c>
      <c r="AE244" s="1" t="str">
        <f>IF(テーブル22[[#This Row],[判定]]=$BD$10,"○","")</f>
        <v/>
      </c>
      <c r="AF244" s="1" t="str">
        <f>IF(AE244="","",COUNTIF($AE$6:AE244,"○"))</f>
        <v/>
      </c>
    </row>
    <row r="245" spans="1:32" x14ac:dyDescent="0.2">
      <c r="A245" s="40">
        <v>240</v>
      </c>
      <c r="B245" s="145"/>
      <c r="C245" s="148"/>
      <c r="D245" s="145"/>
      <c r="E245" s="156"/>
      <c r="F245" s="145"/>
      <c r="G245" s="145"/>
      <c r="H245" s="146"/>
      <c r="I245" s="146"/>
      <c r="J245" s="148"/>
      <c r="K245" s="145"/>
      <c r="L245" s="148"/>
      <c r="M245" s="149"/>
      <c r="N245" s="148"/>
      <c r="O245" s="150"/>
      <c r="P2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5" s="43" t="str">
        <f>IF(テーブル22[[#This Row],[得点]]="","",IF(テーブル22[[#This Row],[年齢]]&gt;10,LOOKUP(P245,$BG$6:$BG$10,$BD$6:$BD$10),IF(テーブル22[[#This Row],[年齢]]&gt;9,LOOKUP(P245,$BF$6:$BF$10,$BD$6:$BD$10),IF(テーブル22[[#This Row],[年齢]]&gt;8,LOOKUP(P245,$BE$6:$BE$10,$BD$6:$BD$10),IF(テーブル22[[#This Row],[年齢]]&gt;7,LOOKUP(P245,$BC$6:$BC$10,$BD$6:$BD$10),IF(テーブル22[[#This Row],[年齢]]&gt;6,LOOKUP(P245,$BB$6:$BB$10,$BD$6:$BD$10),LOOKUP(P245,$BA$6:$BA$10,$BD$6:$BD$10)))))))</f>
        <v/>
      </c>
      <c r="R245" s="42">
        <f>IF(H245="",0,(IF(テーブル22[[#This Row],[性別]]="男",LOOKUP(テーブル22[[#This Row],[握力]],$AH$6:$AI$15),LOOKUP(テーブル22[[#This Row],[握力]],$AH$20:$AI$29))))</f>
        <v>0</v>
      </c>
      <c r="S245" s="42">
        <f>IF(テーブル22[[#This Row],[上体]]="",0,(IF(テーブル22[[#This Row],[性別]]="男",LOOKUP(テーブル22[[#This Row],[上体]],$AJ$6:$AK$15),LOOKUP(テーブル22[[#This Row],[上体]],$AJ$20:$AK$29))))</f>
        <v>0</v>
      </c>
      <c r="T245" s="42">
        <f>IF(テーブル22[[#This Row],[長座]]="",0,(IF(テーブル22[[#This Row],[性別]]="男",LOOKUP(テーブル22[[#This Row],[長座]],$AL$6:$AM$15),LOOKUP(テーブル22[[#This Row],[長座]],$AL$20:$AM$29))))</f>
        <v>0</v>
      </c>
      <c r="U245" s="42">
        <f>IF(テーブル22[[#This Row],[反復]]="",0,(IF(テーブル22[[#This Row],[性別]]="男",LOOKUP(テーブル22[[#This Row],[反復]],$AN$6:$AO$15),LOOKUP(テーブル22[[#This Row],[反復]],$AN$20:$AO$29))))</f>
        <v>0</v>
      </c>
      <c r="V245" s="42">
        <f>IF(テーブル22[[#This Row],[ｼｬﾄﾙﾗﾝ]]="",0,(IF(テーブル22[[#This Row],[性別]]="男",LOOKUP(テーブル22[[#This Row],[ｼｬﾄﾙﾗﾝ]],$AR$6:$AS$15),LOOKUP(テーブル22[[#This Row],[ｼｬﾄﾙﾗﾝ]],$AR$20:$AS$29))))</f>
        <v>0</v>
      </c>
      <c r="W245" s="42">
        <f>IF(テーブル22[[#This Row],[50m走]]="",0,(IF(テーブル22[[#This Row],[性別]]="男",LOOKUP(テーブル22[[#This Row],[50m走]],$AT$6:$AU$15),LOOKUP(テーブル22[[#This Row],[50m走]],$AT$20:$AU$29))))</f>
        <v>0</v>
      </c>
      <c r="X245" s="42">
        <f>IF(テーブル22[[#This Row],[立幅とび]]="",0,(IF(テーブル22[[#This Row],[性別]]="男",LOOKUP(テーブル22[[#This Row],[立幅とび]],$AV$6:$AW$15),LOOKUP(テーブル22[[#This Row],[立幅とび]],$AV$20:$AW$29))))</f>
        <v>0</v>
      </c>
      <c r="Y245" s="42">
        <f>IF(テーブル22[[#This Row],[ボール投げ]]="",0,(IF(テーブル22[[#This Row],[性別]]="男",LOOKUP(テーブル22[[#This Row],[ボール投げ]],$AX$6:$AY$15),LOOKUP(テーブル22[[#This Row],[ボール投げ]],$AX$20:$AY$29))))</f>
        <v>0</v>
      </c>
      <c r="Z245" s="19" t="str">
        <f>IF(テーブル22[[#This Row],[学年]]=1,6,IF(テーブル22[[#This Row],[学年]]=2,7,IF(テーブル22[[#This Row],[学年]]=3,8,IF(テーブル22[[#This Row],[学年]]=4,9,IF(テーブル22[[#This Row],[学年]]=5,10,IF(テーブル22[[#This Row],[学年]]=6,11," "))))))</f>
        <v xml:space="preserve"> </v>
      </c>
      <c r="AA245" s="125" t="str">
        <f>IF(テーブル22[[#This Row],[肥満度数値]]="","",LOOKUP(AC245,$AW$39:$AW$44,$AX$39:$AX$44))</f>
        <v/>
      </c>
      <c r="AB2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5" s="124" t="str">
        <f>IF(テーブル22[[#This Row],[体重]]="","",(テーブル22[[#This Row],[体重]]-テーブル22[[#This Row],[標準体重]])/テーブル22[[#This Row],[標準体重]]*100)</f>
        <v/>
      </c>
      <c r="AD245" s="1">
        <f>COUNTA(テーブル22[[#This Row],[握力]:[ボール投げ]])</f>
        <v>0</v>
      </c>
      <c r="AE245" s="1" t="str">
        <f>IF(テーブル22[[#This Row],[判定]]=$BD$10,"○","")</f>
        <v/>
      </c>
      <c r="AF245" s="1" t="str">
        <f>IF(AE245="","",COUNTIF($AE$6:AE245,"○"))</f>
        <v/>
      </c>
    </row>
    <row r="246" spans="1:32" x14ac:dyDescent="0.2">
      <c r="A246" s="40">
        <v>241</v>
      </c>
      <c r="B246" s="145"/>
      <c r="C246" s="148"/>
      <c r="D246" s="145"/>
      <c r="E246" s="156"/>
      <c r="F246" s="145"/>
      <c r="G246" s="145"/>
      <c r="H246" s="146"/>
      <c r="I246" s="146"/>
      <c r="J246" s="148"/>
      <c r="K246" s="145"/>
      <c r="L246" s="148"/>
      <c r="M246" s="149"/>
      <c r="N246" s="148"/>
      <c r="O246" s="150"/>
      <c r="P2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6" s="43" t="str">
        <f>IF(テーブル22[[#This Row],[得点]]="","",IF(テーブル22[[#This Row],[年齢]]&gt;10,LOOKUP(P246,$BG$6:$BG$10,$BD$6:$BD$10),IF(テーブル22[[#This Row],[年齢]]&gt;9,LOOKUP(P246,$BF$6:$BF$10,$BD$6:$BD$10),IF(テーブル22[[#This Row],[年齢]]&gt;8,LOOKUP(P246,$BE$6:$BE$10,$BD$6:$BD$10),IF(テーブル22[[#This Row],[年齢]]&gt;7,LOOKUP(P246,$BC$6:$BC$10,$BD$6:$BD$10),IF(テーブル22[[#This Row],[年齢]]&gt;6,LOOKUP(P246,$BB$6:$BB$10,$BD$6:$BD$10),LOOKUP(P246,$BA$6:$BA$10,$BD$6:$BD$10)))))))</f>
        <v/>
      </c>
      <c r="R246" s="42">
        <f>IF(H246="",0,(IF(テーブル22[[#This Row],[性別]]="男",LOOKUP(テーブル22[[#This Row],[握力]],$AH$6:$AI$15),LOOKUP(テーブル22[[#This Row],[握力]],$AH$20:$AI$29))))</f>
        <v>0</v>
      </c>
      <c r="S246" s="42">
        <f>IF(テーブル22[[#This Row],[上体]]="",0,(IF(テーブル22[[#This Row],[性別]]="男",LOOKUP(テーブル22[[#This Row],[上体]],$AJ$6:$AK$15),LOOKUP(テーブル22[[#This Row],[上体]],$AJ$20:$AK$29))))</f>
        <v>0</v>
      </c>
      <c r="T246" s="42">
        <f>IF(テーブル22[[#This Row],[長座]]="",0,(IF(テーブル22[[#This Row],[性別]]="男",LOOKUP(テーブル22[[#This Row],[長座]],$AL$6:$AM$15),LOOKUP(テーブル22[[#This Row],[長座]],$AL$20:$AM$29))))</f>
        <v>0</v>
      </c>
      <c r="U246" s="42">
        <f>IF(テーブル22[[#This Row],[反復]]="",0,(IF(テーブル22[[#This Row],[性別]]="男",LOOKUP(テーブル22[[#This Row],[反復]],$AN$6:$AO$15),LOOKUP(テーブル22[[#This Row],[反復]],$AN$20:$AO$29))))</f>
        <v>0</v>
      </c>
      <c r="V246" s="42">
        <f>IF(テーブル22[[#This Row],[ｼｬﾄﾙﾗﾝ]]="",0,(IF(テーブル22[[#This Row],[性別]]="男",LOOKUP(テーブル22[[#This Row],[ｼｬﾄﾙﾗﾝ]],$AR$6:$AS$15),LOOKUP(テーブル22[[#This Row],[ｼｬﾄﾙﾗﾝ]],$AR$20:$AS$29))))</f>
        <v>0</v>
      </c>
      <c r="W246" s="42">
        <f>IF(テーブル22[[#This Row],[50m走]]="",0,(IF(テーブル22[[#This Row],[性別]]="男",LOOKUP(テーブル22[[#This Row],[50m走]],$AT$6:$AU$15),LOOKUP(テーブル22[[#This Row],[50m走]],$AT$20:$AU$29))))</f>
        <v>0</v>
      </c>
      <c r="X246" s="42">
        <f>IF(テーブル22[[#This Row],[立幅とび]]="",0,(IF(テーブル22[[#This Row],[性別]]="男",LOOKUP(テーブル22[[#This Row],[立幅とび]],$AV$6:$AW$15),LOOKUP(テーブル22[[#This Row],[立幅とび]],$AV$20:$AW$29))))</f>
        <v>0</v>
      </c>
      <c r="Y246" s="42">
        <f>IF(テーブル22[[#This Row],[ボール投げ]]="",0,(IF(テーブル22[[#This Row],[性別]]="男",LOOKUP(テーブル22[[#This Row],[ボール投げ]],$AX$6:$AY$15),LOOKUP(テーブル22[[#This Row],[ボール投げ]],$AX$20:$AY$29))))</f>
        <v>0</v>
      </c>
      <c r="Z246" s="19" t="str">
        <f>IF(テーブル22[[#This Row],[学年]]=1,6,IF(テーブル22[[#This Row],[学年]]=2,7,IF(テーブル22[[#This Row],[学年]]=3,8,IF(テーブル22[[#This Row],[学年]]=4,9,IF(テーブル22[[#This Row],[学年]]=5,10,IF(テーブル22[[#This Row],[学年]]=6,11," "))))))</f>
        <v xml:space="preserve"> </v>
      </c>
      <c r="AA246" s="125" t="str">
        <f>IF(テーブル22[[#This Row],[肥満度数値]]="","",LOOKUP(AC246,$AW$39:$AW$44,$AX$39:$AX$44))</f>
        <v/>
      </c>
      <c r="AB2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6" s="124" t="str">
        <f>IF(テーブル22[[#This Row],[体重]]="","",(テーブル22[[#This Row],[体重]]-テーブル22[[#This Row],[標準体重]])/テーブル22[[#This Row],[標準体重]]*100)</f>
        <v/>
      </c>
      <c r="AD246" s="1">
        <f>COUNTA(テーブル22[[#This Row],[握力]:[ボール投げ]])</f>
        <v>0</v>
      </c>
      <c r="AE246" s="1" t="str">
        <f>IF(テーブル22[[#This Row],[判定]]=$BD$10,"○","")</f>
        <v/>
      </c>
      <c r="AF246" s="1" t="str">
        <f>IF(AE246="","",COUNTIF($AE$6:AE246,"○"))</f>
        <v/>
      </c>
    </row>
    <row r="247" spans="1:32" x14ac:dyDescent="0.2">
      <c r="A247" s="40">
        <v>242</v>
      </c>
      <c r="B247" s="145"/>
      <c r="C247" s="148"/>
      <c r="D247" s="145"/>
      <c r="E247" s="156"/>
      <c r="F247" s="145"/>
      <c r="G247" s="145"/>
      <c r="H247" s="146"/>
      <c r="I247" s="146"/>
      <c r="J247" s="148"/>
      <c r="K247" s="145"/>
      <c r="L247" s="148"/>
      <c r="M247" s="149"/>
      <c r="N247" s="148"/>
      <c r="O247" s="150"/>
      <c r="P2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7" s="43" t="str">
        <f>IF(テーブル22[[#This Row],[得点]]="","",IF(テーブル22[[#This Row],[年齢]]&gt;10,LOOKUP(P247,$BG$6:$BG$10,$BD$6:$BD$10),IF(テーブル22[[#This Row],[年齢]]&gt;9,LOOKUP(P247,$BF$6:$BF$10,$BD$6:$BD$10),IF(テーブル22[[#This Row],[年齢]]&gt;8,LOOKUP(P247,$BE$6:$BE$10,$BD$6:$BD$10),IF(テーブル22[[#This Row],[年齢]]&gt;7,LOOKUP(P247,$BC$6:$BC$10,$BD$6:$BD$10),IF(テーブル22[[#This Row],[年齢]]&gt;6,LOOKUP(P247,$BB$6:$BB$10,$BD$6:$BD$10),LOOKUP(P247,$BA$6:$BA$10,$BD$6:$BD$10)))))))</f>
        <v/>
      </c>
      <c r="R247" s="42">
        <f>IF(H247="",0,(IF(テーブル22[[#This Row],[性別]]="男",LOOKUP(テーブル22[[#This Row],[握力]],$AH$6:$AI$15),LOOKUP(テーブル22[[#This Row],[握力]],$AH$20:$AI$29))))</f>
        <v>0</v>
      </c>
      <c r="S247" s="42">
        <f>IF(テーブル22[[#This Row],[上体]]="",0,(IF(テーブル22[[#This Row],[性別]]="男",LOOKUP(テーブル22[[#This Row],[上体]],$AJ$6:$AK$15),LOOKUP(テーブル22[[#This Row],[上体]],$AJ$20:$AK$29))))</f>
        <v>0</v>
      </c>
      <c r="T247" s="42">
        <f>IF(テーブル22[[#This Row],[長座]]="",0,(IF(テーブル22[[#This Row],[性別]]="男",LOOKUP(テーブル22[[#This Row],[長座]],$AL$6:$AM$15),LOOKUP(テーブル22[[#This Row],[長座]],$AL$20:$AM$29))))</f>
        <v>0</v>
      </c>
      <c r="U247" s="42">
        <f>IF(テーブル22[[#This Row],[反復]]="",0,(IF(テーブル22[[#This Row],[性別]]="男",LOOKUP(テーブル22[[#This Row],[反復]],$AN$6:$AO$15),LOOKUP(テーブル22[[#This Row],[反復]],$AN$20:$AO$29))))</f>
        <v>0</v>
      </c>
      <c r="V247" s="42">
        <f>IF(テーブル22[[#This Row],[ｼｬﾄﾙﾗﾝ]]="",0,(IF(テーブル22[[#This Row],[性別]]="男",LOOKUP(テーブル22[[#This Row],[ｼｬﾄﾙﾗﾝ]],$AR$6:$AS$15),LOOKUP(テーブル22[[#This Row],[ｼｬﾄﾙﾗﾝ]],$AR$20:$AS$29))))</f>
        <v>0</v>
      </c>
      <c r="W247" s="42">
        <f>IF(テーブル22[[#This Row],[50m走]]="",0,(IF(テーブル22[[#This Row],[性別]]="男",LOOKUP(テーブル22[[#This Row],[50m走]],$AT$6:$AU$15),LOOKUP(テーブル22[[#This Row],[50m走]],$AT$20:$AU$29))))</f>
        <v>0</v>
      </c>
      <c r="X247" s="42">
        <f>IF(テーブル22[[#This Row],[立幅とび]]="",0,(IF(テーブル22[[#This Row],[性別]]="男",LOOKUP(テーブル22[[#This Row],[立幅とび]],$AV$6:$AW$15),LOOKUP(テーブル22[[#This Row],[立幅とび]],$AV$20:$AW$29))))</f>
        <v>0</v>
      </c>
      <c r="Y247" s="42">
        <f>IF(テーブル22[[#This Row],[ボール投げ]]="",0,(IF(テーブル22[[#This Row],[性別]]="男",LOOKUP(テーブル22[[#This Row],[ボール投げ]],$AX$6:$AY$15),LOOKUP(テーブル22[[#This Row],[ボール投げ]],$AX$20:$AY$29))))</f>
        <v>0</v>
      </c>
      <c r="Z247" s="19" t="str">
        <f>IF(テーブル22[[#This Row],[学年]]=1,6,IF(テーブル22[[#This Row],[学年]]=2,7,IF(テーブル22[[#This Row],[学年]]=3,8,IF(テーブル22[[#This Row],[学年]]=4,9,IF(テーブル22[[#This Row],[学年]]=5,10,IF(テーブル22[[#This Row],[学年]]=6,11," "))))))</f>
        <v xml:space="preserve"> </v>
      </c>
      <c r="AA247" s="125" t="str">
        <f>IF(テーブル22[[#This Row],[肥満度数値]]="","",LOOKUP(AC247,$AW$39:$AW$44,$AX$39:$AX$44))</f>
        <v/>
      </c>
      <c r="AB2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7" s="124" t="str">
        <f>IF(テーブル22[[#This Row],[体重]]="","",(テーブル22[[#This Row],[体重]]-テーブル22[[#This Row],[標準体重]])/テーブル22[[#This Row],[標準体重]]*100)</f>
        <v/>
      </c>
      <c r="AD247" s="1">
        <f>COUNTA(テーブル22[[#This Row],[握力]:[ボール投げ]])</f>
        <v>0</v>
      </c>
      <c r="AE247" s="1" t="str">
        <f>IF(テーブル22[[#This Row],[判定]]=$BD$10,"○","")</f>
        <v/>
      </c>
      <c r="AF247" s="1" t="str">
        <f>IF(AE247="","",COUNTIF($AE$6:AE247,"○"))</f>
        <v/>
      </c>
    </row>
    <row r="248" spans="1:32" x14ac:dyDescent="0.2">
      <c r="A248" s="40">
        <v>243</v>
      </c>
      <c r="B248" s="145"/>
      <c r="C248" s="148"/>
      <c r="D248" s="145"/>
      <c r="E248" s="156"/>
      <c r="F248" s="145"/>
      <c r="G248" s="145"/>
      <c r="H248" s="146"/>
      <c r="I248" s="146"/>
      <c r="J248" s="148"/>
      <c r="K248" s="145"/>
      <c r="L248" s="148"/>
      <c r="M248" s="149"/>
      <c r="N248" s="148"/>
      <c r="O248" s="150"/>
      <c r="P2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8" s="43" t="str">
        <f>IF(テーブル22[[#This Row],[得点]]="","",IF(テーブル22[[#This Row],[年齢]]&gt;10,LOOKUP(P248,$BG$6:$BG$10,$BD$6:$BD$10),IF(テーブル22[[#This Row],[年齢]]&gt;9,LOOKUP(P248,$BF$6:$BF$10,$BD$6:$BD$10),IF(テーブル22[[#This Row],[年齢]]&gt;8,LOOKUP(P248,$BE$6:$BE$10,$BD$6:$BD$10),IF(テーブル22[[#This Row],[年齢]]&gt;7,LOOKUP(P248,$BC$6:$BC$10,$BD$6:$BD$10),IF(テーブル22[[#This Row],[年齢]]&gt;6,LOOKUP(P248,$BB$6:$BB$10,$BD$6:$BD$10),LOOKUP(P248,$BA$6:$BA$10,$BD$6:$BD$10)))))))</f>
        <v/>
      </c>
      <c r="R248" s="42">
        <f>IF(H248="",0,(IF(テーブル22[[#This Row],[性別]]="男",LOOKUP(テーブル22[[#This Row],[握力]],$AH$6:$AI$15),LOOKUP(テーブル22[[#This Row],[握力]],$AH$20:$AI$29))))</f>
        <v>0</v>
      </c>
      <c r="S248" s="42">
        <f>IF(テーブル22[[#This Row],[上体]]="",0,(IF(テーブル22[[#This Row],[性別]]="男",LOOKUP(テーブル22[[#This Row],[上体]],$AJ$6:$AK$15),LOOKUP(テーブル22[[#This Row],[上体]],$AJ$20:$AK$29))))</f>
        <v>0</v>
      </c>
      <c r="T248" s="42">
        <f>IF(テーブル22[[#This Row],[長座]]="",0,(IF(テーブル22[[#This Row],[性別]]="男",LOOKUP(テーブル22[[#This Row],[長座]],$AL$6:$AM$15),LOOKUP(テーブル22[[#This Row],[長座]],$AL$20:$AM$29))))</f>
        <v>0</v>
      </c>
      <c r="U248" s="42">
        <f>IF(テーブル22[[#This Row],[反復]]="",0,(IF(テーブル22[[#This Row],[性別]]="男",LOOKUP(テーブル22[[#This Row],[反復]],$AN$6:$AO$15),LOOKUP(テーブル22[[#This Row],[反復]],$AN$20:$AO$29))))</f>
        <v>0</v>
      </c>
      <c r="V248" s="42">
        <f>IF(テーブル22[[#This Row],[ｼｬﾄﾙﾗﾝ]]="",0,(IF(テーブル22[[#This Row],[性別]]="男",LOOKUP(テーブル22[[#This Row],[ｼｬﾄﾙﾗﾝ]],$AR$6:$AS$15),LOOKUP(テーブル22[[#This Row],[ｼｬﾄﾙﾗﾝ]],$AR$20:$AS$29))))</f>
        <v>0</v>
      </c>
      <c r="W248" s="42">
        <f>IF(テーブル22[[#This Row],[50m走]]="",0,(IF(テーブル22[[#This Row],[性別]]="男",LOOKUP(テーブル22[[#This Row],[50m走]],$AT$6:$AU$15),LOOKUP(テーブル22[[#This Row],[50m走]],$AT$20:$AU$29))))</f>
        <v>0</v>
      </c>
      <c r="X248" s="42">
        <f>IF(テーブル22[[#This Row],[立幅とび]]="",0,(IF(テーブル22[[#This Row],[性別]]="男",LOOKUP(テーブル22[[#This Row],[立幅とび]],$AV$6:$AW$15),LOOKUP(テーブル22[[#This Row],[立幅とび]],$AV$20:$AW$29))))</f>
        <v>0</v>
      </c>
      <c r="Y248" s="42">
        <f>IF(テーブル22[[#This Row],[ボール投げ]]="",0,(IF(テーブル22[[#This Row],[性別]]="男",LOOKUP(テーブル22[[#This Row],[ボール投げ]],$AX$6:$AY$15),LOOKUP(テーブル22[[#This Row],[ボール投げ]],$AX$20:$AY$29))))</f>
        <v>0</v>
      </c>
      <c r="Z248" s="19" t="str">
        <f>IF(テーブル22[[#This Row],[学年]]=1,6,IF(テーブル22[[#This Row],[学年]]=2,7,IF(テーブル22[[#This Row],[学年]]=3,8,IF(テーブル22[[#This Row],[学年]]=4,9,IF(テーブル22[[#This Row],[学年]]=5,10,IF(テーブル22[[#This Row],[学年]]=6,11," "))))))</f>
        <v xml:space="preserve"> </v>
      </c>
      <c r="AA248" s="125" t="str">
        <f>IF(テーブル22[[#This Row],[肥満度数値]]="","",LOOKUP(AC248,$AW$39:$AW$44,$AX$39:$AX$44))</f>
        <v/>
      </c>
      <c r="AB2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8" s="124" t="str">
        <f>IF(テーブル22[[#This Row],[体重]]="","",(テーブル22[[#This Row],[体重]]-テーブル22[[#This Row],[標準体重]])/テーブル22[[#This Row],[標準体重]]*100)</f>
        <v/>
      </c>
      <c r="AD248" s="1">
        <f>COUNTA(テーブル22[[#This Row],[握力]:[ボール投げ]])</f>
        <v>0</v>
      </c>
      <c r="AE248" s="1" t="str">
        <f>IF(テーブル22[[#This Row],[判定]]=$BD$10,"○","")</f>
        <v/>
      </c>
      <c r="AF248" s="1" t="str">
        <f>IF(AE248="","",COUNTIF($AE$6:AE248,"○"))</f>
        <v/>
      </c>
    </row>
    <row r="249" spans="1:32" x14ac:dyDescent="0.2">
      <c r="A249" s="40">
        <v>244</v>
      </c>
      <c r="B249" s="145"/>
      <c r="C249" s="148"/>
      <c r="D249" s="145"/>
      <c r="E249" s="156"/>
      <c r="F249" s="145"/>
      <c r="G249" s="145"/>
      <c r="H249" s="146"/>
      <c r="I249" s="146"/>
      <c r="J249" s="148"/>
      <c r="K249" s="145"/>
      <c r="L249" s="148"/>
      <c r="M249" s="149"/>
      <c r="N249" s="148"/>
      <c r="O249" s="150"/>
      <c r="P2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49" s="43" t="str">
        <f>IF(テーブル22[[#This Row],[得点]]="","",IF(テーブル22[[#This Row],[年齢]]&gt;10,LOOKUP(P249,$BG$6:$BG$10,$BD$6:$BD$10),IF(テーブル22[[#This Row],[年齢]]&gt;9,LOOKUP(P249,$BF$6:$BF$10,$BD$6:$BD$10),IF(テーブル22[[#This Row],[年齢]]&gt;8,LOOKUP(P249,$BE$6:$BE$10,$BD$6:$BD$10),IF(テーブル22[[#This Row],[年齢]]&gt;7,LOOKUP(P249,$BC$6:$BC$10,$BD$6:$BD$10),IF(テーブル22[[#This Row],[年齢]]&gt;6,LOOKUP(P249,$BB$6:$BB$10,$BD$6:$BD$10),LOOKUP(P249,$BA$6:$BA$10,$BD$6:$BD$10)))))))</f>
        <v/>
      </c>
      <c r="R249" s="42">
        <f>IF(H249="",0,(IF(テーブル22[[#This Row],[性別]]="男",LOOKUP(テーブル22[[#This Row],[握力]],$AH$6:$AI$15),LOOKUP(テーブル22[[#This Row],[握力]],$AH$20:$AI$29))))</f>
        <v>0</v>
      </c>
      <c r="S249" s="42">
        <f>IF(テーブル22[[#This Row],[上体]]="",0,(IF(テーブル22[[#This Row],[性別]]="男",LOOKUP(テーブル22[[#This Row],[上体]],$AJ$6:$AK$15),LOOKUP(テーブル22[[#This Row],[上体]],$AJ$20:$AK$29))))</f>
        <v>0</v>
      </c>
      <c r="T249" s="42">
        <f>IF(テーブル22[[#This Row],[長座]]="",0,(IF(テーブル22[[#This Row],[性別]]="男",LOOKUP(テーブル22[[#This Row],[長座]],$AL$6:$AM$15),LOOKUP(テーブル22[[#This Row],[長座]],$AL$20:$AM$29))))</f>
        <v>0</v>
      </c>
      <c r="U249" s="42">
        <f>IF(テーブル22[[#This Row],[反復]]="",0,(IF(テーブル22[[#This Row],[性別]]="男",LOOKUP(テーブル22[[#This Row],[反復]],$AN$6:$AO$15),LOOKUP(テーブル22[[#This Row],[反復]],$AN$20:$AO$29))))</f>
        <v>0</v>
      </c>
      <c r="V249" s="42">
        <f>IF(テーブル22[[#This Row],[ｼｬﾄﾙﾗﾝ]]="",0,(IF(テーブル22[[#This Row],[性別]]="男",LOOKUP(テーブル22[[#This Row],[ｼｬﾄﾙﾗﾝ]],$AR$6:$AS$15),LOOKUP(テーブル22[[#This Row],[ｼｬﾄﾙﾗﾝ]],$AR$20:$AS$29))))</f>
        <v>0</v>
      </c>
      <c r="W249" s="42">
        <f>IF(テーブル22[[#This Row],[50m走]]="",0,(IF(テーブル22[[#This Row],[性別]]="男",LOOKUP(テーブル22[[#This Row],[50m走]],$AT$6:$AU$15),LOOKUP(テーブル22[[#This Row],[50m走]],$AT$20:$AU$29))))</f>
        <v>0</v>
      </c>
      <c r="X249" s="42">
        <f>IF(テーブル22[[#This Row],[立幅とび]]="",0,(IF(テーブル22[[#This Row],[性別]]="男",LOOKUP(テーブル22[[#This Row],[立幅とび]],$AV$6:$AW$15),LOOKUP(テーブル22[[#This Row],[立幅とび]],$AV$20:$AW$29))))</f>
        <v>0</v>
      </c>
      <c r="Y249" s="42">
        <f>IF(テーブル22[[#This Row],[ボール投げ]]="",0,(IF(テーブル22[[#This Row],[性別]]="男",LOOKUP(テーブル22[[#This Row],[ボール投げ]],$AX$6:$AY$15),LOOKUP(テーブル22[[#This Row],[ボール投げ]],$AX$20:$AY$29))))</f>
        <v>0</v>
      </c>
      <c r="Z249" s="19" t="str">
        <f>IF(テーブル22[[#This Row],[学年]]=1,6,IF(テーブル22[[#This Row],[学年]]=2,7,IF(テーブル22[[#This Row],[学年]]=3,8,IF(テーブル22[[#This Row],[学年]]=4,9,IF(テーブル22[[#This Row],[学年]]=5,10,IF(テーブル22[[#This Row],[学年]]=6,11," "))))))</f>
        <v xml:space="preserve"> </v>
      </c>
      <c r="AA249" s="125" t="str">
        <f>IF(テーブル22[[#This Row],[肥満度数値]]="","",LOOKUP(AC249,$AW$39:$AW$44,$AX$39:$AX$44))</f>
        <v/>
      </c>
      <c r="AB2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49" s="124" t="str">
        <f>IF(テーブル22[[#This Row],[体重]]="","",(テーブル22[[#This Row],[体重]]-テーブル22[[#This Row],[標準体重]])/テーブル22[[#This Row],[標準体重]]*100)</f>
        <v/>
      </c>
      <c r="AD249" s="1">
        <f>COUNTA(テーブル22[[#This Row],[握力]:[ボール投げ]])</f>
        <v>0</v>
      </c>
      <c r="AE249" s="1" t="str">
        <f>IF(テーブル22[[#This Row],[判定]]=$BD$10,"○","")</f>
        <v/>
      </c>
      <c r="AF249" s="1" t="str">
        <f>IF(AE249="","",COUNTIF($AE$6:AE249,"○"))</f>
        <v/>
      </c>
    </row>
    <row r="250" spans="1:32" x14ac:dyDescent="0.2">
      <c r="A250" s="40">
        <v>245</v>
      </c>
      <c r="B250" s="145"/>
      <c r="C250" s="148"/>
      <c r="D250" s="145"/>
      <c r="E250" s="156"/>
      <c r="F250" s="145"/>
      <c r="G250" s="145"/>
      <c r="H250" s="146"/>
      <c r="I250" s="146"/>
      <c r="J250" s="148"/>
      <c r="K250" s="145"/>
      <c r="L250" s="148"/>
      <c r="M250" s="149"/>
      <c r="N250" s="148"/>
      <c r="O250" s="150"/>
      <c r="P2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0" s="43" t="str">
        <f>IF(テーブル22[[#This Row],[得点]]="","",IF(テーブル22[[#This Row],[年齢]]&gt;10,LOOKUP(P250,$BG$6:$BG$10,$BD$6:$BD$10),IF(テーブル22[[#This Row],[年齢]]&gt;9,LOOKUP(P250,$BF$6:$BF$10,$BD$6:$BD$10),IF(テーブル22[[#This Row],[年齢]]&gt;8,LOOKUP(P250,$BE$6:$BE$10,$BD$6:$BD$10),IF(テーブル22[[#This Row],[年齢]]&gt;7,LOOKUP(P250,$BC$6:$BC$10,$BD$6:$BD$10),IF(テーブル22[[#This Row],[年齢]]&gt;6,LOOKUP(P250,$BB$6:$BB$10,$BD$6:$BD$10),LOOKUP(P250,$BA$6:$BA$10,$BD$6:$BD$10)))))))</f>
        <v/>
      </c>
      <c r="R250" s="42">
        <f>IF(H250="",0,(IF(テーブル22[[#This Row],[性別]]="男",LOOKUP(テーブル22[[#This Row],[握力]],$AH$6:$AI$15),LOOKUP(テーブル22[[#This Row],[握力]],$AH$20:$AI$29))))</f>
        <v>0</v>
      </c>
      <c r="S250" s="42">
        <f>IF(テーブル22[[#This Row],[上体]]="",0,(IF(テーブル22[[#This Row],[性別]]="男",LOOKUP(テーブル22[[#This Row],[上体]],$AJ$6:$AK$15),LOOKUP(テーブル22[[#This Row],[上体]],$AJ$20:$AK$29))))</f>
        <v>0</v>
      </c>
      <c r="T250" s="42">
        <f>IF(テーブル22[[#This Row],[長座]]="",0,(IF(テーブル22[[#This Row],[性別]]="男",LOOKUP(テーブル22[[#This Row],[長座]],$AL$6:$AM$15),LOOKUP(テーブル22[[#This Row],[長座]],$AL$20:$AM$29))))</f>
        <v>0</v>
      </c>
      <c r="U250" s="42">
        <f>IF(テーブル22[[#This Row],[反復]]="",0,(IF(テーブル22[[#This Row],[性別]]="男",LOOKUP(テーブル22[[#This Row],[反復]],$AN$6:$AO$15),LOOKUP(テーブル22[[#This Row],[反復]],$AN$20:$AO$29))))</f>
        <v>0</v>
      </c>
      <c r="V250" s="42">
        <f>IF(テーブル22[[#This Row],[ｼｬﾄﾙﾗﾝ]]="",0,(IF(テーブル22[[#This Row],[性別]]="男",LOOKUP(テーブル22[[#This Row],[ｼｬﾄﾙﾗﾝ]],$AR$6:$AS$15),LOOKUP(テーブル22[[#This Row],[ｼｬﾄﾙﾗﾝ]],$AR$20:$AS$29))))</f>
        <v>0</v>
      </c>
      <c r="W250" s="42">
        <f>IF(テーブル22[[#This Row],[50m走]]="",0,(IF(テーブル22[[#This Row],[性別]]="男",LOOKUP(テーブル22[[#This Row],[50m走]],$AT$6:$AU$15),LOOKUP(テーブル22[[#This Row],[50m走]],$AT$20:$AU$29))))</f>
        <v>0</v>
      </c>
      <c r="X250" s="42">
        <f>IF(テーブル22[[#This Row],[立幅とび]]="",0,(IF(テーブル22[[#This Row],[性別]]="男",LOOKUP(テーブル22[[#This Row],[立幅とび]],$AV$6:$AW$15),LOOKUP(テーブル22[[#This Row],[立幅とび]],$AV$20:$AW$29))))</f>
        <v>0</v>
      </c>
      <c r="Y250" s="42">
        <f>IF(テーブル22[[#This Row],[ボール投げ]]="",0,(IF(テーブル22[[#This Row],[性別]]="男",LOOKUP(テーブル22[[#This Row],[ボール投げ]],$AX$6:$AY$15),LOOKUP(テーブル22[[#This Row],[ボール投げ]],$AX$20:$AY$29))))</f>
        <v>0</v>
      </c>
      <c r="Z250" s="19" t="str">
        <f>IF(テーブル22[[#This Row],[学年]]=1,6,IF(テーブル22[[#This Row],[学年]]=2,7,IF(テーブル22[[#This Row],[学年]]=3,8,IF(テーブル22[[#This Row],[学年]]=4,9,IF(テーブル22[[#This Row],[学年]]=5,10,IF(テーブル22[[#This Row],[学年]]=6,11," "))))))</f>
        <v xml:space="preserve"> </v>
      </c>
      <c r="AA250" s="125" t="str">
        <f>IF(テーブル22[[#This Row],[肥満度数値]]="","",LOOKUP(AC250,$AW$39:$AW$44,$AX$39:$AX$44))</f>
        <v/>
      </c>
      <c r="AB2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0" s="124" t="str">
        <f>IF(テーブル22[[#This Row],[体重]]="","",(テーブル22[[#This Row],[体重]]-テーブル22[[#This Row],[標準体重]])/テーブル22[[#This Row],[標準体重]]*100)</f>
        <v/>
      </c>
      <c r="AD250" s="1">
        <f>COUNTA(テーブル22[[#This Row],[握力]:[ボール投げ]])</f>
        <v>0</v>
      </c>
      <c r="AE250" s="1" t="str">
        <f>IF(テーブル22[[#This Row],[判定]]=$BD$10,"○","")</f>
        <v/>
      </c>
      <c r="AF250" s="1" t="str">
        <f>IF(AE250="","",COUNTIF($AE$6:AE250,"○"))</f>
        <v/>
      </c>
    </row>
    <row r="251" spans="1:32" x14ac:dyDescent="0.2">
      <c r="A251" s="40">
        <v>246</v>
      </c>
      <c r="B251" s="145"/>
      <c r="C251" s="148"/>
      <c r="D251" s="145"/>
      <c r="E251" s="156"/>
      <c r="F251" s="145"/>
      <c r="G251" s="145"/>
      <c r="H251" s="146"/>
      <c r="I251" s="146"/>
      <c r="J251" s="148"/>
      <c r="K251" s="145"/>
      <c r="L251" s="148"/>
      <c r="M251" s="149"/>
      <c r="N251" s="148"/>
      <c r="O251" s="150"/>
      <c r="P2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1" s="43" t="str">
        <f>IF(テーブル22[[#This Row],[得点]]="","",IF(テーブル22[[#This Row],[年齢]]&gt;10,LOOKUP(P251,$BG$6:$BG$10,$BD$6:$BD$10),IF(テーブル22[[#This Row],[年齢]]&gt;9,LOOKUP(P251,$BF$6:$BF$10,$BD$6:$BD$10),IF(テーブル22[[#This Row],[年齢]]&gt;8,LOOKUP(P251,$BE$6:$BE$10,$BD$6:$BD$10),IF(テーブル22[[#This Row],[年齢]]&gt;7,LOOKUP(P251,$BC$6:$BC$10,$BD$6:$BD$10),IF(テーブル22[[#This Row],[年齢]]&gt;6,LOOKUP(P251,$BB$6:$BB$10,$BD$6:$BD$10),LOOKUP(P251,$BA$6:$BA$10,$BD$6:$BD$10)))))))</f>
        <v/>
      </c>
      <c r="R251" s="42">
        <f>IF(H251="",0,(IF(テーブル22[[#This Row],[性別]]="男",LOOKUP(テーブル22[[#This Row],[握力]],$AH$6:$AI$15),LOOKUP(テーブル22[[#This Row],[握力]],$AH$20:$AI$29))))</f>
        <v>0</v>
      </c>
      <c r="S251" s="42">
        <f>IF(テーブル22[[#This Row],[上体]]="",0,(IF(テーブル22[[#This Row],[性別]]="男",LOOKUP(テーブル22[[#This Row],[上体]],$AJ$6:$AK$15),LOOKUP(テーブル22[[#This Row],[上体]],$AJ$20:$AK$29))))</f>
        <v>0</v>
      </c>
      <c r="T251" s="42">
        <f>IF(テーブル22[[#This Row],[長座]]="",0,(IF(テーブル22[[#This Row],[性別]]="男",LOOKUP(テーブル22[[#This Row],[長座]],$AL$6:$AM$15),LOOKUP(テーブル22[[#This Row],[長座]],$AL$20:$AM$29))))</f>
        <v>0</v>
      </c>
      <c r="U251" s="42">
        <f>IF(テーブル22[[#This Row],[反復]]="",0,(IF(テーブル22[[#This Row],[性別]]="男",LOOKUP(テーブル22[[#This Row],[反復]],$AN$6:$AO$15),LOOKUP(テーブル22[[#This Row],[反復]],$AN$20:$AO$29))))</f>
        <v>0</v>
      </c>
      <c r="V251" s="42">
        <f>IF(テーブル22[[#This Row],[ｼｬﾄﾙﾗﾝ]]="",0,(IF(テーブル22[[#This Row],[性別]]="男",LOOKUP(テーブル22[[#This Row],[ｼｬﾄﾙﾗﾝ]],$AR$6:$AS$15),LOOKUP(テーブル22[[#This Row],[ｼｬﾄﾙﾗﾝ]],$AR$20:$AS$29))))</f>
        <v>0</v>
      </c>
      <c r="W251" s="42">
        <f>IF(テーブル22[[#This Row],[50m走]]="",0,(IF(テーブル22[[#This Row],[性別]]="男",LOOKUP(テーブル22[[#This Row],[50m走]],$AT$6:$AU$15),LOOKUP(テーブル22[[#This Row],[50m走]],$AT$20:$AU$29))))</f>
        <v>0</v>
      </c>
      <c r="X251" s="42">
        <f>IF(テーブル22[[#This Row],[立幅とび]]="",0,(IF(テーブル22[[#This Row],[性別]]="男",LOOKUP(テーブル22[[#This Row],[立幅とび]],$AV$6:$AW$15),LOOKUP(テーブル22[[#This Row],[立幅とび]],$AV$20:$AW$29))))</f>
        <v>0</v>
      </c>
      <c r="Y251" s="42">
        <f>IF(テーブル22[[#This Row],[ボール投げ]]="",0,(IF(テーブル22[[#This Row],[性別]]="男",LOOKUP(テーブル22[[#This Row],[ボール投げ]],$AX$6:$AY$15),LOOKUP(テーブル22[[#This Row],[ボール投げ]],$AX$20:$AY$29))))</f>
        <v>0</v>
      </c>
      <c r="Z251" s="19" t="str">
        <f>IF(テーブル22[[#This Row],[学年]]=1,6,IF(テーブル22[[#This Row],[学年]]=2,7,IF(テーブル22[[#This Row],[学年]]=3,8,IF(テーブル22[[#This Row],[学年]]=4,9,IF(テーブル22[[#This Row],[学年]]=5,10,IF(テーブル22[[#This Row],[学年]]=6,11," "))))))</f>
        <v xml:space="preserve"> </v>
      </c>
      <c r="AA251" s="125" t="str">
        <f>IF(テーブル22[[#This Row],[肥満度数値]]="","",LOOKUP(AC251,$AW$39:$AW$44,$AX$39:$AX$44))</f>
        <v/>
      </c>
      <c r="AB2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1" s="124" t="str">
        <f>IF(テーブル22[[#This Row],[体重]]="","",(テーブル22[[#This Row],[体重]]-テーブル22[[#This Row],[標準体重]])/テーブル22[[#This Row],[標準体重]]*100)</f>
        <v/>
      </c>
      <c r="AD251" s="1">
        <f>COUNTA(テーブル22[[#This Row],[握力]:[ボール投げ]])</f>
        <v>0</v>
      </c>
      <c r="AE251" s="1" t="str">
        <f>IF(テーブル22[[#This Row],[判定]]=$BD$10,"○","")</f>
        <v/>
      </c>
      <c r="AF251" s="1" t="str">
        <f>IF(AE251="","",COUNTIF($AE$6:AE251,"○"))</f>
        <v/>
      </c>
    </row>
    <row r="252" spans="1:32" x14ac:dyDescent="0.2">
      <c r="A252" s="40">
        <v>247</v>
      </c>
      <c r="B252" s="145"/>
      <c r="C252" s="148"/>
      <c r="D252" s="145"/>
      <c r="E252" s="156"/>
      <c r="F252" s="145"/>
      <c r="G252" s="145"/>
      <c r="H252" s="146"/>
      <c r="I252" s="146"/>
      <c r="J252" s="148"/>
      <c r="K252" s="145"/>
      <c r="L252" s="148"/>
      <c r="M252" s="149"/>
      <c r="N252" s="148"/>
      <c r="O252" s="150"/>
      <c r="P2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2" s="43" t="str">
        <f>IF(テーブル22[[#This Row],[得点]]="","",IF(テーブル22[[#This Row],[年齢]]&gt;10,LOOKUP(P252,$BG$6:$BG$10,$BD$6:$BD$10),IF(テーブル22[[#This Row],[年齢]]&gt;9,LOOKUP(P252,$BF$6:$BF$10,$BD$6:$BD$10),IF(テーブル22[[#This Row],[年齢]]&gt;8,LOOKUP(P252,$BE$6:$BE$10,$BD$6:$BD$10),IF(テーブル22[[#This Row],[年齢]]&gt;7,LOOKUP(P252,$BC$6:$BC$10,$BD$6:$BD$10),IF(テーブル22[[#This Row],[年齢]]&gt;6,LOOKUP(P252,$BB$6:$BB$10,$BD$6:$BD$10),LOOKUP(P252,$BA$6:$BA$10,$BD$6:$BD$10)))))))</f>
        <v/>
      </c>
      <c r="R252" s="42">
        <f>IF(H252="",0,(IF(テーブル22[[#This Row],[性別]]="男",LOOKUP(テーブル22[[#This Row],[握力]],$AH$6:$AI$15),LOOKUP(テーブル22[[#This Row],[握力]],$AH$20:$AI$29))))</f>
        <v>0</v>
      </c>
      <c r="S252" s="42">
        <f>IF(テーブル22[[#This Row],[上体]]="",0,(IF(テーブル22[[#This Row],[性別]]="男",LOOKUP(テーブル22[[#This Row],[上体]],$AJ$6:$AK$15),LOOKUP(テーブル22[[#This Row],[上体]],$AJ$20:$AK$29))))</f>
        <v>0</v>
      </c>
      <c r="T252" s="42">
        <f>IF(テーブル22[[#This Row],[長座]]="",0,(IF(テーブル22[[#This Row],[性別]]="男",LOOKUP(テーブル22[[#This Row],[長座]],$AL$6:$AM$15),LOOKUP(テーブル22[[#This Row],[長座]],$AL$20:$AM$29))))</f>
        <v>0</v>
      </c>
      <c r="U252" s="42">
        <f>IF(テーブル22[[#This Row],[反復]]="",0,(IF(テーブル22[[#This Row],[性別]]="男",LOOKUP(テーブル22[[#This Row],[反復]],$AN$6:$AO$15),LOOKUP(テーブル22[[#This Row],[反復]],$AN$20:$AO$29))))</f>
        <v>0</v>
      </c>
      <c r="V252" s="42">
        <f>IF(テーブル22[[#This Row],[ｼｬﾄﾙﾗﾝ]]="",0,(IF(テーブル22[[#This Row],[性別]]="男",LOOKUP(テーブル22[[#This Row],[ｼｬﾄﾙﾗﾝ]],$AR$6:$AS$15),LOOKUP(テーブル22[[#This Row],[ｼｬﾄﾙﾗﾝ]],$AR$20:$AS$29))))</f>
        <v>0</v>
      </c>
      <c r="W252" s="42">
        <f>IF(テーブル22[[#This Row],[50m走]]="",0,(IF(テーブル22[[#This Row],[性別]]="男",LOOKUP(テーブル22[[#This Row],[50m走]],$AT$6:$AU$15),LOOKUP(テーブル22[[#This Row],[50m走]],$AT$20:$AU$29))))</f>
        <v>0</v>
      </c>
      <c r="X252" s="42">
        <f>IF(テーブル22[[#This Row],[立幅とび]]="",0,(IF(テーブル22[[#This Row],[性別]]="男",LOOKUP(テーブル22[[#This Row],[立幅とび]],$AV$6:$AW$15),LOOKUP(テーブル22[[#This Row],[立幅とび]],$AV$20:$AW$29))))</f>
        <v>0</v>
      </c>
      <c r="Y252" s="42">
        <f>IF(テーブル22[[#This Row],[ボール投げ]]="",0,(IF(テーブル22[[#This Row],[性別]]="男",LOOKUP(テーブル22[[#This Row],[ボール投げ]],$AX$6:$AY$15),LOOKUP(テーブル22[[#This Row],[ボール投げ]],$AX$20:$AY$29))))</f>
        <v>0</v>
      </c>
      <c r="Z252" s="19" t="str">
        <f>IF(テーブル22[[#This Row],[学年]]=1,6,IF(テーブル22[[#This Row],[学年]]=2,7,IF(テーブル22[[#This Row],[学年]]=3,8,IF(テーブル22[[#This Row],[学年]]=4,9,IF(テーブル22[[#This Row],[学年]]=5,10,IF(テーブル22[[#This Row],[学年]]=6,11," "))))))</f>
        <v xml:space="preserve"> </v>
      </c>
      <c r="AA252" s="125" t="str">
        <f>IF(テーブル22[[#This Row],[肥満度数値]]="","",LOOKUP(AC252,$AW$39:$AW$44,$AX$39:$AX$44))</f>
        <v/>
      </c>
      <c r="AB2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2" s="124" t="str">
        <f>IF(テーブル22[[#This Row],[体重]]="","",(テーブル22[[#This Row],[体重]]-テーブル22[[#This Row],[標準体重]])/テーブル22[[#This Row],[標準体重]]*100)</f>
        <v/>
      </c>
      <c r="AD252" s="1">
        <f>COUNTA(テーブル22[[#This Row],[握力]:[ボール投げ]])</f>
        <v>0</v>
      </c>
      <c r="AE252" s="1" t="str">
        <f>IF(テーブル22[[#This Row],[判定]]=$BD$10,"○","")</f>
        <v/>
      </c>
      <c r="AF252" s="1" t="str">
        <f>IF(AE252="","",COUNTIF($AE$6:AE252,"○"))</f>
        <v/>
      </c>
    </row>
    <row r="253" spans="1:32" x14ac:dyDescent="0.2">
      <c r="A253" s="40">
        <v>248</v>
      </c>
      <c r="B253" s="145"/>
      <c r="C253" s="148"/>
      <c r="D253" s="145"/>
      <c r="E253" s="156"/>
      <c r="F253" s="145"/>
      <c r="G253" s="145"/>
      <c r="H253" s="146"/>
      <c r="I253" s="146"/>
      <c r="J253" s="148"/>
      <c r="K253" s="145"/>
      <c r="L253" s="148"/>
      <c r="M253" s="149"/>
      <c r="N253" s="148"/>
      <c r="O253" s="150"/>
      <c r="P2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3" s="43" t="str">
        <f>IF(テーブル22[[#This Row],[得点]]="","",IF(テーブル22[[#This Row],[年齢]]&gt;10,LOOKUP(P253,$BG$6:$BG$10,$BD$6:$BD$10),IF(テーブル22[[#This Row],[年齢]]&gt;9,LOOKUP(P253,$BF$6:$BF$10,$BD$6:$BD$10),IF(テーブル22[[#This Row],[年齢]]&gt;8,LOOKUP(P253,$BE$6:$BE$10,$BD$6:$BD$10),IF(テーブル22[[#This Row],[年齢]]&gt;7,LOOKUP(P253,$BC$6:$BC$10,$BD$6:$BD$10),IF(テーブル22[[#This Row],[年齢]]&gt;6,LOOKUP(P253,$BB$6:$BB$10,$BD$6:$BD$10),LOOKUP(P253,$BA$6:$BA$10,$BD$6:$BD$10)))))))</f>
        <v/>
      </c>
      <c r="R253" s="42">
        <f>IF(H253="",0,(IF(テーブル22[[#This Row],[性別]]="男",LOOKUP(テーブル22[[#This Row],[握力]],$AH$6:$AI$15),LOOKUP(テーブル22[[#This Row],[握力]],$AH$20:$AI$29))))</f>
        <v>0</v>
      </c>
      <c r="S253" s="42">
        <f>IF(テーブル22[[#This Row],[上体]]="",0,(IF(テーブル22[[#This Row],[性別]]="男",LOOKUP(テーブル22[[#This Row],[上体]],$AJ$6:$AK$15),LOOKUP(テーブル22[[#This Row],[上体]],$AJ$20:$AK$29))))</f>
        <v>0</v>
      </c>
      <c r="T253" s="42">
        <f>IF(テーブル22[[#This Row],[長座]]="",0,(IF(テーブル22[[#This Row],[性別]]="男",LOOKUP(テーブル22[[#This Row],[長座]],$AL$6:$AM$15),LOOKUP(テーブル22[[#This Row],[長座]],$AL$20:$AM$29))))</f>
        <v>0</v>
      </c>
      <c r="U253" s="42">
        <f>IF(テーブル22[[#This Row],[反復]]="",0,(IF(テーブル22[[#This Row],[性別]]="男",LOOKUP(テーブル22[[#This Row],[反復]],$AN$6:$AO$15),LOOKUP(テーブル22[[#This Row],[反復]],$AN$20:$AO$29))))</f>
        <v>0</v>
      </c>
      <c r="V253" s="42">
        <f>IF(テーブル22[[#This Row],[ｼｬﾄﾙﾗﾝ]]="",0,(IF(テーブル22[[#This Row],[性別]]="男",LOOKUP(テーブル22[[#This Row],[ｼｬﾄﾙﾗﾝ]],$AR$6:$AS$15),LOOKUP(テーブル22[[#This Row],[ｼｬﾄﾙﾗﾝ]],$AR$20:$AS$29))))</f>
        <v>0</v>
      </c>
      <c r="W253" s="42">
        <f>IF(テーブル22[[#This Row],[50m走]]="",0,(IF(テーブル22[[#This Row],[性別]]="男",LOOKUP(テーブル22[[#This Row],[50m走]],$AT$6:$AU$15),LOOKUP(テーブル22[[#This Row],[50m走]],$AT$20:$AU$29))))</f>
        <v>0</v>
      </c>
      <c r="X253" s="42">
        <f>IF(テーブル22[[#This Row],[立幅とび]]="",0,(IF(テーブル22[[#This Row],[性別]]="男",LOOKUP(テーブル22[[#This Row],[立幅とび]],$AV$6:$AW$15),LOOKUP(テーブル22[[#This Row],[立幅とび]],$AV$20:$AW$29))))</f>
        <v>0</v>
      </c>
      <c r="Y253" s="42">
        <f>IF(テーブル22[[#This Row],[ボール投げ]]="",0,(IF(テーブル22[[#This Row],[性別]]="男",LOOKUP(テーブル22[[#This Row],[ボール投げ]],$AX$6:$AY$15),LOOKUP(テーブル22[[#This Row],[ボール投げ]],$AX$20:$AY$29))))</f>
        <v>0</v>
      </c>
      <c r="Z253" s="19" t="str">
        <f>IF(テーブル22[[#This Row],[学年]]=1,6,IF(テーブル22[[#This Row],[学年]]=2,7,IF(テーブル22[[#This Row],[学年]]=3,8,IF(テーブル22[[#This Row],[学年]]=4,9,IF(テーブル22[[#This Row],[学年]]=5,10,IF(テーブル22[[#This Row],[学年]]=6,11," "))))))</f>
        <v xml:space="preserve"> </v>
      </c>
      <c r="AA253" s="125" t="str">
        <f>IF(テーブル22[[#This Row],[肥満度数値]]="","",LOOKUP(AC253,$AW$39:$AW$44,$AX$39:$AX$44))</f>
        <v/>
      </c>
      <c r="AB2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3" s="124" t="str">
        <f>IF(テーブル22[[#This Row],[体重]]="","",(テーブル22[[#This Row],[体重]]-テーブル22[[#This Row],[標準体重]])/テーブル22[[#This Row],[標準体重]]*100)</f>
        <v/>
      </c>
      <c r="AD253" s="1">
        <f>COUNTA(テーブル22[[#This Row],[握力]:[ボール投げ]])</f>
        <v>0</v>
      </c>
      <c r="AE253" s="1" t="str">
        <f>IF(テーブル22[[#This Row],[判定]]=$BD$10,"○","")</f>
        <v/>
      </c>
      <c r="AF253" s="1" t="str">
        <f>IF(AE253="","",COUNTIF($AE$6:AE253,"○"))</f>
        <v/>
      </c>
    </row>
    <row r="254" spans="1:32" x14ac:dyDescent="0.2">
      <c r="A254" s="40">
        <v>249</v>
      </c>
      <c r="B254" s="145"/>
      <c r="C254" s="148"/>
      <c r="D254" s="145"/>
      <c r="E254" s="156"/>
      <c r="F254" s="145"/>
      <c r="G254" s="145"/>
      <c r="H254" s="146"/>
      <c r="I254" s="146"/>
      <c r="J254" s="148"/>
      <c r="K254" s="145"/>
      <c r="L254" s="148"/>
      <c r="M254" s="149"/>
      <c r="N254" s="148"/>
      <c r="O254" s="150"/>
      <c r="P2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4" s="43" t="str">
        <f>IF(テーブル22[[#This Row],[得点]]="","",IF(テーブル22[[#This Row],[年齢]]&gt;10,LOOKUP(P254,$BG$6:$BG$10,$BD$6:$BD$10),IF(テーブル22[[#This Row],[年齢]]&gt;9,LOOKUP(P254,$BF$6:$BF$10,$BD$6:$BD$10),IF(テーブル22[[#This Row],[年齢]]&gt;8,LOOKUP(P254,$BE$6:$BE$10,$BD$6:$BD$10),IF(テーブル22[[#This Row],[年齢]]&gt;7,LOOKUP(P254,$BC$6:$BC$10,$BD$6:$BD$10),IF(テーブル22[[#This Row],[年齢]]&gt;6,LOOKUP(P254,$BB$6:$BB$10,$BD$6:$BD$10),LOOKUP(P254,$BA$6:$BA$10,$BD$6:$BD$10)))))))</f>
        <v/>
      </c>
      <c r="R254" s="42">
        <f>IF(H254="",0,(IF(テーブル22[[#This Row],[性別]]="男",LOOKUP(テーブル22[[#This Row],[握力]],$AH$6:$AI$15),LOOKUP(テーブル22[[#This Row],[握力]],$AH$20:$AI$29))))</f>
        <v>0</v>
      </c>
      <c r="S254" s="42">
        <f>IF(テーブル22[[#This Row],[上体]]="",0,(IF(テーブル22[[#This Row],[性別]]="男",LOOKUP(テーブル22[[#This Row],[上体]],$AJ$6:$AK$15),LOOKUP(テーブル22[[#This Row],[上体]],$AJ$20:$AK$29))))</f>
        <v>0</v>
      </c>
      <c r="T254" s="42">
        <f>IF(テーブル22[[#This Row],[長座]]="",0,(IF(テーブル22[[#This Row],[性別]]="男",LOOKUP(テーブル22[[#This Row],[長座]],$AL$6:$AM$15),LOOKUP(テーブル22[[#This Row],[長座]],$AL$20:$AM$29))))</f>
        <v>0</v>
      </c>
      <c r="U254" s="42">
        <f>IF(テーブル22[[#This Row],[反復]]="",0,(IF(テーブル22[[#This Row],[性別]]="男",LOOKUP(テーブル22[[#This Row],[反復]],$AN$6:$AO$15),LOOKUP(テーブル22[[#This Row],[反復]],$AN$20:$AO$29))))</f>
        <v>0</v>
      </c>
      <c r="V254" s="42">
        <f>IF(テーブル22[[#This Row],[ｼｬﾄﾙﾗﾝ]]="",0,(IF(テーブル22[[#This Row],[性別]]="男",LOOKUP(テーブル22[[#This Row],[ｼｬﾄﾙﾗﾝ]],$AR$6:$AS$15),LOOKUP(テーブル22[[#This Row],[ｼｬﾄﾙﾗﾝ]],$AR$20:$AS$29))))</f>
        <v>0</v>
      </c>
      <c r="W254" s="42">
        <f>IF(テーブル22[[#This Row],[50m走]]="",0,(IF(テーブル22[[#This Row],[性別]]="男",LOOKUP(テーブル22[[#This Row],[50m走]],$AT$6:$AU$15),LOOKUP(テーブル22[[#This Row],[50m走]],$AT$20:$AU$29))))</f>
        <v>0</v>
      </c>
      <c r="X254" s="42">
        <f>IF(テーブル22[[#This Row],[立幅とび]]="",0,(IF(テーブル22[[#This Row],[性別]]="男",LOOKUP(テーブル22[[#This Row],[立幅とび]],$AV$6:$AW$15),LOOKUP(テーブル22[[#This Row],[立幅とび]],$AV$20:$AW$29))))</f>
        <v>0</v>
      </c>
      <c r="Y254" s="42">
        <f>IF(テーブル22[[#This Row],[ボール投げ]]="",0,(IF(テーブル22[[#This Row],[性別]]="男",LOOKUP(テーブル22[[#This Row],[ボール投げ]],$AX$6:$AY$15),LOOKUP(テーブル22[[#This Row],[ボール投げ]],$AX$20:$AY$29))))</f>
        <v>0</v>
      </c>
      <c r="Z254" s="19" t="str">
        <f>IF(テーブル22[[#This Row],[学年]]=1,6,IF(テーブル22[[#This Row],[学年]]=2,7,IF(テーブル22[[#This Row],[学年]]=3,8,IF(テーブル22[[#This Row],[学年]]=4,9,IF(テーブル22[[#This Row],[学年]]=5,10,IF(テーブル22[[#This Row],[学年]]=6,11," "))))))</f>
        <v xml:space="preserve"> </v>
      </c>
      <c r="AA254" s="125" t="str">
        <f>IF(テーブル22[[#This Row],[肥満度数値]]="","",LOOKUP(AC254,$AW$39:$AW$44,$AX$39:$AX$44))</f>
        <v/>
      </c>
      <c r="AB2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4" s="124" t="str">
        <f>IF(テーブル22[[#This Row],[体重]]="","",(テーブル22[[#This Row],[体重]]-テーブル22[[#This Row],[標準体重]])/テーブル22[[#This Row],[標準体重]]*100)</f>
        <v/>
      </c>
      <c r="AD254" s="1">
        <f>COUNTA(テーブル22[[#This Row],[握力]:[ボール投げ]])</f>
        <v>0</v>
      </c>
      <c r="AE254" s="1" t="str">
        <f>IF(テーブル22[[#This Row],[判定]]=$BD$10,"○","")</f>
        <v/>
      </c>
      <c r="AF254" s="1" t="str">
        <f>IF(AE254="","",COUNTIF($AE$6:AE254,"○"))</f>
        <v/>
      </c>
    </row>
    <row r="255" spans="1:32" x14ac:dyDescent="0.2">
      <c r="A255" s="40">
        <v>250</v>
      </c>
      <c r="B255" s="145"/>
      <c r="C255" s="148"/>
      <c r="D255" s="145"/>
      <c r="E255" s="156"/>
      <c r="F255" s="145"/>
      <c r="G255" s="145"/>
      <c r="H255" s="146"/>
      <c r="I255" s="146"/>
      <c r="J255" s="148"/>
      <c r="K255" s="145"/>
      <c r="L255" s="148"/>
      <c r="M255" s="149"/>
      <c r="N255" s="148"/>
      <c r="O255" s="150"/>
      <c r="P2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5" s="43" t="str">
        <f>IF(テーブル22[[#This Row],[得点]]="","",IF(テーブル22[[#This Row],[年齢]]&gt;10,LOOKUP(P255,$BG$6:$BG$10,$BD$6:$BD$10),IF(テーブル22[[#This Row],[年齢]]&gt;9,LOOKUP(P255,$BF$6:$BF$10,$BD$6:$BD$10),IF(テーブル22[[#This Row],[年齢]]&gt;8,LOOKUP(P255,$BE$6:$BE$10,$BD$6:$BD$10),IF(テーブル22[[#This Row],[年齢]]&gt;7,LOOKUP(P255,$BC$6:$BC$10,$BD$6:$BD$10),IF(テーブル22[[#This Row],[年齢]]&gt;6,LOOKUP(P255,$BB$6:$BB$10,$BD$6:$BD$10),LOOKUP(P255,$BA$6:$BA$10,$BD$6:$BD$10)))))))</f>
        <v/>
      </c>
      <c r="R255" s="42">
        <f>IF(H255="",0,(IF(テーブル22[[#This Row],[性別]]="男",LOOKUP(テーブル22[[#This Row],[握力]],$AH$6:$AI$15),LOOKUP(テーブル22[[#This Row],[握力]],$AH$20:$AI$29))))</f>
        <v>0</v>
      </c>
      <c r="S255" s="42">
        <f>IF(テーブル22[[#This Row],[上体]]="",0,(IF(テーブル22[[#This Row],[性別]]="男",LOOKUP(テーブル22[[#This Row],[上体]],$AJ$6:$AK$15),LOOKUP(テーブル22[[#This Row],[上体]],$AJ$20:$AK$29))))</f>
        <v>0</v>
      </c>
      <c r="T255" s="42">
        <f>IF(テーブル22[[#This Row],[長座]]="",0,(IF(テーブル22[[#This Row],[性別]]="男",LOOKUP(テーブル22[[#This Row],[長座]],$AL$6:$AM$15),LOOKUP(テーブル22[[#This Row],[長座]],$AL$20:$AM$29))))</f>
        <v>0</v>
      </c>
      <c r="U255" s="42">
        <f>IF(テーブル22[[#This Row],[反復]]="",0,(IF(テーブル22[[#This Row],[性別]]="男",LOOKUP(テーブル22[[#This Row],[反復]],$AN$6:$AO$15),LOOKUP(テーブル22[[#This Row],[反復]],$AN$20:$AO$29))))</f>
        <v>0</v>
      </c>
      <c r="V255" s="42">
        <f>IF(テーブル22[[#This Row],[ｼｬﾄﾙﾗﾝ]]="",0,(IF(テーブル22[[#This Row],[性別]]="男",LOOKUP(テーブル22[[#This Row],[ｼｬﾄﾙﾗﾝ]],$AR$6:$AS$15),LOOKUP(テーブル22[[#This Row],[ｼｬﾄﾙﾗﾝ]],$AR$20:$AS$29))))</f>
        <v>0</v>
      </c>
      <c r="W255" s="42">
        <f>IF(テーブル22[[#This Row],[50m走]]="",0,(IF(テーブル22[[#This Row],[性別]]="男",LOOKUP(テーブル22[[#This Row],[50m走]],$AT$6:$AU$15),LOOKUP(テーブル22[[#This Row],[50m走]],$AT$20:$AU$29))))</f>
        <v>0</v>
      </c>
      <c r="X255" s="42">
        <f>IF(テーブル22[[#This Row],[立幅とび]]="",0,(IF(テーブル22[[#This Row],[性別]]="男",LOOKUP(テーブル22[[#This Row],[立幅とび]],$AV$6:$AW$15),LOOKUP(テーブル22[[#This Row],[立幅とび]],$AV$20:$AW$29))))</f>
        <v>0</v>
      </c>
      <c r="Y255" s="42">
        <f>IF(テーブル22[[#This Row],[ボール投げ]]="",0,(IF(テーブル22[[#This Row],[性別]]="男",LOOKUP(テーブル22[[#This Row],[ボール投げ]],$AX$6:$AY$15),LOOKUP(テーブル22[[#This Row],[ボール投げ]],$AX$20:$AY$29))))</f>
        <v>0</v>
      </c>
      <c r="Z255" s="19" t="str">
        <f>IF(テーブル22[[#This Row],[学年]]=1,6,IF(テーブル22[[#This Row],[学年]]=2,7,IF(テーブル22[[#This Row],[学年]]=3,8,IF(テーブル22[[#This Row],[学年]]=4,9,IF(テーブル22[[#This Row],[学年]]=5,10,IF(テーブル22[[#This Row],[学年]]=6,11," "))))))</f>
        <v xml:space="preserve"> </v>
      </c>
      <c r="AA255" s="125" t="str">
        <f>IF(テーブル22[[#This Row],[肥満度数値]]="","",LOOKUP(AC255,$AW$39:$AW$44,$AX$39:$AX$44))</f>
        <v/>
      </c>
      <c r="AB2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5" s="124" t="str">
        <f>IF(テーブル22[[#This Row],[体重]]="","",(テーブル22[[#This Row],[体重]]-テーブル22[[#This Row],[標準体重]])/テーブル22[[#This Row],[標準体重]]*100)</f>
        <v/>
      </c>
      <c r="AD255" s="1">
        <f>COUNTA(テーブル22[[#This Row],[握力]:[ボール投げ]])</f>
        <v>0</v>
      </c>
      <c r="AE255" s="1" t="str">
        <f>IF(テーブル22[[#This Row],[判定]]=$BD$10,"○","")</f>
        <v/>
      </c>
      <c r="AF255" s="1" t="str">
        <f>IF(AE255="","",COUNTIF($AE$6:AE255,"○"))</f>
        <v/>
      </c>
    </row>
    <row r="256" spans="1:32" x14ac:dyDescent="0.2">
      <c r="A256" s="40">
        <v>251</v>
      </c>
      <c r="B256" s="145"/>
      <c r="C256" s="148"/>
      <c r="D256" s="145"/>
      <c r="E256" s="156"/>
      <c r="F256" s="145"/>
      <c r="G256" s="145"/>
      <c r="H256" s="146"/>
      <c r="I256" s="146"/>
      <c r="J256" s="148"/>
      <c r="K256" s="145"/>
      <c r="L256" s="148"/>
      <c r="M256" s="149"/>
      <c r="N256" s="148"/>
      <c r="O256" s="150"/>
      <c r="P2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6" s="43" t="str">
        <f>IF(テーブル22[[#This Row],[得点]]="","",IF(テーブル22[[#This Row],[年齢]]&gt;10,LOOKUP(P256,$BG$6:$BG$10,$BD$6:$BD$10),IF(テーブル22[[#This Row],[年齢]]&gt;9,LOOKUP(P256,$BF$6:$BF$10,$BD$6:$BD$10),IF(テーブル22[[#This Row],[年齢]]&gt;8,LOOKUP(P256,$BE$6:$BE$10,$BD$6:$BD$10),IF(テーブル22[[#This Row],[年齢]]&gt;7,LOOKUP(P256,$BC$6:$BC$10,$BD$6:$BD$10),IF(テーブル22[[#This Row],[年齢]]&gt;6,LOOKUP(P256,$BB$6:$BB$10,$BD$6:$BD$10),LOOKUP(P256,$BA$6:$BA$10,$BD$6:$BD$10)))))))</f>
        <v/>
      </c>
      <c r="R256" s="42">
        <f>IF(H256="",0,(IF(テーブル22[[#This Row],[性別]]="男",LOOKUP(テーブル22[[#This Row],[握力]],$AH$6:$AI$15),LOOKUP(テーブル22[[#This Row],[握力]],$AH$20:$AI$29))))</f>
        <v>0</v>
      </c>
      <c r="S256" s="42">
        <f>IF(テーブル22[[#This Row],[上体]]="",0,(IF(テーブル22[[#This Row],[性別]]="男",LOOKUP(テーブル22[[#This Row],[上体]],$AJ$6:$AK$15),LOOKUP(テーブル22[[#This Row],[上体]],$AJ$20:$AK$29))))</f>
        <v>0</v>
      </c>
      <c r="T256" s="42">
        <f>IF(テーブル22[[#This Row],[長座]]="",0,(IF(テーブル22[[#This Row],[性別]]="男",LOOKUP(テーブル22[[#This Row],[長座]],$AL$6:$AM$15),LOOKUP(テーブル22[[#This Row],[長座]],$AL$20:$AM$29))))</f>
        <v>0</v>
      </c>
      <c r="U256" s="42">
        <f>IF(テーブル22[[#This Row],[反復]]="",0,(IF(テーブル22[[#This Row],[性別]]="男",LOOKUP(テーブル22[[#This Row],[反復]],$AN$6:$AO$15),LOOKUP(テーブル22[[#This Row],[反復]],$AN$20:$AO$29))))</f>
        <v>0</v>
      </c>
      <c r="V256" s="42">
        <f>IF(テーブル22[[#This Row],[ｼｬﾄﾙﾗﾝ]]="",0,(IF(テーブル22[[#This Row],[性別]]="男",LOOKUP(テーブル22[[#This Row],[ｼｬﾄﾙﾗﾝ]],$AR$6:$AS$15),LOOKUP(テーブル22[[#This Row],[ｼｬﾄﾙﾗﾝ]],$AR$20:$AS$29))))</f>
        <v>0</v>
      </c>
      <c r="W256" s="42">
        <f>IF(テーブル22[[#This Row],[50m走]]="",0,(IF(テーブル22[[#This Row],[性別]]="男",LOOKUP(テーブル22[[#This Row],[50m走]],$AT$6:$AU$15),LOOKUP(テーブル22[[#This Row],[50m走]],$AT$20:$AU$29))))</f>
        <v>0</v>
      </c>
      <c r="X256" s="42">
        <f>IF(テーブル22[[#This Row],[立幅とび]]="",0,(IF(テーブル22[[#This Row],[性別]]="男",LOOKUP(テーブル22[[#This Row],[立幅とび]],$AV$6:$AW$15),LOOKUP(テーブル22[[#This Row],[立幅とび]],$AV$20:$AW$29))))</f>
        <v>0</v>
      </c>
      <c r="Y256" s="42">
        <f>IF(テーブル22[[#This Row],[ボール投げ]]="",0,(IF(テーブル22[[#This Row],[性別]]="男",LOOKUP(テーブル22[[#This Row],[ボール投げ]],$AX$6:$AY$15),LOOKUP(テーブル22[[#This Row],[ボール投げ]],$AX$20:$AY$29))))</f>
        <v>0</v>
      </c>
      <c r="Z256" s="19" t="str">
        <f>IF(テーブル22[[#This Row],[学年]]=1,6,IF(テーブル22[[#This Row],[学年]]=2,7,IF(テーブル22[[#This Row],[学年]]=3,8,IF(テーブル22[[#This Row],[学年]]=4,9,IF(テーブル22[[#This Row],[学年]]=5,10,IF(テーブル22[[#This Row],[学年]]=6,11," "))))))</f>
        <v xml:space="preserve"> </v>
      </c>
      <c r="AA256" s="125" t="str">
        <f>IF(テーブル22[[#This Row],[肥満度数値]]="","",LOOKUP(AC256,$AW$39:$AW$44,$AX$39:$AX$44))</f>
        <v/>
      </c>
      <c r="AB2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6" s="124" t="str">
        <f>IF(テーブル22[[#This Row],[体重]]="","",(テーブル22[[#This Row],[体重]]-テーブル22[[#This Row],[標準体重]])/テーブル22[[#This Row],[標準体重]]*100)</f>
        <v/>
      </c>
      <c r="AD256" s="1">
        <f>COUNTA(テーブル22[[#This Row],[握力]:[ボール投げ]])</f>
        <v>0</v>
      </c>
      <c r="AE256" s="1" t="str">
        <f>IF(テーブル22[[#This Row],[判定]]=$BD$10,"○","")</f>
        <v/>
      </c>
      <c r="AF256" s="1" t="str">
        <f>IF(AE256="","",COUNTIF($AE$6:AE256,"○"))</f>
        <v/>
      </c>
    </row>
    <row r="257" spans="1:32" x14ac:dyDescent="0.2">
      <c r="A257" s="40">
        <v>252</v>
      </c>
      <c r="B257" s="145"/>
      <c r="C257" s="148"/>
      <c r="D257" s="145"/>
      <c r="E257" s="156"/>
      <c r="F257" s="145"/>
      <c r="G257" s="145"/>
      <c r="H257" s="146"/>
      <c r="I257" s="146"/>
      <c r="J257" s="148"/>
      <c r="K257" s="145"/>
      <c r="L257" s="148"/>
      <c r="M257" s="149"/>
      <c r="N257" s="148"/>
      <c r="O257" s="150"/>
      <c r="P2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7" s="43" t="str">
        <f>IF(テーブル22[[#This Row],[得点]]="","",IF(テーブル22[[#This Row],[年齢]]&gt;10,LOOKUP(P257,$BG$6:$BG$10,$BD$6:$BD$10),IF(テーブル22[[#This Row],[年齢]]&gt;9,LOOKUP(P257,$BF$6:$BF$10,$BD$6:$BD$10),IF(テーブル22[[#This Row],[年齢]]&gt;8,LOOKUP(P257,$BE$6:$BE$10,$BD$6:$BD$10),IF(テーブル22[[#This Row],[年齢]]&gt;7,LOOKUP(P257,$BC$6:$BC$10,$BD$6:$BD$10),IF(テーブル22[[#This Row],[年齢]]&gt;6,LOOKUP(P257,$BB$6:$BB$10,$BD$6:$BD$10),LOOKUP(P257,$BA$6:$BA$10,$BD$6:$BD$10)))))))</f>
        <v/>
      </c>
      <c r="R257" s="42">
        <f>IF(H257="",0,(IF(テーブル22[[#This Row],[性別]]="男",LOOKUP(テーブル22[[#This Row],[握力]],$AH$6:$AI$15),LOOKUP(テーブル22[[#This Row],[握力]],$AH$20:$AI$29))))</f>
        <v>0</v>
      </c>
      <c r="S257" s="42">
        <f>IF(テーブル22[[#This Row],[上体]]="",0,(IF(テーブル22[[#This Row],[性別]]="男",LOOKUP(テーブル22[[#This Row],[上体]],$AJ$6:$AK$15),LOOKUP(テーブル22[[#This Row],[上体]],$AJ$20:$AK$29))))</f>
        <v>0</v>
      </c>
      <c r="T257" s="42">
        <f>IF(テーブル22[[#This Row],[長座]]="",0,(IF(テーブル22[[#This Row],[性別]]="男",LOOKUP(テーブル22[[#This Row],[長座]],$AL$6:$AM$15),LOOKUP(テーブル22[[#This Row],[長座]],$AL$20:$AM$29))))</f>
        <v>0</v>
      </c>
      <c r="U257" s="42">
        <f>IF(テーブル22[[#This Row],[反復]]="",0,(IF(テーブル22[[#This Row],[性別]]="男",LOOKUP(テーブル22[[#This Row],[反復]],$AN$6:$AO$15),LOOKUP(テーブル22[[#This Row],[反復]],$AN$20:$AO$29))))</f>
        <v>0</v>
      </c>
      <c r="V257" s="42">
        <f>IF(テーブル22[[#This Row],[ｼｬﾄﾙﾗﾝ]]="",0,(IF(テーブル22[[#This Row],[性別]]="男",LOOKUP(テーブル22[[#This Row],[ｼｬﾄﾙﾗﾝ]],$AR$6:$AS$15),LOOKUP(テーブル22[[#This Row],[ｼｬﾄﾙﾗﾝ]],$AR$20:$AS$29))))</f>
        <v>0</v>
      </c>
      <c r="W257" s="42">
        <f>IF(テーブル22[[#This Row],[50m走]]="",0,(IF(テーブル22[[#This Row],[性別]]="男",LOOKUP(テーブル22[[#This Row],[50m走]],$AT$6:$AU$15),LOOKUP(テーブル22[[#This Row],[50m走]],$AT$20:$AU$29))))</f>
        <v>0</v>
      </c>
      <c r="X257" s="42">
        <f>IF(テーブル22[[#This Row],[立幅とび]]="",0,(IF(テーブル22[[#This Row],[性別]]="男",LOOKUP(テーブル22[[#This Row],[立幅とび]],$AV$6:$AW$15),LOOKUP(テーブル22[[#This Row],[立幅とび]],$AV$20:$AW$29))))</f>
        <v>0</v>
      </c>
      <c r="Y257" s="42">
        <f>IF(テーブル22[[#This Row],[ボール投げ]]="",0,(IF(テーブル22[[#This Row],[性別]]="男",LOOKUP(テーブル22[[#This Row],[ボール投げ]],$AX$6:$AY$15),LOOKUP(テーブル22[[#This Row],[ボール投げ]],$AX$20:$AY$29))))</f>
        <v>0</v>
      </c>
      <c r="Z257" s="19" t="str">
        <f>IF(テーブル22[[#This Row],[学年]]=1,6,IF(テーブル22[[#This Row],[学年]]=2,7,IF(テーブル22[[#This Row],[学年]]=3,8,IF(テーブル22[[#This Row],[学年]]=4,9,IF(テーブル22[[#This Row],[学年]]=5,10,IF(テーブル22[[#This Row],[学年]]=6,11," "))))))</f>
        <v xml:space="preserve"> </v>
      </c>
      <c r="AA257" s="125" t="str">
        <f>IF(テーブル22[[#This Row],[肥満度数値]]="","",LOOKUP(AC257,$AW$39:$AW$44,$AX$39:$AX$44))</f>
        <v/>
      </c>
      <c r="AB2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7" s="124" t="str">
        <f>IF(テーブル22[[#This Row],[体重]]="","",(テーブル22[[#This Row],[体重]]-テーブル22[[#This Row],[標準体重]])/テーブル22[[#This Row],[標準体重]]*100)</f>
        <v/>
      </c>
      <c r="AD257" s="1">
        <f>COUNTA(テーブル22[[#This Row],[握力]:[ボール投げ]])</f>
        <v>0</v>
      </c>
      <c r="AE257" s="1" t="str">
        <f>IF(テーブル22[[#This Row],[判定]]=$BD$10,"○","")</f>
        <v/>
      </c>
      <c r="AF257" s="1" t="str">
        <f>IF(AE257="","",COUNTIF($AE$6:AE257,"○"))</f>
        <v/>
      </c>
    </row>
    <row r="258" spans="1:32" x14ac:dyDescent="0.2">
      <c r="A258" s="40">
        <v>253</v>
      </c>
      <c r="B258" s="145"/>
      <c r="C258" s="148"/>
      <c r="D258" s="145"/>
      <c r="E258" s="156"/>
      <c r="F258" s="145"/>
      <c r="G258" s="145"/>
      <c r="H258" s="146"/>
      <c r="I258" s="146"/>
      <c r="J258" s="148"/>
      <c r="K258" s="145"/>
      <c r="L258" s="148"/>
      <c r="M258" s="149"/>
      <c r="N258" s="148"/>
      <c r="O258" s="150"/>
      <c r="P2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8" s="43" t="str">
        <f>IF(テーブル22[[#This Row],[得点]]="","",IF(テーブル22[[#This Row],[年齢]]&gt;10,LOOKUP(P258,$BG$6:$BG$10,$BD$6:$BD$10),IF(テーブル22[[#This Row],[年齢]]&gt;9,LOOKUP(P258,$BF$6:$BF$10,$BD$6:$BD$10),IF(テーブル22[[#This Row],[年齢]]&gt;8,LOOKUP(P258,$BE$6:$BE$10,$BD$6:$BD$10),IF(テーブル22[[#This Row],[年齢]]&gt;7,LOOKUP(P258,$BC$6:$BC$10,$BD$6:$BD$10),IF(テーブル22[[#This Row],[年齢]]&gt;6,LOOKUP(P258,$BB$6:$BB$10,$BD$6:$BD$10),LOOKUP(P258,$BA$6:$BA$10,$BD$6:$BD$10)))))))</f>
        <v/>
      </c>
      <c r="R258" s="42">
        <f>IF(H258="",0,(IF(テーブル22[[#This Row],[性別]]="男",LOOKUP(テーブル22[[#This Row],[握力]],$AH$6:$AI$15),LOOKUP(テーブル22[[#This Row],[握力]],$AH$20:$AI$29))))</f>
        <v>0</v>
      </c>
      <c r="S258" s="42">
        <f>IF(テーブル22[[#This Row],[上体]]="",0,(IF(テーブル22[[#This Row],[性別]]="男",LOOKUP(テーブル22[[#This Row],[上体]],$AJ$6:$AK$15),LOOKUP(テーブル22[[#This Row],[上体]],$AJ$20:$AK$29))))</f>
        <v>0</v>
      </c>
      <c r="T258" s="42">
        <f>IF(テーブル22[[#This Row],[長座]]="",0,(IF(テーブル22[[#This Row],[性別]]="男",LOOKUP(テーブル22[[#This Row],[長座]],$AL$6:$AM$15),LOOKUP(テーブル22[[#This Row],[長座]],$AL$20:$AM$29))))</f>
        <v>0</v>
      </c>
      <c r="U258" s="42">
        <f>IF(テーブル22[[#This Row],[反復]]="",0,(IF(テーブル22[[#This Row],[性別]]="男",LOOKUP(テーブル22[[#This Row],[反復]],$AN$6:$AO$15),LOOKUP(テーブル22[[#This Row],[反復]],$AN$20:$AO$29))))</f>
        <v>0</v>
      </c>
      <c r="V258" s="42">
        <f>IF(テーブル22[[#This Row],[ｼｬﾄﾙﾗﾝ]]="",0,(IF(テーブル22[[#This Row],[性別]]="男",LOOKUP(テーブル22[[#This Row],[ｼｬﾄﾙﾗﾝ]],$AR$6:$AS$15),LOOKUP(テーブル22[[#This Row],[ｼｬﾄﾙﾗﾝ]],$AR$20:$AS$29))))</f>
        <v>0</v>
      </c>
      <c r="W258" s="42">
        <f>IF(テーブル22[[#This Row],[50m走]]="",0,(IF(テーブル22[[#This Row],[性別]]="男",LOOKUP(テーブル22[[#This Row],[50m走]],$AT$6:$AU$15),LOOKUP(テーブル22[[#This Row],[50m走]],$AT$20:$AU$29))))</f>
        <v>0</v>
      </c>
      <c r="X258" s="42">
        <f>IF(テーブル22[[#This Row],[立幅とび]]="",0,(IF(テーブル22[[#This Row],[性別]]="男",LOOKUP(テーブル22[[#This Row],[立幅とび]],$AV$6:$AW$15),LOOKUP(テーブル22[[#This Row],[立幅とび]],$AV$20:$AW$29))))</f>
        <v>0</v>
      </c>
      <c r="Y258" s="42">
        <f>IF(テーブル22[[#This Row],[ボール投げ]]="",0,(IF(テーブル22[[#This Row],[性別]]="男",LOOKUP(テーブル22[[#This Row],[ボール投げ]],$AX$6:$AY$15),LOOKUP(テーブル22[[#This Row],[ボール投げ]],$AX$20:$AY$29))))</f>
        <v>0</v>
      </c>
      <c r="Z258" s="19" t="str">
        <f>IF(テーブル22[[#This Row],[学年]]=1,6,IF(テーブル22[[#This Row],[学年]]=2,7,IF(テーブル22[[#This Row],[学年]]=3,8,IF(テーブル22[[#This Row],[学年]]=4,9,IF(テーブル22[[#This Row],[学年]]=5,10,IF(テーブル22[[#This Row],[学年]]=6,11," "))))))</f>
        <v xml:space="preserve"> </v>
      </c>
      <c r="AA258" s="125" t="str">
        <f>IF(テーブル22[[#This Row],[肥満度数値]]="","",LOOKUP(AC258,$AW$39:$AW$44,$AX$39:$AX$44))</f>
        <v/>
      </c>
      <c r="AB2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8" s="124" t="str">
        <f>IF(テーブル22[[#This Row],[体重]]="","",(テーブル22[[#This Row],[体重]]-テーブル22[[#This Row],[標準体重]])/テーブル22[[#This Row],[標準体重]]*100)</f>
        <v/>
      </c>
      <c r="AD258" s="1">
        <f>COUNTA(テーブル22[[#This Row],[握力]:[ボール投げ]])</f>
        <v>0</v>
      </c>
      <c r="AE258" s="1" t="str">
        <f>IF(テーブル22[[#This Row],[判定]]=$BD$10,"○","")</f>
        <v/>
      </c>
      <c r="AF258" s="1" t="str">
        <f>IF(AE258="","",COUNTIF($AE$6:AE258,"○"))</f>
        <v/>
      </c>
    </row>
    <row r="259" spans="1:32" x14ac:dyDescent="0.2">
      <c r="A259" s="40">
        <v>254</v>
      </c>
      <c r="B259" s="145"/>
      <c r="C259" s="148"/>
      <c r="D259" s="145"/>
      <c r="E259" s="156"/>
      <c r="F259" s="145"/>
      <c r="G259" s="145"/>
      <c r="H259" s="146"/>
      <c r="I259" s="146"/>
      <c r="J259" s="148"/>
      <c r="K259" s="145"/>
      <c r="L259" s="148"/>
      <c r="M259" s="149"/>
      <c r="N259" s="148"/>
      <c r="O259" s="150"/>
      <c r="P2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59" s="43" t="str">
        <f>IF(テーブル22[[#This Row],[得点]]="","",IF(テーブル22[[#This Row],[年齢]]&gt;10,LOOKUP(P259,$BG$6:$BG$10,$BD$6:$BD$10),IF(テーブル22[[#This Row],[年齢]]&gt;9,LOOKUP(P259,$BF$6:$BF$10,$BD$6:$BD$10),IF(テーブル22[[#This Row],[年齢]]&gt;8,LOOKUP(P259,$BE$6:$BE$10,$BD$6:$BD$10),IF(テーブル22[[#This Row],[年齢]]&gt;7,LOOKUP(P259,$BC$6:$BC$10,$BD$6:$BD$10),IF(テーブル22[[#This Row],[年齢]]&gt;6,LOOKUP(P259,$BB$6:$BB$10,$BD$6:$BD$10),LOOKUP(P259,$BA$6:$BA$10,$BD$6:$BD$10)))))))</f>
        <v/>
      </c>
      <c r="R259" s="42">
        <f>IF(H259="",0,(IF(テーブル22[[#This Row],[性別]]="男",LOOKUP(テーブル22[[#This Row],[握力]],$AH$6:$AI$15),LOOKUP(テーブル22[[#This Row],[握力]],$AH$20:$AI$29))))</f>
        <v>0</v>
      </c>
      <c r="S259" s="42">
        <f>IF(テーブル22[[#This Row],[上体]]="",0,(IF(テーブル22[[#This Row],[性別]]="男",LOOKUP(テーブル22[[#This Row],[上体]],$AJ$6:$AK$15),LOOKUP(テーブル22[[#This Row],[上体]],$AJ$20:$AK$29))))</f>
        <v>0</v>
      </c>
      <c r="T259" s="42">
        <f>IF(テーブル22[[#This Row],[長座]]="",0,(IF(テーブル22[[#This Row],[性別]]="男",LOOKUP(テーブル22[[#This Row],[長座]],$AL$6:$AM$15),LOOKUP(テーブル22[[#This Row],[長座]],$AL$20:$AM$29))))</f>
        <v>0</v>
      </c>
      <c r="U259" s="42">
        <f>IF(テーブル22[[#This Row],[反復]]="",0,(IF(テーブル22[[#This Row],[性別]]="男",LOOKUP(テーブル22[[#This Row],[反復]],$AN$6:$AO$15),LOOKUP(テーブル22[[#This Row],[反復]],$AN$20:$AO$29))))</f>
        <v>0</v>
      </c>
      <c r="V259" s="42">
        <f>IF(テーブル22[[#This Row],[ｼｬﾄﾙﾗﾝ]]="",0,(IF(テーブル22[[#This Row],[性別]]="男",LOOKUP(テーブル22[[#This Row],[ｼｬﾄﾙﾗﾝ]],$AR$6:$AS$15),LOOKUP(テーブル22[[#This Row],[ｼｬﾄﾙﾗﾝ]],$AR$20:$AS$29))))</f>
        <v>0</v>
      </c>
      <c r="W259" s="42">
        <f>IF(テーブル22[[#This Row],[50m走]]="",0,(IF(テーブル22[[#This Row],[性別]]="男",LOOKUP(テーブル22[[#This Row],[50m走]],$AT$6:$AU$15),LOOKUP(テーブル22[[#This Row],[50m走]],$AT$20:$AU$29))))</f>
        <v>0</v>
      </c>
      <c r="X259" s="42">
        <f>IF(テーブル22[[#This Row],[立幅とび]]="",0,(IF(テーブル22[[#This Row],[性別]]="男",LOOKUP(テーブル22[[#This Row],[立幅とび]],$AV$6:$AW$15),LOOKUP(テーブル22[[#This Row],[立幅とび]],$AV$20:$AW$29))))</f>
        <v>0</v>
      </c>
      <c r="Y259" s="42">
        <f>IF(テーブル22[[#This Row],[ボール投げ]]="",0,(IF(テーブル22[[#This Row],[性別]]="男",LOOKUP(テーブル22[[#This Row],[ボール投げ]],$AX$6:$AY$15),LOOKUP(テーブル22[[#This Row],[ボール投げ]],$AX$20:$AY$29))))</f>
        <v>0</v>
      </c>
      <c r="Z259" s="19" t="str">
        <f>IF(テーブル22[[#This Row],[学年]]=1,6,IF(テーブル22[[#This Row],[学年]]=2,7,IF(テーブル22[[#This Row],[学年]]=3,8,IF(テーブル22[[#This Row],[学年]]=4,9,IF(テーブル22[[#This Row],[学年]]=5,10,IF(テーブル22[[#This Row],[学年]]=6,11," "))))))</f>
        <v xml:space="preserve"> </v>
      </c>
      <c r="AA259" s="125" t="str">
        <f>IF(テーブル22[[#This Row],[肥満度数値]]="","",LOOKUP(AC259,$AW$39:$AW$44,$AX$39:$AX$44))</f>
        <v/>
      </c>
      <c r="AB2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59" s="124" t="str">
        <f>IF(テーブル22[[#This Row],[体重]]="","",(テーブル22[[#This Row],[体重]]-テーブル22[[#This Row],[標準体重]])/テーブル22[[#This Row],[標準体重]]*100)</f>
        <v/>
      </c>
      <c r="AD259" s="1">
        <f>COUNTA(テーブル22[[#This Row],[握力]:[ボール投げ]])</f>
        <v>0</v>
      </c>
      <c r="AE259" s="1" t="str">
        <f>IF(テーブル22[[#This Row],[判定]]=$BD$10,"○","")</f>
        <v/>
      </c>
      <c r="AF259" s="1" t="str">
        <f>IF(AE259="","",COUNTIF($AE$6:AE259,"○"))</f>
        <v/>
      </c>
    </row>
    <row r="260" spans="1:32" x14ac:dyDescent="0.2">
      <c r="A260" s="40">
        <v>255</v>
      </c>
      <c r="B260" s="145"/>
      <c r="C260" s="148"/>
      <c r="D260" s="145"/>
      <c r="E260" s="156"/>
      <c r="F260" s="145"/>
      <c r="G260" s="145"/>
      <c r="H260" s="146"/>
      <c r="I260" s="146"/>
      <c r="J260" s="148"/>
      <c r="K260" s="145"/>
      <c r="L260" s="148"/>
      <c r="M260" s="149"/>
      <c r="N260" s="148"/>
      <c r="O260" s="150"/>
      <c r="P2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0" s="43" t="str">
        <f>IF(テーブル22[[#This Row],[得点]]="","",IF(テーブル22[[#This Row],[年齢]]&gt;10,LOOKUP(P260,$BG$6:$BG$10,$BD$6:$BD$10),IF(テーブル22[[#This Row],[年齢]]&gt;9,LOOKUP(P260,$BF$6:$BF$10,$BD$6:$BD$10),IF(テーブル22[[#This Row],[年齢]]&gt;8,LOOKUP(P260,$BE$6:$BE$10,$BD$6:$BD$10),IF(テーブル22[[#This Row],[年齢]]&gt;7,LOOKUP(P260,$BC$6:$BC$10,$BD$6:$BD$10),IF(テーブル22[[#This Row],[年齢]]&gt;6,LOOKUP(P260,$BB$6:$BB$10,$BD$6:$BD$10),LOOKUP(P260,$BA$6:$BA$10,$BD$6:$BD$10)))))))</f>
        <v/>
      </c>
      <c r="R260" s="42">
        <f>IF(H260="",0,(IF(テーブル22[[#This Row],[性別]]="男",LOOKUP(テーブル22[[#This Row],[握力]],$AH$6:$AI$15),LOOKUP(テーブル22[[#This Row],[握力]],$AH$20:$AI$29))))</f>
        <v>0</v>
      </c>
      <c r="S260" s="42">
        <f>IF(テーブル22[[#This Row],[上体]]="",0,(IF(テーブル22[[#This Row],[性別]]="男",LOOKUP(テーブル22[[#This Row],[上体]],$AJ$6:$AK$15),LOOKUP(テーブル22[[#This Row],[上体]],$AJ$20:$AK$29))))</f>
        <v>0</v>
      </c>
      <c r="T260" s="42">
        <f>IF(テーブル22[[#This Row],[長座]]="",0,(IF(テーブル22[[#This Row],[性別]]="男",LOOKUP(テーブル22[[#This Row],[長座]],$AL$6:$AM$15),LOOKUP(テーブル22[[#This Row],[長座]],$AL$20:$AM$29))))</f>
        <v>0</v>
      </c>
      <c r="U260" s="42">
        <f>IF(テーブル22[[#This Row],[反復]]="",0,(IF(テーブル22[[#This Row],[性別]]="男",LOOKUP(テーブル22[[#This Row],[反復]],$AN$6:$AO$15),LOOKUP(テーブル22[[#This Row],[反復]],$AN$20:$AO$29))))</f>
        <v>0</v>
      </c>
      <c r="V260" s="42">
        <f>IF(テーブル22[[#This Row],[ｼｬﾄﾙﾗﾝ]]="",0,(IF(テーブル22[[#This Row],[性別]]="男",LOOKUP(テーブル22[[#This Row],[ｼｬﾄﾙﾗﾝ]],$AR$6:$AS$15),LOOKUP(テーブル22[[#This Row],[ｼｬﾄﾙﾗﾝ]],$AR$20:$AS$29))))</f>
        <v>0</v>
      </c>
      <c r="W260" s="42">
        <f>IF(テーブル22[[#This Row],[50m走]]="",0,(IF(テーブル22[[#This Row],[性別]]="男",LOOKUP(テーブル22[[#This Row],[50m走]],$AT$6:$AU$15),LOOKUP(テーブル22[[#This Row],[50m走]],$AT$20:$AU$29))))</f>
        <v>0</v>
      </c>
      <c r="X260" s="42">
        <f>IF(テーブル22[[#This Row],[立幅とび]]="",0,(IF(テーブル22[[#This Row],[性別]]="男",LOOKUP(テーブル22[[#This Row],[立幅とび]],$AV$6:$AW$15),LOOKUP(テーブル22[[#This Row],[立幅とび]],$AV$20:$AW$29))))</f>
        <v>0</v>
      </c>
      <c r="Y260" s="42">
        <f>IF(テーブル22[[#This Row],[ボール投げ]]="",0,(IF(テーブル22[[#This Row],[性別]]="男",LOOKUP(テーブル22[[#This Row],[ボール投げ]],$AX$6:$AY$15),LOOKUP(テーブル22[[#This Row],[ボール投げ]],$AX$20:$AY$29))))</f>
        <v>0</v>
      </c>
      <c r="Z260" s="19" t="str">
        <f>IF(テーブル22[[#This Row],[学年]]=1,6,IF(テーブル22[[#This Row],[学年]]=2,7,IF(テーブル22[[#This Row],[学年]]=3,8,IF(テーブル22[[#This Row],[学年]]=4,9,IF(テーブル22[[#This Row],[学年]]=5,10,IF(テーブル22[[#This Row],[学年]]=6,11," "))))))</f>
        <v xml:space="preserve"> </v>
      </c>
      <c r="AA260" s="125" t="str">
        <f>IF(テーブル22[[#This Row],[肥満度数値]]="","",LOOKUP(AC260,$AW$39:$AW$44,$AX$39:$AX$44))</f>
        <v/>
      </c>
      <c r="AB2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0" s="124" t="str">
        <f>IF(テーブル22[[#This Row],[体重]]="","",(テーブル22[[#This Row],[体重]]-テーブル22[[#This Row],[標準体重]])/テーブル22[[#This Row],[標準体重]]*100)</f>
        <v/>
      </c>
      <c r="AD260" s="1">
        <f>COUNTA(テーブル22[[#This Row],[握力]:[ボール投げ]])</f>
        <v>0</v>
      </c>
      <c r="AE260" s="1" t="str">
        <f>IF(テーブル22[[#This Row],[判定]]=$BD$10,"○","")</f>
        <v/>
      </c>
      <c r="AF260" s="1" t="str">
        <f>IF(AE260="","",COUNTIF($AE$6:AE260,"○"))</f>
        <v/>
      </c>
    </row>
    <row r="261" spans="1:32" x14ac:dyDescent="0.2">
      <c r="A261" s="40">
        <v>256</v>
      </c>
      <c r="B261" s="145"/>
      <c r="C261" s="148"/>
      <c r="D261" s="145"/>
      <c r="E261" s="156"/>
      <c r="F261" s="145"/>
      <c r="G261" s="145"/>
      <c r="H261" s="146"/>
      <c r="I261" s="146"/>
      <c r="J261" s="148"/>
      <c r="K261" s="145"/>
      <c r="L261" s="148"/>
      <c r="M261" s="149"/>
      <c r="N261" s="148"/>
      <c r="O261" s="150"/>
      <c r="P2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1" s="43" t="str">
        <f>IF(テーブル22[[#This Row],[得点]]="","",IF(テーブル22[[#This Row],[年齢]]&gt;10,LOOKUP(P261,$BG$6:$BG$10,$BD$6:$BD$10),IF(テーブル22[[#This Row],[年齢]]&gt;9,LOOKUP(P261,$BF$6:$BF$10,$BD$6:$BD$10),IF(テーブル22[[#This Row],[年齢]]&gt;8,LOOKUP(P261,$BE$6:$BE$10,$BD$6:$BD$10),IF(テーブル22[[#This Row],[年齢]]&gt;7,LOOKUP(P261,$BC$6:$BC$10,$BD$6:$BD$10),IF(テーブル22[[#This Row],[年齢]]&gt;6,LOOKUP(P261,$BB$6:$BB$10,$BD$6:$BD$10),LOOKUP(P261,$BA$6:$BA$10,$BD$6:$BD$10)))))))</f>
        <v/>
      </c>
      <c r="R261" s="42">
        <f>IF(H261="",0,(IF(テーブル22[[#This Row],[性別]]="男",LOOKUP(テーブル22[[#This Row],[握力]],$AH$6:$AI$15),LOOKUP(テーブル22[[#This Row],[握力]],$AH$20:$AI$29))))</f>
        <v>0</v>
      </c>
      <c r="S261" s="42">
        <f>IF(テーブル22[[#This Row],[上体]]="",0,(IF(テーブル22[[#This Row],[性別]]="男",LOOKUP(テーブル22[[#This Row],[上体]],$AJ$6:$AK$15),LOOKUP(テーブル22[[#This Row],[上体]],$AJ$20:$AK$29))))</f>
        <v>0</v>
      </c>
      <c r="T261" s="42">
        <f>IF(テーブル22[[#This Row],[長座]]="",0,(IF(テーブル22[[#This Row],[性別]]="男",LOOKUP(テーブル22[[#This Row],[長座]],$AL$6:$AM$15),LOOKUP(テーブル22[[#This Row],[長座]],$AL$20:$AM$29))))</f>
        <v>0</v>
      </c>
      <c r="U261" s="42">
        <f>IF(テーブル22[[#This Row],[反復]]="",0,(IF(テーブル22[[#This Row],[性別]]="男",LOOKUP(テーブル22[[#This Row],[反復]],$AN$6:$AO$15),LOOKUP(テーブル22[[#This Row],[反復]],$AN$20:$AO$29))))</f>
        <v>0</v>
      </c>
      <c r="V261" s="42">
        <f>IF(テーブル22[[#This Row],[ｼｬﾄﾙﾗﾝ]]="",0,(IF(テーブル22[[#This Row],[性別]]="男",LOOKUP(テーブル22[[#This Row],[ｼｬﾄﾙﾗﾝ]],$AR$6:$AS$15),LOOKUP(テーブル22[[#This Row],[ｼｬﾄﾙﾗﾝ]],$AR$20:$AS$29))))</f>
        <v>0</v>
      </c>
      <c r="W261" s="42">
        <f>IF(テーブル22[[#This Row],[50m走]]="",0,(IF(テーブル22[[#This Row],[性別]]="男",LOOKUP(テーブル22[[#This Row],[50m走]],$AT$6:$AU$15),LOOKUP(テーブル22[[#This Row],[50m走]],$AT$20:$AU$29))))</f>
        <v>0</v>
      </c>
      <c r="X261" s="42">
        <f>IF(テーブル22[[#This Row],[立幅とび]]="",0,(IF(テーブル22[[#This Row],[性別]]="男",LOOKUP(テーブル22[[#This Row],[立幅とび]],$AV$6:$AW$15),LOOKUP(テーブル22[[#This Row],[立幅とび]],$AV$20:$AW$29))))</f>
        <v>0</v>
      </c>
      <c r="Y261" s="42">
        <f>IF(テーブル22[[#This Row],[ボール投げ]]="",0,(IF(テーブル22[[#This Row],[性別]]="男",LOOKUP(テーブル22[[#This Row],[ボール投げ]],$AX$6:$AY$15),LOOKUP(テーブル22[[#This Row],[ボール投げ]],$AX$20:$AY$29))))</f>
        <v>0</v>
      </c>
      <c r="Z261" s="19" t="str">
        <f>IF(テーブル22[[#This Row],[学年]]=1,6,IF(テーブル22[[#This Row],[学年]]=2,7,IF(テーブル22[[#This Row],[学年]]=3,8,IF(テーブル22[[#This Row],[学年]]=4,9,IF(テーブル22[[#This Row],[学年]]=5,10,IF(テーブル22[[#This Row],[学年]]=6,11," "))))))</f>
        <v xml:space="preserve"> </v>
      </c>
      <c r="AA261" s="125" t="str">
        <f>IF(テーブル22[[#This Row],[肥満度数値]]="","",LOOKUP(AC261,$AW$39:$AW$44,$AX$39:$AX$44))</f>
        <v/>
      </c>
      <c r="AB2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1" s="124" t="str">
        <f>IF(テーブル22[[#This Row],[体重]]="","",(テーブル22[[#This Row],[体重]]-テーブル22[[#This Row],[標準体重]])/テーブル22[[#This Row],[標準体重]]*100)</f>
        <v/>
      </c>
      <c r="AD261" s="1">
        <f>COUNTA(テーブル22[[#This Row],[握力]:[ボール投げ]])</f>
        <v>0</v>
      </c>
      <c r="AE261" s="1" t="str">
        <f>IF(テーブル22[[#This Row],[判定]]=$BD$10,"○","")</f>
        <v/>
      </c>
      <c r="AF261" s="1" t="str">
        <f>IF(AE261="","",COUNTIF($AE$6:AE261,"○"))</f>
        <v/>
      </c>
    </row>
    <row r="262" spans="1:32" x14ac:dyDescent="0.2">
      <c r="A262" s="40">
        <v>257</v>
      </c>
      <c r="B262" s="145"/>
      <c r="C262" s="148"/>
      <c r="D262" s="145"/>
      <c r="E262" s="156"/>
      <c r="F262" s="145"/>
      <c r="G262" s="145"/>
      <c r="H262" s="146"/>
      <c r="I262" s="146"/>
      <c r="J262" s="148"/>
      <c r="K262" s="145"/>
      <c r="L262" s="148"/>
      <c r="M262" s="149"/>
      <c r="N262" s="148"/>
      <c r="O262" s="150"/>
      <c r="P2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2" s="43" t="str">
        <f>IF(テーブル22[[#This Row],[得点]]="","",IF(テーブル22[[#This Row],[年齢]]&gt;10,LOOKUP(P262,$BG$6:$BG$10,$BD$6:$BD$10),IF(テーブル22[[#This Row],[年齢]]&gt;9,LOOKUP(P262,$BF$6:$BF$10,$BD$6:$BD$10),IF(テーブル22[[#This Row],[年齢]]&gt;8,LOOKUP(P262,$BE$6:$BE$10,$BD$6:$BD$10),IF(テーブル22[[#This Row],[年齢]]&gt;7,LOOKUP(P262,$BC$6:$BC$10,$BD$6:$BD$10),IF(テーブル22[[#This Row],[年齢]]&gt;6,LOOKUP(P262,$BB$6:$BB$10,$BD$6:$BD$10),LOOKUP(P262,$BA$6:$BA$10,$BD$6:$BD$10)))))))</f>
        <v/>
      </c>
      <c r="R262" s="42">
        <f>IF(H262="",0,(IF(テーブル22[[#This Row],[性別]]="男",LOOKUP(テーブル22[[#This Row],[握力]],$AH$6:$AI$15),LOOKUP(テーブル22[[#This Row],[握力]],$AH$20:$AI$29))))</f>
        <v>0</v>
      </c>
      <c r="S262" s="42">
        <f>IF(テーブル22[[#This Row],[上体]]="",0,(IF(テーブル22[[#This Row],[性別]]="男",LOOKUP(テーブル22[[#This Row],[上体]],$AJ$6:$AK$15),LOOKUP(テーブル22[[#This Row],[上体]],$AJ$20:$AK$29))))</f>
        <v>0</v>
      </c>
      <c r="T262" s="42">
        <f>IF(テーブル22[[#This Row],[長座]]="",0,(IF(テーブル22[[#This Row],[性別]]="男",LOOKUP(テーブル22[[#This Row],[長座]],$AL$6:$AM$15),LOOKUP(テーブル22[[#This Row],[長座]],$AL$20:$AM$29))))</f>
        <v>0</v>
      </c>
      <c r="U262" s="42">
        <f>IF(テーブル22[[#This Row],[反復]]="",0,(IF(テーブル22[[#This Row],[性別]]="男",LOOKUP(テーブル22[[#This Row],[反復]],$AN$6:$AO$15),LOOKUP(テーブル22[[#This Row],[反復]],$AN$20:$AO$29))))</f>
        <v>0</v>
      </c>
      <c r="V262" s="42">
        <f>IF(テーブル22[[#This Row],[ｼｬﾄﾙﾗﾝ]]="",0,(IF(テーブル22[[#This Row],[性別]]="男",LOOKUP(テーブル22[[#This Row],[ｼｬﾄﾙﾗﾝ]],$AR$6:$AS$15),LOOKUP(テーブル22[[#This Row],[ｼｬﾄﾙﾗﾝ]],$AR$20:$AS$29))))</f>
        <v>0</v>
      </c>
      <c r="W262" s="42">
        <f>IF(テーブル22[[#This Row],[50m走]]="",0,(IF(テーブル22[[#This Row],[性別]]="男",LOOKUP(テーブル22[[#This Row],[50m走]],$AT$6:$AU$15),LOOKUP(テーブル22[[#This Row],[50m走]],$AT$20:$AU$29))))</f>
        <v>0</v>
      </c>
      <c r="X262" s="42">
        <f>IF(テーブル22[[#This Row],[立幅とび]]="",0,(IF(テーブル22[[#This Row],[性別]]="男",LOOKUP(テーブル22[[#This Row],[立幅とび]],$AV$6:$AW$15),LOOKUP(テーブル22[[#This Row],[立幅とび]],$AV$20:$AW$29))))</f>
        <v>0</v>
      </c>
      <c r="Y262" s="42">
        <f>IF(テーブル22[[#This Row],[ボール投げ]]="",0,(IF(テーブル22[[#This Row],[性別]]="男",LOOKUP(テーブル22[[#This Row],[ボール投げ]],$AX$6:$AY$15),LOOKUP(テーブル22[[#This Row],[ボール投げ]],$AX$20:$AY$29))))</f>
        <v>0</v>
      </c>
      <c r="Z262" s="19" t="str">
        <f>IF(テーブル22[[#This Row],[学年]]=1,6,IF(テーブル22[[#This Row],[学年]]=2,7,IF(テーブル22[[#This Row],[学年]]=3,8,IF(テーブル22[[#This Row],[学年]]=4,9,IF(テーブル22[[#This Row],[学年]]=5,10,IF(テーブル22[[#This Row],[学年]]=6,11," "))))))</f>
        <v xml:space="preserve"> </v>
      </c>
      <c r="AA262" s="125" t="str">
        <f>IF(テーブル22[[#This Row],[肥満度数値]]="","",LOOKUP(AC262,$AW$39:$AW$44,$AX$39:$AX$44))</f>
        <v/>
      </c>
      <c r="AB2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2" s="124" t="str">
        <f>IF(テーブル22[[#This Row],[体重]]="","",(テーブル22[[#This Row],[体重]]-テーブル22[[#This Row],[標準体重]])/テーブル22[[#This Row],[標準体重]]*100)</f>
        <v/>
      </c>
      <c r="AD262" s="1">
        <f>COUNTA(テーブル22[[#This Row],[握力]:[ボール投げ]])</f>
        <v>0</v>
      </c>
      <c r="AE262" s="1" t="str">
        <f>IF(テーブル22[[#This Row],[判定]]=$BD$10,"○","")</f>
        <v/>
      </c>
      <c r="AF262" s="1" t="str">
        <f>IF(AE262="","",COUNTIF($AE$6:AE262,"○"))</f>
        <v/>
      </c>
    </row>
    <row r="263" spans="1:32" x14ac:dyDescent="0.2">
      <c r="A263" s="40">
        <v>258</v>
      </c>
      <c r="B263" s="145"/>
      <c r="C263" s="148"/>
      <c r="D263" s="145"/>
      <c r="E263" s="156"/>
      <c r="F263" s="145"/>
      <c r="G263" s="145"/>
      <c r="H263" s="146"/>
      <c r="I263" s="146"/>
      <c r="J263" s="148"/>
      <c r="K263" s="145"/>
      <c r="L263" s="148"/>
      <c r="M263" s="149"/>
      <c r="N263" s="148"/>
      <c r="O263" s="150"/>
      <c r="P2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3" s="43" t="str">
        <f>IF(テーブル22[[#This Row],[得点]]="","",IF(テーブル22[[#This Row],[年齢]]&gt;10,LOOKUP(P263,$BG$6:$BG$10,$BD$6:$BD$10),IF(テーブル22[[#This Row],[年齢]]&gt;9,LOOKUP(P263,$BF$6:$BF$10,$BD$6:$BD$10),IF(テーブル22[[#This Row],[年齢]]&gt;8,LOOKUP(P263,$BE$6:$BE$10,$BD$6:$BD$10),IF(テーブル22[[#This Row],[年齢]]&gt;7,LOOKUP(P263,$BC$6:$BC$10,$BD$6:$BD$10),IF(テーブル22[[#This Row],[年齢]]&gt;6,LOOKUP(P263,$BB$6:$BB$10,$BD$6:$BD$10),LOOKUP(P263,$BA$6:$BA$10,$BD$6:$BD$10)))))))</f>
        <v/>
      </c>
      <c r="R263" s="42">
        <f>IF(H263="",0,(IF(テーブル22[[#This Row],[性別]]="男",LOOKUP(テーブル22[[#This Row],[握力]],$AH$6:$AI$15),LOOKUP(テーブル22[[#This Row],[握力]],$AH$20:$AI$29))))</f>
        <v>0</v>
      </c>
      <c r="S263" s="42">
        <f>IF(テーブル22[[#This Row],[上体]]="",0,(IF(テーブル22[[#This Row],[性別]]="男",LOOKUP(テーブル22[[#This Row],[上体]],$AJ$6:$AK$15),LOOKUP(テーブル22[[#This Row],[上体]],$AJ$20:$AK$29))))</f>
        <v>0</v>
      </c>
      <c r="T263" s="42">
        <f>IF(テーブル22[[#This Row],[長座]]="",0,(IF(テーブル22[[#This Row],[性別]]="男",LOOKUP(テーブル22[[#This Row],[長座]],$AL$6:$AM$15),LOOKUP(テーブル22[[#This Row],[長座]],$AL$20:$AM$29))))</f>
        <v>0</v>
      </c>
      <c r="U263" s="42">
        <f>IF(テーブル22[[#This Row],[反復]]="",0,(IF(テーブル22[[#This Row],[性別]]="男",LOOKUP(テーブル22[[#This Row],[反復]],$AN$6:$AO$15),LOOKUP(テーブル22[[#This Row],[反復]],$AN$20:$AO$29))))</f>
        <v>0</v>
      </c>
      <c r="V263" s="42">
        <f>IF(テーブル22[[#This Row],[ｼｬﾄﾙﾗﾝ]]="",0,(IF(テーブル22[[#This Row],[性別]]="男",LOOKUP(テーブル22[[#This Row],[ｼｬﾄﾙﾗﾝ]],$AR$6:$AS$15),LOOKUP(テーブル22[[#This Row],[ｼｬﾄﾙﾗﾝ]],$AR$20:$AS$29))))</f>
        <v>0</v>
      </c>
      <c r="W263" s="42">
        <f>IF(テーブル22[[#This Row],[50m走]]="",0,(IF(テーブル22[[#This Row],[性別]]="男",LOOKUP(テーブル22[[#This Row],[50m走]],$AT$6:$AU$15),LOOKUP(テーブル22[[#This Row],[50m走]],$AT$20:$AU$29))))</f>
        <v>0</v>
      </c>
      <c r="X263" s="42">
        <f>IF(テーブル22[[#This Row],[立幅とび]]="",0,(IF(テーブル22[[#This Row],[性別]]="男",LOOKUP(テーブル22[[#This Row],[立幅とび]],$AV$6:$AW$15),LOOKUP(テーブル22[[#This Row],[立幅とび]],$AV$20:$AW$29))))</f>
        <v>0</v>
      </c>
      <c r="Y263" s="42">
        <f>IF(テーブル22[[#This Row],[ボール投げ]]="",0,(IF(テーブル22[[#This Row],[性別]]="男",LOOKUP(テーブル22[[#This Row],[ボール投げ]],$AX$6:$AY$15),LOOKUP(テーブル22[[#This Row],[ボール投げ]],$AX$20:$AY$29))))</f>
        <v>0</v>
      </c>
      <c r="Z263" s="19" t="str">
        <f>IF(テーブル22[[#This Row],[学年]]=1,6,IF(テーブル22[[#This Row],[学年]]=2,7,IF(テーブル22[[#This Row],[学年]]=3,8,IF(テーブル22[[#This Row],[学年]]=4,9,IF(テーブル22[[#This Row],[学年]]=5,10,IF(テーブル22[[#This Row],[学年]]=6,11," "))))))</f>
        <v xml:space="preserve"> </v>
      </c>
      <c r="AA263" s="125" t="str">
        <f>IF(テーブル22[[#This Row],[肥満度数値]]="","",LOOKUP(AC263,$AW$39:$AW$44,$AX$39:$AX$44))</f>
        <v/>
      </c>
      <c r="AB2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3" s="124" t="str">
        <f>IF(テーブル22[[#This Row],[体重]]="","",(テーブル22[[#This Row],[体重]]-テーブル22[[#This Row],[標準体重]])/テーブル22[[#This Row],[標準体重]]*100)</f>
        <v/>
      </c>
      <c r="AD263" s="1">
        <f>COUNTA(テーブル22[[#This Row],[握力]:[ボール投げ]])</f>
        <v>0</v>
      </c>
      <c r="AE263" s="1" t="str">
        <f>IF(テーブル22[[#This Row],[判定]]=$BD$10,"○","")</f>
        <v/>
      </c>
      <c r="AF263" s="1" t="str">
        <f>IF(AE263="","",COUNTIF($AE$6:AE263,"○"))</f>
        <v/>
      </c>
    </row>
    <row r="264" spans="1:32" x14ac:dyDescent="0.2">
      <c r="A264" s="40">
        <v>259</v>
      </c>
      <c r="B264" s="145"/>
      <c r="C264" s="148"/>
      <c r="D264" s="145"/>
      <c r="E264" s="156"/>
      <c r="F264" s="145"/>
      <c r="G264" s="145"/>
      <c r="H264" s="146"/>
      <c r="I264" s="146"/>
      <c r="J264" s="148"/>
      <c r="K264" s="145"/>
      <c r="L264" s="148"/>
      <c r="M264" s="149"/>
      <c r="N264" s="148"/>
      <c r="O264" s="150"/>
      <c r="P2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4" s="43" t="str">
        <f>IF(テーブル22[[#This Row],[得点]]="","",IF(テーブル22[[#This Row],[年齢]]&gt;10,LOOKUP(P264,$BG$6:$BG$10,$BD$6:$BD$10),IF(テーブル22[[#This Row],[年齢]]&gt;9,LOOKUP(P264,$BF$6:$BF$10,$BD$6:$BD$10),IF(テーブル22[[#This Row],[年齢]]&gt;8,LOOKUP(P264,$BE$6:$BE$10,$BD$6:$BD$10),IF(テーブル22[[#This Row],[年齢]]&gt;7,LOOKUP(P264,$BC$6:$BC$10,$BD$6:$BD$10),IF(テーブル22[[#This Row],[年齢]]&gt;6,LOOKUP(P264,$BB$6:$BB$10,$BD$6:$BD$10),LOOKUP(P264,$BA$6:$BA$10,$BD$6:$BD$10)))))))</f>
        <v/>
      </c>
      <c r="R264" s="42">
        <f>IF(H264="",0,(IF(テーブル22[[#This Row],[性別]]="男",LOOKUP(テーブル22[[#This Row],[握力]],$AH$6:$AI$15),LOOKUP(テーブル22[[#This Row],[握力]],$AH$20:$AI$29))))</f>
        <v>0</v>
      </c>
      <c r="S264" s="42">
        <f>IF(テーブル22[[#This Row],[上体]]="",0,(IF(テーブル22[[#This Row],[性別]]="男",LOOKUP(テーブル22[[#This Row],[上体]],$AJ$6:$AK$15),LOOKUP(テーブル22[[#This Row],[上体]],$AJ$20:$AK$29))))</f>
        <v>0</v>
      </c>
      <c r="T264" s="42">
        <f>IF(テーブル22[[#This Row],[長座]]="",0,(IF(テーブル22[[#This Row],[性別]]="男",LOOKUP(テーブル22[[#This Row],[長座]],$AL$6:$AM$15),LOOKUP(テーブル22[[#This Row],[長座]],$AL$20:$AM$29))))</f>
        <v>0</v>
      </c>
      <c r="U264" s="42">
        <f>IF(テーブル22[[#This Row],[反復]]="",0,(IF(テーブル22[[#This Row],[性別]]="男",LOOKUP(テーブル22[[#This Row],[反復]],$AN$6:$AO$15),LOOKUP(テーブル22[[#This Row],[反復]],$AN$20:$AO$29))))</f>
        <v>0</v>
      </c>
      <c r="V264" s="42">
        <f>IF(テーブル22[[#This Row],[ｼｬﾄﾙﾗﾝ]]="",0,(IF(テーブル22[[#This Row],[性別]]="男",LOOKUP(テーブル22[[#This Row],[ｼｬﾄﾙﾗﾝ]],$AR$6:$AS$15),LOOKUP(テーブル22[[#This Row],[ｼｬﾄﾙﾗﾝ]],$AR$20:$AS$29))))</f>
        <v>0</v>
      </c>
      <c r="W264" s="42">
        <f>IF(テーブル22[[#This Row],[50m走]]="",0,(IF(テーブル22[[#This Row],[性別]]="男",LOOKUP(テーブル22[[#This Row],[50m走]],$AT$6:$AU$15),LOOKUP(テーブル22[[#This Row],[50m走]],$AT$20:$AU$29))))</f>
        <v>0</v>
      </c>
      <c r="X264" s="42">
        <f>IF(テーブル22[[#This Row],[立幅とび]]="",0,(IF(テーブル22[[#This Row],[性別]]="男",LOOKUP(テーブル22[[#This Row],[立幅とび]],$AV$6:$AW$15),LOOKUP(テーブル22[[#This Row],[立幅とび]],$AV$20:$AW$29))))</f>
        <v>0</v>
      </c>
      <c r="Y264" s="42">
        <f>IF(テーブル22[[#This Row],[ボール投げ]]="",0,(IF(テーブル22[[#This Row],[性別]]="男",LOOKUP(テーブル22[[#This Row],[ボール投げ]],$AX$6:$AY$15),LOOKUP(テーブル22[[#This Row],[ボール投げ]],$AX$20:$AY$29))))</f>
        <v>0</v>
      </c>
      <c r="Z264" s="19" t="str">
        <f>IF(テーブル22[[#This Row],[学年]]=1,6,IF(テーブル22[[#This Row],[学年]]=2,7,IF(テーブル22[[#This Row],[学年]]=3,8,IF(テーブル22[[#This Row],[学年]]=4,9,IF(テーブル22[[#This Row],[学年]]=5,10,IF(テーブル22[[#This Row],[学年]]=6,11," "))))))</f>
        <v xml:space="preserve"> </v>
      </c>
      <c r="AA264" s="125" t="str">
        <f>IF(テーブル22[[#This Row],[肥満度数値]]="","",LOOKUP(AC264,$AW$39:$AW$44,$AX$39:$AX$44))</f>
        <v/>
      </c>
      <c r="AB2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4" s="124" t="str">
        <f>IF(テーブル22[[#This Row],[体重]]="","",(テーブル22[[#This Row],[体重]]-テーブル22[[#This Row],[標準体重]])/テーブル22[[#This Row],[標準体重]]*100)</f>
        <v/>
      </c>
      <c r="AD264" s="1">
        <f>COUNTA(テーブル22[[#This Row],[握力]:[ボール投げ]])</f>
        <v>0</v>
      </c>
      <c r="AE264" s="1" t="str">
        <f>IF(テーブル22[[#This Row],[判定]]=$BD$10,"○","")</f>
        <v/>
      </c>
      <c r="AF264" s="1" t="str">
        <f>IF(AE264="","",COUNTIF($AE$6:AE264,"○"))</f>
        <v/>
      </c>
    </row>
    <row r="265" spans="1:32" x14ac:dyDescent="0.2">
      <c r="A265" s="40">
        <v>260</v>
      </c>
      <c r="B265" s="145"/>
      <c r="C265" s="148"/>
      <c r="D265" s="145"/>
      <c r="E265" s="156"/>
      <c r="F265" s="145"/>
      <c r="G265" s="145"/>
      <c r="H265" s="146"/>
      <c r="I265" s="146"/>
      <c r="J265" s="148"/>
      <c r="K265" s="145"/>
      <c r="L265" s="148"/>
      <c r="M265" s="149"/>
      <c r="N265" s="148"/>
      <c r="O265" s="150"/>
      <c r="P2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5" s="43" t="str">
        <f>IF(テーブル22[[#This Row],[得点]]="","",IF(テーブル22[[#This Row],[年齢]]&gt;10,LOOKUP(P265,$BG$6:$BG$10,$BD$6:$BD$10),IF(テーブル22[[#This Row],[年齢]]&gt;9,LOOKUP(P265,$BF$6:$BF$10,$BD$6:$BD$10),IF(テーブル22[[#This Row],[年齢]]&gt;8,LOOKUP(P265,$BE$6:$BE$10,$BD$6:$BD$10),IF(テーブル22[[#This Row],[年齢]]&gt;7,LOOKUP(P265,$BC$6:$BC$10,$BD$6:$BD$10),IF(テーブル22[[#This Row],[年齢]]&gt;6,LOOKUP(P265,$BB$6:$BB$10,$BD$6:$BD$10),LOOKUP(P265,$BA$6:$BA$10,$BD$6:$BD$10)))))))</f>
        <v/>
      </c>
      <c r="R265" s="42">
        <f>IF(H265="",0,(IF(テーブル22[[#This Row],[性別]]="男",LOOKUP(テーブル22[[#This Row],[握力]],$AH$6:$AI$15),LOOKUP(テーブル22[[#This Row],[握力]],$AH$20:$AI$29))))</f>
        <v>0</v>
      </c>
      <c r="S265" s="42">
        <f>IF(テーブル22[[#This Row],[上体]]="",0,(IF(テーブル22[[#This Row],[性別]]="男",LOOKUP(テーブル22[[#This Row],[上体]],$AJ$6:$AK$15),LOOKUP(テーブル22[[#This Row],[上体]],$AJ$20:$AK$29))))</f>
        <v>0</v>
      </c>
      <c r="T265" s="42">
        <f>IF(テーブル22[[#This Row],[長座]]="",0,(IF(テーブル22[[#This Row],[性別]]="男",LOOKUP(テーブル22[[#This Row],[長座]],$AL$6:$AM$15),LOOKUP(テーブル22[[#This Row],[長座]],$AL$20:$AM$29))))</f>
        <v>0</v>
      </c>
      <c r="U265" s="42">
        <f>IF(テーブル22[[#This Row],[反復]]="",0,(IF(テーブル22[[#This Row],[性別]]="男",LOOKUP(テーブル22[[#This Row],[反復]],$AN$6:$AO$15),LOOKUP(テーブル22[[#This Row],[反復]],$AN$20:$AO$29))))</f>
        <v>0</v>
      </c>
      <c r="V265" s="42">
        <f>IF(テーブル22[[#This Row],[ｼｬﾄﾙﾗﾝ]]="",0,(IF(テーブル22[[#This Row],[性別]]="男",LOOKUP(テーブル22[[#This Row],[ｼｬﾄﾙﾗﾝ]],$AR$6:$AS$15),LOOKUP(テーブル22[[#This Row],[ｼｬﾄﾙﾗﾝ]],$AR$20:$AS$29))))</f>
        <v>0</v>
      </c>
      <c r="W265" s="42">
        <f>IF(テーブル22[[#This Row],[50m走]]="",0,(IF(テーブル22[[#This Row],[性別]]="男",LOOKUP(テーブル22[[#This Row],[50m走]],$AT$6:$AU$15),LOOKUP(テーブル22[[#This Row],[50m走]],$AT$20:$AU$29))))</f>
        <v>0</v>
      </c>
      <c r="X265" s="42">
        <f>IF(テーブル22[[#This Row],[立幅とび]]="",0,(IF(テーブル22[[#This Row],[性別]]="男",LOOKUP(テーブル22[[#This Row],[立幅とび]],$AV$6:$AW$15),LOOKUP(テーブル22[[#This Row],[立幅とび]],$AV$20:$AW$29))))</f>
        <v>0</v>
      </c>
      <c r="Y265" s="42">
        <f>IF(テーブル22[[#This Row],[ボール投げ]]="",0,(IF(テーブル22[[#This Row],[性別]]="男",LOOKUP(テーブル22[[#This Row],[ボール投げ]],$AX$6:$AY$15),LOOKUP(テーブル22[[#This Row],[ボール投げ]],$AX$20:$AY$29))))</f>
        <v>0</v>
      </c>
      <c r="Z265" s="19" t="str">
        <f>IF(テーブル22[[#This Row],[学年]]=1,6,IF(テーブル22[[#This Row],[学年]]=2,7,IF(テーブル22[[#This Row],[学年]]=3,8,IF(テーブル22[[#This Row],[学年]]=4,9,IF(テーブル22[[#This Row],[学年]]=5,10,IF(テーブル22[[#This Row],[学年]]=6,11," "))))))</f>
        <v xml:space="preserve"> </v>
      </c>
      <c r="AA265" s="125" t="str">
        <f>IF(テーブル22[[#This Row],[肥満度数値]]="","",LOOKUP(AC265,$AW$39:$AW$44,$AX$39:$AX$44))</f>
        <v/>
      </c>
      <c r="AB2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5" s="124" t="str">
        <f>IF(テーブル22[[#This Row],[体重]]="","",(テーブル22[[#This Row],[体重]]-テーブル22[[#This Row],[標準体重]])/テーブル22[[#This Row],[標準体重]]*100)</f>
        <v/>
      </c>
      <c r="AD265" s="1">
        <f>COUNTA(テーブル22[[#This Row],[握力]:[ボール投げ]])</f>
        <v>0</v>
      </c>
      <c r="AE265" s="1" t="str">
        <f>IF(テーブル22[[#This Row],[判定]]=$BD$10,"○","")</f>
        <v/>
      </c>
      <c r="AF265" s="1" t="str">
        <f>IF(AE265="","",COUNTIF($AE$6:AE265,"○"))</f>
        <v/>
      </c>
    </row>
    <row r="266" spans="1:32" x14ac:dyDescent="0.2">
      <c r="A266" s="40">
        <v>261</v>
      </c>
      <c r="B266" s="145"/>
      <c r="C266" s="148"/>
      <c r="D266" s="145"/>
      <c r="E266" s="156"/>
      <c r="F266" s="145"/>
      <c r="G266" s="145"/>
      <c r="H266" s="146"/>
      <c r="I266" s="146"/>
      <c r="J266" s="148"/>
      <c r="K266" s="145"/>
      <c r="L266" s="148"/>
      <c r="M266" s="149"/>
      <c r="N266" s="148"/>
      <c r="O266" s="150"/>
      <c r="P2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6" s="43" t="str">
        <f>IF(テーブル22[[#This Row],[得点]]="","",IF(テーブル22[[#This Row],[年齢]]&gt;10,LOOKUP(P266,$BG$6:$BG$10,$BD$6:$BD$10),IF(テーブル22[[#This Row],[年齢]]&gt;9,LOOKUP(P266,$BF$6:$BF$10,$BD$6:$BD$10),IF(テーブル22[[#This Row],[年齢]]&gt;8,LOOKUP(P266,$BE$6:$BE$10,$BD$6:$BD$10),IF(テーブル22[[#This Row],[年齢]]&gt;7,LOOKUP(P266,$BC$6:$BC$10,$BD$6:$BD$10),IF(テーブル22[[#This Row],[年齢]]&gt;6,LOOKUP(P266,$BB$6:$BB$10,$BD$6:$BD$10),LOOKUP(P266,$BA$6:$BA$10,$BD$6:$BD$10)))))))</f>
        <v/>
      </c>
      <c r="R266" s="42">
        <f>IF(H266="",0,(IF(テーブル22[[#This Row],[性別]]="男",LOOKUP(テーブル22[[#This Row],[握力]],$AH$6:$AI$15),LOOKUP(テーブル22[[#This Row],[握力]],$AH$20:$AI$29))))</f>
        <v>0</v>
      </c>
      <c r="S266" s="42">
        <f>IF(テーブル22[[#This Row],[上体]]="",0,(IF(テーブル22[[#This Row],[性別]]="男",LOOKUP(テーブル22[[#This Row],[上体]],$AJ$6:$AK$15),LOOKUP(テーブル22[[#This Row],[上体]],$AJ$20:$AK$29))))</f>
        <v>0</v>
      </c>
      <c r="T266" s="42">
        <f>IF(テーブル22[[#This Row],[長座]]="",0,(IF(テーブル22[[#This Row],[性別]]="男",LOOKUP(テーブル22[[#This Row],[長座]],$AL$6:$AM$15),LOOKUP(テーブル22[[#This Row],[長座]],$AL$20:$AM$29))))</f>
        <v>0</v>
      </c>
      <c r="U266" s="42">
        <f>IF(テーブル22[[#This Row],[反復]]="",0,(IF(テーブル22[[#This Row],[性別]]="男",LOOKUP(テーブル22[[#This Row],[反復]],$AN$6:$AO$15),LOOKUP(テーブル22[[#This Row],[反復]],$AN$20:$AO$29))))</f>
        <v>0</v>
      </c>
      <c r="V266" s="42">
        <f>IF(テーブル22[[#This Row],[ｼｬﾄﾙﾗﾝ]]="",0,(IF(テーブル22[[#This Row],[性別]]="男",LOOKUP(テーブル22[[#This Row],[ｼｬﾄﾙﾗﾝ]],$AR$6:$AS$15),LOOKUP(テーブル22[[#This Row],[ｼｬﾄﾙﾗﾝ]],$AR$20:$AS$29))))</f>
        <v>0</v>
      </c>
      <c r="W266" s="42">
        <f>IF(テーブル22[[#This Row],[50m走]]="",0,(IF(テーブル22[[#This Row],[性別]]="男",LOOKUP(テーブル22[[#This Row],[50m走]],$AT$6:$AU$15),LOOKUP(テーブル22[[#This Row],[50m走]],$AT$20:$AU$29))))</f>
        <v>0</v>
      </c>
      <c r="X266" s="42">
        <f>IF(テーブル22[[#This Row],[立幅とび]]="",0,(IF(テーブル22[[#This Row],[性別]]="男",LOOKUP(テーブル22[[#This Row],[立幅とび]],$AV$6:$AW$15),LOOKUP(テーブル22[[#This Row],[立幅とび]],$AV$20:$AW$29))))</f>
        <v>0</v>
      </c>
      <c r="Y266" s="42">
        <f>IF(テーブル22[[#This Row],[ボール投げ]]="",0,(IF(テーブル22[[#This Row],[性別]]="男",LOOKUP(テーブル22[[#This Row],[ボール投げ]],$AX$6:$AY$15),LOOKUP(テーブル22[[#This Row],[ボール投げ]],$AX$20:$AY$29))))</f>
        <v>0</v>
      </c>
      <c r="Z266" s="19" t="str">
        <f>IF(テーブル22[[#This Row],[学年]]=1,6,IF(テーブル22[[#This Row],[学年]]=2,7,IF(テーブル22[[#This Row],[学年]]=3,8,IF(テーブル22[[#This Row],[学年]]=4,9,IF(テーブル22[[#This Row],[学年]]=5,10,IF(テーブル22[[#This Row],[学年]]=6,11," "))))))</f>
        <v xml:space="preserve"> </v>
      </c>
      <c r="AA266" s="125" t="str">
        <f>IF(テーブル22[[#This Row],[肥満度数値]]="","",LOOKUP(AC266,$AW$39:$AW$44,$AX$39:$AX$44))</f>
        <v/>
      </c>
      <c r="AB2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6" s="124" t="str">
        <f>IF(テーブル22[[#This Row],[体重]]="","",(テーブル22[[#This Row],[体重]]-テーブル22[[#This Row],[標準体重]])/テーブル22[[#This Row],[標準体重]]*100)</f>
        <v/>
      </c>
      <c r="AD266" s="1">
        <f>COUNTA(テーブル22[[#This Row],[握力]:[ボール投げ]])</f>
        <v>0</v>
      </c>
      <c r="AE266" s="1" t="str">
        <f>IF(テーブル22[[#This Row],[判定]]=$BD$10,"○","")</f>
        <v/>
      </c>
      <c r="AF266" s="1" t="str">
        <f>IF(AE266="","",COUNTIF($AE$6:AE266,"○"))</f>
        <v/>
      </c>
    </row>
    <row r="267" spans="1:32" x14ac:dyDescent="0.2">
      <c r="A267" s="40">
        <v>262</v>
      </c>
      <c r="B267" s="145"/>
      <c r="C267" s="148"/>
      <c r="D267" s="145"/>
      <c r="E267" s="156"/>
      <c r="F267" s="145"/>
      <c r="G267" s="145"/>
      <c r="H267" s="146"/>
      <c r="I267" s="146"/>
      <c r="J267" s="148"/>
      <c r="K267" s="145"/>
      <c r="L267" s="148"/>
      <c r="M267" s="149"/>
      <c r="N267" s="148"/>
      <c r="O267" s="150"/>
      <c r="P2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7" s="43" t="str">
        <f>IF(テーブル22[[#This Row],[得点]]="","",IF(テーブル22[[#This Row],[年齢]]&gt;10,LOOKUP(P267,$BG$6:$BG$10,$BD$6:$BD$10),IF(テーブル22[[#This Row],[年齢]]&gt;9,LOOKUP(P267,$BF$6:$BF$10,$BD$6:$BD$10),IF(テーブル22[[#This Row],[年齢]]&gt;8,LOOKUP(P267,$BE$6:$BE$10,$BD$6:$BD$10),IF(テーブル22[[#This Row],[年齢]]&gt;7,LOOKUP(P267,$BC$6:$BC$10,$BD$6:$BD$10),IF(テーブル22[[#This Row],[年齢]]&gt;6,LOOKUP(P267,$BB$6:$BB$10,$BD$6:$BD$10),LOOKUP(P267,$BA$6:$BA$10,$BD$6:$BD$10)))))))</f>
        <v/>
      </c>
      <c r="R267" s="42">
        <f>IF(H267="",0,(IF(テーブル22[[#This Row],[性別]]="男",LOOKUP(テーブル22[[#This Row],[握力]],$AH$6:$AI$15),LOOKUP(テーブル22[[#This Row],[握力]],$AH$20:$AI$29))))</f>
        <v>0</v>
      </c>
      <c r="S267" s="42">
        <f>IF(テーブル22[[#This Row],[上体]]="",0,(IF(テーブル22[[#This Row],[性別]]="男",LOOKUP(テーブル22[[#This Row],[上体]],$AJ$6:$AK$15),LOOKUP(テーブル22[[#This Row],[上体]],$AJ$20:$AK$29))))</f>
        <v>0</v>
      </c>
      <c r="T267" s="42">
        <f>IF(テーブル22[[#This Row],[長座]]="",0,(IF(テーブル22[[#This Row],[性別]]="男",LOOKUP(テーブル22[[#This Row],[長座]],$AL$6:$AM$15),LOOKUP(テーブル22[[#This Row],[長座]],$AL$20:$AM$29))))</f>
        <v>0</v>
      </c>
      <c r="U267" s="42">
        <f>IF(テーブル22[[#This Row],[反復]]="",0,(IF(テーブル22[[#This Row],[性別]]="男",LOOKUP(テーブル22[[#This Row],[反復]],$AN$6:$AO$15),LOOKUP(テーブル22[[#This Row],[反復]],$AN$20:$AO$29))))</f>
        <v>0</v>
      </c>
      <c r="V267" s="42">
        <f>IF(テーブル22[[#This Row],[ｼｬﾄﾙﾗﾝ]]="",0,(IF(テーブル22[[#This Row],[性別]]="男",LOOKUP(テーブル22[[#This Row],[ｼｬﾄﾙﾗﾝ]],$AR$6:$AS$15),LOOKUP(テーブル22[[#This Row],[ｼｬﾄﾙﾗﾝ]],$AR$20:$AS$29))))</f>
        <v>0</v>
      </c>
      <c r="W267" s="42">
        <f>IF(テーブル22[[#This Row],[50m走]]="",0,(IF(テーブル22[[#This Row],[性別]]="男",LOOKUP(テーブル22[[#This Row],[50m走]],$AT$6:$AU$15),LOOKUP(テーブル22[[#This Row],[50m走]],$AT$20:$AU$29))))</f>
        <v>0</v>
      </c>
      <c r="X267" s="42">
        <f>IF(テーブル22[[#This Row],[立幅とび]]="",0,(IF(テーブル22[[#This Row],[性別]]="男",LOOKUP(テーブル22[[#This Row],[立幅とび]],$AV$6:$AW$15),LOOKUP(テーブル22[[#This Row],[立幅とび]],$AV$20:$AW$29))))</f>
        <v>0</v>
      </c>
      <c r="Y267" s="42">
        <f>IF(テーブル22[[#This Row],[ボール投げ]]="",0,(IF(テーブル22[[#This Row],[性別]]="男",LOOKUP(テーブル22[[#This Row],[ボール投げ]],$AX$6:$AY$15),LOOKUP(テーブル22[[#This Row],[ボール投げ]],$AX$20:$AY$29))))</f>
        <v>0</v>
      </c>
      <c r="Z267" s="19" t="str">
        <f>IF(テーブル22[[#This Row],[学年]]=1,6,IF(テーブル22[[#This Row],[学年]]=2,7,IF(テーブル22[[#This Row],[学年]]=3,8,IF(テーブル22[[#This Row],[学年]]=4,9,IF(テーブル22[[#This Row],[学年]]=5,10,IF(テーブル22[[#This Row],[学年]]=6,11," "))))))</f>
        <v xml:space="preserve"> </v>
      </c>
      <c r="AA267" s="125" t="str">
        <f>IF(テーブル22[[#This Row],[肥満度数値]]="","",LOOKUP(AC267,$AW$39:$AW$44,$AX$39:$AX$44))</f>
        <v/>
      </c>
      <c r="AB2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7" s="124" t="str">
        <f>IF(テーブル22[[#This Row],[体重]]="","",(テーブル22[[#This Row],[体重]]-テーブル22[[#This Row],[標準体重]])/テーブル22[[#This Row],[標準体重]]*100)</f>
        <v/>
      </c>
      <c r="AD267" s="1">
        <f>COUNTA(テーブル22[[#This Row],[握力]:[ボール投げ]])</f>
        <v>0</v>
      </c>
      <c r="AE267" s="1" t="str">
        <f>IF(テーブル22[[#This Row],[判定]]=$BD$10,"○","")</f>
        <v/>
      </c>
      <c r="AF267" s="1" t="str">
        <f>IF(AE267="","",COUNTIF($AE$6:AE267,"○"))</f>
        <v/>
      </c>
    </row>
    <row r="268" spans="1:32" x14ac:dyDescent="0.2">
      <c r="A268" s="40">
        <v>263</v>
      </c>
      <c r="B268" s="145"/>
      <c r="C268" s="148"/>
      <c r="D268" s="145"/>
      <c r="E268" s="156"/>
      <c r="F268" s="145"/>
      <c r="G268" s="145"/>
      <c r="H268" s="146"/>
      <c r="I268" s="146"/>
      <c r="J268" s="148"/>
      <c r="K268" s="145"/>
      <c r="L268" s="148"/>
      <c r="M268" s="149"/>
      <c r="N268" s="148"/>
      <c r="O268" s="150"/>
      <c r="P2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8" s="43" t="str">
        <f>IF(テーブル22[[#This Row],[得点]]="","",IF(テーブル22[[#This Row],[年齢]]&gt;10,LOOKUP(P268,$BG$6:$BG$10,$BD$6:$BD$10),IF(テーブル22[[#This Row],[年齢]]&gt;9,LOOKUP(P268,$BF$6:$BF$10,$BD$6:$BD$10),IF(テーブル22[[#This Row],[年齢]]&gt;8,LOOKUP(P268,$BE$6:$BE$10,$BD$6:$BD$10),IF(テーブル22[[#This Row],[年齢]]&gt;7,LOOKUP(P268,$BC$6:$BC$10,$BD$6:$BD$10),IF(テーブル22[[#This Row],[年齢]]&gt;6,LOOKUP(P268,$BB$6:$BB$10,$BD$6:$BD$10),LOOKUP(P268,$BA$6:$BA$10,$BD$6:$BD$10)))))))</f>
        <v/>
      </c>
      <c r="R268" s="42">
        <f>IF(H268="",0,(IF(テーブル22[[#This Row],[性別]]="男",LOOKUP(テーブル22[[#This Row],[握力]],$AH$6:$AI$15),LOOKUP(テーブル22[[#This Row],[握力]],$AH$20:$AI$29))))</f>
        <v>0</v>
      </c>
      <c r="S268" s="42">
        <f>IF(テーブル22[[#This Row],[上体]]="",0,(IF(テーブル22[[#This Row],[性別]]="男",LOOKUP(テーブル22[[#This Row],[上体]],$AJ$6:$AK$15),LOOKUP(テーブル22[[#This Row],[上体]],$AJ$20:$AK$29))))</f>
        <v>0</v>
      </c>
      <c r="T268" s="42">
        <f>IF(テーブル22[[#This Row],[長座]]="",0,(IF(テーブル22[[#This Row],[性別]]="男",LOOKUP(テーブル22[[#This Row],[長座]],$AL$6:$AM$15),LOOKUP(テーブル22[[#This Row],[長座]],$AL$20:$AM$29))))</f>
        <v>0</v>
      </c>
      <c r="U268" s="42">
        <f>IF(テーブル22[[#This Row],[反復]]="",0,(IF(テーブル22[[#This Row],[性別]]="男",LOOKUP(テーブル22[[#This Row],[反復]],$AN$6:$AO$15),LOOKUP(テーブル22[[#This Row],[反復]],$AN$20:$AO$29))))</f>
        <v>0</v>
      </c>
      <c r="V268" s="42">
        <f>IF(テーブル22[[#This Row],[ｼｬﾄﾙﾗﾝ]]="",0,(IF(テーブル22[[#This Row],[性別]]="男",LOOKUP(テーブル22[[#This Row],[ｼｬﾄﾙﾗﾝ]],$AR$6:$AS$15),LOOKUP(テーブル22[[#This Row],[ｼｬﾄﾙﾗﾝ]],$AR$20:$AS$29))))</f>
        <v>0</v>
      </c>
      <c r="W268" s="42">
        <f>IF(テーブル22[[#This Row],[50m走]]="",0,(IF(テーブル22[[#This Row],[性別]]="男",LOOKUP(テーブル22[[#This Row],[50m走]],$AT$6:$AU$15),LOOKUP(テーブル22[[#This Row],[50m走]],$AT$20:$AU$29))))</f>
        <v>0</v>
      </c>
      <c r="X268" s="42">
        <f>IF(テーブル22[[#This Row],[立幅とび]]="",0,(IF(テーブル22[[#This Row],[性別]]="男",LOOKUP(テーブル22[[#This Row],[立幅とび]],$AV$6:$AW$15),LOOKUP(テーブル22[[#This Row],[立幅とび]],$AV$20:$AW$29))))</f>
        <v>0</v>
      </c>
      <c r="Y268" s="42">
        <f>IF(テーブル22[[#This Row],[ボール投げ]]="",0,(IF(テーブル22[[#This Row],[性別]]="男",LOOKUP(テーブル22[[#This Row],[ボール投げ]],$AX$6:$AY$15),LOOKUP(テーブル22[[#This Row],[ボール投げ]],$AX$20:$AY$29))))</f>
        <v>0</v>
      </c>
      <c r="Z268" s="19" t="str">
        <f>IF(テーブル22[[#This Row],[学年]]=1,6,IF(テーブル22[[#This Row],[学年]]=2,7,IF(テーブル22[[#This Row],[学年]]=3,8,IF(テーブル22[[#This Row],[学年]]=4,9,IF(テーブル22[[#This Row],[学年]]=5,10,IF(テーブル22[[#This Row],[学年]]=6,11," "))))))</f>
        <v xml:space="preserve"> </v>
      </c>
      <c r="AA268" s="125" t="str">
        <f>IF(テーブル22[[#This Row],[肥満度数値]]="","",LOOKUP(AC268,$AW$39:$AW$44,$AX$39:$AX$44))</f>
        <v/>
      </c>
      <c r="AB2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8" s="124" t="str">
        <f>IF(テーブル22[[#This Row],[体重]]="","",(テーブル22[[#This Row],[体重]]-テーブル22[[#This Row],[標準体重]])/テーブル22[[#This Row],[標準体重]]*100)</f>
        <v/>
      </c>
      <c r="AD268" s="1">
        <f>COUNTA(テーブル22[[#This Row],[握力]:[ボール投げ]])</f>
        <v>0</v>
      </c>
      <c r="AE268" s="1" t="str">
        <f>IF(テーブル22[[#This Row],[判定]]=$BD$10,"○","")</f>
        <v/>
      </c>
      <c r="AF268" s="1" t="str">
        <f>IF(AE268="","",COUNTIF($AE$6:AE268,"○"))</f>
        <v/>
      </c>
    </row>
    <row r="269" spans="1:32" x14ac:dyDescent="0.2">
      <c r="A269" s="40">
        <v>264</v>
      </c>
      <c r="B269" s="145"/>
      <c r="C269" s="148"/>
      <c r="D269" s="145"/>
      <c r="E269" s="156"/>
      <c r="F269" s="145"/>
      <c r="G269" s="145"/>
      <c r="H269" s="146"/>
      <c r="I269" s="146"/>
      <c r="J269" s="148"/>
      <c r="K269" s="145"/>
      <c r="L269" s="148"/>
      <c r="M269" s="149"/>
      <c r="N269" s="148"/>
      <c r="O269" s="150"/>
      <c r="P2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69" s="43" t="str">
        <f>IF(テーブル22[[#This Row],[得点]]="","",IF(テーブル22[[#This Row],[年齢]]&gt;10,LOOKUP(P269,$BG$6:$BG$10,$BD$6:$BD$10),IF(テーブル22[[#This Row],[年齢]]&gt;9,LOOKUP(P269,$BF$6:$BF$10,$BD$6:$BD$10),IF(テーブル22[[#This Row],[年齢]]&gt;8,LOOKUP(P269,$BE$6:$BE$10,$BD$6:$BD$10),IF(テーブル22[[#This Row],[年齢]]&gt;7,LOOKUP(P269,$BC$6:$BC$10,$BD$6:$BD$10),IF(テーブル22[[#This Row],[年齢]]&gt;6,LOOKUP(P269,$BB$6:$BB$10,$BD$6:$BD$10),LOOKUP(P269,$BA$6:$BA$10,$BD$6:$BD$10)))))))</f>
        <v/>
      </c>
      <c r="R269" s="42">
        <f>IF(H269="",0,(IF(テーブル22[[#This Row],[性別]]="男",LOOKUP(テーブル22[[#This Row],[握力]],$AH$6:$AI$15),LOOKUP(テーブル22[[#This Row],[握力]],$AH$20:$AI$29))))</f>
        <v>0</v>
      </c>
      <c r="S269" s="42">
        <f>IF(テーブル22[[#This Row],[上体]]="",0,(IF(テーブル22[[#This Row],[性別]]="男",LOOKUP(テーブル22[[#This Row],[上体]],$AJ$6:$AK$15),LOOKUP(テーブル22[[#This Row],[上体]],$AJ$20:$AK$29))))</f>
        <v>0</v>
      </c>
      <c r="T269" s="42">
        <f>IF(テーブル22[[#This Row],[長座]]="",0,(IF(テーブル22[[#This Row],[性別]]="男",LOOKUP(テーブル22[[#This Row],[長座]],$AL$6:$AM$15),LOOKUP(テーブル22[[#This Row],[長座]],$AL$20:$AM$29))))</f>
        <v>0</v>
      </c>
      <c r="U269" s="42">
        <f>IF(テーブル22[[#This Row],[反復]]="",0,(IF(テーブル22[[#This Row],[性別]]="男",LOOKUP(テーブル22[[#This Row],[反復]],$AN$6:$AO$15),LOOKUP(テーブル22[[#This Row],[反復]],$AN$20:$AO$29))))</f>
        <v>0</v>
      </c>
      <c r="V269" s="42">
        <f>IF(テーブル22[[#This Row],[ｼｬﾄﾙﾗﾝ]]="",0,(IF(テーブル22[[#This Row],[性別]]="男",LOOKUP(テーブル22[[#This Row],[ｼｬﾄﾙﾗﾝ]],$AR$6:$AS$15),LOOKUP(テーブル22[[#This Row],[ｼｬﾄﾙﾗﾝ]],$AR$20:$AS$29))))</f>
        <v>0</v>
      </c>
      <c r="W269" s="42">
        <f>IF(テーブル22[[#This Row],[50m走]]="",0,(IF(テーブル22[[#This Row],[性別]]="男",LOOKUP(テーブル22[[#This Row],[50m走]],$AT$6:$AU$15),LOOKUP(テーブル22[[#This Row],[50m走]],$AT$20:$AU$29))))</f>
        <v>0</v>
      </c>
      <c r="X269" s="42">
        <f>IF(テーブル22[[#This Row],[立幅とび]]="",0,(IF(テーブル22[[#This Row],[性別]]="男",LOOKUP(テーブル22[[#This Row],[立幅とび]],$AV$6:$AW$15),LOOKUP(テーブル22[[#This Row],[立幅とび]],$AV$20:$AW$29))))</f>
        <v>0</v>
      </c>
      <c r="Y269" s="42">
        <f>IF(テーブル22[[#This Row],[ボール投げ]]="",0,(IF(テーブル22[[#This Row],[性別]]="男",LOOKUP(テーブル22[[#This Row],[ボール投げ]],$AX$6:$AY$15),LOOKUP(テーブル22[[#This Row],[ボール投げ]],$AX$20:$AY$29))))</f>
        <v>0</v>
      </c>
      <c r="Z269" s="19" t="str">
        <f>IF(テーブル22[[#This Row],[学年]]=1,6,IF(テーブル22[[#This Row],[学年]]=2,7,IF(テーブル22[[#This Row],[学年]]=3,8,IF(テーブル22[[#This Row],[学年]]=4,9,IF(テーブル22[[#This Row],[学年]]=5,10,IF(テーブル22[[#This Row],[学年]]=6,11," "))))))</f>
        <v xml:space="preserve"> </v>
      </c>
      <c r="AA269" s="125" t="str">
        <f>IF(テーブル22[[#This Row],[肥満度数値]]="","",LOOKUP(AC269,$AW$39:$AW$44,$AX$39:$AX$44))</f>
        <v/>
      </c>
      <c r="AB2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69" s="124" t="str">
        <f>IF(テーブル22[[#This Row],[体重]]="","",(テーブル22[[#This Row],[体重]]-テーブル22[[#This Row],[標準体重]])/テーブル22[[#This Row],[標準体重]]*100)</f>
        <v/>
      </c>
      <c r="AD269" s="1">
        <f>COUNTA(テーブル22[[#This Row],[握力]:[ボール投げ]])</f>
        <v>0</v>
      </c>
      <c r="AE269" s="1" t="str">
        <f>IF(テーブル22[[#This Row],[判定]]=$BD$10,"○","")</f>
        <v/>
      </c>
      <c r="AF269" s="1" t="str">
        <f>IF(AE269="","",COUNTIF($AE$6:AE269,"○"))</f>
        <v/>
      </c>
    </row>
    <row r="270" spans="1:32" x14ac:dyDescent="0.2">
      <c r="A270" s="40">
        <v>265</v>
      </c>
      <c r="B270" s="145"/>
      <c r="C270" s="148"/>
      <c r="D270" s="145"/>
      <c r="E270" s="156"/>
      <c r="F270" s="145"/>
      <c r="G270" s="145"/>
      <c r="H270" s="146"/>
      <c r="I270" s="146"/>
      <c r="J270" s="148"/>
      <c r="K270" s="145"/>
      <c r="L270" s="148"/>
      <c r="M270" s="149"/>
      <c r="N270" s="148"/>
      <c r="O270" s="150"/>
      <c r="P2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0" s="43" t="str">
        <f>IF(テーブル22[[#This Row],[得点]]="","",IF(テーブル22[[#This Row],[年齢]]&gt;10,LOOKUP(P270,$BG$6:$BG$10,$BD$6:$BD$10),IF(テーブル22[[#This Row],[年齢]]&gt;9,LOOKUP(P270,$BF$6:$BF$10,$BD$6:$BD$10),IF(テーブル22[[#This Row],[年齢]]&gt;8,LOOKUP(P270,$BE$6:$BE$10,$BD$6:$BD$10),IF(テーブル22[[#This Row],[年齢]]&gt;7,LOOKUP(P270,$BC$6:$BC$10,$BD$6:$BD$10),IF(テーブル22[[#This Row],[年齢]]&gt;6,LOOKUP(P270,$BB$6:$BB$10,$BD$6:$BD$10),LOOKUP(P270,$BA$6:$BA$10,$BD$6:$BD$10)))))))</f>
        <v/>
      </c>
      <c r="R270" s="42">
        <f>IF(H270="",0,(IF(テーブル22[[#This Row],[性別]]="男",LOOKUP(テーブル22[[#This Row],[握力]],$AH$6:$AI$15),LOOKUP(テーブル22[[#This Row],[握力]],$AH$20:$AI$29))))</f>
        <v>0</v>
      </c>
      <c r="S270" s="42">
        <f>IF(テーブル22[[#This Row],[上体]]="",0,(IF(テーブル22[[#This Row],[性別]]="男",LOOKUP(テーブル22[[#This Row],[上体]],$AJ$6:$AK$15),LOOKUP(テーブル22[[#This Row],[上体]],$AJ$20:$AK$29))))</f>
        <v>0</v>
      </c>
      <c r="T270" s="42">
        <f>IF(テーブル22[[#This Row],[長座]]="",0,(IF(テーブル22[[#This Row],[性別]]="男",LOOKUP(テーブル22[[#This Row],[長座]],$AL$6:$AM$15),LOOKUP(テーブル22[[#This Row],[長座]],$AL$20:$AM$29))))</f>
        <v>0</v>
      </c>
      <c r="U270" s="42">
        <f>IF(テーブル22[[#This Row],[反復]]="",0,(IF(テーブル22[[#This Row],[性別]]="男",LOOKUP(テーブル22[[#This Row],[反復]],$AN$6:$AO$15),LOOKUP(テーブル22[[#This Row],[反復]],$AN$20:$AO$29))))</f>
        <v>0</v>
      </c>
      <c r="V270" s="42">
        <f>IF(テーブル22[[#This Row],[ｼｬﾄﾙﾗﾝ]]="",0,(IF(テーブル22[[#This Row],[性別]]="男",LOOKUP(テーブル22[[#This Row],[ｼｬﾄﾙﾗﾝ]],$AR$6:$AS$15),LOOKUP(テーブル22[[#This Row],[ｼｬﾄﾙﾗﾝ]],$AR$20:$AS$29))))</f>
        <v>0</v>
      </c>
      <c r="W270" s="42">
        <f>IF(テーブル22[[#This Row],[50m走]]="",0,(IF(テーブル22[[#This Row],[性別]]="男",LOOKUP(テーブル22[[#This Row],[50m走]],$AT$6:$AU$15),LOOKUP(テーブル22[[#This Row],[50m走]],$AT$20:$AU$29))))</f>
        <v>0</v>
      </c>
      <c r="X270" s="42">
        <f>IF(テーブル22[[#This Row],[立幅とび]]="",0,(IF(テーブル22[[#This Row],[性別]]="男",LOOKUP(テーブル22[[#This Row],[立幅とび]],$AV$6:$AW$15),LOOKUP(テーブル22[[#This Row],[立幅とび]],$AV$20:$AW$29))))</f>
        <v>0</v>
      </c>
      <c r="Y270" s="42">
        <f>IF(テーブル22[[#This Row],[ボール投げ]]="",0,(IF(テーブル22[[#This Row],[性別]]="男",LOOKUP(テーブル22[[#This Row],[ボール投げ]],$AX$6:$AY$15),LOOKUP(テーブル22[[#This Row],[ボール投げ]],$AX$20:$AY$29))))</f>
        <v>0</v>
      </c>
      <c r="Z270" s="19" t="str">
        <f>IF(テーブル22[[#This Row],[学年]]=1,6,IF(テーブル22[[#This Row],[学年]]=2,7,IF(テーブル22[[#This Row],[学年]]=3,8,IF(テーブル22[[#This Row],[学年]]=4,9,IF(テーブル22[[#This Row],[学年]]=5,10,IF(テーブル22[[#This Row],[学年]]=6,11," "))))))</f>
        <v xml:space="preserve"> </v>
      </c>
      <c r="AA270" s="125" t="str">
        <f>IF(テーブル22[[#This Row],[肥満度数値]]="","",LOOKUP(AC270,$AW$39:$AW$44,$AX$39:$AX$44))</f>
        <v/>
      </c>
      <c r="AB2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0" s="124" t="str">
        <f>IF(テーブル22[[#This Row],[体重]]="","",(テーブル22[[#This Row],[体重]]-テーブル22[[#This Row],[標準体重]])/テーブル22[[#This Row],[標準体重]]*100)</f>
        <v/>
      </c>
      <c r="AD270" s="1">
        <f>COUNTA(テーブル22[[#This Row],[握力]:[ボール投げ]])</f>
        <v>0</v>
      </c>
      <c r="AE270" s="1" t="str">
        <f>IF(テーブル22[[#This Row],[判定]]=$BD$10,"○","")</f>
        <v/>
      </c>
      <c r="AF270" s="1" t="str">
        <f>IF(AE270="","",COUNTIF($AE$6:AE270,"○"))</f>
        <v/>
      </c>
    </row>
    <row r="271" spans="1:32" x14ac:dyDescent="0.2">
      <c r="A271" s="40">
        <v>266</v>
      </c>
      <c r="B271" s="145"/>
      <c r="C271" s="148"/>
      <c r="D271" s="145"/>
      <c r="E271" s="156"/>
      <c r="F271" s="145"/>
      <c r="G271" s="145"/>
      <c r="H271" s="146"/>
      <c r="I271" s="146"/>
      <c r="J271" s="148"/>
      <c r="K271" s="145"/>
      <c r="L271" s="148"/>
      <c r="M271" s="149"/>
      <c r="N271" s="148"/>
      <c r="O271" s="150"/>
      <c r="P2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1" s="43" t="str">
        <f>IF(テーブル22[[#This Row],[得点]]="","",IF(テーブル22[[#This Row],[年齢]]&gt;10,LOOKUP(P271,$BG$6:$BG$10,$BD$6:$BD$10),IF(テーブル22[[#This Row],[年齢]]&gt;9,LOOKUP(P271,$BF$6:$BF$10,$BD$6:$BD$10),IF(テーブル22[[#This Row],[年齢]]&gt;8,LOOKUP(P271,$BE$6:$BE$10,$BD$6:$BD$10),IF(テーブル22[[#This Row],[年齢]]&gt;7,LOOKUP(P271,$BC$6:$BC$10,$BD$6:$BD$10),IF(テーブル22[[#This Row],[年齢]]&gt;6,LOOKUP(P271,$BB$6:$BB$10,$BD$6:$BD$10),LOOKUP(P271,$BA$6:$BA$10,$BD$6:$BD$10)))))))</f>
        <v/>
      </c>
      <c r="R271" s="42">
        <f>IF(H271="",0,(IF(テーブル22[[#This Row],[性別]]="男",LOOKUP(テーブル22[[#This Row],[握力]],$AH$6:$AI$15),LOOKUP(テーブル22[[#This Row],[握力]],$AH$20:$AI$29))))</f>
        <v>0</v>
      </c>
      <c r="S271" s="42">
        <f>IF(テーブル22[[#This Row],[上体]]="",0,(IF(テーブル22[[#This Row],[性別]]="男",LOOKUP(テーブル22[[#This Row],[上体]],$AJ$6:$AK$15),LOOKUP(テーブル22[[#This Row],[上体]],$AJ$20:$AK$29))))</f>
        <v>0</v>
      </c>
      <c r="T271" s="42">
        <f>IF(テーブル22[[#This Row],[長座]]="",0,(IF(テーブル22[[#This Row],[性別]]="男",LOOKUP(テーブル22[[#This Row],[長座]],$AL$6:$AM$15),LOOKUP(テーブル22[[#This Row],[長座]],$AL$20:$AM$29))))</f>
        <v>0</v>
      </c>
      <c r="U271" s="42">
        <f>IF(テーブル22[[#This Row],[反復]]="",0,(IF(テーブル22[[#This Row],[性別]]="男",LOOKUP(テーブル22[[#This Row],[反復]],$AN$6:$AO$15),LOOKUP(テーブル22[[#This Row],[反復]],$AN$20:$AO$29))))</f>
        <v>0</v>
      </c>
      <c r="V271" s="42">
        <f>IF(テーブル22[[#This Row],[ｼｬﾄﾙﾗﾝ]]="",0,(IF(テーブル22[[#This Row],[性別]]="男",LOOKUP(テーブル22[[#This Row],[ｼｬﾄﾙﾗﾝ]],$AR$6:$AS$15),LOOKUP(テーブル22[[#This Row],[ｼｬﾄﾙﾗﾝ]],$AR$20:$AS$29))))</f>
        <v>0</v>
      </c>
      <c r="W271" s="42">
        <f>IF(テーブル22[[#This Row],[50m走]]="",0,(IF(テーブル22[[#This Row],[性別]]="男",LOOKUP(テーブル22[[#This Row],[50m走]],$AT$6:$AU$15),LOOKUP(テーブル22[[#This Row],[50m走]],$AT$20:$AU$29))))</f>
        <v>0</v>
      </c>
      <c r="X271" s="42">
        <f>IF(テーブル22[[#This Row],[立幅とび]]="",0,(IF(テーブル22[[#This Row],[性別]]="男",LOOKUP(テーブル22[[#This Row],[立幅とび]],$AV$6:$AW$15),LOOKUP(テーブル22[[#This Row],[立幅とび]],$AV$20:$AW$29))))</f>
        <v>0</v>
      </c>
      <c r="Y271" s="42">
        <f>IF(テーブル22[[#This Row],[ボール投げ]]="",0,(IF(テーブル22[[#This Row],[性別]]="男",LOOKUP(テーブル22[[#This Row],[ボール投げ]],$AX$6:$AY$15),LOOKUP(テーブル22[[#This Row],[ボール投げ]],$AX$20:$AY$29))))</f>
        <v>0</v>
      </c>
      <c r="Z271" s="19" t="str">
        <f>IF(テーブル22[[#This Row],[学年]]=1,6,IF(テーブル22[[#This Row],[学年]]=2,7,IF(テーブル22[[#This Row],[学年]]=3,8,IF(テーブル22[[#This Row],[学年]]=4,9,IF(テーブル22[[#This Row],[学年]]=5,10,IF(テーブル22[[#This Row],[学年]]=6,11," "))))))</f>
        <v xml:space="preserve"> </v>
      </c>
      <c r="AA271" s="125" t="str">
        <f>IF(テーブル22[[#This Row],[肥満度数値]]="","",LOOKUP(AC271,$AW$39:$AW$44,$AX$39:$AX$44))</f>
        <v/>
      </c>
      <c r="AB2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1" s="124" t="str">
        <f>IF(テーブル22[[#This Row],[体重]]="","",(テーブル22[[#This Row],[体重]]-テーブル22[[#This Row],[標準体重]])/テーブル22[[#This Row],[標準体重]]*100)</f>
        <v/>
      </c>
      <c r="AD271" s="1">
        <f>COUNTA(テーブル22[[#This Row],[握力]:[ボール投げ]])</f>
        <v>0</v>
      </c>
      <c r="AE271" s="1" t="str">
        <f>IF(テーブル22[[#This Row],[判定]]=$BD$10,"○","")</f>
        <v/>
      </c>
      <c r="AF271" s="1" t="str">
        <f>IF(AE271="","",COUNTIF($AE$6:AE271,"○"))</f>
        <v/>
      </c>
    </row>
    <row r="272" spans="1:32" x14ac:dyDescent="0.2">
      <c r="A272" s="40">
        <v>267</v>
      </c>
      <c r="B272" s="145"/>
      <c r="C272" s="148"/>
      <c r="D272" s="145"/>
      <c r="E272" s="156"/>
      <c r="F272" s="145"/>
      <c r="G272" s="145"/>
      <c r="H272" s="146"/>
      <c r="I272" s="146"/>
      <c r="J272" s="148"/>
      <c r="K272" s="145"/>
      <c r="L272" s="148"/>
      <c r="M272" s="149"/>
      <c r="N272" s="148"/>
      <c r="O272" s="150"/>
      <c r="P2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2" s="43" t="str">
        <f>IF(テーブル22[[#This Row],[得点]]="","",IF(テーブル22[[#This Row],[年齢]]&gt;10,LOOKUP(P272,$BG$6:$BG$10,$BD$6:$BD$10),IF(テーブル22[[#This Row],[年齢]]&gt;9,LOOKUP(P272,$BF$6:$BF$10,$BD$6:$BD$10),IF(テーブル22[[#This Row],[年齢]]&gt;8,LOOKUP(P272,$BE$6:$BE$10,$BD$6:$BD$10),IF(テーブル22[[#This Row],[年齢]]&gt;7,LOOKUP(P272,$BC$6:$BC$10,$BD$6:$BD$10),IF(テーブル22[[#This Row],[年齢]]&gt;6,LOOKUP(P272,$BB$6:$BB$10,$BD$6:$BD$10),LOOKUP(P272,$BA$6:$BA$10,$BD$6:$BD$10)))))))</f>
        <v/>
      </c>
      <c r="R272" s="42">
        <f>IF(H272="",0,(IF(テーブル22[[#This Row],[性別]]="男",LOOKUP(テーブル22[[#This Row],[握力]],$AH$6:$AI$15),LOOKUP(テーブル22[[#This Row],[握力]],$AH$20:$AI$29))))</f>
        <v>0</v>
      </c>
      <c r="S272" s="42">
        <f>IF(テーブル22[[#This Row],[上体]]="",0,(IF(テーブル22[[#This Row],[性別]]="男",LOOKUP(テーブル22[[#This Row],[上体]],$AJ$6:$AK$15),LOOKUP(テーブル22[[#This Row],[上体]],$AJ$20:$AK$29))))</f>
        <v>0</v>
      </c>
      <c r="T272" s="42">
        <f>IF(テーブル22[[#This Row],[長座]]="",0,(IF(テーブル22[[#This Row],[性別]]="男",LOOKUP(テーブル22[[#This Row],[長座]],$AL$6:$AM$15),LOOKUP(テーブル22[[#This Row],[長座]],$AL$20:$AM$29))))</f>
        <v>0</v>
      </c>
      <c r="U272" s="42">
        <f>IF(テーブル22[[#This Row],[反復]]="",0,(IF(テーブル22[[#This Row],[性別]]="男",LOOKUP(テーブル22[[#This Row],[反復]],$AN$6:$AO$15),LOOKUP(テーブル22[[#This Row],[反復]],$AN$20:$AO$29))))</f>
        <v>0</v>
      </c>
      <c r="V272" s="42">
        <f>IF(テーブル22[[#This Row],[ｼｬﾄﾙﾗﾝ]]="",0,(IF(テーブル22[[#This Row],[性別]]="男",LOOKUP(テーブル22[[#This Row],[ｼｬﾄﾙﾗﾝ]],$AR$6:$AS$15),LOOKUP(テーブル22[[#This Row],[ｼｬﾄﾙﾗﾝ]],$AR$20:$AS$29))))</f>
        <v>0</v>
      </c>
      <c r="W272" s="42">
        <f>IF(テーブル22[[#This Row],[50m走]]="",0,(IF(テーブル22[[#This Row],[性別]]="男",LOOKUP(テーブル22[[#This Row],[50m走]],$AT$6:$AU$15),LOOKUP(テーブル22[[#This Row],[50m走]],$AT$20:$AU$29))))</f>
        <v>0</v>
      </c>
      <c r="X272" s="42">
        <f>IF(テーブル22[[#This Row],[立幅とび]]="",0,(IF(テーブル22[[#This Row],[性別]]="男",LOOKUP(テーブル22[[#This Row],[立幅とび]],$AV$6:$AW$15),LOOKUP(テーブル22[[#This Row],[立幅とび]],$AV$20:$AW$29))))</f>
        <v>0</v>
      </c>
      <c r="Y272" s="42">
        <f>IF(テーブル22[[#This Row],[ボール投げ]]="",0,(IF(テーブル22[[#This Row],[性別]]="男",LOOKUP(テーブル22[[#This Row],[ボール投げ]],$AX$6:$AY$15),LOOKUP(テーブル22[[#This Row],[ボール投げ]],$AX$20:$AY$29))))</f>
        <v>0</v>
      </c>
      <c r="Z272" s="19" t="str">
        <f>IF(テーブル22[[#This Row],[学年]]=1,6,IF(テーブル22[[#This Row],[学年]]=2,7,IF(テーブル22[[#This Row],[学年]]=3,8,IF(テーブル22[[#This Row],[学年]]=4,9,IF(テーブル22[[#This Row],[学年]]=5,10,IF(テーブル22[[#This Row],[学年]]=6,11," "))))))</f>
        <v xml:space="preserve"> </v>
      </c>
      <c r="AA272" s="125" t="str">
        <f>IF(テーブル22[[#This Row],[肥満度数値]]="","",LOOKUP(AC272,$AW$39:$AW$44,$AX$39:$AX$44))</f>
        <v/>
      </c>
      <c r="AB2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2" s="124" t="str">
        <f>IF(テーブル22[[#This Row],[体重]]="","",(テーブル22[[#This Row],[体重]]-テーブル22[[#This Row],[標準体重]])/テーブル22[[#This Row],[標準体重]]*100)</f>
        <v/>
      </c>
      <c r="AD272" s="1">
        <f>COUNTA(テーブル22[[#This Row],[握力]:[ボール投げ]])</f>
        <v>0</v>
      </c>
      <c r="AE272" s="1" t="str">
        <f>IF(テーブル22[[#This Row],[判定]]=$BD$10,"○","")</f>
        <v/>
      </c>
      <c r="AF272" s="1" t="str">
        <f>IF(AE272="","",COUNTIF($AE$6:AE272,"○"))</f>
        <v/>
      </c>
    </row>
    <row r="273" spans="1:32" x14ac:dyDescent="0.2">
      <c r="A273" s="40">
        <v>268</v>
      </c>
      <c r="B273" s="145"/>
      <c r="C273" s="148"/>
      <c r="D273" s="145"/>
      <c r="E273" s="156"/>
      <c r="F273" s="145"/>
      <c r="G273" s="145"/>
      <c r="H273" s="146"/>
      <c r="I273" s="146"/>
      <c r="J273" s="148"/>
      <c r="K273" s="145"/>
      <c r="L273" s="148"/>
      <c r="M273" s="149"/>
      <c r="N273" s="148"/>
      <c r="O273" s="150"/>
      <c r="P2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3" s="43" t="str">
        <f>IF(テーブル22[[#This Row],[得点]]="","",IF(テーブル22[[#This Row],[年齢]]&gt;10,LOOKUP(P273,$BG$6:$BG$10,$BD$6:$BD$10),IF(テーブル22[[#This Row],[年齢]]&gt;9,LOOKUP(P273,$BF$6:$BF$10,$BD$6:$BD$10),IF(テーブル22[[#This Row],[年齢]]&gt;8,LOOKUP(P273,$BE$6:$BE$10,$BD$6:$BD$10),IF(テーブル22[[#This Row],[年齢]]&gt;7,LOOKUP(P273,$BC$6:$BC$10,$BD$6:$BD$10),IF(テーブル22[[#This Row],[年齢]]&gt;6,LOOKUP(P273,$BB$6:$BB$10,$BD$6:$BD$10),LOOKUP(P273,$BA$6:$BA$10,$BD$6:$BD$10)))))))</f>
        <v/>
      </c>
      <c r="R273" s="42">
        <f>IF(H273="",0,(IF(テーブル22[[#This Row],[性別]]="男",LOOKUP(テーブル22[[#This Row],[握力]],$AH$6:$AI$15),LOOKUP(テーブル22[[#This Row],[握力]],$AH$20:$AI$29))))</f>
        <v>0</v>
      </c>
      <c r="S273" s="42">
        <f>IF(テーブル22[[#This Row],[上体]]="",0,(IF(テーブル22[[#This Row],[性別]]="男",LOOKUP(テーブル22[[#This Row],[上体]],$AJ$6:$AK$15),LOOKUP(テーブル22[[#This Row],[上体]],$AJ$20:$AK$29))))</f>
        <v>0</v>
      </c>
      <c r="T273" s="42">
        <f>IF(テーブル22[[#This Row],[長座]]="",0,(IF(テーブル22[[#This Row],[性別]]="男",LOOKUP(テーブル22[[#This Row],[長座]],$AL$6:$AM$15),LOOKUP(テーブル22[[#This Row],[長座]],$AL$20:$AM$29))))</f>
        <v>0</v>
      </c>
      <c r="U273" s="42">
        <f>IF(テーブル22[[#This Row],[反復]]="",0,(IF(テーブル22[[#This Row],[性別]]="男",LOOKUP(テーブル22[[#This Row],[反復]],$AN$6:$AO$15),LOOKUP(テーブル22[[#This Row],[反復]],$AN$20:$AO$29))))</f>
        <v>0</v>
      </c>
      <c r="V273" s="42">
        <f>IF(テーブル22[[#This Row],[ｼｬﾄﾙﾗﾝ]]="",0,(IF(テーブル22[[#This Row],[性別]]="男",LOOKUP(テーブル22[[#This Row],[ｼｬﾄﾙﾗﾝ]],$AR$6:$AS$15),LOOKUP(テーブル22[[#This Row],[ｼｬﾄﾙﾗﾝ]],$AR$20:$AS$29))))</f>
        <v>0</v>
      </c>
      <c r="W273" s="42">
        <f>IF(テーブル22[[#This Row],[50m走]]="",0,(IF(テーブル22[[#This Row],[性別]]="男",LOOKUP(テーブル22[[#This Row],[50m走]],$AT$6:$AU$15),LOOKUP(テーブル22[[#This Row],[50m走]],$AT$20:$AU$29))))</f>
        <v>0</v>
      </c>
      <c r="X273" s="42">
        <f>IF(テーブル22[[#This Row],[立幅とび]]="",0,(IF(テーブル22[[#This Row],[性別]]="男",LOOKUP(テーブル22[[#This Row],[立幅とび]],$AV$6:$AW$15),LOOKUP(テーブル22[[#This Row],[立幅とび]],$AV$20:$AW$29))))</f>
        <v>0</v>
      </c>
      <c r="Y273" s="42">
        <f>IF(テーブル22[[#This Row],[ボール投げ]]="",0,(IF(テーブル22[[#This Row],[性別]]="男",LOOKUP(テーブル22[[#This Row],[ボール投げ]],$AX$6:$AY$15),LOOKUP(テーブル22[[#This Row],[ボール投げ]],$AX$20:$AY$29))))</f>
        <v>0</v>
      </c>
      <c r="Z273" s="19" t="str">
        <f>IF(テーブル22[[#This Row],[学年]]=1,6,IF(テーブル22[[#This Row],[学年]]=2,7,IF(テーブル22[[#This Row],[学年]]=3,8,IF(テーブル22[[#This Row],[学年]]=4,9,IF(テーブル22[[#This Row],[学年]]=5,10,IF(テーブル22[[#This Row],[学年]]=6,11," "))))))</f>
        <v xml:space="preserve"> </v>
      </c>
      <c r="AA273" s="125" t="str">
        <f>IF(テーブル22[[#This Row],[肥満度数値]]="","",LOOKUP(AC273,$AW$39:$AW$44,$AX$39:$AX$44))</f>
        <v/>
      </c>
      <c r="AB2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3" s="124" t="str">
        <f>IF(テーブル22[[#This Row],[体重]]="","",(テーブル22[[#This Row],[体重]]-テーブル22[[#This Row],[標準体重]])/テーブル22[[#This Row],[標準体重]]*100)</f>
        <v/>
      </c>
      <c r="AD273" s="1">
        <f>COUNTA(テーブル22[[#This Row],[握力]:[ボール投げ]])</f>
        <v>0</v>
      </c>
      <c r="AE273" s="1" t="str">
        <f>IF(テーブル22[[#This Row],[判定]]=$BD$10,"○","")</f>
        <v/>
      </c>
      <c r="AF273" s="1" t="str">
        <f>IF(AE273="","",COUNTIF($AE$6:AE273,"○"))</f>
        <v/>
      </c>
    </row>
    <row r="274" spans="1:32" x14ac:dyDescent="0.2">
      <c r="A274" s="40">
        <v>269</v>
      </c>
      <c r="B274" s="145"/>
      <c r="C274" s="148"/>
      <c r="D274" s="145"/>
      <c r="E274" s="156"/>
      <c r="F274" s="145"/>
      <c r="G274" s="145"/>
      <c r="H274" s="146"/>
      <c r="I274" s="146"/>
      <c r="J274" s="148"/>
      <c r="K274" s="145"/>
      <c r="L274" s="148"/>
      <c r="M274" s="149"/>
      <c r="N274" s="148"/>
      <c r="O274" s="150"/>
      <c r="P2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4" s="43" t="str">
        <f>IF(テーブル22[[#This Row],[得点]]="","",IF(テーブル22[[#This Row],[年齢]]&gt;10,LOOKUP(P274,$BG$6:$BG$10,$BD$6:$BD$10),IF(テーブル22[[#This Row],[年齢]]&gt;9,LOOKUP(P274,$BF$6:$BF$10,$BD$6:$BD$10),IF(テーブル22[[#This Row],[年齢]]&gt;8,LOOKUP(P274,$BE$6:$BE$10,$BD$6:$BD$10),IF(テーブル22[[#This Row],[年齢]]&gt;7,LOOKUP(P274,$BC$6:$BC$10,$BD$6:$BD$10),IF(テーブル22[[#This Row],[年齢]]&gt;6,LOOKUP(P274,$BB$6:$BB$10,$BD$6:$BD$10),LOOKUP(P274,$BA$6:$BA$10,$BD$6:$BD$10)))))))</f>
        <v/>
      </c>
      <c r="R274" s="42">
        <f>IF(H274="",0,(IF(テーブル22[[#This Row],[性別]]="男",LOOKUP(テーブル22[[#This Row],[握力]],$AH$6:$AI$15),LOOKUP(テーブル22[[#This Row],[握力]],$AH$20:$AI$29))))</f>
        <v>0</v>
      </c>
      <c r="S274" s="42">
        <f>IF(テーブル22[[#This Row],[上体]]="",0,(IF(テーブル22[[#This Row],[性別]]="男",LOOKUP(テーブル22[[#This Row],[上体]],$AJ$6:$AK$15),LOOKUP(テーブル22[[#This Row],[上体]],$AJ$20:$AK$29))))</f>
        <v>0</v>
      </c>
      <c r="T274" s="42">
        <f>IF(テーブル22[[#This Row],[長座]]="",0,(IF(テーブル22[[#This Row],[性別]]="男",LOOKUP(テーブル22[[#This Row],[長座]],$AL$6:$AM$15),LOOKUP(テーブル22[[#This Row],[長座]],$AL$20:$AM$29))))</f>
        <v>0</v>
      </c>
      <c r="U274" s="42">
        <f>IF(テーブル22[[#This Row],[反復]]="",0,(IF(テーブル22[[#This Row],[性別]]="男",LOOKUP(テーブル22[[#This Row],[反復]],$AN$6:$AO$15),LOOKUP(テーブル22[[#This Row],[反復]],$AN$20:$AO$29))))</f>
        <v>0</v>
      </c>
      <c r="V274" s="42">
        <f>IF(テーブル22[[#This Row],[ｼｬﾄﾙﾗﾝ]]="",0,(IF(テーブル22[[#This Row],[性別]]="男",LOOKUP(テーブル22[[#This Row],[ｼｬﾄﾙﾗﾝ]],$AR$6:$AS$15),LOOKUP(テーブル22[[#This Row],[ｼｬﾄﾙﾗﾝ]],$AR$20:$AS$29))))</f>
        <v>0</v>
      </c>
      <c r="W274" s="42">
        <f>IF(テーブル22[[#This Row],[50m走]]="",0,(IF(テーブル22[[#This Row],[性別]]="男",LOOKUP(テーブル22[[#This Row],[50m走]],$AT$6:$AU$15),LOOKUP(テーブル22[[#This Row],[50m走]],$AT$20:$AU$29))))</f>
        <v>0</v>
      </c>
      <c r="X274" s="42">
        <f>IF(テーブル22[[#This Row],[立幅とび]]="",0,(IF(テーブル22[[#This Row],[性別]]="男",LOOKUP(テーブル22[[#This Row],[立幅とび]],$AV$6:$AW$15),LOOKUP(テーブル22[[#This Row],[立幅とび]],$AV$20:$AW$29))))</f>
        <v>0</v>
      </c>
      <c r="Y274" s="42">
        <f>IF(テーブル22[[#This Row],[ボール投げ]]="",0,(IF(テーブル22[[#This Row],[性別]]="男",LOOKUP(テーブル22[[#This Row],[ボール投げ]],$AX$6:$AY$15),LOOKUP(テーブル22[[#This Row],[ボール投げ]],$AX$20:$AY$29))))</f>
        <v>0</v>
      </c>
      <c r="Z274" s="19" t="str">
        <f>IF(テーブル22[[#This Row],[学年]]=1,6,IF(テーブル22[[#This Row],[学年]]=2,7,IF(テーブル22[[#This Row],[学年]]=3,8,IF(テーブル22[[#This Row],[学年]]=4,9,IF(テーブル22[[#This Row],[学年]]=5,10,IF(テーブル22[[#This Row],[学年]]=6,11," "))))))</f>
        <v xml:space="preserve"> </v>
      </c>
      <c r="AA274" s="125" t="str">
        <f>IF(テーブル22[[#This Row],[肥満度数値]]="","",LOOKUP(AC274,$AW$39:$AW$44,$AX$39:$AX$44))</f>
        <v/>
      </c>
      <c r="AB2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4" s="124" t="str">
        <f>IF(テーブル22[[#This Row],[体重]]="","",(テーブル22[[#This Row],[体重]]-テーブル22[[#This Row],[標準体重]])/テーブル22[[#This Row],[標準体重]]*100)</f>
        <v/>
      </c>
      <c r="AD274" s="1">
        <f>COUNTA(テーブル22[[#This Row],[握力]:[ボール投げ]])</f>
        <v>0</v>
      </c>
      <c r="AE274" s="1" t="str">
        <f>IF(テーブル22[[#This Row],[判定]]=$BD$10,"○","")</f>
        <v/>
      </c>
      <c r="AF274" s="1" t="str">
        <f>IF(AE274="","",COUNTIF($AE$6:AE274,"○"))</f>
        <v/>
      </c>
    </row>
    <row r="275" spans="1:32" x14ac:dyDescent="0.2">
      <c r="A275" s="40">
        <v>270</v>
      </c>
      <c r="B275" s="145"/>
      <c r="C275" s="148"/>
      <c r="D275" s="145"/>
      <c r="E275" s="156"/>
      <c r="F275" s="145"/>
      <c r="G275" s="145"/>
      <c r="H275" s="146"/>
      <c r="I275" s="146"/>
      <c r="J275" s="148"/>
      <c r="K275" s="145"/>
      <c r="L275" s="148"/>
      <c r="M275" s="149"/>
      <c r="N275" s="148"/>
      <c r="O275" s="150"/>
      <c r="P2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5" s="43" t="str">
        <f>IF(テーブル22[[#This Row],[得点]]="","",IF(テーブル22[[#This Row],[年齢]]&gt;10,LOOKUP(P275,$BG$6:$BG$10,$BD$6:$BD$10),IF(テーブル22[[#This Row],[年齢]]&gt;9,LOOKUP(P275,$BF$6:$BF$10,$BD$6:$BD$10),IF(テーブル22[[#This Row],[年齢]]&gt;8,LOOKUP(P275,$BE$6:$BE$10,$BD$6:$BD$10),IF(テーブル22[[#This Row],[年齢]]&gt;7,LOOKUP(P275,$BC$6:$BC$10,$BD$6:$BD$10),IF(テーブル22[[#This Row],[年齢]]&gt;6,LOOKUP(P275,$BB$6:$BB$10,$BD$6:$BD$10),LOOKUP(P275,$BA$6:$BA$10,$BD$6:$BD$10)))))))</f>
        <v/>
      </c>
      <c r="R275" s="42">
        <f>IF(H275="",0,(IF(テーブル22[[#This Row],[性別]]="男",LOOKUP(テーブル22[[#This Row],[握力]],$AH$6:$AI$15),LOOKUP(テーブル22[[#This Row],[握力]],$AH$20:$AI$29))))</f>
        <v>0</v>
      </c>
      <c r="S275" s="42">
        <f>IF(テーブル22[[#This Row],[上体]]="",0,(IF(テーブル22[[#This Row],[性別]]="男",LOOKUP(テーブル22[[#This Row],[上体]],$AJ$6:$AK$15),LOOKUP(テーブル22[[#This Row],[上体]],$AJ$20:$AK$29))))</f>
        <v>0</v>
      </c>
      <c r="T275" s="42">
        <f>IF(テーブル22[[#This Row],[長座]]="",0,(IF(テーブル22[[#This Row],[性別]]="男",LOOKUP(テーブル22[[#This Row],[長座]],$AL$6:$AM$15),LOOKUP(テーブル22[[#This Row],[長座]],$AL$20:$AM$29))))</f>
        <v>0</v>
      </c>
      <c r="U275" s="42">
        <f>IF(テーブル22[[#This Row],[反復]]="",0,(IF(テーブル22[[#This Row],[性別]]="男",LOOKUP(テーブル22[[#This Row],[反復]],$AN$6:$AO$15),LOOKUP(テーブル22[[#This Row],[反復]],$AN$20:$AO$29))))</f>
        <v>0</v>
      </c>
      <c r="V275" s="42">
        <f>IF(テーブル22[[#This Row],[ｼｬﾄﾙﾗﾝ]]="",0,(IF(テーブル22[[#This Row],[性別]]="男",LOOKUP(テーブル22[[#This Row],[ｼｬﾄﾙﾗﾝ]],$AR$6:$AS$15),LOOKUP(テーブル22[[#This Row],[ｼｬﾄﾙﾗﾝ]],$AR$20:$AS$29))))</f>
        <v>0</v>
      </c>
      <c r="W275" s="42">
        <f>IF(テーブル22[[#This Row],[50m走]]="",0,(IF(テーブル22[[#This Row],[性別]]="男",LOOKUP(テーブル22[[#This Row],[50m走]],$AT$6:$AU$15),LOOKUP(テーブル22[[#This Row],[50m走]],$AT$20:$AU$29))))</f>
        <v>0</v>
      </c>
      <c r="X275" s="42">
        <f>IF(テーブル22[[#This Row],[立幅とび]]="",0,(IF(テーブル22[[#This Row],[性別]]="男",LOOKUP(テーブル22[[#This Row],[立幅とび]],$AV$6:$AW$15),LOOKUP(テーブル22[[#This Row],[立幅とび]],$AV$20:$AW$29))))</f>
        <v>0</v>
      </c>
      <c r="Y275" s="42">
        <f>IF(テーブル22[[#This Row],[ボール投げ]]="",0,(IF(テーブル22[[#This Row],[性別]]="男",LOOKUP(テーブル22[[#This Row],[ボール投げ]],$AX$6:$AY$15),LOOKUP(テーブル22[[#This Row],[ボール投げ]],$AX$20:$AY$29))))</f>
        <v>0</v>
      </c>
      <c r="Z275" s="19" t="str">
        <f>IF(テーブル22[[#This Row],[学年]]=1,6,IF(テーブル22[[#This Row],[学年]]=2,7,IF(テーブル22[[#This Row],[学年]]=3,8,IF(テーブル22[[#This Row],[学年]]=4,9,IF(テーブル22[[#This Row],[学年]]=5,10,IF(テーブル22[[#This Row],[学年]]=6,11," "))))))</f>
        <v xml:space="preserve"> </v>
      </c>
      <c r="AA275" s="125" t="str">
        <f>IF(テーブル22[[#This Row],[肥満度数値]]="","",LOOKUP(AC275,$AW$39:$AW$44,$AX$39:$AX$44))</f>
        <v/>
      </c>
      <c r="AB2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5" s="124" t="str">
        <f>IF(テーブル22[[#This Row],[体重]]="","",(テーブル22[[#This Row],[体重]]-テーブル22[[#This Row],[標準体重]])/テーブル22[[#This Row],[標準体重]]*100)</f>
        <v/>
      </c>
      <c r="AD275" s="1">
        <f>COUNTA(テーブル22[[#This Row],[握力]:[ボール投げ]])</f>
        <v>0</v>
      </c>
      <c r="AE275" s="1" t="str">
        <f>IF(テーブル22[[#This Row],[判定]]=$BD$10,"○","")</f>
        <v/>
      </c>
      <c r="AF275" s="1" t="str">
        <f>IF(AE275="","",COUNTIF($AE$6:AE275,"○"))</f>
        <v/>
      </c>
    </row>
    <row r="276" spans="1:32" x14ac:dyDescent="0.2">
      <c r="A276" s="40">
        <v>271</v>
      </c>
      <c r="B276" s="145"/>
      <c r="C276" s="148"/>
      <c r="D276" s="145"/>
      <c r="E276" s="156"/>
      <c r="F276" s="145"/>
      <c r="G276" s="145"/>
      <c r="H276" s="146"/>
      <c r="I276" s="146"/>
      <c r="J276" s="148"/>
      <c r="K276" s="145"/>
      <c r="L276" s="148"/>
      <c r="M276" s="149"/>
      <c r="N276" s="148"/>
      <c r="O276" s="150"/>
      <c r="P2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6" s="43" t="str">
        <f>IF(テーブル22[[#This Row],[得点]]="","",IF(テーブル22[[#This Row],[年齢]]&gt;10,LOOKUP(P276,$BG$6:$BG$10,$BD$6:$BD$10),IF(テーブル22[[#This Row],[年齢]]&gt;9,LOOKUP(P276,$BF$6:$BF$10,$BD$6:$BD$10),IF(テーブル22[[#This Row],[年齢]]&gt;8,LOOKUP(P276,$BE$6:$BE$10,$BD$6:$BD$10),IF(テーブル22[[#This Row],[年齢]]&gt;7,LOOKUP(P276,$BC$6:$BC$10,$BD$6:$BD$10),IF(テーブル22[[#This Row],[年齢]]&gt;6,LOOKUP(P276,$BB$6:$BB$10,$BD$6:$BD$10),LOOKUP(P276,$BA$6:$BA$10,$BD$6:$BD$10)))))))</f>
        <v/>
      </c>
      <c r="R276" s="42">
        <f>IF(H276="",0,(IF(テーブル22[[#This Row],[性別]]="男",LOOKUP(テーブル22[[#This Row],[握力]],$AH$6:$AI$15),LOOKUP(テーブル22[[#This Row],[握力]],$AH$20:$AI$29))))</f>
        <v>0</v>
      </c>
      <c r="S276" s="42">
        <f>IF(テーブル22[[#This Row],[上体]]="",0,(IF(テーブル22[[#This Row],[性別]]="男",LOOKUP(テーブル22[[#This Row],[上体]],$AJ$6:$AK$15),LOOKUP(テーブル22[[#This Row],[上体]],$AJ$20:$AK$29))))</f>
        <v>0</v>
      </c>
      <c r="T276" s="42">
        <f>IF(テーブル22[[#This Row],[長座]]="",0,(IF(テーブル22[[#This Row],[性別]]="男",LOOKUP(テーブル22[[#This Row],[長座]],$AL$6:$AM$15),LOOKUP(テーブル22[[#This Row],[長座]],$AL$20:$AM$29))))</f>
        <v>0</v>
      </c>
      <c r="U276" s="42">
        <f>IF(テーブル22[[#This Row],[反復]]="",0,(IF(テーブル22[[#This Row],[性別]]="男",LOOKUP(テーブル22[[#This Row],[反復]],$AN$6:$AO$15),LOOKUP(テーブル22[[#This Row],[反復]],$AN$20:$AO$29))))</f>
        <v>0</v>
      </c>
      <c r="V276" s="42">
        <f>IF(テーブル22[[#This Row],[ｼｬﾄﾙﾗﾝ]]="",0,(IF(テーブル22[[#This Row],[性別]]="男",LOOKUP(テーブル22[[#This Row],[ｼｬﾄﾙﾗﾝ]],$AR$6:$AS$15),LOOKUP(テーブル22[[#This Row],[ｼｬﾄﾙﾗﾝ]],$AR$20:$AS$29))))</f>
        <v>0</v>
      </c>
      <c r="W276" s="42">
        <f>IF(テーブル22[[#This Row],[50m走]]="",0,(IF(テーブル22[[#This Row],[性別]]="男",LOOKUP(テーブル22[[#This Row],[50m走]],$AT$6:$AU$15),LOOKUP(テーブル22[[#This Row],[50m走]],$AT$20:$AU$29))))</f>
        <v>0</v>
      </c>
      <c r="X276" s="42">
        <f>IF(テーブル22[[#This Row],[立幅とび]]="",0,(IF(テーブル22[[#This Row],[性別]]="男",LOOKUP(テーブル22[[#This Row],[立幅とび]],$AV$6:$AW$15),LOOKUP(テーブル22[[#This Row],[立幅とび]],$AV$20:$AW$29))))</f>
        <v>0</v>
      </c>
      <c r="Y276" s="42">
        <f>IF(テーブル22[[#This Row],[ボール投げ]]="",0,(IF(テーブル22[[#This Row],[性別]]="男",LOOKUP(テーブル22[[#This Row],[ボール投げ]],$AX$6:$AY$15),LOOKUP(テーブル22[[#This Row],[ボール投げ]],$AX$20:$AY$29))))</f>
        <v>0</v>
      </c>
      <c r="Z276" s="19" t="str">
        <f>IF(テーブル22[[#This Row],[学年]]=1,6,IF(テーブル22[[#This Row],[学年]]=2,7,IF(テーブル22[[#This Row],[学年]]=3,8,IF(テーブル22[[#This Row],[学年]]=4,9,IF(テーブル22[[#This Row],[学年]]=5,10,IF(テーブル22[[#This Row],[学年]]=6,11," "))))))</f>
        <v xml:space="preserve"> </v>
      </c>
      <c r="AA276" s="125" t="str">
        <f>IF(テーブル22[[#This Row],[肥満度数値]]="","",LOOKUP(AC276,$AW$39:$AW$44,$AX$39:$AX$44))</f>
        <v/>
      </c>
      <c r="AB2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6" s="124" t="str">
        <f>IF(テーブル22[[#This Row],[体重]]="","",(テーブル22[[#This Row],[体重]]-テーブル22[[#This Row],[標準体重]])/テーブル22[[#This Row],[標準体重]]*100)</f>
        <v/>
      </c>
      <c r="AD276" s="1">
        <f>COUNTA(テーブル22[[#This Row],[握力]:[ボール投げ]])</f>
        <v>0</v>
      </c>
      <c r="AE276" s="1" t="str">
        <f>IF(テーブル22[[#This Row],[判定]]=$BD$10,"○","")</f>
        <v/>
      </c>
      <c r="AF276" s="1" t="str">
        <f>IF(AE276="","",COUNTIF($AE$6:AE276,"○"))</f>
        <v/>
      </c>
    </row>
    <row r="277" spans="1:32" x14ac:dyDescent="0.2">
      <c r="A277" s="40">
        <v>272</v>
      </c>
      <c r="B277" s="145"/>
      <c r="C277" s="148"/>
      <c r="D277" s="145"/>
      <c r="E277" s="156"/>
      <c r="F277" s="145"/>
      <c r="G277" s="145"/>
      <c r="H277" s="146"/>
      <c r="I277" s="146"/>
      <c r="J277" s="148"/>
      <c r="K277" s="145"/>
      <c r="L277" s="148"/>
      <c r="M277" s="149"/>
      <c r="N277" s="148"/>
      <c r="O277" s="150"/>
      <c r="P2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7" s="43" t="str">
        <f>IF(テーブル22[[#This Row],[得点]]="","",IF(テーブル22[[#This Row],[年齢]]&gt;10,LOOKUP(P277,$BG$6:$BG$10,$BD$6:$BD$10),IF(テーブル22[[#This Row],[年齢]]&gt;9,LOOKUP(P277,$BF$6:$BF$10,$BD$6:$BD$10),IF(テーブル22[[#This Row],[年齢]]&gt;8,LOOKUP(P277,$BE$6:$BE$10,$BD$6:$BD$10),IF(テーブル22[[#This Row],[年齢]]&gt;7,LOOKUP(P277,$BC$6:$BC$10,$BD$6:$BD$10),IF(テーブル22[[#This Row],[年齢]]&gt;6,LOOKUP(P277,$BB$6:$BB$10,$BD$6:$BD$10),LOOKUP(P277,$BA$6:$BA$10,$BD$6:$BD$10)))))))</f>
        <v/>
      </c>
      <c r="R277" s="42">
        <f>IF(H277="",0,(IF(テーブル22[[#This Row],[性別]]="男",LOOKUP(テーブル22[[#This Row],[握力]],$AH$6:$AI$15),LOOKUP(テーブル22[[#This Row],[握力]],$AH$20:$AI$29))))</f>
        <v>0</v>
      </c>
      <c r="S277" s="42">
        <f>IF(テーブル22[[#This Row],[上体]]="",0,(IF(テーブル22[[#This Row],[性別]]="男",LOOKUP(テーブル22[[#This Row],[上体]],$AJ$6:$AK$15),LOOKUP(テーブル22[[#This Row],[上体]],$AJ$20:$AK$29))))</f>
        <v>0</v>
      </c>
      <c r="T277" s="42">
        <f>IF(テーブル22[[#This Row],[長座]]="",0,(IF(テーブル22[[#This Row],[性別]]="男",LOOKUP(テーブル22[[#This Row],[長座]],$AL$6:$AM$15),LOOKUP(テーブル22[[#This Row],[長座]],$AL$20:$AM$29))))</f>
        <v>0</v>
      </c>
      <c r="U277" s="42">
        <f>IF(テーブル22[[#This Row],[反復]]="",0,(IF(テーブル22[[#This Row],[性別]]="男",LOOKUP(テーブル22[[#This Row],[反復]],$AN$6:$AO$15),LOOKUP(テーブル22[[#This Row],[反復]],$AN$20:$AO$29))))</f>
        <v>0</v>
      </c>
      <c r="V277" s="42">
        <f>IF(テーブル22[[#This Row],[ｼｬﾄﾙﾗﾝ]]="",0,(IF(テーブル22[[#This Row],[性別]]="男",LOOKUP(テーブル22[[#This Row],[ｼｬﾄﾙﾗﾝ]],$AR$6:$AS$15),LOOKUP(テーブル22[[#This Row],[ｼｬﾄﾙﾗﾝ]],$AR$20:$AS$29))))</f>
        <v>0</v>
      </c>
      <c r="W277" s="42">
        <f>IF(テーブル22[[#This Row],[50m走]]="",0,(IF(テーブル22[[#This Row],[性別]]="男",LOOKUP(テーブル22[[#This Row],[50m走]],$AT$6:$AU$15),LOOKUP(テーブル22[[#This Row],[50m走]],$AT$20:$AU$29))))</f>
        <v>0</v>
      </c>
      <c r="X277" s="42">
        <f>IF(テーブル22[[#This Row],[立幅とび]]="",0,(IF(テーブル22[[#This Row],[性別]]="男",LOOKUP(テーブル22[[#This Row],[立幅とび]],$AV$6:$AW$15),LOOKUP(テーブル22[[#This Row],[立幅とび]],$AV$20:$AW$29))))</f>
        <v>0</v>
      </c>
      <c r="Y277" s="42">
        <f>IF(テーブル22[[#This Row],[ボール投げ]]="",0,(IF(テーブル22[[#This Row],[性別]]="男",LOOKUP(テーブル22[[#This Row],[ボール投げ]],$AX$6:$AY$15),LOOKUP(テーブル22[[#This Row],[ボール投げ]],$AX$20:$AY$29))))</f>
        <v>0</v>
      </c>
      <c r="Z277" s="19" t="str">
        <f>IF(テーブル22[[#This Row],[学年]]=1,6,IF(テーブル22[[#This Row],[学年]]=2,7,IF(テーブル22[[#This Row],[学年]]=3,8,IF(テーブル22[[#This Row],[学年]]=4,9,IF(テーブル22[[#This Row],[学年]]=5,10,IF(テーブル22[[#This Row],[学年]]=6,11," "))))))</f>
        <v xml:space="preserve"> </v>
      </c>
      <c r="AA277" s="125" t="str">
        <f>IF(テーブル22[[#This Row],[肥満度数値]]="","",LOOKUP(AC277,$AW$39:$AW$44,$AX$39:$AX$44))</f>
        <v/>
      </c>
      <c r="AB2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7" s="124" t="str">
        <f>IF(テーブル22[[#This Row],[体重]]="","",(テーブル22[[#This Row],[体重]]-テーブル22[[#This Row],[標準体重]])/テーブル22[[#This Row],[標準体重]]*100)</f>
        <v/>
      </c>
      <c r="AD277" s="1">
        <f>COUNTA(テーブル22[[#This Row],[握力]:[ボール投げ]])</f>
        <v>0</v>
      </c>
      <c r="AE277" s="1" t="str">
        <f>IF(テーブル22[[#This Row],[判定]]=$BD$10,"○","")</f>
        <v/>
      </c>
      <c r="AF277" s="1" t="str">
        <f>IF(AE277="","",COUNTIF($AE$6:AE277,"○"))</f>
        <v/>
      </c>
    </row>
    <row r="278" spans="1:32" x14ac:dyDescent="0.2">
      <c r="A278" s="40">
        <v>273</v>
      </c>
      <c r="B278" s="145"/>
      <c r="C278" s="148"/>
      <c r="D278" s="145"/>
      <c r="E278" s="156"/>
      <c r="F278" s="145"/>
      <c r="G278" s="145"/>
      <c r="H278" s="146"/>
      <c r="I278" s="146"/>
      <c r="J278" s="148"/>
      <c r="K278" s="145"/>
      <c r="L278" s="148"/>
      <c r="M278" s="149"/>
      <c r="N278" s="148"/>
      <c r="O278" s="150"/>
      <c r="P2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8" s="43" t="str">
        <f>IF(テーブル22[[#This Row],[得点]]="","",IF(テーブル22[[#This Row],[年齢]]&gt;10,LOOKUP(P278,$BG$6:$BG$10,$BD$6:$BD$10),IF(テーブル22[[#This Row],[年齢]]&gt;9,LOOKUP(P278,$BF$6:$BF$10,$BD$6:$BD$10),IF(テーブル22[[#This Row],[年齢]]&gt;8,LOOKUP(P278,$BE$6:$BE$10,$BD$6:$BD$10),IF(テーブル22[[#This Row],[年齢]]&gt;7,LOOKUP(P278,$BC$6:$BC$10,$BD$6:$BD$10),IF(テーブル22[[#This Row],[年齢]]&gt;6,LOOKUP(P278,$BB$6:$BB$10,$BD$6:$BD$10),LOOKUP(P278,$BA$6:$BA$10,$BD$6:$BD$10)))))))</f>
        <v/>
      </c>
      <c r="R278" s="42">
        <f>IF(H278="",0,(IF(テーブル22[[#This Row],[性別]]="男",LOOKUP(テーブル22[[#This Row],[握力]],$AH$6:$AI$15),LOOKUP(テーブル22[[#This Row],[握力]],$AH$20:$AI$29))))</f>
        <v>0</v>
      </c>
      <c r="S278" s="42">
        <f>IF(テーブル22[[#This Row],[上体]]="",0,(IF(テーブル22[[#This Row],[性別]]="男",LOOKUP(テーブル22[[#This Row],[上体]],$AJ$6:$AK$15),LOOKUP(テーブル22[[#This Row],[上体]],$AJ$20:$AK$29))))</f>
        <v>0</v>
      </c>
      <c r="T278" s="42">
        <f>IF(テーブル22[[#This Row],[長座]]="",0,(IF(テーブル22[[#This Row],[性別]]="男",LOOKUP(テーブル22[[#This Row],[長座]],$AL$6:$AM$15),LOOKUP(テーブル22[[#This Row],[長座]],$AL$20:$AM$29))))</f>
        <v>0</v>
      </c>
      <c r="U278" s="42">
        <f>IF(テーブル22[[#This Row],[反復]]="",0,(IF(テーブル22[[#This Row],[性別]]="男",LOOKUP(テーブル22[[#This Row],[反復]],$AN$6:$AO$15),LOOKUP(テーブル22[[#This Row],[反復]],$AN$20:$AO$29))))</f>
        <v>0</v>
      </c>
      <c r="V278" s="42">
        <f>IF(テーブル22[[#This Row],[ｼｬﾄﾙﾗﾝ]]="",0,(IF(テーブル22[[#This Row],[性別]]="男",LOOKUP(テーブル22[[#This Row],[ｼｬﾄﾙﾗﾝ]],$AR$6:$AS$15),LOOKUP(テーブル22[[#This Row],[ｼｬﾄﾙﾗﾝ]],$AR$20:$AS$29))))</f>
        <v>0</v>
      </c>
      <c r="W278" s="42">
        <f>IF(テーブル22[[#This Row],[50m走]]="",0,(IF(テーブル22[[#This Row],[性別]]="男",LOOKUP(テーブル22[[#This Row],[50m走]],$AT$6:$AU$15),LOOKUP(テーブル22[[#This Row],[50m走]],$AT$20:$AU$29))))</f>
        <v>0</v>
      </c>
      <c r="X278" s="42">
        <f>IF(テーブル22[[#This Row],[立幅とび]]="",0,(IF(テーブル22[[#This Row],[性別]]="男",LOOKUP(テーブル22[[#This Row],[立幅とび]],$AV$6:$AW$15),LOOKUP(テーブル22[[#This Row],[立幅とび]],$AV$20:$AW$29))))</f>
        <v>0</v>
      </c>
      <c r="Y278" s="42">
        <f>IF(テーブル22[[#This Row],[ボール投げ]]="",0,(IF(テーブル22[[#This Row],[性別]]="男",LOOKUP(テーブル22[[#This Row],[ボール投げ]],$AX$6:$AY$15),LOOKUP(テーブル22[[#This Row],[ボール投げ]],$AX$20:$AY$29))))</f>
        <v>0</v>
      </c>
      <c r="Z278" s="19" t="str">
        <f>IF(テーブル22[[#This Row],[学年]]=1,6,IF(テーブル22[[#This Row],[学年]]=2,7,IF(テーブル22[[#This Row],[学年]]=3,8,IF(テーブル22[[#This Row],[学年]]=4,9,IF(テーブル22[[#This Row],[学年]]=5,10,IF(テーブル22[[#This Row],[学年]]=6,11," "))))))</f>
        <v xml:space="preserve"> </v>
      </c>
      <c r="AA278" s="125" t="str">
        <f>IF(テーブル22[[#This Row],[肥満度数値]]="","",LOOKUP(AC278,$AW$39:$AW$44,$AX$39:$AX$44))</f>
        <v/>
      </c>
      <c r="AB2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8" s="124" t="str">
        <f>IF(テーブル22[[#This Row],[体重]]="","",(テーブル22[[#This Row],[体重]]-テーブル22[[#This Row],[標準体重]])/テーブル22[[#This Row],[標準体重]]*100)</f>
        <v/>
      </c>
      <c r="AD278" s="1">
        <f>COUNTA(テーブル22[[#This Row],[握力]:[ボール投げ]])</f>
        <v>0</v>
      </c>
      <c r="AE278" s="1" t="str">
        <f>IF(テーブル22[[#This Row],[判定]]=$BD$10,"○","")</f>
        <v/>
      </c>
      <c r="AF278" s="1" t="str">
        <f>IF(AE278="","",COUNTIF($AE$6:AE278,"○"))</f>
        <v/>
      </c>
    </row>
    <row r="279" spans="1:32" x14ac:dyDescent="0.2">
      <c r="A279" s="40">
        <v>274</v>
      </c>
      <c r="B279" s="145"/>
      <c r="C279" s="148"/>
      <c r="D279" s="145"/>
      <c r="E279" s="156"/>
      <c r="F279" s="145"/>
      <c r="G279" s="145"/>
      <c r="H279" s="146"/>
      <c r="I279" s="146"/>
      <c r="J279" s="148"/>
      <c r="K279" s="145"/>
      <c r="L279" s="148"/>
      <c r="M279" s="149"/>
      <c r="N279" s="148"/>
      <c r="O279" s="150"/>
      <c r="P2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79" s="43" t="str">
        <f>IF(テーブル22[[#This Row],[得点]]="","",IF(テーブル22[[#This Row],[年齢]]&gt;10,LOOKUP(P279,$BG$6:$BG$10,$BD$6:$BD$10),IF(テーブル22[[#This Row],[年齢]]&gt;9,LOOKUP(P279,$BF$6:$BF$10,$BD$6:$BD$10),IF(テーブル22[[#This Row],[年齢]]&gt;8,LOOKUP(P279,$BE$6:$BE$10,$BD$6:$BD$10),IF(テーブル22[[#This Row],[年齢]]&gt;7,LOOKUP(P279,$BC$6:$BC$10,$BD$6:$BD$10),IF(テーブル22[[#This Row],[年齢]]&gt;6,LOOKUP(P279,$BB$6:$BB$10,$BD$6:$BD$10),LOOKUP(P279,$BA$6:$BA$10,$BD$6:$BD$10)))))))</f>
        <v/>
      </c>
      <c r="R279" s="42">
        <f>IF(H279="",0,(IF(テーブル22[[#This Row],[性別]]="男",LOOKUP(テーブル22[[#This Row],[握力]],$AH$6:$AI$15),LOOKUP(テーブル22[[#This Row],[握力]],$AH$20:$AI$29))))</f>
        <v>0</v>
      </c>
      <c r="S279" s="42">
        <f>IF(テーブル22[[#This Row],[上体]]="",0,(IF(テーブル22[[#This Row],[性別]]="男",LOOKUP(テーブル22[[#This Row],[上体]],$AJ$6:$AK$15),LOOKUP(テーブル22[[#This Row],[上体]],$AJ$20:$AK$29))))</f>
        <v>0</v>
      </c>
      <c r="T279" s="42">
        <f>IF(テーブル22[[#This Row],[長座]]="",0,(IF(テーブル22[[#This Row],[性別]]="男",LOOKUP(テーブル22[[#This Row],[長座]],$AL$6:$AM$15),LOOKUP(テーブル22[[#This Row],[長座]],$AL$20:$AM$29))))</f>
        <v>0</v>
      </c>
      <c r="U279" s="42">
        <f>IF(テーブル22[[#This Row],[反復]]="",0,(IF(テーブル22[[#This Row],[性別]]="男",LOOKUP(テーブル22[[#This Row],[反復]],$AN$6:$AO$15),LOOKUP(テーブル22[[#This Row],[反復]],$AN$20:$AO$29))))</f>
        <v>0</v>
      </c>
      <c r="V279" s="42">
        <f>IF(テーブル22[[#This Row],[ｼｬﾄﾙﾗﾝ]]="",0,(IF(テーブル22[[#This Row],[性別]]="男",LOOKUP(テーブル22[[#This Row],[ｼｬﾄﾙﾗﾝ]],$AR$6:$AS$15),LOOKUP(テーブル22[[#This Row],[ｼｬﾄﾙﾗﾝ]],$AR$20:$AS$29))))</f>
        <v>0</v>
      </c>
      <c r="W279" s="42">
        <f>IF(テーブル22[[#This Row],[50m走]]="",0,(IF(テーブル22[[#This Row],[性別]]="男",LOOKUP(テーブル22[[#This Row],[50m走]],$AT$6:$AU$15),LOOKUP(テーブル22[[#This Row],[50m走]],$AT$20:$AU$29))))</f>
        <v>0</v>
      </c>
      <c r="X279" s="42">
        <f>IF(テーブル22[[#This Row],[立幅とび]]="",0,(IF(テーブル22[[#This Row],[性別]]="男",LOOKUP(テーブル22[[#This Row],[立幅とび]],$AV$6:$AW$15),LOOKUP(テーブル22[[#This Row],[立幅とび]],$AV$20:$AW$29))))</f>
        <v>0</v>
      </c>
      <c r="Y279" s="42">
        <f>IF(テーブル22[[#This Row],[ボール投げ]]="",0,(IF(テーブル22[[#This Row],[性別]]="男",LOOKUP(テーブル22[[#This Row],[ボール投げ]],$AX$6:$AY$15),LOOKUP(テーブル22[[#This Row],[ボール投げ]],$AX$20:$AY$29))))</f>
        <v>0</v>
      </c>
      <c r="Z279" s="19" t="str">
        <f>IF(テーブル22[[#This Row],[学年]]=1,6,IF(テーブル22[[#This Row],[学年]]=2,7,IF(テーブル22[[#This Row],[学年]]=3,8,IF(テーブル22[[#This Row],[学年]]=4,9,IF(テーブル22[[#This Row],[学年]]=5,10,IF(テーブル22[[#This Row],[学年]]=6,11," "))))))</f>
        <v xml:space="preserve"> </v>
      </c>
      <c r="AA279" s="125" t="str">
        <f>IF(テーブル22[[#This Row],[肥満度数値]]="","",LOOKUP(AC279,$AW$39:$AW$44,$AX$39:$AX$44))</f>
        <v/>
      </c>
      <c r="AB2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79" s="124" t="str">
        <f>IF(テーブル22[[#This Row],[体重]]="","",(テーブル22[[#This Row],[体重]]-テーブル22[[#This Row],[標準体重]])/テーブル22[[#This Row],[標準体重]]*100)</f>
        <v/>
      </c>
      <c r="AD279" s="1">
        <f>COUNTA(テーブル22[[#This Row],[握力]:[ボール投げ]])</f>
        <v>0</v>
      </c>
      <c r="AE279" s="1" t="str">
        <f>IF(テーブル22[[#This Row],[判定]]=$BD$10,"○","")</f>
        <v/>
      </c>
      <c r="AF279" s="1" t="str">
        <f>IF(AE279="","",COUNTIF($AE$6:AE279,"○"))</f>
        <v/>
      </c>
    </row>
    <row r="280" spans="1:32" x14ac:dyDescent="0.2">
      <c r="A280" s="40">
        <v>275</v>
      </c>
      <c r="B280" s="145"/>
      <c r="C280" s="148"/>
      <c r="D280" s="145"/>
      <c r="E280" s="156"/>
      <c r="F280" s="145"/>
      <c r="G280" s="145"/>
      <c r="H280" s="146"/>
      <c r="I280" s="146"/>
      <c r="J280" s="148"/>
      <c r="K280" s="145"/>
      <c r="L280" s="148"/>
      <c r="M280" s="149"/>
      <c r="N280" s="148"/>
      <c r="O280" s="150"/>
      <c r="P2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0" s="43" t="str">
        <f>IF(テーブル22[[#This Row],[得点]]="","",IF(テーブル22[[#This Row],[年齢]]&gt;10,LOOKUP(P280,$BG$6:$BG$10,$BD$6:$BD$10),IF(テーブル22[[#This Row],[年齢]]&gt;9,LOOKUP(P280,$BF$6:$BF$10,$BD$6:$BD$10),IF(テーブル22[[#This Row],[年齢]]&gt;8,LOOKUP(P280,$BE$6:$BE$10,$BD$6:$BD$10),IF(テーブル22[[#This Row],[年齢]]&gt;7,LOOKUP(P280,$BC$6:$BC$10,$BD$6:$BD$10),IF(テーブル22[[#This Row],[年齢]]&gt;6,LOOKUP(P280,$BB$6:$BB$10,$BD$6:$BD$10),LOOKUP(P280,$BA$6:$BA$10,$BD$6:$BD$10)))))))</f>
        <v/>
      </c>
      <c r="R280" s="42">
        <f>IF(H280="",0,(IF(テーブル22[[#This Row],[性別]]="男",LOOKUP(テーブル22[[#This Row],[握力]],$AH$6:$AI$15),LOOKUP(テーブル22[[#This Row],[握力]],$AH$20:$AI$29))))</f>
        <v>0</v>
      </c>
      <c r="S280" s="42">
        <f>IF(テーブル22[[#This Row],[上体]]="",0,(IF(テーブル22[[#This Row],[性別]]="男",LOOKUP(テーブル22[[#This Row],[上体]],$AJ$6:$AK$15),LOOKUP(テーブル22[[#This Row],[上体]],$AJ$20:$AK$29))))</f>
        <v>0</v>
      </c>
      <c r="T280" s="42">
        <f>IF(テーブル22[[#This Row],[長座]]="",0,(IF(テーブル22[[#This Row],[性別]]="男",LOOKUP(テーブル22[[#This Row],[長座]],$AL$6:$AM$15),LOOKUP(テーブル22[[#This Row],[長座]],$AL$20:$AM$29))))</f>
        <v>0</v>
      </c>
      <c r="U280" s="42">
        <f>IF(テーブル22[[#This Row],[反復]]="",0,(IF(テーブル22[[#This Row],[性別]]="男",LOOKUP(テーブル22[[#This Row],[反復]],$AN$6:$AO$15),LOOKUP(テーブル22[[#This Row],[反復]],$AN$20:$AO$29))))</f>
        <v>0</v>
      </c>
      <c r="V280" s="42">
        <f>IF(テーブル22[[#This Row],[ｼｬﾄﾙﾗﾝ]]="",0,(IF(テーブル22[[#This Row],[性別]]="男",LOOKUP(テーブル22[[#This Row],[ｼｬﾄﾙﾗﾝ]],$AR$6:$AS$15),LOOKUP(テーブル22[[#This Row],[ｼｬﾄﾙﾗﾝ]],$AR$20:$AS$29))))</f>
        <v>0</v>
      </c>
      <c r="W280" s="42">
        <f>IF(テーブル22[[#This Row],[50m走]]="",0,(IF(テーブル22[[#This Row],[性別]]="男",LOOKUP(テーブル22[[#This Row],[50m走]],$AT$6:$AU$15),LOOKUP(テーブル22[[#This Row],[50m走]],$AT$20:$AU$29))))</f>
        <v>0</v>
      </c>
      <c r="X280" s="42">
        <f>IF(テーブル22[[#This Row],[立幅とび]]="",0,(IF(テーブル22[[#This Row],[性別]]="男",LOOKUP(テーブル22[[#This Row],[立幅とび]],$AV$6:$AW$15),LOOKUP(テーブル22[[#This Row],[立幅とび]],$AV$20:$AW$29))))</f>
        <v>0</v>
      </c>
      <c r="Y280" s="42">
        <f>IF(テーブル22[[#This Row],[ボール投げ]]="",0,(IF(テーブル22[[#This Row],[性別]]="男",LOOKUP(テーブル22[[#This Row],[ボール投げ]],$AX$6:$AY$15),LOOKUP(テーブル22[[#This Row],[ボール投げ]],$AX$20:$AY$29))))</f>
        <v>0</v>
      </c>
      <c r="Z280" s="19" t="str">
        <f>IF(テーブル22[[#This Row],[学年]]=1,6,IF(テーブル22[[#This Row],[学年]]=2,7,IF(テーブル22[[#This Row],[学年]]=3,8,IF(テーブル22[[#This Row],[学年]]=4,9,IF(テーブル22[[#This Row],[学年]]=5,10,IF(テーブル22[[#This Row],[学年]]=6,11," "))))))</f>
        <v xml:space="preserve"> </v>
      </c>
      <c r="AA280" s="125" t="str">
        <f>IF(テーブル22[[#This Row],[肥満度数値]]="","",LOOKUP(AC280,$AW$39:$AW$44,$AX$39:$AX$44))</f>
        <v/>
      </c>
      <c r="AB2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0" s="124" t="str">
        <f>IF(テーブル22[[#This Row],[体重]]="","",(テーブル22[[#This Row],[体重]]-テーブル22[[#This Row],[標準体重]])/テーブル22[[#This Row],[標準体重]]*100)</f>
        <v/>
      </c>
      <c r="AD280" s="1">
        <f>COUNTA(テーブル22[[#This Row],[握力]:[ボール投げ]])</f>
        <v>0</v>
      </c>
      <c r="AE280" s="1" t="str">
        <f>IF(テーブル22[[#This Row],[判定]]=$BD$10,"○","")</f>
        <v/>
      </c>
      <c r="AF280" s="1" t="str">
        <f>IF(AE280="","",COUNTIF($AE$6:AE280,"○"))</f>
        <v/>
      </c>
    </row>
    <row r="281" spans="1:32" x14ac:dyDescent="0.2">
      <c r="A281" s="40">
        <v>276</v>
      </c>
      <c r="B281" s="145"/>
      <c r="C281" s="148"/>
      <c r="D281" s="145"/>
      <c r="E281" s="156"/>
      <c r="F281" s="145"/>
      <c r="G281" s="145"/>
      <c r="H281" s="146"/>
      <c r="I281" s="146"/>
      <c r="J281" s="148"/>
      <c r="K281" s="145"/>
      <c r="L281" s="148"/>
      <c r="M281" s="149"/>
      <c r="N281" s="148"/>
      <c r="O281" s="150"/>
      <c r="P2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1" s="43" t="str">
        <f>IF(テーブル22[[#This Row],[得点]]="","",IF(テーブル22[[#This Row],[年齢]]&gt;10,LOOKUP(P281,$BG$6:$BG$10,$BD$6:$BD$10),IF(テーブル22[[#This Row],[年齢]]&gt;9,LOOKUP(P281,$BF$6:$BF$10,$BD$6:$BD$10),IF(テーブル22[[#This Row],[年齢]]&gt;8,LOOKUP(P281,$BE$6:$BE$10,$BD$6:$BD$10),IF(テーブル22[[#This Row],[年齢]]&gt;7,LOOKUP(P281,$BC$6:$BC$10,$BD$6:$BD$10),IF(テーブル22[[#This Row],[年齢]]&gt;6,LOOKUP(P281,$BB$6:$BB$10,$BD$6:$BD$10),LOOKUP(P281,$BA$6:$BA$10,$BD$6:$BD$10)))))))</f>
        <v/>
      </c>
      <c r="R281" s="42">
        <f>IF(H281="",0,(IF(テーブル22[[#This Row],[性別]]="男",LOOKUP(テーブル22[[#This Row],[握力]],$AH$6:$AI$15),LOOKUP(テーブル22[[#This Row],[握力]],$AH$20:$AI$29))))</f>
        <v>0</v>
      </c>
      <c r="S281" s="42">
        <f>IF(テーブル22[[#This Row],[上体]]="",0,(IF(テーブル22[[#This Row],[性別]]="男",LOOKUP(テーブル22[[#This Row],[上体]],$AJ$6:$AK$15),LOOKUP(テーブル22[[#This Row],[上体]],$AJ$20:$AK$29))))</f>
        <v>0</v>
      </c>
      <c r="T281" s="42">
        <f>IF(テーブル22[[#This Row],[長座]]="",0,(IF(テーブル22[[#This Row],[性別]]="男",LOOKUP(テーブル22[[#This Row],[長座]],$AL$6:$AM$15),LOOKUP(テーブル22[[#This Row],[長座]],$AL$20:$AM$29))))</f>
        <v>0</v>
      </c>
      <c r="U281" s="42">
        <f>IF(テーブル22[[#This Row],[反復]]="",0,(IF(テーブル22[[#This Row],[性別]]="男",LOOKUP(テーブル22[[#This Row],[反復]],$AN$6:$AO$15),LOOKUP(テーブル22[[#This Row],[反復]],$AN$20:$AO$29))))</f>
        <v>0</v>
      </c>
      <c r="V281" s="42">
        <f>IF(テーブル22[[#This Row],[ｼｬﾄﾙﾗﾝ]]="",0,(IF(テーブル22[[#This Row],[性別]]="男",LOOKUP(テーブル22[[#This Row],[ｼｬﾄﾙﾗﾝ]],$AR$6:$AS$15),LOOKUP(テーブル22[[#This Row],[ｼｬﾄﾙﾗﾝ]],$AR$20:$AS$29))))</f>
        <v>0</v>
      </c>
      <c r="W281" s="42">
        <f>IF(テーブル22[[#This Row],[50m走]]="",0,(IF(テーブル22[[#This Row],[性別]]="男",LOOKUP(テーブル22[[#This Row],[50m走]],$AT$6:$AU$15),LOOKUP(テーブル22[[#This Row],[50m走]],$AT$20:$AU$29))))</f>
        <v>0</v>
      </c>
      <c r="X281" s="42">
        <f>IF(テーブル22[[#This Row],[立幅とび]]="",0,(IF(テーブル22[[#This Row],[性別]]="男",LOOKUP(テーブル22[[#This Row],[立幅とび]],$AV$6:$AW$15),LOOKUP(テーブル22[[#This Row],[立幅とび]],$AV$20:$AW$29))))</f>
        <v>0</v>
      </c>
      <c r="Y281" s="42">
        <f>IF(テーブル22[[#This Row],[ボール投げ]]="",0,(IF(テーブル22[[#This Row],[性別]]="男",LOOKUP(テーブル22[[#This Row],[ボール投げ]],$AX$6:$AY$15),LOOKUP(テーブル22[[#This Row],[ボール投げ]],$AX$20:$AY$29))))</f>
        <v>0</v>
      </c>
      <c r="Z281" s="19" t="str">
        <f>IF(テーブル22[[#This Row],[学年]]=1,6,IF(テーブル22[[#This Row],[学年]]=2,7,IF(テーブル22[[#This Row],[学年]]=3,8,IF(テーブル22[[#This Row],[学年]]=4,9,IF(テーブル22[[#This Row],[学年]]=5,10,IF(テーブル22[[#This Row],[学年]]=6,11," "))))))</f>
        <v xml:space="preserve"> </v>
      </c>
      <c r="AA281" s="125" t="str">
        <f>IF(テーブル22[[#This Row],[肥満度数値]]="","",LOOKUP(AC281,$AW$39:$AW$44,$AX$39:$AX$44))</f>
        <v/>
      </c>
      <c r="AB2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1" s="124" t="str">
        <f>IF(テーブル22[[#This Row],[体重]]="","",(テーブル22[[#This Row],[体重]]-テーブル22[[#This Row],[標準体重]])/テーブル22[[#This Row],[標準体重]]*100)</f>
        <v/>
      </c>
      <c r="AD281" s="1">
        <f>COUNTA(テーブル22[[#This Row],[握力]:[ボール投げ]])</f>
        <v>0</v>
      </c>
      <c r="AE281" s="1" t="str">
        <f>IF(テーブル22[[#This Row],[判定]]=$BD$10,"○","")</f>
        <v/>
      </c>
      <c r="AF281" s="1" t="str">
        <f>IF(AE281="","",COUNTIF($AE$6:AE281,"○"))</f>
        <v/>
      </c>
    </row>
    <row r="282" spans="1:32" x14ac:dyDescent="0.2">
      <c r="A282" s="40">
        <v>277</v>
      </c>
      <c r="B282" s="145"/>
      <c r="C282" s="148"/>
      <c r="D282" s="145"/>
      <c r="E282" s="156"/>
      <c r="F282" s="145"/>
      <c r="G282" s="145"/>
      <c r="H282" s="146"/>
      <c r="I282" s="146"/>
      <c r="J282" s="148"/>
      <c r="K282" s="145"/>
      <c r="L282" s="148"/>
      <c r="M282" s="149"/>
      <c r="N282" s="148"/>
      <c r="O282" s="150"/>
      <c r="P2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2" s="43" t="str">
        <f>IF(テーブル22[[#This Row],[得点]]="","",IF(テーブル22[[#This Row],[年齢]]&gt;10,LOOKUP(P282,$BG$6:$BG$10,$BD$6:$BD$10),IF(テーブル22[[#This Row],[年齢]]&gt;9,LOOKUP(P282,$BF$6:$BF$10,$BD$6:$BD$10),IF(テーブル22[[#This Row],[年齢]]&gt;8,LOOKUP(P282,$BE$6:$BE$10,$BD$6:$BD$10),IF(テーブル22[[#This Row],[年齢]]&gt;7,LOOKUP(P282,$BC$6:$BC$10,$BD$6:$BD$10),IF(テーブル22[[#This Row],[年齢]]&gt;6,LOOKUP(P282,$BB$6:$BB$10,$BD$6:$BD$10),LOOKUP(P282,$BA$6:$BA$10,$BD$6:$BD$10)))))))</f>
        <v/>
      </c>
      <c r="R282" s="42">
        <f>IF(H282="",0,(IF(テーブル22[[#This Row],[性別]]="男",LOOKUP(テーブル22[[#This Row],[握力]],$AH$6:$AI$15),LOOKUP(テーブル22[[#This Row],[握力]],$AH$20:$AI$29))))</f>
        <v>0</v>
      </c>
      <c r="S282" s="42">
        <f>IF(テーブル22[[#This Row],[上体]]="",0,(IF(テーブル22[[#This Row],[性別]]="男",LOOKUP(テーブル22[[#This Row],[上体]],$AJ$6:$AK$15),LOOKUP(テーブル22[[#This Row],[上体]],$AJ$20:$AK$29))))</f>
        <v>0</v>
      </c>
      <c r="T282" s="42">
        <f>IF(テーブル22[[#This Row],[長座]]="",0,(IF(テーブル22[[#This Row],[性別]]="男",LOOKUP(テーブル22[[#This Row],[長座]],$AL$6:$AM$15),LOOKUP(テーブル22[[#This Row],[長座]],$AL$20:$AM$29))))</f>
        <v>0</v>
      </c>
      <c r="U282" s="42">
        <f>IF(テーブル22[[#This Row],[反復]]="",0,(IF(テーブル22[[#This Row],[性別]]="男",LOOKUP(テーブル22[[#This Row],[反復]],$AN$6:$AO$15),LOOKUP(テーブル22[[#This Row],[反復]],$AN$20:$AO$29))))</f>
        <v>0</v>
      </c>
      <c r="V282" s="42">
        <f>IF(テーブル22[[#This Row],[ｼｬﾄﾙﾗﾝ]]="",0,(IF(テーブル22[[#This Row],[性別]]="男",LOOKUP(テーブル22[[#This Row],[ｼｬﾄﾙﾗﾝ]],$AR$6:$AS$15),LOOKUP(テーブル22[[#This Row],[ｼｬﾄﾙﾗﾝ]],$AR$20:$AS$29))))</f>
        <v>0</v>
      </c>
      <c r="W282" s="42">
        <f>IF(テーブル22[[#This Row],[50m走]]="",0,(IF(テーブル22[[#This Row],[性別]]="男",LOOKUP(テーブル22[[#This Row],[50m走]],$AT$6:$AU$15),LOOKUP(テーブル22[[#This Row],[50m走]],$AT$20:$AU$29))))</f>
        <v>0</v>
      </c>
      <c r="X282" s="42">
        <f>IF(テーブル22[[#This Row],[立幅とび]]="",0,(IF(テーブル22[[#This Row],[性別]]="男",LOOKUP(テーブル22[[#This Row],[立幅とび]],$AV$6:$AW$15),LOOKUP(テーブル22[[#This Row],[立幅とび]],$AV$20:$AW$29))))</f>
        <v>0</v>
      </c>
      <c r="Y282" s="42">
        <f>IF(テーブル22[[#This Row],[ボール投げ]]="",0,(IF(テーブル22[[#This Row],[性別]]="男",LOOKUP(テーブル22[[#This Row],[ボール投げ]],$AX$6:$AY$15),LOOKUP(テーブル22[[#This Row],[ボール投げ]],$AX$20:$AY$29))))</f>
        <v>0</v>
      </c>
      <c r="Z282" s="19" t="str">
        <f>IF(テーブル22[[#This Row],[学年]]=1,6,IF(テーブル22[[#This Row],[学年]]=2,7,IF(テーブル22[[#This Row],[学年]]=3,8,IF(テーブル22[[#This Row],[学年]]=4,9,IF(テーブル22[[#This Row],[学年]]=5,10,IF(テーブル22[[#This Row],[学年]]=6,11," "))))))</f>
        <v xml:space="preserve"> </v>
      </c>
      <c r="AA282" s="125" t="str">
        <f>IF(テーブル22[[#This Row],[肥満度数値]]="","",LOOKUP(AC282,$AW$39:$AW$44,$AX$39:$AX$44))</f>
        <v/>
      </c>
      <c r="AB2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2" s="124" t="str">
        <f>IF(テーブル22[[#This Row],[体重]]="","",(テーブル22[[#This Row],[体重]]-テーブル22[[#This Row],[標準体重]])/テーブル22[[#This Row],[標準体重]]*100)</f>
        <v/>
      </c>
      <c r="AD282" s="1">
        <f>COUNTA(テーブル22[[#This Row],[握力]:[ボール投げ]])</f>
        <v>0</v>
      </c>
      <c r="AE282" s="1" t="str">
        <f>IF(テーブル22[[#This Row],[判定]]=$BD$10,"○","")</f>
        <v/>
      </c>
      <c r="AF282" s="1" t="str">
        <f>IF(AE282="","",COUNTIF($AE$6:AE282,"○"))</f>
        <v/>
      </c>
    </row>
    <row r="283" spans="1:32" x14ac:dyDescent="0.2">
      <c r="A283" s="40">
        <v>278</v>
      </c>
      <c r="B283" s="145"/>
      <c r="C283" s="148"/>
      <c r="D283" s="145"/>
      <c r="E283" s="156"/>
      <c r="F283" s="145"/>
      <c r="G283" s="145"/>
      <c r="H283" s="146"/>
      <c r="I283" s="146"/>
      <c r="J283" s="148"/>
      <c r="K283" s="145"/>
      <c r="L283" s="148"/>
      <c r="M283" s="149"/>
      <c r="N283" s="148"/>
      <c r="O283" s="150"/>
      <c r="P2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3" s="43" t="str">
        <f>IF(テーブル22[[#This Row],[得点]]="","",IF(テーブル22[[#This Row],[年齢]]&gt;10,LOOKUP(P283,$BG$6:$BG$10,$BD$6:$BD$10),IF(テーブル22[[#This Row],[年齢]]&gt;9,LOOKUP(P283,$BF$6:$BF$10,$BD$6:$BD$10),IF(テーブル22[[#This Row],[年齢]]&gt;8,LOOKUP(P283,$BE$6:$BE$10,$BD$6:$BD$10),IF(テーブル22[[#This Row],[年齢]]&gt;7,LOOKUP(P283,$BC$6:$BC$10,$BD$6:$BD$10),IF(テーブル22[[#This Row],[年齢]]&gt;6,LOOKUP(P283,$BB$6:$BB$10,$BD$6:$BD$10),LOOKUP(P283,$BA$6:$BA$10,$BD$6:$BD$10)))))))</f>
        <v/>
      </c>
      <c r="R283" s="42">
        <f>IF(H283="",0,(IF(テーブル22[[#This Row],[性別]]="男",LOOKUP(テーブル22[[#This Row],[握力]],$AH$6:$AI$15),LOOKUP(テーブル22[[#This Row],[握力]],$AH$20:$AI$29))))</f>
        <v>0</v>
      </c>
      <c r="S283" s="42">
        <f>IF(テーブル22[[#This Row],[上体]]="",0,(IF(テーブル22[[#This Row],[性別]]="男",LOOKUP(テーブル22[[#This Row],[上体]],$AJ$6:$AK$15),LOOKUP(テーブル22[[#This Row],[上体]],$AJ$20:$AK$29))))</f>
        <v>0</v>
      </c>
      <c r="T283" s="42">
        <f>IF(テーブル22[[#This Row],[長座]]="",0,(IF(テーブル22[[#This Row],[性別]]="男",LOOKUP(テーブル22[[#This Row],[長座]],$AL$6:$AM$15),LOOKUP(テーブル22[[#This Row],[長座]],$AL$20:$AM$29))))</f>
        <v>0</v>
      </c>
      <c r="U283" s="42">
        <f>IF(テーブル22[[#This Row],[反復]]="",0,(IF(テーブル22[[#This Row],[性別]]="男",LOOKUP(テーブル22[[#This Row],[反復]],$AN$6:$AO$15),LOOKUP(テーブル22[[#This Row],[反復]],$AN$20:$AO$29))))</f>
        <v>0</v>
      </c>
      <c r="V283" s="42">
        <f>IF(テーブル22[[#This Row],[ｼｬﾄﾙﾗﾝ]]="",0,(IF(テーブル22[[#This Row],[性別]]="男",LOOKUP(テーブル22[[#This Row],[ｼｬﾄﾙﾗﾝ]],$AR$6:$AS$15),LOOKUP(テーブル22[[#This Row],[ｼｬﾄﾙﾗﾝ]],$AR$20:$AS$29))))</f>
        <v>0</v>
      </c>
      <c r="W283" s="42">
        <f>IF(テーブル22[[#This Row],[50m走]]="",0,(IF(テーブル22[[#This Row],[性別]]="男",LOOKUP(テーブル22[[#This Row],[50m走]],$AT$6:$AU$15),LOOKUP(テーブル22[[#This Row],[50m走]],$AT$20:$AU$29))))</f>
        <v>0</v>
      </c>
      <c r="X283" s="42">
        <f>IF(テーブル22[[#This Row],[立幅とび]]="",0,(IF(テーブル22[[#This Row],[性別]]="男",LOOKUP(テーブル22[[#This Row],[立幅とび]],$AV$6:$AW$15),LOOKUP(テーブル22[[#This Row],[立幅とび]],$AV$20:$AW$29))))</f>
        <v>0</v>
      </c>
      <c r="Y283" s="42">
        <f>IF(テーブル22[[#This Row],[ボール投げ]]="",0,(IF(テーブル22[[#This Row],[性別]]="男",LOOKUP(テーブル22[[#This Row],[ボール投げ]],$AX$6:$AY$15),LOOKUP(テーブル22[[#This Row],[ボール投げ]],$AX$20:$AY$29))))</f>
        <v>0</v>
      </c>
      <c r="Z283" s="19" t="str">
        <f>IF(テーブル22[[#This Row],[学年]]=1,6,IF(テーブル22[[#This Row],[学年]]=2,7,IF(テーブル22[[#This Row],[学年]]=3,8,IF(テーブル22[[#This Row],[学年]]=4,9,IF(テーブル22[[#This Row],[学年]]=5,10,IF(テーブル22[[#This Row],[学年]]=6,11," "))))))</f>
        <v xml:space="preserve"> </v>
      </c>
      <c r="AA283" s="125" t="str">
        <f>IF(テーブル22[[#This Row],[肥満度数値]]="","",LOOKUP(AC283,$AW$39:$AW$44,$AX$39:$AX$44))</f>
        <v/>
      </c>
      <c r="AB2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3" s="124" t="str">
        <f>IF(テーブル22[[#This Row],[体重]]="","",(テーブル22[[#This Row],[体重]]-テーブル22[[#This Row],[標準体重]])/テーブル22[[#This Row],[標準体重]]*100)</f>
        <v/>
      </c>
      <c r="AD283" s="1">
        <f>COUNTA(テーブル22[[#This Row],[握力]:[ボール投げ]])</f>
        <v>0</v>
      </c>
      <c r="AE283" s="1" t="str">
        <f>IF(テーブル22[[#This Row],[判定]]=$BD$10,"○","")</f>
        <v/>
      </c>
      <c r="AF283" s="1" t="str">
        <f>IF(AE283="","",COUNTIF($AE$6:AE283,"○"))</f>
        <v/>
      </c>
    </row>
    <row r="284" spans="1:32" x14ac:dyDescent="0.2">
      <c r="A284" s="40">
        <v>279</v>
      </c>
      <c r="B284" s="145"/>
      <c r="C284" s="148"/>
      <c r="D284" s="145"/>
      <c r="E284" s="156"/>
      <c r="F284" s="145"/>
      <c r="G284" s="145"/>
      <c r="H284" s="146"/>
      <c r="I284" s="146"/>
      <c r="J284" s="148"/>
      <c r="K284" s="145"/>
      <c r="L284" s="148"/>
      <c r="M284" s="149"/>
      <c r="N284" s="148"/>
      <c r="O284" s="150"/>
      <c r="P2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4" s="43" t="str">
        <f>IF(テーブル22[[#This Row],[得点]]="","",IF(テーブル22[[#This Row],[年齢]]&gt;10,LOOKUP(P284,$BG$6:$BG$10,$BD$6:$BD$10),IF(テーブル22[[#This Row],[年齢]]&gt;9,LOOKUP(P284,$BF$6:$BF$10,$BD$6:$BD$10),IF(テーブル22[[#This Row],[年齢]]&gt;8,LOOKUP(P284,$BE$6:$BE$10,$BD$6:$BD$10),IF(テーブル22[[#This Row],[年齢]]&gt;7,LOOKUP(P284,$BC$6:$BC$10,$BD$6:$BD$10),IF(テーブル22[[#This Row],[年齢]]&gt;6,LOOKUP(P284,$BB$6:$BB$10,$BD$6:$BD$10),LOOKUP(P284,$BA$6:$BA$10,$BD$6:$BD$10)))))))</f>
        <v/>
      </c>
      <c r="R284" s="42">
        <f>IF(H284="",0,(IF(テーブル22[[#This Row],[性別]]="男",LOOKUP(テーブル22[[#This Row],[握力]],$AH$6:$AI$15),LOOKUP(テーブル22[[#This Row],[握力]],$AH$20:$AI$29))))</f>
        <v>0</v>
      </c>
      <c r="S284" s="42">
        <f>IF(テーブル22[[#This Row],[上体]]="",0,(IF(テーブル22[[#This Row],[性別]]="男",LOOKUP(テーブル22[[#This Row],[上体]],$AJ$6:$AK$15),LOOKUP(テーブル22[[#This Row],[上体]],$AJ$20:$AK$29))))</f>
        <v>0</v>
      </c>
      <c r="T284" s="42">
        <f>IF(テーブル22[[#This Row],[長座]]="",0,(IF(テーブル22[[#This Row],[性別]]="男",LOOKUP(テーブル22[[#This Row],[長座]],$AL$6:$AM$15),LOOKUP(テーブル22[[#This Row],[長座]],$AL$20:$AM$29))))</f>
        <v>0</v>
      </c>
      <c r="U284" s="42">
        <f>IF(テーブル22[[#This Row],[反復]]="",0,(IF(テーブル22[[#This Row],[性別]]="男",LOOKUP(テーブル22[[#This Row],[反復]],$AN$6:$AO$15),LOOKUP(テーブル22[[#This Row],[反復]],$AN$20:$AO$29))))</f>
        <v>0</v>
      </c>
      <c r="V284" s="42">
        <f>IF(テーブル22[[#This Row],[ｼｬﾄﾙﾗﾝ]]="",0,(IF(テーブル22[[#This Row],[性別]]="男",LOOKUP(テーブル22[[#This Row],[ｼｬﾄﾙﾗﾝ]],$AR$6:$AS$15),LOOKUP(テーブル22[[#This Row],[ｼｬﾄﾙﾗﾝ]],$AR$20:$AS$29))))</f>
        <v>0</v>
      </c>
      <c r="W284" s="42">
        <f>IF(テーブル22[[#This Row],[50m走]]="",0,(IF(テーブル22[[#This Row],[性別]]="男",LOOKUP(テーブル22[[#This Row],[50m走]],$AT$6:$AU$15),LOOKUP(テーブル22[[#This Row],[50m走]],$AT$20:$AU$29))))</f>
        <v>0</v>
      </c>
      <c r="X284" s="42">
        <f>IF(テーブル22[[#This Row],[立幅とび]]="",0,(IF(テーブル22[[#This Row],[性別]]="男",LOOKUP(テーブル22[[#This Row],[立幅とび]],$AV$6:$AW$15),LOOKUP(テーブル22[[#This Row],[立幅とび]],$AV$20:$AW$29))))</f>
        <v>0</v>
      </c>
      <c r="Y284" s="42">
        <f>IF(テーブル22[[#This Row],[ボール投げ]]="",0,(IF(テーブル22[[#This Row],[性別]]="男",LOOKUP(テーブル22[[#This Row],[ボール投げ]],$AX$6:$AY$15),LOOKUP(テーブル22[[#This Row],[ボール投げ]],$AX$20:$AY$29))))</f>
        <v>0</v>
      </c>
      <c r="Z284" s="19" t="str">
        <f>IF(テーブル22[[#This Row],[学年]]=1,6,IF(テーブル22[[#This Row],[学年]]=2,7,IF(テーブル22[[#This Row],[学年]]=3,8,IF(テーブル22[[#This Row],[学年]]=4,9,IF(テーブル22[[#This Row],[学年]]=5,10,IF(テーブル22[[#This Row],[学年]]=6,11," "))))))</f>
        <v xml:space="preserve"> </v>
      </c>
      <c r="AA284" s="125" t="str">
        <f>IF(テーブル22[[#This Row],[肥満度数値]]="","",LOOKUP(AC284,$AW$39:$AW$44,$AX$39:$AX$44))</f>
        <v/>
      </c>
      <c r="AB2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4" s="124" t="str">
        <f>IF(テーブル22[[#This Row],[体重]]="","",(テーブル22[[#This Row],[体重]]-テーブル22[[#This Row],[標準体重]])/テーブル22[[#This Row],[標準体重]]*100)</f>
        <v/>
      </c>
      <c r="AD284" s="1">
        <f>COUNTA(テーブル22[[#This Row],[握力]:[ボール投げ]])</f>
        <v>0</v>
      </c>
      <c r="AE284" s="1" t="str">
        <f>IF(テーブル22[[#This Row],[判定]]=$BD$10,"○","")</f>
        <v/>
      </c>
      <c r="AF284" s="1" t="str">
        <f>IF(AE284="","",COUNTIF($AE$6:AE284,"○"))</f>
        <v/>
      </c>
    </row>
    <row r="285" spans="1:32" x14ac:dyDescent="0.2">
      <c r="A285" s="40">
        <v>280</v>
      </c>
      <c r="B285" s="145"/>
      <c r="C285" s="148"/>
      <c r="D285" s="145"/>
      <c r="E285" s="156"/>
      <c r="F285" s="145"/>
      <c r="G285" s="145"/>
      <c r="H285" s="146"/>
      <c r="I285" s="146"/>
      <c r="J285" s="148"/>
      <c r="K285" s="145"/>
      <c r="L285" s="148"/>
      <c r="M285" s="149"/>
      <c r="N285" s="148"/>
      <c r="O285" s="150"/>
      <c r="P2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5" s="43" t="str">
        <f>IF(テーブル22[[#This Row],[得点]]="","",IF(テーブル22[[#This Row],[年齢]]&gt;10,LOOKUP(P285,$BG$6:$BG$10,$BD$6:$BD$10),IF(テーブル22[[#This Row],[年齢]]&gt;9,LOOKUP(P285,$BF$6:$BF$10,$BD$6:$BD$10),IF(テーブル22[[#This Row],[年齢]]&gt;8,LOOKUP(P285,$BE$6:$BE$10,$BD$6:$BD$10),IF(テーブル22[[#This Row],[年齢]]&gt;7,LOOKUP(P285,$BC$6:$BC$10,$BD$6:$BD$10),IF(テーブル22[[#This Row],[年齢]]&gt;6,LOOKUP(P285,$BB$6:$BB$10,$BD$6:$BD$10),LOOKUP(P285,$BA$6:$BA$10,$BD$6:$BD$10)))))))</f>
        <v/>
      </c>
      <c r="R285" s="42">
        <f>IF(H285="",0,(IF(テーブル22[[#This Row],[性別]]="男",LOOKUP(テーブル22[[#This Row],[握力]],$AH$6:$AI$15),LOOKUP(テーブル22[[#This Row],[握力]],$AH$20:$AI$29))))</f>
        <v>0</v>
      </c>
      <c r="S285" s="42">
        <f>IF(テーブル22[[#This Row],[上体]]="",0,(IF(テーブル22[[#This Row],[性別]]="男",LOOKUP(テーブル22[[#This Row],[上体]],$AJ$6:$AK$15),LOOKUP(テーブル22[[#This Row],[上体]],$AJ$20:$AK$29))))</f>
        <v>0</v>
      </c>
      <c r="T285" s="42">
        <f>IF(テーブル22[[#This Row],[長座]]="",0,(IF(テーブル22[[#This Row],[性別]]="男",LOOKUP(テーブル22[[#This Row],[長座]],$AL$6:$AM$15),LOOKUP(テーブル22[[#This Row],[長座]],$AL$20:$AM$29))))</f>
        <v>0</v>
      </c>
      <c r="U285" s="42">
        <f>IF(テーブル22[[#This Row],[反復]]="",0,(IF(テーブル22[[#This Row],[性別]]="男",LOOKUP(テーブル22[[#This Row],[反復]],$AN$6:$AO$15),LOOKUP(テーブル22[[#This Row],[反復]],$AN$20:$AO$29))))</f>
        <v>0</v>
      </c>
      <c r="V285" s="42">
        <f>IF(テーブル22[[#This Row],[ｼｬﾄﾙﾗﾝ]]="",0,(IF(テーブル22[[#This Row],[性別]]="男",LOOKUP(テーブル22[[#This Row],[ｼｬﾄﾙﾗﾝ]],$AR$6:$AS$15),LOOKUP(テーブル22[[#This Row],[ｼｬﾄﾙﾗﾝ]],$AR$20:$AS$29))))</f>
        <v>0</v>
      </c>
      <c r="W285" s="42">
        <f>IF(テーブル22[[#This Row],[50m走]]="",0,(IF(テーブル22[[#This Row],[性別]]="男",LOOKUP(テーブル22[[#This Row],[50m走]],$AT$6:$AU$15),LOOKUP(テーブル22[[#This Row],[50m走]],$AT$20:$AU$29))))</f>
        <v>0</v>
      </c>
      <c r="X285" s="42">
        <f>IF(テーブル22[[#This Row],[立幅とび]]="",0,(IF(テーブル22[[#This Row],[性別]]="男",LOOKUP(テーブル22[[#This Row],[立幅とび]],$AV$6:$AW$15),LOOKUP(テーブル22[[#This Row],[立幅とび]],$AV$20:$AW$29))))</f>
        <v>0</v>
      </c>
      <c r="Y285" s="42">
        <f>IF(テーブル22[[#This Row],[ボール投げ]]="",0,(IF(テーブル22[[#This Row],[性別]]="男",LOOKUP(テーブル22[[#This Row],[ボール投げ]],$AX$6:$AY$15),LOOKUP(テーブル22[[#This Row],[ボール投げ]],$AX$20:$AY$29))))</f>
        <v>0</v>
      </c>
      <c r="Z285" s="19" t="str">
        <f>IF(テーブル22[[#This Row],[学年]]=1,6,IF(テーブル22[[#This Row],[学年]]=2,7,IF(テーブル22[[#This Row],[学年]]=3,8,IF(テーブル22[[#This Row],[学年]]=4,9,IF(テーブル22[[#This Row],[学年]]=5,10,IF(テーブル22[[#This Row],[学年]]=6,11," "))))))</f>
        <v xml:space="preserve"> </v>
      </c>
      <c r="AA285" s="125" t="str">
        <f>IF(テーブル22[[#This Row],[肥満度数値]]="","",LOOKUP(AC285,$AW$39:$AW$44,$AX$39:$AX$44))</f>
        <v/>
      </c>
      <c r="AB2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5" s="124" t="str">
        <f>IF(テーブル22[[#This Row],[体重]]="","",(テーブル22[[#This Row],[体重]]-テーブル22[[#This Row],[標準体重]])/テーブル22[[#This Row],[標準体重]]*100)</f>
        <v/>
      </c>
      <c r="AD285" s="1">
        <f>COUNTA(テーブル22[[#This Row],[握力]:[ボール投げ]])</f>
        <v>0</v>
      </c>
      <c r="AE285" s="1" t="str">
        <f>IF(テーブル22[[#This Row],[判定]]=$BD$10,"○","")</f>
        <v/>
      </c>
      <c r="AF285" s="1" t="str">
        <f>IF(AE285="","",COUNTIF($AE$6:AE285,"○"))</f>
        <v/>
      </c>
    </row>
    <row r="286" spans="1:32" x14ac:dyDescent="0.2">
      <c r="A286" s="40">
        <v>281</v>
      </c>
      <c r="B286" s="145"/>
      <c r="C286" s="148"/>
      <c r="D286" s="145"/>
      <c r="E286" s="156"/>
      <c r="F286" s="145"/>
      <c r="G286" s="145"/>
      <c r="H286" s="146"/>
      <c r="I286" s="146"/>
      <c r="J286" s="148"/>
      <c r="K286" s="145"/>
      <c r="L286" s="148"/>
      <c r="M286" s="149"/>
      <c r="N286" s="148"/>
      <c r="O286" s="150"/>
      <c r="P2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6" s="43" t="str">
        <f>IF(テーブル22[[#This Row],[得点]]="","",IF(テーブル22[[#This Row],[年齢]]&gt;10,LOOKUP(P286,$BG$6:$BG$10,$BD$6:$BD$10),IF(テーブル22[[#This Row],[年齢]]&gt;9,LOOKUP(P286,$BF$6:$BF$10,$BD$6:$BD$10),IF(テーブル22[[#This Row],[年齢]]&gt;8,LOOKUP(P286,$BE$6:$BE$10,$BD$6:$BD$10),IF(テーブル22[[#This Row],[年齢]]&gt;7,LOOKUP(P286,$BC$6:$BC$10,$BD$6:$BD$10),IF(テーブル22[[#This Row],[年齢]]&gt;6,LOOKUP(P286,$BB$6:$BB$10,$BD$6:$BD$10),LOOKUP(P286,$BA$6:$BA$10,$BD$6:$BD$10)))))))</f>
        <v/>
      </c>
      <c r="R286" s="42">
        <f>IF(H286="",0,(IF(テーブル22[[#This Row],[性別]]="男",LOOKUP(テーブル22[[#This Row],[握力]],$AH$6:$AI$15),LOOKUP(テーブル22[[#This Row],[握力]],$AH$20:$AI$29))))</f>
        <v>0</v>
      </c>
      <c r="S286" s="42">
        <f>IF(テーブル22[[#This Row],[上体]]="",0,(IF(テーブル22[[#This Row],[性別]]="男",LOOKUP(テーブル22[[#This Row],[上体]],$AJ$6:$AK$15),LOOKUP(テーブル22[[#This Row],[上体]],$AJ$20:$AK$29))))</f>
        <v>0</v>
      </c>
      <c r="T286" s="42">
        <f>IF(テーブル22[[#This Row],[長座]]="",0,(IF(テーブル22[[#This Row],[性別]]="男",LOOKUP(テーブル22[[#This Row],[長座]],$AL$6:$AM$15),LOOKUP(テーブル22[[#This Row],[長座]],$AL$20:$AM$29))))</f>
        <v>0</v>
      </c>
      <c r="U286" s="42">
        <f>IF(テーブル22[[#This Row],[反復]]="",0,(IF(テーブル22[[#This Row],[性別]]="男",LOOKUP(テーブル22[[#This Row],[反復]],$AN$6:$AO$15),LOOKUP(テーブル22[[#This Row],[反復]],$AN$20:$AO$29))))</f>
        <v>0</v>
      </c>
      <c r="V286" s="42">
        <f>IF(テーブル22[[#This Row],[ｼｬﾄﾙﾗﾝ]]="",0,(IF(テーブル22[[#This Row],[性別]]="男",LOOKUP(テーブル22[[#This Row],[ｼｬﾄﾙﾗﾝ]],$AR$6:$AS$15),LOOKUP(テーブル22[[#This Row],[ｼｬﾄﾙﾗﾝ]],$AR$20:$AS$29))))</f>
        <v>0</v>
      </c>
      <c r="W286" s="42">
        <f>IF(テーブル22[[#This Row],[50m走]]="",0,(IF(テーブル22[[#This Row],[性別]]="男",LOOKUP(テーブル22[[#This Row],[50m走]],$AT$6:$AU$15),LOOKUP(テーブル22[[#This Row],[50m走]],$AT$20:$AU$29))))</f>
        <v>0</v>
      </c>
      <c r="X286" s="42">
        <f>IF(テーブル22[[#This Row],[立幅とび]]="",0,(IF(テーブル22[[#This Row],[性別]]="男",LOOKUP(テーブル22[[#This Row],[立幅とび]],$AV$6:$AW$15),LOOKUP(テーブル22[[#This Row],[立幅とび]],$AV$20:$AW$29))))</f>
        <v>0</v>
      </c>
      <c r="Y286" s="42">
        <f>IF(テーブル22[[#This Row],[ボール投げ]]="",0,(IF(テーブル22[[#This Row],[性別]]="男",LOOKUP(テーブル22[[#This Row],[ボール投げ]],$AX$6:$AY$15),LOOKUP(テーブル22[[#This Row],[ボール投げ]],$AX$20:$AY$29))))</f>
        <v>0</v>
      </c>
      <c r="Z286" s="19" t="str">
        <f>IF(テーブル22[[#This Row],[学年]]=1,6,IF(テーブル22[[#This Row],[学年]]=2,7,IF(テーブル22[[#This Row],[学年]]=3,8,IF(テーブル22[[#This Row],[学年]]=4,9,IF(テーブル22[[#This Row],[学年]]=5,10,IF(テーブル22[[#This Row],[学年]]=6,11," "))))))</f>
        <v xml:space="preserve"> </v>
      </c>
      <c r="AA286" s="125" t="str">
        <f>IF(テーブル22[[#This Row],[肥満度数値]]="","",LOOKUP(AC286,$AW$39:$AW$44,$AX$39:$AX$44))</f>
        <v/>
      </c>
      <c r="AB2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6" s="124" t="str">
        <f>IF(テーブル22[[#This Row],[体重]]="","",(テーブル22[[#This Row],[体重]]-テーブル22[[#This Row],[標準体重]])/テーブル22[[#This Row],[標準体重]]*100)</f>
        <v/>
      </c>
      <c r="AD286" s="1">
        <f>COUNTA(テーブル22[[#This Row],[握力]:[ボール投げ]])</f>
        <v>0</v>
      </c>
      <c r="AE286" s="1" t="str">
        <f>IF(テーブル22[[#This Row],[判定]]=$BD$10,"○","")</f>
        <v/>
      </c>
      <c r="AF286" s="1" t="str">
        <f>IF(AE286="","",COUNTIF($AE$6:AE286,"○"))</f>
        <v/>
      </c>
    </row>
    <row r="287" spans="1:32" x14ac:dyDescent="0.2">
      <c r="A287" s="40">
        <v>282</v>
      </c>
      <c r="B287" s="145"/>
      <c r="C287" s="148"/>
      <c r="D287" s="145"/>
      <c r="E287" s="156"/>
      <c r="F287" s="145"/>
      <c r="G287" s="145"/>
      <c r="H287" s="146"/>
      <c r="I287" s="146"/>
      <c r="J287" s="148"/>
      <c r="K287" s="145"/>
      <c r="L287" s="148"/>
      <c r="M287" s="149"/>
      <c r="N287" s="148"/>
      <c r="O287" s="150"/>
      <c r="P2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7" s="43" t="str">
        <f>IF(テーブル22[[#This Row],[得点]]="","",IF(テーブル22[[#This Row],[年齢]]&gt;10,LOOKUP(P287,$BG$6:$BG$10,$BD$6:$BD$10),IF(テーブル22[[#This Row],[年齢]]&gt;9,LOOKUP(P287,$BF$6:$BF$10,$BD$6:$BD$10),IF(テーブル22[[#This Row],[年齢]]&gt;8,LOOKUP(P287,$BE$6:$BE$10,$BD$6:$BD$10),IF(テーブル22[[#This Row],[年齢]]&gt;7,LOOKUP(P287,$BC$6:$BC$10,$BD$6:$BD$10),IF(テーブル22[[#This Row],[年齢]]&gt;6,LOOKUP(P287,$BB$6:$BB$10,$BD$6:$BD$10),LOOKUP(P287,$BA$6:$BA$10,$BD$6:$BD$10)))))))</f>
        <v/>
      </c>
      <c r="R287" s="42">
        <f>IF(H287="",0,(IF(テーブル22[[#This Row],[性別]]="男",LOOKUP(テーブル22[[#This Row],[握力]],$AH$6:$AI$15),LOOKUP(テーブル22[[#This Row],[握力]],$AH$20:$AI$29))))</f>
        <v>0</v>
      </c>
      <c r="S287" s="42">
        <f>IF(テーブル22[[#This Row],[上体]]="",0,(IF(テーブル22[[#This Row],[性別]]="男",LOOKUP(テーブル22[[#This Row],[上体]],$AJ$6:$AK$15),LOOKUP(テーブル22[[#This Row],[上体]],$AJ$20:$AK$29))))</f>
        <v>0</v>
      </c>
      <c r="T287" s="42">
        <f>IF(テーブル22[[#This Row],[長座]]="",0,(IF(テーブル22[[#This Row],[性別]]="男",LOOKUP(テーブル22[[#This Row],[長座]],$AL$6:$AM$15),LOOKUP(テーブル22[[#This Row],[長座]],$AL$20:$AM$29))))</f>
        <v>0</v>
      </c>
      <c r="U287" s="42">
        <f>IF(テーブル22[[#This Row],[反復]]="",0,(IF(テーブル22[[#This Row],[性別]]="男",LOOKUP(テーブル22[[#This Row],[反復]],$AN$6:$AO$15),LOOKUP(テーブル22[[#This Row],[反復]],$AN$20:$AO$29))))</f>
        <v>0</v>
      </c>
      <c r="V287" s="42">
        <f>IF(テーブル22[[#This Row],[ｼｬﾄﾙﾗﾝ]]="",0,(IF(テーブル22[[#This Row],[性別]]="男",LOOKUP(テーブル22[[#This Row],[ｼｬﾄﾙﾗﾝ]],$AR$6:$AS$15),LOOKUP(テーブル22[[#This Row],[ｼｬﾄﾙﾗﾝ]],$AR$20:$AS$29))))</f>
        <v>0</v>
      </c>
      <c r="W287" s="42">
        <f>IF(テーブル22[[#This Row],[50m走]]="",0,(IF(テーブル22[[#This Row],[性別]]="男",LOOKUP(テーブル22[[#This Row],[50m走]],$AT$6:$AU$15),LOOKUP(テーブル22[[#This Row],[50m走]],$AT$20:$AU$29))))</f>
        <v>0</v>
      </c>
      <c r="X287" s="42">
        <f>IF(テーブル22[[#This Row],[立幅とび]]="",0,(IF(テーブル22[[#This Row],[性別]]="男",LOOKUP(テーブル22[[#This Row],[立幅とび]],$AV$6:$AW$15),LOOKUP(テーブル22[[#This Row],[立幅とび]],$AV$20:$AW$29))))</f>
        <v>0</v>
      </c>
      <c r="Y287" s="42">
        <f>IF(テーブル22[[#This Row],[ボール投げ]]="",0,(IF(テーブル22[[#This Row],[性別]]="男",LOOKUP(テーブル22[[#This Row],[ボール投げ]],$AX$6:$AY$15),LOOKUP(テーブル22[[#This Row],[ボール投げ]],$AX$20:$AY$29))))</f>
        <v>0</v>
      </c>
      <c r="Z287" s="19" t="str">
        <f>IF(テーブル22[[#This Row],[学年]]=1,6,IF(テーブル22[[#This Row],[学年]]=2,7,IF(テーブル22[[#This Row],[学年]]=3,8,IF(テーブル22[[#This Row],[学年]]=4,9,IF(テーブル22[[#This Row],[学年]]=5,10,IF(テーブル22[[#This Row],[学年]]=6,11," "))))))</f>
        <v xml:space="preserve"> </v>
      </c>
      <c r="AA287" s="125" t="str">
        <f>IF(テーブル22[[#This Row],[肥満度数値]]="","",LOOKUP(AC287,$AW$39:$AW$44,$AX$39:$AX$44))</f>
        <v/>
      </c>
      <c r="AB2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7" s="124" t="str">
        <f>IF(テーブル22[[#This Row],[体重]]="","",(テーブル22[[#This Row],[体重]]-テーブル22[[#This Row],[標準体重]])/テーブル22[[#This Row],[標準体重]]*100)</f>
        <v/>
      </c>
      <c r="AD287" s="1">
        <f>COUNTA(テーブル22[[#This Row],[握力]:[ボール投げ]])</f>
        <v>0</v>
      </c>
      <c r="AE287" s="1" t="str">
        <f>IF(テーブル22[[#This Row],[判定]]=$BD$10,"○","")</f>
        <v/>
      </c>
      <c r="AF287" s="1" t="str">
        <f>IF(AE287="","",COUNTIF($AE$6:AE287,"○"))</f>
        <v/>
      </c>
    </row>
    <row r="288" spans="1:32" x14ac:dyDescent="0.2">
      <c r="A288" s="40">
        <v>283</v>
      </c>
      <c r="B288" s="145"/>
      <c r="C288" s="148"/>
      <c r="D288" s="145"/>
      <c r="E288" s="156"/>
      <c r="F288" s="145"/>
      <c r="G288" s="145"/>
      <c r="H288" s="146"/>
      <c r="I288" s="146"/>
      <c r="J288" s="148"/>
      <c r="K288" s="145"/>
      <c r="L288" s="148"/>
      <c r="M288" s="149"/>
      <c r="N288" s="148"/>
      <c r="O288" s="150"/>
      <c r="P2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8" s="43" t="str">
        <f>IF(テーブル22[[#This Row],[得点]]="","",IF(テーブル22[[#This Row],[年齢]]&gt;10,LOOKUP(P288,$BG$6:$BG$10,$BD$6:$BD$10),IF(テーブル22[[#This Row],[年齢]]&gt;9,LOOKUP(P288,$BF$6:$BF$10,$BD$6:$BD$10),IF(テーブル22[[#This Row],[年齢]]&gt;8,LOOKUP(P288,$BE$6:$BE$10,$BD$6:$BD$10),IF(テーブル22[[#This Row],[年齢]]&gt;7,LOOKUP(P288,$BC$6:$BC$10,$BD$6:$BD$10),IF(テーブル22[[#This Row],[年齢]]&gt;6,LOOKUP(P288,$BB$6:$BB$10,$BD$6:$BD$10),LOOKUP(P288,$BA$6:$BA$10,$BD$6:$BD$10)))))))</f>
        <v/>
      </c>
      <c r="R288" s="42">
        <f>IF(H288="",0,(IF(テーブル22[[#This Row],[性別]]="男",LOOKUP(テーブル22[[#This Row],[握力]],$AH$6:$AI$15),LOOKUP(テーブル22[[#This Row],[握力]],$AH$20:$AI$29))))</f>
        <v>0</v>
      </c>
      <c r="S288" s="42">
        <f>IF(テーブル22[[#This Row],[上体]]="",0,(IF(テーブル22[[#This Row],[性別]]="男",LOOKUP(テーブル22[[#This Row],[上体]],$AJ$6:$AK$15),LOOKUP(テーブル22[[#This Row],[上体]],$AJ$20:$AK$29))))</f>
        <v>0</v>
      </c>
      <c r="T288" s="42">
        <f>IF(テーブル22[[#This Row],[長座]]="",0,(IF(テーブル22[[#This Row],[性別]]="男",LOOKUP(テーブル22[[#This Row],[長座]],$AL$6:$AM$15),LOOKUP(テーブル22[[#This Row],[長座]],$AL$20:$AM$29))))</f>
        <v>0</v>
      </c>
      <c r="U288" s="42">
        <f>IF(テーブル22[[#This Row],[反復]]="",0,(IF(テーブル22[[#This Row],[性別]]="男",LOOKUP(テーブル22[[#This Row],[反復]],$AN$6:$AO$15),LOOKUP(テーブル22[[#This Row],[反復]],$AN$20:$AO$29))))</f>
        <v>0</v>
      </c>
      <c r="V288" s="42">
        <f>IF(テーブル22[[#This Row],[ｼｬﾄﾙﾗﾝ]]="",0,(IF(テーブル22[[#This Row],[性別]]="男",LOOKUP(テーブル22[[#This Row],[ｼｬﾄﾙﾗﾝ]],$AR$6:$AS$15),LOOKUP(テーブル22[[#This Row],[ｼｬﾄﾙﾗﾝ]],$AR$20:$AS$29))))</f>
        <v>0</v>
      </c>
      <c r="W288" s="42">
        <f>IF(テーブル22[[#This Row],[50m走]]="",0,(IF(テーブル22[[#This Row],[性別]]="男",LOOKUP(テーブル22[[#This Row],[50m走]],$AT$6:$AU$15),LOOKUP(テーブル22[[#This Row],[50m走]],$AT$20:$AU$29))))</f>
        <v>0</v>
      </c>
      <c r="X288" s="42">
        <f>IF(テーブル22[[#This Row],[立幅とび]]="",0,(IF(テーブル22[[#This Row],[性別]]="男",LOOKUP(テーブル22[[#This Row],[立幅とび]],$AV$6:$AW$15),LOOKUP(テーブル22[[#This Row],[立幅とび]],$AV$20:$AW$29))))</f>
        <v>0</v>
      </c>
      <c r="Y288" s="42">
        <f>IF(テーブル22[[#This Row],[ボール投げ]]="",0,(IF(テーブル22[[#This Row],[性別]]="男",LOOKUP(テーブル22[[#This Row],[ボール投げ]],$AX$6:$AY$15),LOOKUP(テーブル22[[#This Row],[ボール投げ]],$AX$20:$AY$29))))</f>
        <v>0</v>
      </c>
      <c r="Z288" s="19" t="str">
        <f>IF(テーブル22[[#This Row],[学年]]=1,6,IF(テーブル22[[#This Row],[学年]]=2,7,IF(テーブル22[[#This Row],[学年]]=3,8,IF(テーブル22[[#This Row],[学年]]=4,9,IF(テーブル22[[#This Row],[学年]]=5,10,IF(テーブル22[[#This Row],[学年]]=6,11," "))))))</f>
        <v xml:space="preserve"> </v>
      </c>
      <c r="AA288" s="125" t="str">
        <f>IF(テーブル22[[#This Row],[肥満度数値]]="","",LOOKUP(AC288,$AW$39:$AW$44,$AX$39:$AX$44))</f>
        <v/>
      </c>
      <c r="AB2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8" s="124" t="str">
        <f>IF(テーブル22[[#This Row],[体重]]="","",(テーブル22[[#This Row],[体重]]-テーブル22[[#This Row],[標準体重]])/テーブル22[[#This Row],[標準体重]]*100)</f>
        <v/>
      </c>
      <c r="AD288" s="1">
        <f>COUNTA(テーブル22[[#This Row],[握力]:[ボール投げ]])</f>
        <v>0</v>
      </c>
      <c r="AE288" s="1" t="str">
        <f>IF(テーブル22[[#This Row],[判定]]=$BD$10,"○","")</f>
        <v/>
      </c>
      <c r="AF288" s="1" t="str">
        <f>IF(AE288="","",COUNTIF($AE$6:AE288,"○"))</f>
        <v/>
      </c>
    </row>
    <row r="289" spans="1:32" x14ac:dyDescent="0.2">
      <c r="A289" s="40">
        <v>284</v>
      </c>
      <c r="B289" s="145"/>
      <c r="C289" s="148"/>
      <c r="D289" s="145"/>
      <c r="E289" s="156"/>
      <c r="F289" s="145"/>
      <c r="G289" s="145"/>
      <c r="H289" s="146"/>
      <c r="I289" s="146"/>
      <c r="J289" s="148"/>
      <c r="K289" s="145"/>
      <c r="L289" s="148"/>
      <c r="M289" s="149"/>
      <c r="N289" s="148"/>
      <c r="O289" s="150"/>
      <c r="P2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89" s="43" t="str">
        <f>IF(テーブル22[[#This Row],[得点]]="","",IF(テーブル22[[#This Row],[年齢]]&gt;10,LOOKUP(P289,$BG$6:$BG$10,$BD$6:$BD$10),IF(テーブル22[[#This Row],[年齢]]&gt;9,LOOKUP(P289,$BF$6:$BF$10,$BD$6:$BD$10),IF(テーブル22[[#This Row],[年齢]]&gt;8,LOOKUP(P289,$BE$6:$BE$10,$BD$6:$BD$10),IF(テーブル22[[#This Row],[年齢]]&gt;7,LOOKUP(P289,$BC$6:$BC$10,$BD$6:$BD$10),IF(テーブル22[[#This Row],[年齢]]&gt;6,LOOKUP(P289,$BB$6:$BB$10,$BD$6:$BD$10),LOOKUP(P289,$BA$6:$BA$10,$BD$6:$BD$10)))))))</f>
        <v/>
      </c>
      <c r="R289" s="42">
        <f>IF(H289="",0,(IF(テーブル22[[#This Row],[性別]]="男",LOOKUP(テーブル22[[#This Row],[握力]],$AH$6:$AI$15),LOOKUP(テーブル22[[#This Row],[握力]],$AH$20:$AI$29))))</f>
        <v>0</v>
      </c>
      <c r="S289" s="42">
        <f>IF(テーブル22[[#This Row],[上体]]="",0,(IF(テーブル22[[#This Row],[性別]]="男",LOOKUP(テーブル22[[#This Row],[上体]],$AJ$6:$AK$15),LOOKUP(テーブル22[[#This Row],[上体]],$AJ$20:$AK$29))))</f>
        <v>0</v>
      </c>
      <c r="T289" s="42">
        <f>IF(テーブル22[[#This Row],[長座]]="",0,(IF(テーブル22[[#This Row],[性別]]="男",LOOKUP(テーブル22[[#This Row],[長座]],$AL$6:$AM$15),LOOKUP(テーブル22[[#This Row],[長座]],$AL$20:$AM$29))))</f>
        <v>0</v>
      </c>
      <c r="U289" s="42">
        <f>IF(テーブル22[[#This Row],[反復]]="",0,(IF(テーブル22[[#This Row],[性別]]="男",LOOKUP(テーブル22[[#This Row],[反復]],$AN$6:$AO$15),LOOKUP(テーブル22[[#This Row],[反復]],$AN$20:$AO$29))))</f>
        <v>0</v>
      </c>
      <c r="V289" s="42">
        <f>IF(テーブル22[[#This Row],[ｼｬﾄﾙﾗﾝ]]="",0,(IF(テーブル22[[#This Row],[性別]]="男",LOOKUP(テーブル22[[#This Row],[ｼｬﾄﾙﾗﾝ]],$AR$6:$AS$15),LOOKUP(テーブル22[[#This Row],[ｼｬﾄﾙﾗﾝ]],$AR$20:$AS$29))))</f>
        <v>0</v>
      </c>
      <c r="W289" s="42">
        <f>IF(テーブル22[[#This Row],[50m走]]="",0,(IF(テーブル22[[#This Row],[性別]]="男",LOOKUP(テーブル22[[#This Row],[50m走]],$AT$6:$AU$15),LOOKUP(テーブル22[[#This Row],[50m走]],$AT$20:$AU$29))))</f>
        <v>0</v>
      </c>
      <c r="X289" s="42">
        <f>IF(テーブル22[[#This Row],[立幅とび]]="",0,(IF(テーブル22[[#This Row],[性別]]="男",LOOKUP(テーブル22[[#This Row],[立幅とび]],$AV$6:$AW$15),LOOKUP(テーブル22[[#This Row],[立幅とび]],$AV$20:$AW$29))))</f>
        <v>0</v>
      </c>
      <c r="Y289" s="42">
        <f>IF(テーブル22[[#This Row],[ボール投げ]]="",0,(IF(テーブル22[[#This Row],[性別]]="男",LOOKUP(テーブル22[[#This Row],[ボール投げ]],$AX$6:$AY$15),LOOKUP(テーブル22[[#This Row],[ボール投げ]],$AX$20:$AY$29))))</f>
        <v>0</v>
      </c>
      <c r="Z289" s="19" t="str">
        <f>IF(テーブル22[[#This Row],[学年]]=1,6,IF(テーブル22[[#This Row],[学年]]=2,7,IF(テーブル22[[#This Row],[学年]]=3,8,IF(テーブル22[[#This Row],[学年]]=4,9,IF(テーブル22[[#This Row],[学年]]=5,10,IF(テーブル22[[#This Row],[学年]]=6,11," "))))))</f>
        <v xml:space="preserve"> </v>
      </c>
      <c r="AA289" s="125" t="str">
        <f>IF(テーブル22[[#This Row],[肥満度数値]]="","",LOOKUP(AC289,$AW$39:$AW$44,$AX$39:$AX$44))</f>
        <v/>
      </c>
      <c r="AB2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89" s="124" t="str">
        <f>IF(テーブル22[[#This Row],[体重]]="","",(テーブル22[[#This Row],[体重]]-テーブル22[[#This Row],[標準体重]])/テーブル22[[#This Row],[標準体重]]*100)</f>
        <v/>
      </c>
      <c r="AD289" s="1">
        <f>COUNTA(テーブル22[[#This Row],[握力]:[ボール投げ]])</f>
        <v>0</v>
      </c>
      <c r="AE289" s="1" t="str">
        <f>IF(テーブル22[[#This Row],[判定]]=$BD$10,"○","")</f>
        <v/>
      </c>
      <c r="AF289" s="1" t="str">
        <f>IF(AE289="","",COUNTIF($AE$6:AE289,"○"))</f>
        <v/>
      </c>
    </row>
    <row r="290" spans="1:32" x14ac:dyDescent="0.2">
      <c r="A290" s="40">
        <v>285</v>
      </c>
      <c r="B290" s="145"/>
      <c r="C290" s="148"/>
      <c r="D290" s="145"/>
      <c r="E290" s="156"/>
      <c r="F290" s="145"/>
      <c r="G290" s="145"/>
      <c r="H290" s="146"/>
      <c r="I290" s="146"/>
      <c r="J290" s="148"/>
      <c r="K290" s="145"/>
      <c r="L290" s="148"/>
      <c r="M290" s="149"/>
      <c r="N290" s="148"/>
      <c r="O290" s="150"/>
      <c r="P2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0" s="43" t="str">
        <f>IF(テーブル22[[#This Row],[得点]]="","",IF(テーブル22[[#This Row],[年齢]]&gt;10,LOOKUP(P290,$BG$6:$BG$10,$BD$6:$BD$10),IF(テーブル22[[#This Row],[年齢]]&gt;9,LOOKUP(P290,$BF$6:$BF$10,$BD$6:$BD$10),IF(テーブル22[[#This Row],[年齢]]&gt;8,LOOKUP(P290,$BE$6:$BE$10,$BD$6:$BD$10),IF(テーブル22[[#This Row],[年齢]]&gt;7,LOOKUP(P290,$BC$6:$BC$10,$BD$6:$BD$10),IF(テーブル22[[#This Row],[年齢]]&gt;6,LOOKUP(P290,$BB$6:$BB$10,$BD$6:$BD$10),LOOKUP(P290,$BA$6:$BA$10,$BD$6:$BD$10)))))))</f>
        <v/>
      </c>
      <c r="R290" s="42">
        <f>IF(H290="",0,(IF(テーブル22[[#This Row],[性別]]="男",LOOKUP(テーブル22[[#This Row],[握力]],$AH$6:$AI$15),LOOKUP(テーブル22[[#This Row],[握力]],$AH$20:$AI$29))))</f>
        <v>0</v>
      </c>
      <c r="S290" s="42">
        <f>IF(テーブル22[[#This Row],[上体]]="",0,(IF(テーブル22[[#This Row],[性別]]="男",LOOKUP(テーブル22[[#This Row],[上体]],$AJ$6:$AK$15),LOOKUP(テーブル22[[#This Row],[上体]],$AJ$20:$AK$29))))</f>
        <v>0</v>
      </c>
      <c r="T290" s="42">
        <f>IF(テーブル22[[#This Row],[長座]]="",0,(IF(テーブル22[[#This Row],[性別]]="男",LOOKUP(テーブル22[[#This Row],[長座]],$AL$6:$AM$15),LOOKUP(テーブル22[[#This Row],[長座]],$AL$20:$AM$29))))</f>
        <v>0</v>
      </c>
      <c r="U290" s="42">
        <f>IF(テーブル22[[#This Row],[反復]]="",0,(IF(テーブル22[[#This Row],[性別]]="男",LOOKUP(テーブル22[[#This Row],[反復]],$AN$6:$AO$15),LOOKUP(テーブル22[[#This Row],[反復]],$AN$20:$AO$29))))</f>
        <v>0</v>
      </c>
      <c r="V290" s="42">
        <f>IF(テーブル22[[#This Row],[ｼｬﾄﾙﾗﾝ]]="",0,(IF(テーブル22[[#This Row],[性別]]="男",LOOKUP(テーブル22[[#This Row],[ｼｬﾄﾙﾗﾝ]],$AR$6:$AS$15),LOOKUP(テーブル22[[#This Row],[ｼｬﾄﾙﾗﾝ]],$AR$20:$AS$29))))</f>
        <v>0</v>
      </c>
      <c r="W290" s="42">
        <f>IF(テーブル22[[#This Row],[50m走]]="",0,(IF(テーブル22[[#This Row],[性別]]="男",LOOKUP(テーブル22[[#This Row],[50m走]],$AT$6:$AU$15),LOOKUP(テーブル22[[#This Row],[50m走]],$AT$20:$AU$29))))</f>
        <v>0</v>
      </c>
      <c r="X290" s="42">
        <f>IF(テーブル22[[#This Row],[立幅とび]]="",0,(IF(テーブル22[[#This Row],[性別]]="男",LOOKUP(テーブル22[[#This Row],[立幅とび]],$AV$6:$AW$15),LOOKUP(テーブル22[[#This Row],[立幅とび]],$AV$20:$AW$29))))</f>
        <v>0</v>
      </c>
      <c r="Y290" s="42">
        <f>IF(テーブル22[[#This Row],[ボール投げ]]="",0,(IF(テーブル22[[#This Row],[性別]]="男",LOOKUP(テーブル22[[#This Row],[ボール投げ]],$AX$6:$AY$15),LOOKUP(テーブル22[[#This Row],[ボール投げ]],$AX$20:$AY$29))))</f>
        <v>0</v>
      </c>
      <c r="Z290" s="19" t="str">
        <f>IF(テーブル22[[#This Row],[学年]]=1,6,IF(テーブル22[[#This Row],[学年]]=2,7,IF(テーブル22[[#This Row],[学年]]=3,8,IF(テーブル22[[#This Row],[学年]]=4,9,IF(テーブル22[[#This Row],[学年]]=5,10,IF(テーブル22[[#This Row],[学年]]=6,11," "))))))</f>
        <v xml:space="preserve"> </v>
      </c>
      <c r="AA290" s="125" t="str">
        <f>IF(テーブル22[[#This Row],[肥満度数値]]="","",LOOKUP(AC290,$AW$39:$AW$44,$AX$39:$AX$44))</f>
        <v/>
      </c>
      <c r="AB2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0" s="124" t="str">
        <f>IF(テーブル22[[#This Row],[体重]]="","",(テーブル22[[#This Row],[体重]]-テーブル22[[#This Row],[標準体重]])/テーブル22[[#This Row],[標準体重]]*100)</f>
        <v/>
      </c>
      <c r="AD290" s="1">
        <f>COUNTA(テーブル22[[#This Row],[握力]:[ボール投げ]])</f>
        <v>0</v>
      </c>
      <c r="AE290" s="1" t="str">
        <f>IF(テーブル22[[#This Row],[判定]]=$BD$10,"○","")</f>
        <v/>
      </c>
      <c r="AF290" s="1" t="str">
        <f>IF(AE290="","",COUNTIF($AE$6:AE290,"○"))</f>
        <v/>
      </c>
    </row>
    <row r="291" spans="1:32" x14ac:dyDescent="0.2">
      <c r="A291" s="40">
        <v>286</v>
      </c>
      <c r="B291" s="145"/>
      <c r="C291" s="148"/>
      <c r="D291" s="145"/>
      <c r="E291" s="156"/>
      <c r="F291" s="145"/>
      <c r="G291" s="145"/>
      <c r="H291" s="146"/>
      <c r="I291" s="146"/>
      <c r="J291" s="148"/>
      <c r="K291" s="145"/>
      <c r="L291" s="148"/>
      <c r="M291" s="149"/>
      <c r="N291" s="148"/>
      <c r="O291" s="150"/>
      <c r="P2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1" s="43" t="str">
        <f>IF(テーブル22[[#This Row],[得点]]="","",IF(テーブル22[[#This Row],[年齢]]&gt;10,LOOKUP(P291,$BG$6:$BG$10,$BD$6:$BD$10),IF(テーブル22[[#This Row],[年齢]]&gt;9,LOOKUP(P291,$BF$6:$BF$10,$BD$6:$BD$10),IF(テーブル22[[#This Row],[年齢]]&gt;8,LOOKUP(P291,$BE$6:$BE$10,$BD$6:$BD$10),IF(テーブル22[[#This Row],[年齢]]&gt;7,LOOKUP(P291,$BC$6:$BC$10,$BD$6:$BD$10),IF(テーブル22[[#This Row],[年齢]]&gt;6,LOOKUP(P291,$BB$6:$BB$10,$BD$6:$BD$10),LOOKUP(P291,$BA$6:$BA$10,$BD$6:$BD$10)))))))</f>
        <v/>
      </c>
      <c r="R291" s="42">
        <f>IF(H291="",0,(IF(テーブル22[[#This Row],[性別]]="男",LOOKUP(テーブル22[[#This Row],[握力]],$AH$6:$AI$15),LOOKUP(テーブル22[[#This Row],[握力]],$AH$20:$AI$29))))</f>
        <v>0</v>
      </c>
      <c r="S291" s="42">
        <f>IF(テーブル22[[#This Row],[上体]]="",0,(IF(テーブル22[[#This Row],[性別]]="男",LOOKUP(テーブル22[[#This Row],[上体]],$AJ$6:$AK$15),LOOKUP(テーブル22[[#This Row],[上体]],$AJ$20:$AK$29))))</f>
        <v>0</v>
      </c>
      <c r="T291" s="42">
        <f>IF(テーブル22[[#This Row],[長座]]="",0,(IF(テーブル22[[#This Row],[性別]]="男",LOOKUP(テーブル22[[#This Row],[長座]],$AL$6:$AM$15),LOOKUP(テーブル22[[#This Row],[長座]],$AL$20:$AM$29))))</f>
        <v>0</v>
      </c>
      <c r="U291" s="42">
        <f>IF(テーブル22[[#This Row],[反復]]="",0,(IF(テーブル22[[#This Row],[性別]]="男",LOOKUP(テーブル22[[#This Row],[反復]],$AN$6:$AO$15),LOOKUP(テーブル22[[#This Row],[反復]],$AN$20:$AO$29))))</f>
        <v>0</v>
      </c>
      <c r="V291" s="42">
        <f>IF(テーブル22[[#This Row],[ｼｬﾄﾙﾗﾝ]]="",0,(IF(テーブル22[[#This Row],[性別]]="男",LOOKUP(テーブル22[[#This Row],[ｼｬﾄﾙﾗﾝ]],$AR$6:$AS$15),LOOKUP(テーブル22[[#This Row],[ｼｬﾄﾙﾗﾝ]],$AR$20:$AS$29))))</f>
        <v>0</v>
      </c>
      <c r="W291" s="42">
        <f>IF(テーブル22[[#This Row],[50m走]]="",0,(IF(テーブル22[[#This Row],[性別]]="男",LOOKUP(テーブル22[[#This Row],[50m走]],$AT$6:$AU$15),LOOKUP(テーブル22[[#This Row],[50m走]],$AT$20:$AU$29))))</f>
        <v>0</v>
      </c>
      <c r="X291" s="42">
        <f>IF(テーブル22[[#This Row],[立幅とび]]="",0,(IF(テーブル22[[#This Row],[性別]]="男",LOOKUP(テーブル22[[#This Row],[立幅とび]],$AV$6:$AW$15),LOOKUP(テーブル22[[#This Row],[立幅とび]],$AV$20:$AW$29))))</f>
        <v>0</v>
      </c>
      <c r="Y291" s="42">
        <f>IF(テーブル22[[#This Row],[ボール投げ]]="",0,(IF(テーブル22[[#This Row],[性別]]="男",LOOKUP(テーブル22[[#This Row],[ボール投げ]],$AX$6:$AY$15),LOOKUP(テーブル22[[#This Row],[ボール投げ]],$AX$20:$AY$29))))</f>
        <v>0</v>
      </c>
      <c r="Z291" s="19" t="str">
        <f>IF(テーブル22[[#This Row],[学年]]=1,6,IF(テーブル22[[#This Row],[学年]]=2,7,IF(テーブル22[[#This Row],[学年]]=3,8,IF(テーブル22[[#This Row],[学年]]=4,9,IF(テーブル22[[#This Row],[学年]]=5,10,IF(テーブル22[[#This Row],[学年]]=6,11," "))))))</f>
        <v xml:space="preserve"> </v>
      </c>
      <c r="AA291" s="125" t="str">
        <f>IF(テーブル22[[#This Row],[肥満度数値]]="","",LOOKUP(AC291,$AW$39:$AW$44,$AX$39:$AX$44))</f>
        <v/>
      </c>
      <c r="AB2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1" s="124" t="str">
        <f>IF(テーブル22[[#This Row],[体重]]="","",(テーブル22[[#This Row],[体重]]-テーブル22[[#This Row],[標準体重]])/テーブル22[[#This Row],[標準体重]]*100)</f>
        <v/>
      </c>
      <c r="AD291" s="1">
        <f>COUNTA(テーブル22[[#This Row],[握力]:[ボール投げ]])</f>
        <v>0</v>
      </c>
      <c r="AE291" s="1" t="str">
        <f>IF(テーブル22[[#This Row],[判定]]=$BD$10,"○","")</f>
        <v/>
      </c>
      <c r="AF291" s="1" t="str">
        <f>IF(AE291="","",COUNTIF($AE$6:AE291,"○"))</f>
        <v/>
      </c>
    </row>
    <row r="292" spans="1:32" x14ac:dyDescent="0.2">
      <c r="A292" s="40">
        <v>287</v>
      </c>
      <c r="B292" s="145"/>
      <c r="C292" s="148"/>
      <c r="D292" s="145"/>
      <c r="E292" s="156"/>
      <c r="F292" s="145"/>
      <c r="G292" s="145"/>
      <c r="H292" s="146"/>
      <c r="I292" s="146"/>
      <c r="J292" s="148"/>
      <c r="K292" s="145"/>
      <c r="L292" s="148"/>
      <c r="M292" s="149"/>
      <c r="N292" s="148"/>
      <c r="O292" s="150"/>
      <c r="P2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2" s="43" t="str">
        <f>IF(テーブル22[[#This Row],[得点]]="","",IF(テーブル22[[#This Row],[年齢]]&gt;10,LOOKUP(P292,$BG$6:$BG$10,$BD$6:$BD$10),IF(テーブル22[[#This Row],[年齢]]&gt;9,LOOKUP(P292,$BF$6:$BF$10,$BD$6:$BD$10),IF(テーブル22[[#This Row],[年齢]]&gt;8,LOOKUP(P292,$BE$6:$BE$10,$BD$6:$BD$10),IF(テーブル22[[#This Row],[年齢]]&gt;7,LOOKUP(P292,$BC$6:$BC$10,$BD$6:$BD$10),IF(テーブル22[[#This Row],[年齢]]&gt;6,LOOKUP(P292,$BB$6:$BB$10,$BD$6:$BD$10),LOOKUP(P292,$BA$6:$BA$10,$BD$6:$BD$10)))))))</f>
        <v/>
      </c>
      <c r="R292" s="42">
        <f>IF(H292="",0,(IF(テーブル22[[#This Row],[性別]]="男",LOOKUP(テーブル22[[#This Row],[握力]],$AH$6:$AI$15),LOOKUP(テーブル22[[#This Row],[握力]],$AH$20:$AI$29))))</f>
        <v>0</v>
      </c>
      <c r="S292" s="42">
        <f>IF(テーブル22[[#This Row],[上体]]="",0,(IF(テーブル22[[#This Row],[性別]]="男",LOOKUP(テーブル22[[#This Row],[上体]],$AJ$6:$AK$15),LOOKUP(テーブル22[[#This Row],[上体]],$AJ$20:$AK$29))))</f>
        <v>0</v>
      </c>
      <c r="T292" s="42">
        <f>IF(テーブル22[[#This Row],[長座]]="",0,(IF(テーブル22[[#This Row],[性別]]="男",LOOKUP(テーブル22[[#This Row],[長座]],$AL$6:$AM$15),LOOKUP(テーブル22[[#This Row],[長座]],$AL$20:$AM$29))))</f>
        <v>0</v>
      </c>
      <c r="U292" s="42">
        <f>IF(テーブル22[[#This Row],[反復]]="",0,(IF(テーブル22[[#This Row],[性別]]="男",LOOKUP(テーブル22[[#This Row],[反復]],$AN$6:$AO$15),LOOKUP(テーブル22[[#This Row],[反復]],$AN$20:$AO$29))))</f>
        <v>0</v>
      </c>
      <c r="V292" s="42">
        <f>IF(テーブル22[[#This Row],[ｼｬﾄﾙﾗﾝ]]="",0,(IF(テーブル22[[#This Row],[性別]]="男",LOOKUP(テーブル22[[#This Row],[ｼｬﾄﾙﾗﾝ]],$AR$6:$AS$15),LOOKUP(テーブル22[[#This Row],[ｼｬﾄﾙﾗﾝ]],$AR$20:$AS$29))))</f>
        <v>0</v>
      </c>
      <c r="W292" s="42">
        <f>IF(テーブル22[[#This Row],[50m走]]="",0,(IF(テーブル22[[#This Row],[性別]]="男",LOOKUP(テーブル22[[#This Row],[50m走]],$AT$6:$AU$15),LOOKUP(テーブル22[[#This Row],[50m走]],$AT$20:$AU$29))))</f>
        <v>0</v>
      </c>
      <c r="X292" s="42">
        <f>IF(テーブル22[[#This Row],[立幅とび]]="",0,(IF(テーブル22[[#This Row],[性別]]="男",LOOKUP(テーブル22[[#This Row],[立幅とび]],$AV$6:$AW$15),LOOKUP(テーブル22[[#This Row],[立幅とび]],$AV$20:$AW$29))))</f>
        <v>0</v>
      </c>
      <c r="Y292" s="42">
        <f>IF(テーブル22[[#This Row],[ボール投げ]]="",0,(IF(テーブル22[[#This Row],[性別]]="男",LOOKUP(テーブル22[[#This Row],[ボール投げ]],$AX$6:$AY$15),LOOKUP(テーブル22[[#This Row],[ボール投げ]],$AX$20:$AY$29))))</f>
        <v>0</v>
      </c>
      <c r="Z292" s="19" t="str">
        <f>IF(テーブル22[[#This Row],[学年]]=1,6,IF(テーブル22[[#This Row],[学年]]=2,7,IF(テーブル22[[#This Row],[学年]]=3,8,IF(テーブル22[[#This Row],[学年]]=4,9,IF(テーブル22[[#This Row],[学年]]=5,10,IF(テーブル22[[#This Row],[学年]]=6,11," "))))))</f>
        <v xml:space="preserve"> </v>
      </c>
      <c r="AA292" s="125" t="str">
        <f>IF(テーブル22[[#This Row],[肥満度数値]]="","",LOOKUP(AC292,$AW$39:$AW$44,$AX$39:$AX$44))</f>
        <v/>
      </c>
      <c r="AB2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2" s="124" t="str">
        <f>IF(テーブル22[[#This Row],[体重]]="","",(テーブル22[[#This Row],[体重]]-テーブル22[[#This Row],[標準体重]])/テーブル22[[#This Row],[標準体重]]*100)</f>
        <v/>
      </c>
      <c r="AD292" s="1">
        <f>COUNTA(テーブル22[[#This Row],[握力]:[ボール投げ]])</f>
        <v>0</v>
      </c>
      <c r="AE292" s="1" t="str">
        <f>IF(テーブル22[[#This Row],[判定]]=$BD$10,"○","")</f>
        <v/>
      </c>
      <c r="AF292" s="1" t="str">
        <f>IF(AE292="","",COUNTIF($AE$6:AE292,"○"))</f>
        <v/>
      </c>
    </row>
    <row r="293" spans="1:32" x14ac:dyDescent="0.2">
      <c r="A293" s="40">
        <v>288</v>
      </c>
      <c r="B293" s="145"/>
      <c r="C293" s="148"/>
      <c r="D293" s="145"/>
      <c r="E293" s="156"/>
      <c r="F293" s="145"/>
      <c r="G293" s="145"/>
      <c r="H293" s="146"/>
      <c r="I293" s="146"/>
      <c r="J293" s="148"/>
      <c r="K293" s="145"/>
      <c r="L293" s="148"/>
      <c r="M293" s="149"/>
      <c r="N293" s="148"/>
      <c r="O293" s="150"/>
      <c r="P2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3" s="43" t="str">
        <f>IF(テーブル22[[#This Row],[得点]]="","",IF(テーブル22[[#This Row],[年齢]]&gt;10,LOOKUP(P293,$BG$6:$BG$10,$BD$6:$BD$10),IF(テーブル22[[#This Row],[年齢]]&gt;9,LOOKUP(P293,$BF$6:$BF$10,$BD$6:$BD$10),IF(テーブル22[[#This Row],[年齢]]&gt;8,LOOKUP(P293,$BE$6:$BE$10,$BD$6:$BD$10),IF(テーブル22[[#This Row],[年齢]]&gt;7,LOOKUP(P293,$BC$6:$BC$10,$BD$6:$BD$10),IF(テーブル22[[#This Row],[年齢]]&gt;6,LOOKUP(P293,$BB$6:$BB$10,$BD$6:$BD$10),LOOKUP(P293,$BA$6:$BA$10,$BD$6:$BD$10)))))))</f>
        <v/>
      </c>
      <c r="R293" s="42">
        <f>IF(H293="",0,(IF(テーブル22[[#This Row],[性別]]="男",LOOKUP(テーブル22[[#This Row],[握力]],$AH$6:$AI$15),LOOKUP(テーブル22[[#This Row],[握力]],$AH$20:$AI$29))))</f>
        <v>0</v>
      </c>
      <c r="S293" s="42">
        <f>IF(テーブル22[[#This Row],[上体]]="",0,(IF(テーブル22[[#This Row],[性別]]="男",LOOKUP(テーブル22[[#This Row],[上体]],$AJ$6:$AK$15),LOOKUP(テーブル22[[#This Row],[上体]],$AJ$20:$AK$29))))</f>
        <v>0</v>
      </c>
      <c r="T293" s="42">
        <f>IF(テーブル22[[#This Row],[長座]]="",0,(IF(テーブル22[[#This Row],[性別]]="男",LOOKUP(テーブル22[[#This Row],[長座]],$AL$6:$AM$15),LOOKUP(テーブル22[[#This Row],[長座]],$AL$20:$AM$29))))</f>
        <v>0</v>
      </c>
      <c r="U293" s="42">
        <f>IF(テーブル22[[#This Row],[反復]]="",0,(IF(テーブル22[[#This Row],[性別]]="男",LOOKUP(テーブル22[[#This Row],[反復]],$AN$6:$AO$15),LOOKUP(テーブル22[[#This Row],[反復]],$AN$20:$AO$29))))</f>
        <v>0</v>
      </c>
      <c r="V293" s="42">
        <f>IF(テーブル22[[#This Row],[ｼｬﾄﾙﾗﾝ]]="",0,(IF(テーブル22[[#This Row],[性別]]="男",LOOKUP(テーブル22[[#This Row],[ｼｬﾄﾙﾗﾝ]],$AR$6:$AS$15),LOOKUP(テーブル22[[#This Row],[ｼｬﾄﾙﾗﾝ]],$AR$20:$AS$29))))</f>
        <v>0</v>
      </c>
      <c r="W293" s="42">
        <f>IF(テーブル22[[#This Row],[50m走]]="",0,(IF(テーブル22[[#This Row],[性別]]="男",LOOKUP(テーブル22[[#This Row],[50m走]],$AT$6:$AU$15),LOOKUP(テーブル22[[#This Row],[50m走]],$AT$20:$AU$29))))</f>
        <v>0</v>
      </c>
      <c r="X293" s="42">
        <f>IF(テーブル22[[#This Row],[立幅とび]]="",0,(IF(テーブル22[[#This Row],[性別]]="男",LOOKUP(テーブル22[[#This Row],[立幅とび]],$AV$6:$AW$15),LOOKUP(テーブル22[[#This Row],[立幅とび]],$AV$20:$AW$29))))</f>
        <v>0</v>
      </c>
      <c r="Y293" s="42">
        <f>IF(テーブル22[[#This Row],[ボール投げ]]="",0,(IF(テーブル22[[#This Row],[性別]]="男",LOOKUP(テーブル22[[#This Row],[ボール投げ]],$AX$6:$AY$15),LOOKUP(テーブル22[[#This Row],[ボール投げ]],$AX$20:$AY$29))))</f>
        <v>0</v>
      </c>
      <c r="Z293" s="19" t="str">
        <f>IF(テーブル22[[#This Row],[学年]]=1,6,IF(テーブル22[[#This Row],[学年]]=2,7,IF(テーブル22[[#This Row],[学年]]=3,8,IF(テーブル22[[#This Row],[学年]]=4,9,IF(テーブル22[[#This Row],[学年]]=5,10,IF(テーブル22[[#This Row],[学年]]=6,11," "))))))</f>
        <v xml:space="preserve"> </v>
      </c>
      <c r="AA293" s="125" t="str">
        <f>IF(テーブル22[[#This Row],[肥満度数値]]="","",LOOKUP(AC293,$AW$39:$AW$44,$AX$39:$AX$44))</f>
        <v/>
      </c>
      <c r="AB2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3" s="124" t="str">
        <f>IF(テーブル22[[#This Row],[体重]]="","",(テーブル22[[#This Row],[体重]]-テーブル22[[#This Row],[標準体重]])/テーブル22[[#This Row],[標準体重]]*100)</f>
        <v/>
      </c>
      <c r="AD293" s="1">
        <f>COUNTA(テーブル22[[#This Row],[握力]:[ボール投げ]])</f>
        <v>0</v>
      </c>
      <c r="AE293" s="1" t="str">
        <f>IF(テーブル22[[#This Row],[判定]]=$BD$10,"○","")</f>
        <v/>
      </c>
      <c r="AF293" s="1" t="str">
        <f>IF(AE293="","",COUNTIF($AE$6:AE293,"○"))</f>
        <v/>
      </c>
    </row>
    <row r="294" spans="1:32" x14ac:dyDescent="0.2">
      <c r="A294" s="40">
        <v>289</v>
      </c>
      <c r="B294" s="145"/>
      <c r="C294" s="148"/>
      <c r="D294" s="145"/>
      <c r="E294" s="156"/>
      <c r="F294" s="145"/>
      <c r="G294" s="145"/>
      <c r="H294" s="146"/>
      <c r="I294" s="146"/>
      <c r="J294" s="148"/>
      <c r="K294" s="145"/>
      <c r="L294" s="148"/>
      <c r="M294" s="149"/>
      <c r="N294" s="148"/>
      <c r="O294" s="150"/>
      <c r="P2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4" s="43" t="str">
        <f>IF(テーブル22[[#This Row],[得点]]="","",IF(テーブル22[[#This Row],[年齢]]&gt;10,LOOKUP(P294,$BG$6:$BG$10,$BD$6:$BD$10),IF(テーブル22[[#This Row],[年齢]]&gt;9,LOOKUP(P294,$BF$6:$BF$10,$BD$6:$BD$10),IF(テーブル22[[#This Row],[年齢]]&gt;8,LOOKUP(P294,$BE$6:$BE$10,$BD$6:$BD$10),IF(テーブル22[[#This Row],[年齢]]&gt;7,LOOKUP(P294,$BC$6:$BC$10,$BD$6:$BD$10),IF(テーブル22[[#This Row],[年齢]]&gt;6,LOOKUP(P294,$BB$6:$BB$10,$BD$6:$BD$10),LOOKUP(P294,$BA$6:$BA$10,$BD$6:$BD$10)))))))</f>
        <v/>
      </c>
      <c r="R294" s="42">
        <f>IF(H294="",0,(IF(テーブル22[[#This Row],[性別]]="男",LOOKUP(テーブル22[[#This Row],[握力]],$AH$6:$AI$15),LOOKUP(テーブル22[[#This Row],[握力]],$AH$20:$AI$29))))</f>
        <v>0</v>
      </c>
      <c r="S294" s="42">
        <f>IF(テーブル22[[#This Row],[上体]]="",0,(IF(テーブル22[[#This Row],[性別]]="男",LOOKUP(テーブル22[[#This Row],[上体]],$AJ$6:$AK$15),LOOKUP(テーブル22[[#This Row],[上体]],$AJ$20:$AK$29))))</f>
        <v>0</v>
      </c>
      <c r="T294" s="42">
        <f>IF(テーブル22[[#This Row],[長座]]="",0,(IF(テーブル22[[#This Row],[性別]]="男",LOOKUP(テーブル22[[#This Row],[長座]],$AL$6:$AM$15),LOOKUP(テーブル22[[#This Row],[長座]],$AL$20:$AM$29))))</f>
        <v>0</v>
      </c>
      <c r="U294" s="42">
        <f>IF(テーブル22[[#This Row],[反復]]="",0,(IF(テーブル22[[#This Row],[性別]]="男",LOOKUP(テーブル22[[#This Row],[反復]],$AN$6:$AO$15),LOOKUP(テーブル22[[#This Row],[反復]],$AN$20:$AO$29))))</f>
        <v>0</v>
      </c>
      <c r="V294" s="42">
        <f>IF(テーブル22[[#This Row],[ｼｬﾄﾙﾗﾝ]]="",0,(IF(テーブル22[[#This Row],[性別]]="男",LOOKUP(テーブル22[[#This Row],[ｼｬﾄﾙﾗﾝ]],$AR$6:$AS$15),LOOKUP(テーブル22[[#This Row],[ｼｬﾄﾙﾗﾝ]],$AR$20:$AS$29))))</f>
        <v>0</v>
      </c>
      <c r="W294" s="42">
        <f>IF(テーブル22[[#This Row],[50m走]]="",0,(IF(テーブル22[[#This Row],[性別]]="男",LOOKUP(テーブル22[[#This Row],[50m走]],$AT$6:$AU$15),LOOKUP(テーブル22[[#This Row],[50m走]],$AT$20:$AU$29))))</f>
        <v>0</v>
      </c>
      <c r="X294" s="42">
        <f>IF(テーブル22[[#This Row],[立幅とび]]="",0,(IF(テーブル22[[#This Row],[性別]]="男",LOOKUP(テーブル22[[#This Row],[立幅とび]],$AV$6:$AW$15),LOOKUP(テーブル22[[#This Row],[立幅とび]],$AV$20:$AW$29))))</f>
        <v>0</v>
      </c>
      <c r="Y294" s="42">
        <f>IF(テーブル22[[#This Row],[ボール投げ]]="",0,(IF(テーブル22[[#This Row],[性別]]="男",LOOKUP(テーブル22[[#This Row],[ボール投げ]],$AX$6:$AY$15),LOOKUP(テーブル22[[#This Row],[ボール投げ]],$AX$20:$AY$29))))</f>
        <v>0</v>
      </c>
      <c r="Z294" s="19" t="str">
        <f>IF(テーブル22[[#This Row],[学年]]=1,6,IF(テーブル22[[#This Row],[学年]]=2,7,IF(テーブル22[[#This Row],[学年]]=3,8,IF(テーブル22[[#This Row],[学年]]=4,9,IF(テーブル22[[#This Row],[学年]]=5,10,IF(テーブル22[[#This Row],[学年]]=6,11," "))))))</f>
        <v xml:space="preserve"> </v>
      </c>
      <c r="AA294" s="125" t="str">
        <f>IF(テーブル22[[#This Row],[肥満度数値]]="","",LOOKUP(AC294,$AW$39:$AW$44,$AX$39:$AX$44))</f>
        <v/>
      </c>
      <c r="AB2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4" s="124" t="str">
        <f>IF(テーブル22[[#This Row],[体重]]="","",(テーブル22[[#This Row],[体重]]-テーブル22[[#This Row],[標準体重]])/テーブル22[[#This Row],[標準体重]]*100)</f>
        <v/>
      </c>
      <c r="AD294" s="1">
        <f>COUNTA(テーブル22[[#This Row],[握力]:[ボール投げ]])</f>
        <v>0</v>
      </c>
      <c r="AE294" s="1" t="str">
        <f>IF(テーブル22[[#This Row],[判定]]=$BD$10,"○","")</f>
        <v/>
      </c>
      <c r="AF294" s="1" t="str">
        <f>IF(AE294="","",COUNTIF($AE$6:AE294,"○"))</f>
        <v/>
      </c>
    </row>
    <row r="295" spans="1:32" x14ac:dyDescent="0.2">
      <c r="A295" s="40">
        <v>290</v>
      </c>
      <c r="B295" s="145"/>
      <c r="C295" s="148"/>
      <c r="D295" s="145"/>
      <c r="E295" s="156"/>
      <c r="F295" s="145"/>
      <c r="G295" s="145"/>
      <c r="H295" s="146"/>
      <c r="I295" s="146"/>
      <c r="J295" s="148"/>
      <c r="K295" s="145"/>
      <c r="L295" s="148"/>
      <c r="M295" s="149"/>
      <c r="N295" s="148"/>
      <c r="O295" s="150"/>
      <c r="P2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5" s="43" t="str">
        <f>IF(テーブル22[[#This Row],[得点]]="","",IF(テーブル22[[#This Row],[年齢]]&gt;10,LOOKUP(P295,$BG$6:$BG$10,$BD$6:$BD$10),IF(テーブル22[[#This Row],[年齢]]&gt;9,LOOKUP(P295,$BF$6:$BF$10,$BD$6:$BD$10),IF(テーブル22[[#This Row],[年齢]]&gt;8,LOOKUP(P295,$BE$6:$BE$10,$BD$6:$BD$10),IF(テーブル22[[#This Row],[年齢]]&gt;7,LOOKUP(P295,$BC$6:$BC$10,$BD$6:$BD$10),IF(テーブル22[[#This Row],[年齢]]&gt;6,LOOKUP(P295,$BB$6:$BB$10,$BD$6:$BD$10),LOOKUP(P295,$BA$6:$BA$10,$BD$6:$BD$10)))))))</f>
        <v/>
      </c>
      <c r="R295" s="42">
        <f>IF(H295="",0,(IF(テーブル22[[#This Row],[性別]]="男",LOOKUP(テーブル22[[#This Row],[握力]],$AH$6:$AI$15),LOOKUP(テーブル22[[#This Row],[握力]],$AH$20:$AI$29))))</f>
        <v>0</v>
      </c>
      <c r="S295" s="42">
        <f>IF(テーブル22[[#This Row],[上体]]="",0,(IF(テーブル22[[#This Row],[性別]]="男",LOOKUP(テーブル22[[#This Row],[上体]],$AJ$6:$AK$15),LOOKUP(テーブル22[[#This Row],[上体]],$AJ$20:$AK$29))))</f>
        <v>0</v>
      </c>
      <c r="T295" s="42">
        <f>IF(テーブル22[[#This Row],[長座]]="",0,(IF(テーブル22[[#This Row],[性別]]="男",LOOKUP(テーブル22[[#This Row],[長座]],$AL$6:$AM$15),LOOKUP(テーブル22[[#This Row],[長座]],$AL$20:$AM$29))))</f>
        <v>0</v>
      </c>
      <c r="U295" s="42">
        <f>IF(テーブル22[[#This Row],[反復]]="",0,(IF(テーブル22[[#This Row],[性別]]="男",LOOKUP(テーブル22[[#This Row],[反復]],$AN$6:$AO$15),LOOKUP(テーブル22[[#This Row],[反復]],$AN$20:$AO$29))))</f>
        <v>0</v>
      </c>
      <c r="V295" s="42">
        <f>IF(テーブル22[[#This Row],[ｼｬﾄﾙﾗﾝ]]="",0,(IF(テーブル22[[#This Row],[性別]]="男",LOOKUP(テーブル22[[#This Row],[ｼｬﾄﾙﾗﾝ]],$AR$6:$AS$15),LOOKUP(テーブル22[[#This Row],[ｼｬﾄﾙﾗﾝ]],$AR$20:$AS$29))))</f>
        <v>0</v>
      </c>
      <c r="W295" s="42">
        <f>IF(テーブル22[[#This Row],[50m走]]="",0,(IF(テーブル22[[#This Row],[性別]]="男",LOOKUP(テーブル22[[#This Row],[50m走]],$AT$6:$AU$15),LOOKUP(テーブル22[[#This Row],[50m走]],$AT$20:$AU$29))))</f>
        <v>0</v>
      </c>
      <c r="X295" s="42">
        <f>IF(テーブル22[[#This Row],[立幅とび]]="",0,(IF(テーブル22[[#This Row],[性別]]="男",LOOKUP(テーブル22[[#This Row],[立幅とび]],$AV$6:$AW$15),LOOKUP(テーブル22[[#This Row],[立幅とび]],$AV$20:$AW$29))))</f>
        <v>0</v>
      </c>
      <c r="Y295" s="42">
        <f>IF(テーブル22[[#This Row],[ボール投げ]]="",0,(IF(テーブル22[[#This Row],[性別]]="男",LOOKUP(テーブル22[[#This Row],[ボール投げ]],$AX$6:$AY$15),LOOKUP(テーブル22[[#This Row],[ボール投げ]],$AX$20:$AY$29))))</f>
        <v>0</v>
      </c>
      <c r="Z295" s="19" t="str">
        <f>IF(テーブル22[[#This Row],[学年]]=1,6,IF(テーブル22[[#This Row],[学年]]=2,7,IF(テーブル22[[#This Row],[学年]]=3,8,IF(テーブル22[[#This Row],[学年]]=4,9,IF(テーブル22[[#This Row],[学年]]=5,10,IF(テーブル22[[#This Row],[学年]]=6,11," "))))))</f>
        <v xml:space="preserve"> </v>
      </c>
      <c r="AA295" s="125" t="str">
        <f>IF(テーブル22[[#This Row],[肥満度数値]]="","",LOOKUP(AC295,$AW$39:$AW$44,$AX$39:$AX$44))</f>
        <v/>
      </c>
      <c r="AB2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5" s="124" t="str">
        <f>IF(テーブル22[[#This Row],[体重]]="","",(テーブル22[[#This Row],[体重]]-テーブル22[[#This Row],[標準体重]])/テーブル22[[#This Row],[標準体重]]*100)</f>
        <v/>
      </c>
      <c r="AD295" s="1">
        <f>COUNTA(テーブル22[[#This Row],[握力]:[ボール投げ]])</f>
        <v>0</v>
      </c>
      <c r="AE295" s="1" t="str">
        <f>IF(テーブル22[[#This Row],[判定]]=$BD$10,"○","")</f>
        <v/>
      </c>
      <c r="AF295" s="1" t="str">
        <f>IF(AE295="","",COUNTIF($AE$6:AE295,"○"))</f>
        <v/>
      </c>
    </row>
    <row r="296" spans="1:32" x14ac:dyDescent="0.2">
      <c r="A296" s="40">
        <v>291</v>
      </c>
      <c r="B296" s="145"/>
      <c r="C296" s="148"/>
      <c r="D296" s="145"/>
      <c r="E296" s="156"/>
      <c r="F296" s="145"/>
      <c r="G296" s="145"/>
      <c r="H296" s="146"/>
      <c r="I296" s="146"/>
      <c r="J296" s="148"/>
      <c r="K296" s="145"/>
      <c r="L296" s="148"/>
      <c r="M296" s="149"/>
      <c r="N296" s="148"/>
      <c r="O296" s="150"/>
      <c r="P2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6" s="43" t="str">
        <f>IF(テーブル22[[#This Row],[得点]]="","",IF(テーブル22[[#This Row],[年齢]]&gt;10,LOOKUP(P296,$BG$6:$BG$10,$BD$6:$BD$10),IF(テーブル22[[#This Row],[年齢]]&gt;9,LOOKUP(P296,$BF$6:$BF$10,$BD$6:$BD$10),IF(テーブル22[[#This Row],[年齢]]&gt;8,LOOKUP(P296,$BE$6:$BE$10,$BD$6:$BD$10),IF(テーブル22[[#This Row],[年齢]]&gt;7,LOOKUP(P296,$BC$6:$BC$10,$BD$6:$BD$10),IF(テーブル22[[#This Row],[年齢]]&gt;6,LOOKUP(P296,$BB$6:$BB$10,$BD$6:$BD$10),LOOKUP(P296,$BA$6:$BA$10,$BD$6:$BD$10)))))))</f>
        <v/>
      </c>
      <c r="R296" s="42">
        <f>IF(H296="",0,(IF(テーブル22[[#This Row],[性別]]="男",LOOKUP(テーブル22[[#This Row],[握力]],$AH$6:$AI$15),LOOKUP(テーブル22[[#This Row],[握力]],$AH$20:$AI$29))))</f>
        <v>0</v>
      </c>
      <c r="S296" s="42">
        <f>IF(テーブル22[[#This Row],[上体]]="",0,(IF(テーブル22[[#This Row],[性別]]="男",LOOKUP(テーブル22[[#This Row],[上体]],$AJ$6:$AK$15),LOOKUP(テーブル22[[#This Row],[上体]],$AJ$20:$AK$29))))</f>
        <v>0</v>
      </c>
      <c r="T296" s="42">
        <f>IF(テーブル22[[#This Row],[長座]]="",0,(IF(テーブル22[[#This Row],[性別]]="男",LOOKUP(テーブル22[[#This Row],[長座]],$AL$6:$AM$15),LOOKUP(テーブル22[[#This Row],[長座]],$AL$20:$AM$29))))</f>
        <v>0</v>
      </c>
      <c r="U296" s="42">
        <f>IF(テーブル22[[#This Row],[反復]]="",0,(IF(テーブル22[[#This Row],[性別]]="男",LOOKUP(テーブル22[[#This Row],[反復]],$AN$6:$AO$15),LOOKUP(テーブル22[[#This Row],[反復]],$AN$20:$AO$29))))</f>
        <v>0</v>
      </c>
      <c r="V296" s="42">
        <f>IF(テーブル22[[#This Row],[ｼｬﾄﾙﾗﾝ]]="",0,(IF(テーブル22[[#This Row],[性別]]="男",LOOKUP(テーブル22[[#This Row],[ｼｬﾄﾙﾗﾝ]],$AR$6:$AS$15),LOOKUP(テーブル22[[#This Row],[ｼｬﾄﾙﾗﾝ]],$AR$20:$AS$29))))</f>
        <v>0</v>
      </c>
      <c r="W296" s="42">
        <f>IF(テーブル22[[#This Row],[50m走]]="",0,(IF(テーブル22[[#This Row],[性別]]="男",LOOKUP(テーブル22[[#This Row],[50m走]],$AT$6:$AU$15),LOOKUP(テーブル22[[#This Row],[50m走]],$AT$20:$AU$29))))</f>
        <v>0</v>
      </c>
      <c r="X296" s="42">
        <f>IF(テーブル22[[#This Row],[立幅とび]]="",0,(IF(テーブル22[[#This Row],[性別]]="男",LOOKUP(テーブル22[[#This Row],[立幅とび]],$AV$6:$AW$15),LOOKUP(テーブル22[[#This Row],[立幅とび]],$AV$20:$AW$29))))</f>
        <v>0</v>
      </c>
      <c r="Y296" s="42">
        <f>IF(テーブル22[[#This Row],[ボール投げ]]="",0,(IF(テーブル22[[#This Row],[性別]]="男",LOOKUP(テーブル22[[#This Row],[ボール投げ]],$AX$6:$AY$15),LOOKUP(テーブル22[[#This Row],[ボール投げ]],$AX$20:$AY$29))))</f>
        <v>0</v>
      </c>
      <c r="Z296" s="19" t="str">
        <f>IF(テーブル22[[#This Row],[学年]]=1,6,IF(テーブル22[[#This Row],[学年]]=2,7,IF(テーブル22[[#This Row],[学年]]=3,8,IF(テーブル22[[#This Row],[学年]]=4,9,IF(テーブル22[[#This Row],[学年]]=5,10,IF(テーブル22[[#This Row],[学年]]=6,11," "))))))</f>
        <v xml:space="preserve"> </v>
      </c>
      <c r="AA296" s="125" t="str">
        <f>IF(テーブル22[[#This Row],[肥満度数値]]="","",LOOKUP(AC296,$AW$39:$AW$44,$AX$39:$AX$44))</f>
        <v/>
      </c>
      <c r="AB2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6" s="124" t="str">
        <f>IF(テーブル22[[#This Row],[体重]]="","",(テーブル22[[#This Row],[体重]]-テーブル22[[#This Row],[標準体重]])/テーブル22[[#This Row],[標準体重]]*100)</f>
        <v/>
      </c>
      <c r="AD296" s="1">
        <f>COUNTA(テーブル22[[#This Row],[握力]:[ボール投げ]])</f>
        <v>0</v>
      </c>
      <c r="AE296" s="1" t="str">
        <f>IF(テーブル22[[#This Row],[判定]]=$BD$10,"○","")</f>
        <v/>
      </c>
      <c r="AF296" s="1" t="str">
        <f>IF(AE296="","",COUNTIF($AE$6:AE296,"○"))</f>
        <v/>
      </c>
    </row>
    <row r="297" spans="1:32" x14ac:dyDescent="0.2">
      <c r="A297" s="40">
        <v>292</v>
      </c>
      <c r="B297" s="145"/>
      <c r="C297" s="148"/>
      <c r="D297" s="145"/>
      <c r="E297" s="156"/>
      <c r="F297" s="145"/>
      <c r="G297" s="145"/>
      <c r="H297" s="146"/>
      <c r="I297" s="146"/>
      <c r="J297" s="148"/>
      <c r="K297" s="145"/>
      <c r="L297" s="148"/>
      <c r="M297" s="149"/>
      <c r="N297" s="148"/>
      <c r="O297" s="150"/>
      <c r="P2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7" s="43" t="str">
        <f>IF(テーブル22[[#This Row],[得点]]="","",IF(テーブル22[[#This Row],[年齢]]&gt;10,LOOKUP(P297,$BG$6:$BG$10,$BD$6:$BD$10),IF(テーブル22[[#This Row],[年齢]]&gt;9,LOOKUP(P297,$BF$6:$BF$10,$BD$6:$BD$10),IF(テーブル22[[#This Row],[年齢]]&gt;8,LOOKUP(P297,$BE$6:$BE$10,$BD$6:$BD$10),IF(テーブル22[[#This Row],[年齢]]&gt;7,LOOKUP(P297,$BC$6:$BC$10,$BD$6:$BD$10),IF(テーブル22[[#This Row],[年齢]]&gt;6,LOOKUP(P297,$BB$6:$BB$10,$BD$6:$BD$10),LOOKUP(P297,$BA$6:$BA$10,$BD$6:$BD$10)))))))</f>
        <v/>
      </c>
      <c r="R297" s="42">
        <f>IF(H297="",0,(IF(テーブル22[[#This Row],[性別]]="男",LOOKUP(テーブル22[[#This Row],[握力]],$AH$6:$AI$15),LOOKUP(テーブル22[[#This Row],[握力]],$AH$20:$AI$29))))</f>
        <v>0</v>
      </c>
      <c r="S297" s="42">
        <f>IF(テーブル22[[#This Row],[上体]]="",0,(IF(テーブル22[[#This Row],[性別]]="男",LOOKUP(テーブル22[[#This Row],[上体]],$AJ$6:$AK$15),LOOKUP(テーブル22[[#This Row],[上体]],$AJ$20:$AK$29))))</f>
        <v>0</v>
      </c>
      <c r="T297" s="42">
        <f>IF(テーブル22[[#This Row],[長座]]="",0,(IF(テーブル22[[#This Row],[性別]]="男",LOOKUP(テーブル22[[#This Row],[長座]],$AL$6:$AM$15),LOOKUP(テーブル22[[#This Row],[長座]],$AL$20:$AM$29))))</f>
        <v>0</v>
      </c>
      <c r="U297" s="42">
        <f>IF(テーブル22[[#This Row],[反復]]="",0,(IF(テーブル22[[#This Row],[性別]]="男",LOOKUP(テーブル22[[#This Row],[反復]],$AN$6:$AO$15),LOOKUP(テーブル22[[#This Row],[反復]],$AN$20:$AO$29))))</f>
        <v>0</v>
      </c>
      <c r="V297" s="42">
        <f>IF(テーブル22[[#This Row],[ｼｬﾄﾙﾗﾝ]]="",0,(IF(テーブル22[[#This Row],[性別]]="男",LOOKUP(テーブル22[[#This Row],[ｼｬﾄﾙﾗﾝ]],$AR$6:$AS$15),LOOKUP(テーブル22[[#This Row],[ｼｬﾄﾙﾗﾝ]],$AR$20:$AS$29))))</f>
        <v>0</v>
      </c>
      <c r="W297" s="42">
        <f>IF(テーブル22[[#This Row],[50m走]]="",0,(IF(テーブル22[[#This Row],[性別]]="男",LOOKUP(テーブル22[[#This Row],[50m走]],$AT$6:$AU$15),LOOKUP(テーブル22[[#This Row],[50m走]],$AT$20:$AU$29))))</f>
        <v>0</v>
      </c>
      <c r="X297" s="42">
        <f>IF(テーブル22[[#This Row],[立幅とび]]="",0,(IF(テーブル22[[#This Row],[性別]]="男",LOOKUP(テーブル22[[#This Row],[立幅とび]],$AV$6:$AW$15),LOOKUP(テーブル22[[#This Row],[立幅とび]],$AV$20:$AW$29))))</f>
        <v>0</v>
      </c>
      <c r="Y297" s="42">
        <f>IF(テーブル22[[#This Row],[ボール投げ]]="",0,(IF(テーブル22[[#This Row],[性別]]="男",LOOKUP(テーブル22[[#This Row],[ボール投げ]],$AX$6:$AY$15),LOOKUP(テーブル22[[#This Row],[ボール投げ]],$AX$20:$AY$29))))</f>
        <v>0</v>
      </c>
      <c r="Z297" s="19" t="str">
        <f>IF(テーブル22[[#This Row],[学年]]=1,6,IF(テーブル22[[#This Row],[学年]]=2,7,IF(テーブル22[[#This Row],[学年]]=3,8,IF(テーブル22[[#This Row],[学年]]=4,9,IF(テーブル22[[#This Row],[学年]]=5,10,IF(テーブル22[[#This Row],[学年]]=6,11," "))))))</f>
        <v xml:space="preserve"> </v>
      </c>
      <c r="AA297" s="125" t="str">
        <f>IF(テーブル22[[#This Row],[肥満度数値]]="","",LOOKUP(AC297,$AW$39:$AW$44,$AX$39:$AX$44))</f>
        <v/>
      </c>
      <c r="AB2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7" s="124" t="str">
        <f>IF(テーブル22[[#This Row],[体重]]="","",(テーブル22[[#This Row],[体重]]-テーブル22[[#This Row],[標準体重]])/テーブル22[[#This Row],[標準体重]]*100)</f>
        <v/>
      </c>
      <c r="AD297" s="1">
        <f>COUNTA(テーブル22[[#This Row],[握力]:[ボール投げ]])</f>
        <v>0</v>
      </c>
      <c r="AE297" s="1" t="str">
        <f>IF(テーブル22[[#This Row],[判定]]=$BD$10,"○","")</f>
        <v/>
      </c>
      <c r="AF297" s="1" t="str">
        <f>IF(AE297="","",COUNTIF($AE$6:AE297,"○"))</f>
        <v/>
      </c>
    </row>
    <row r="298" spans="1:32" x14ac:dyDescent="0.2">
      <c r="A298" s="40">
        <v>293</v>
      </c>
      <c r="B298" s="145"/>
      <c r="C298" s="148"/>
      <c r="D298" s="145"/>
      <c r="E298" s="156"/>
      <c r="F298" s="145"/>
      <c r="G298" s="145"/>
      <c r="H298" s="146"/>
      <c r="I298" s="146"/>
      <c r="J298" s="148"/>
      <c r="K298" s="145"/>
      <c r="L298" s="148"/>
      <c r="M298" s="149"/>
      <c r="N298" s="148"/>
      <c r="O298" s="150"/>
      <c r="P2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8" s="43" t="str">
        <f>IF(テーブル22[[#This Row],[得点]]="","",IF(テーブル22[[#This Row],[年齢]]&gt;10,LOOKUP(P298,$BG$6:$BG$10,$BD$6:$BD$10),IF(テーブル22[[#This Row],[年齢]]&gt;9,LOOKUP(P298,$BF$6:$BF$10,$BD$6:$BD$10),IF(テーブル22[[#This Row],[年齢]]&gt;8,LOOKUP(P298,$BE$6:$BE$10,$BD$6:$BD$10),IF(テーブル22[[#This Row],[年齢]]&gt;7,LOOKUP(P298,$BC$6:$BC$10,$BD$6:$BD$10),IF(テーブル22[[#This Row],[年齢]]&gt;6,LOOKUP(P298,$BB$6:$BB$10,$BD$6:$BD$10),LOOKUP(P298,$BA$6:$BA$10,$BD$6:$BD$10)))))))</f>
        <v/>
      </c>
      <c r="R298" s="42">
        <f>IF(H298="",0,(IF(テーブル22[[#This Row],[性別]]="男",LOOKUP(テーブル22[[#This Row],[握力]],$AH$6:$AI$15),LOOKUP(テーブル22[[#This Row],[握力]],$AH$20:$AI$29))))</f>
        <v>0</v>
      </c>
      <c r="S298" s="42">
        <f>IF(テーブル22[[#This Row],[上体]]="",0,(IF(テーブル22[[#This Row],[性別]]="男",LOOKUP(テーブル22[[#This Row],[上体]],$AJ$6:$AK$15),LOOKUP(テーブル22[[#This Row],[上体]],$AJ$20:$AK$29))))</f>
        <v>0</v>
      </c>
      <c r="T298" s="42">
        <f>IF(テーブル22[[#This Row],[長座]]="",0,(IF(テーブル22[[#This Row],[性別]]="男",LOOKUP(テーブル22[[#This Row],[長座]],$AL$6:$AM$15),LOOKUP(テーブル22[[#This Row],[長座]],$AL$20:$AM$29))))</f>
        <v>0</v>
      </c>
      <c r="U298" s="42">
        <f>IF(テーブル22[[#This Row],[反復]]="",0,(IF(テーブル22[[#This Row],[性別]]="男",LOOKUP(テーブル22[[#This Row],[反復]],$AN$6:$AO$15),LOOKUP(テーブル22[[#This Row],[反復]],$AN$20:$AO$29))))</f>
        <v>0</v>
      </c>
      <c r="V298" s="42">
        <f>IF(テーブル22[[#This Row],[ｼｬﾄﾙﾗﾝ]]="",0,(IF(テーブル22[[#This Row],[性別]]="男",LOOKUP(テーブル22[[#This Row],[ｼｬﾄﾙﾗﾝ]],$AR$6:$AS$15),LOOKUP(テーブル22[[#This Row],[ｼｬﾄﾙﾗﾝ]],$AR$20:$AS$29))))</f>
        <v>0</v>
      </c>
      <c r="W298" s="42">
        <f>IF(テーブル22[[#This Row],[50m走]]="",0,(IF(テーブル22[[#This Row],[性別]]="男",LOOKUP(テーブル22[[#This Row],[50m走]],$AT$6:$AU$15),LOOKUP(テーブル22[[#This Row],[50m走]],$AT$20:$AU$29))))</f>
        <v>0</v>
      </c>
      <c r="X298" s="42">
        <f>IF(テーブル22[[#This Row],[立幅とび]]="",0,(IF(テーブル22[[#This Row],[性別]]="男",LOOKUP(テーブル22[[#This Row],[立幅とび]],$AV$6:$AW$15),LOOKUP(テーブル22[[#This Row],[立幅とび]],$AV$20:$AW$29))))</f>
        <v>0</v>
      </c>
      <c r="Y298" s="42">
        <f>IF(テーブル22[[#This Row],[ボール投げ]]="",0,(IF(テーブル22[[#This Row],[性別]]="男",LOOKUP(テーブル22[[#This Row],[ボール投げ]],$AX$6:$AY$15),LOOKUP(テーブル22[[#This Row],[ボール投げ]],$AX$20:$AY$29))))</f>
        <v>0</v>
      </c>
      <c r="Z298" s="19" t="str">
        <f>IF(テーブル22[[#This Row],[学年]]=1,6,IF(テーブル22[[#This Row],[学年]]=2,7,IF(テーブル22[[#This Row],[学年]]=3,8,IF(テーブル22[[#This Row],[学年]]=4,9,IF(テーブル22[[#This Row],[学年]]=5,10,IF(テーブル22[[#This Row],[学年]]=6,11," "))))))</f>
        <v xml:space="preserve"> </v>
      </c>
      <c r="AA298" s="125" t="str">
        <f>IF(テーブル22[[#This Row],[肥満度数値]]="","",LOOKUP(AC298,$AW$39:$AW$44,$AX$39:$AX$44))</f>
        <v/>
      </c>
      <c r="AB2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8" s="124" t="str">
        <f>IF(テーブル22[[#This Row],[体重]]="","",(テーブル22[[#This Row],[体重]]-テーブル22[[#This Row],[標準体重]])/テーブル22[[#This Row],[標準体重]]*100)</f>
        <v/>
      </c>
      <c r="AD298" s="1">
        <f>COUNTA(テーブル22[[#This Row],[握力]:[ボール投げ]])</f>
        <v>0</v>
      </c>
      <c r="AE298" s="1" t="str">
        <f>IF(テーブル22[[#This Row],[判定]]=$BD$10,"○","")</f>
        <v/>
      </c>
      <c r="AF298" s="1" t="str">
        <f>IF(AE298="","",COUNTIF($AE$6:AE298,"○"))</f>
        <v/>
      </c>
    </row>
    <row r="299" spans="1:32" x14ac:dyDescent="0.2">
      <c r="A299" s="40">
        <v>294</v>
      </c>
      <c r="B299" s="145"/>
      <c r="C299" s="148"/>
      <c r="D299" s="145"/>
      <c r="E299" s="156"/>
      <c r="F299" s="145"/>
      <c r="G299" s="145"/>
      <c r="H299" s="146"/>
      <c r="I299" s="146"/>
      <c r="J299" s="148"/>
      <c r="K299" s="145"/>
      <c r="L299" s="148"/>
      <c r="M299" s="149"/>
      <c r="N299" s="148"/>
      <c r="O299" s="150"/>
      <c r="P2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299" s="43" t="str">
        <f>IF(テーブル22[[#This Row],[得点]]="","",IF(テーブル22[[#This Row],[年齢]]&gt;10,LOOKUP(P299,$BG$6:$BG$10,$BD$6:$BD$10),IF(テーブル22[[#This Row],[年齢]]&gt;9,LOOKUP(P299,$BF$6:$BF$10,$BD$6:$BD$10),IF(テーブル22[[#This Row],[年齢]]&gt;8,LOOKUP(P299,$BE$6:$BE$10,$BD$6:$BD$10),IF(テーブル22[[#This Row],[年齢]]&gt;7,LOOKUP(P299,$BC$6:$BC$10,$BD$6:$BD$10),IF(テーブル22[[#This Row],[年齢]]&gt;6,LOOKUP(P299,$BB$6:$BB$10,$BD$6:$BD$10),LOOKUP(P299,$BA$6:$BA$10,$BD$6:$BD$10)))))))</f>
        <v/>
      </c>
      <c r="R299" s="42">
        <f>IF(H299="",0,(IF(テーブル22[[#This Row],[性別]]="男",LOOKUP(テーブル22[[#This Row],[握力]],$AH$6:$AI$15),LOOKUP(テーブル22[[#This Row],[握力]],$AH$20:$AI$29))))</f>
        <v>0</v>
      </c>
      <c r="S299" s="42">
        <f>IF(テーブル22[[#This Row],[上体]]="",0,(IF(テーブル22[[#This Row],[性別]]="男",LOOKUP(テーブル22[[#This Row],[上体]],$AJ$6:$AK$15),LOOKUP(テーブル22[[#This Row],[上体]],$AJ$20:$AK$29))))</f>
        <v>0</v>
      </c>
      <c r="T299" s="42">
        <f>IF(テーブル22[[#This Row],[長座]]="",0,(IF(テーブル22[[#This Row],[性別]]="男",LOOKUP(テーブル22[[#This Row],[長座]],$AL$6:$AM$15),LOOKUP(テーブル22[[#This Row],[長座]],$AL$20:$AM$29))))</f>
        <v>0</v>
      </c>
      <c r="U299" s="42">
        <f>IF(テーブル22[[#This Row],[反復]]="",0,(IF(テーブル22[[#This Row],[性別]]="男",LOOKUP(テーブル22[[#This Row],[反復]],$AN$6:$AO$15),LOOKUP(テーブル22[[#This Row],[反復]],$AN$20:$AO$29))))</f>
        <v>0</v>
      </c>
      <c r="V299" s="42">
        <f>IF(テーブル22[[#This Row],[ｼｬﾄﾙﾗﾝ]]="",0,(IF(テーブル22[[#This Row],[性別]]="男",LOOKUP(テーブル22[[#This Row],[ｼｬﾄﾙﾗﾝ]],$AR$6:$AS$15),LOOKUP(テーブル22[[#This Row],[ｼｬﾄﾙﾗﾝ]],$AR$20:$AS$29))))</f>
        <v>0</v>
      </c>
      <c r="W299" s="42">
        <f>IF(テーブル22[[#This Row],[50m走]]="",0,(IF(テーブル22[[#This Row],[性別]]="男",LOOKUP(テーブル22[[#This Row],[50m走]],$AT$6:$AU$15),LOOKUP(テーブル22[[#This Row],[50m走]],$AT$20:$AU$29))))</f>
        <v>0</v>
      </c>
      <c r="X299" s="42">
        <f>IF(テーブル22[[#This Row],[立幅とび]]="",0,(IF(テーブル22[[#This Row],[性別]]="男",LOOKUP(テーブル22[[#This Row],[立幅とび]],$AV$6:$AW$15),LOOKUP(テーブル22[[#This Row],[立幅とび]],$AV$20:$AW$29))))</f>
        <v>0</v>
      </c>
      <c r="Y299" s="42">
        <f>IF(テーブル22[[#This Row],[ボール投げ]]="",0,(IF(テーブル22[[#This Row],[性別]]="男",LOOKUP(テーブル22[[#This Row],[ボール投げ]],$AX$6:$AY$15),LOOKUP(テーブル22[[#This Row],[ボール投げ]],$AX$20:$AY$29))))</f>
        <v>0</v>
      </c>
      <c r="Z299" s="19" t="str">
        <f>IF(テーブル22[[#This Row],[学年]]=1,6,IF(テーブル22[[#This Row],[学年]]=2,7,IF(テーブル22[[#This Row],[学年]]=3,8,IF(テーブル22[[#This Row],[学年]]=4,9,IF(テーブル22[[#This Row],[学年]]=5,10,IF(テーブル22[[#This Row],[学年]]=6,11," "))))))</f>
        <v xml:space="preserve"> </v>
      </c>
      <c r="AA299" s="125" t="str">
        <f>IF(テーブル22[[#This Row],[肥満度数値]]="","",LOOKUP(AC299,$AW$39:$AW$44,$AX$39:$AX$44))</f>
        <v/>
      </c>
      <c r="AB2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299" s="124" t="str">
        <f>IF(テーブル22[[#This Row],[体重]]="","",(テーブル22[[#This Row],[体重]]-テーブル22[[#This Row],[標準体重]])/テーブル22[[#This Row],[標準体重]]*100)</f>
        <v/>
      </c>
      <c r="AD299" s="1">
        <f>COUNTA(テーブル22[[#This Row],[握力]:[ボール投げ]])</f>
        <v>0</v>
      </c>
      <c r="AE299" s="1" t="str">
        <f>IF(テーブル22[[#This Row],[判定]]=$BD$10,"○","")</f>
        <v/>
      </c>
      <c r="AF299" s="1" t="str">
        <f>IF(AE299="","",COUNTIF($AE$6:AE299,"○"))</f>
        <v/>
      </c>
    </row>
    <row r="300" spans="1:32" x14ac:dyDescent="0.2">
      <c r="A300" s="40">
        <v>295</v>
      </c>
      <c r="B300" s="145"/>
      <c r="C300" s="148"/>
      <c r="D300" s="145"/>
      <c r="E300" s="156"/>
      <c r="F300" s="145"/>
      <c r="G300" s="145"/>
      <c r="H300" s="146"/>
      <c r="I300" s="146"/>
      <c r="J300" s="148"/>
      <c r="K300" s="145"/>
      <c r="L300" s="148"/>
      <c r="M300" s="149"/>
      <c r="N300" s="148"/>
      <c r="O300" s="150"/>
      <c r="P3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0" s="43" t="str">
        <f>IF(テーブル22[[#This Row],[得点]]="","",IF(テーブル22[[#This Row],[年齢]]&gt;10,LOOKUP(P300,$BG$6:$BG$10,$BD$6:$BD$10),IF(テーブル22[[#This Row],[年齢]]&gt;9,LOOKUP(P300,$BF$6:$BF$10,$BD$6:$BD$10),IF(テーブル22[[#This Row],[年齢]]&gt;8,LOOKUP(P300,$BE$6:$BE$10,$BD$6:$BD$10),IF(テーブル22[[#This Row],[年齢]]&gt;7,LOOKUP(P300,$BC$6:$BC$10,$BD$6:$BD$10),IF(テーブル22[[#This Row],[年齢]]&gt;6,LOOKUP(P300,$BB$6:$BB$10,$BD$6:$BD$10),LOOKUP(P300,$BA$6:$BA$10,$BD$6:$BD$10)))))))</f>
        <v/>
      </c>
      <c r="R300" s="42">
        <f>IF(H300="",0,(IF(テーブル22[[#This Row],[性別]]="男",LOOKUP(テーブル22[[#This Row],[握力]],$AH$6:$AI$15),LOOKUP(テーブル22[[#This Row],[握力]],$AH$20:$AI$29))))</f>
        <v>0</v>
      </c>
      <c r="S300" s="42">
        <f>IF(テーブル22[[#This Row],[上体]]="",0,(IF(テーブル22[[#This Row],[性別]]="男",LOOKUP(テーブル22[[#This Row],[上体]],$AJ$6:$AK$15),LOOKUP(テーブル22[[#This Row],[上体]],$AJ$20:$AK$29))))</f>
        <v>0</v>
      </c>
      <c r="T300" s="42">
        <f>IF(テーブル22[[#This Row],[長座]]="",0,(IF(テーブル22[[#This Row],[性別]]="男",LOOKUP(テーブル22[[#This Row],[長座]],$AL$6:$AM$15),LOOKUP(テーブル22[[#This Row],[長座]],$AL$20:$AM$29))))</f>
        <v>0</v>
      </c>
      <c r="U300" s="42">
        <f>IF(テーブル22[[#This Row],[反復]]="",0,(IF(テーブル22[[#This Row],[性別]]="男",LOOKUP(テーブル22[[#This Row],[反復]],$AN$6:$AO$15),LOOKUP(テーブル22[[#This Row],[反復]],$AN$20:$AO$29))))</f>
        <v>0</v>
      </c>
      <c r="V300" s="42">
        <f>IF(テーブル22[[#This Row],[ｼｬﾄﾙﾗﾝ]]="",0,(IF(テーブル22[[#This Row],[性別]]="男",LOOKUP(テーブル22[[#This Row],[ｼｬﾄﾙﾗﾝ]],$AR$6:$AS$15),LOOKUP(テーブル22[[#This Row],[ｼｬﾄﾙﾗﾝ]],$AR$20:$AS$29))))</f>
        <v>0</v>
      </c>
      <c r="W300" s="42">
        <f>IF(テーブル22[[#This Row],[50m走]]="",0,(IF(テーブル22[[#This Row],[性別]]="男",LOOKUP(テーブル22[[#This Row],[50m走]],$AT$6:$AU$15),LOOKUP(テーブル22[[#This Row],[50m走]],$AT$20:$AU$29))))</f>
        <v>0</v>
      </c>
      <c r="X300" s="42">
        <f>IF(テーブル22[[#This Row],[立幅とび]]="",0,(IF(テーブル22[[#This Row],[性別]]="男",LOOKUP(テーブル22[[#This Row],[立幅とび]],$AV$6:$AW$15),LOOKUP(テーブル22[[#This Row],[立幅とび]],$AV$20:$AW$29))))</f>
        <v>0</v>
      </c>
      <c r="Y300" s="42">
        <f>IF(テーブル22[[#This Row],[ボール投げ]]="",0,(IF(テーブル22[[#This Row],[性別]]="男",LOOKUP(テーブル22[[#This Row],[ボール投げ]],$AX$6:$AY$15),LOOKUP(テーブル22[[#This Row],[ボール投げ]],$AX$20:$AY$29))))</f>
        <v>0</v>
      </c>
      <c r="Z300" s="19" t="str">
        <f>IF(テーブル22[[#This Row],[学年]]=1,6,IF(テーブル22[[#This Row],[学年]]=2,7,IF(テーブル22[[#This Row],[学年]]=3,8,IF(テーブル22[[#This Row],[学年]]=4,9,IF(テーブル22[[#This Row],[学年]]=5,10,IF(テーブル22[[#This Row],[学年]]=6,11," "))))))</f>
        <v xml:space="preserve"> </v>
      </c>
      <c r="AA300" s="125" t="str">
        <f>IF(テーブル22[[#This Row],[肥満度数値]]="","",LOOKUP(AC300,$AW$39:$AW$44,$AX$39:$AX$44))</f>
        <v/>
      </c>
      <c r="AB3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0" s="124" t="str">
        <f>IF(テーブル22[[#This Row],[体重]]="","",(テーブル22[[#This Row],[体重]]-テーブル22[[#This Row],[標準体重]])/テーブル22[[#This Row],[標準体重]]*100)</f>
        <v/>
      </c>
      <c r="AD300" s="1">
        <f>COUNTA(テーブル22[[#This Row],[握力]:[ボール投げ]])</f>
        <v>0</v>
      </c>
      <c r="AE300" s="1" t="str">
        <f>IF(テーブル22[[#This Row],[判定]]=$BD$10,"○","")</f>
        <v/>
      </c>
      <c r="AF300" s="1" t="str">
        <f>IF(AE300="","",COUNTIF($AE$6:AE300,"○"))</f>
        <v/>
      </c>
    </row>
    <row r="301" spans="1:32" x14ac:dyDescent="0.2">
      <c r="A301" s="40">
        <v>296</v>
      </c>
      <c r="B301" s="145"/>
      <c r="C301" s="148"/>
      <c r="D301" s="145"/>
      <c r="E301" s="156"/>
      <c r="F301" s="145"/>
      <c r="G301" s="145"/>
      <c r="H301" s="146"/>
      <c r="I301" s="146"/>
      <c r="J301" s="148"/>
      <c r="K301" s="145"/>
      <c r="L301" s="148"/>
      <c r="M301" s="149"/>
      <c r="N301" s="148"/>
      <c r="O301" s="150"/>
      <c r="P3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1" s="43" t="str">
        <f>IF(テーブル22[[#This Row],[得点]]="","",IF(テーブル22[[#This Row],[年齢]]&gt;10,LOOKUP(P301,$BG$6:$BG$10,$BD$6:$BD$10),IF(テーブル22[[#This Row],[年齢]]&gt;9,LOOKUP(P301,$BF$6:$BF$10,$BD$6:$BD$10),IF(テーブル22[[#This Row],[年齢]]&gt;8,LOOKUP(P301,$BE$6:$BE$10,$BD$6:$BD$10),IF(テーブル22[[#This Row],[年齢]]&gt;7,LOOKUP(P301,$BC$6:$BC$10,$BD$6:$BD$10),IF(テーブル22[[#This Row],[年齢]]&gt;6,LOOKUP(P301,$BB$6:$BB$10,$BD$6:$BD$10),LOOKUP(P301,$BA$6:$BA$10,$BD$6:$BD$10)))))))</f>
        <v/>
      </c>
      <c r="R301" s="42">
        <f>IF(H301="",0,(IF(テーブル22[[#This Row],[性別]]="男",LOOKUP(テーブル22[[#This Row],[握力]],$AH$6:$AI$15),LOOKUP(テーブル22[[#This Row],[握力]],$AH$20:$AI$29))))</f>
        <v>0</v>
      </c>
      <c r="S301" s="42">
        <f>IF(テーブル22[[#This Row],[上体]]="",0,(IF(テーブル22[[#This Row],[性別]]="男",LOOKUP(テーブル22[[#This Row],[上体]],$AJ$6:$AK$15),LOOKUP(テーブル22[[#This Row],[上体]],$AJ$20:$AK$29))))</f>
        <v>0</v>
      </c>
      <c r="T301" s="42">
        <f>IF(テーブル22[[#This Row],[長座]]="",0,(IF(テーブル22[[#This Row],[性別]]="男",LOOKUP(テーブル22[[#This Row],[長座]],$AL$6:$AM$15),LOOKUP(テーブル22[[#This Row],[長座]],$AL$20:$AM$29))))</f>
        <v>0</v>
      </c>
      <c r="U301" s="42">
        <f>IF(テーブル22[[#This Row],[反復]]="",0,(IF(テーブル22[[#This Row],[性別]]="男",LOOKUP(テーブル22[[#This Row],[反復]],$AN$6:$AO$15),LOOKUP(テーブル22[[#This Row],[反復]],$AN$20:$AO$29))))</f>
        <v>0</v>
      </c>
      <c r="V301" s="42">
        <f>IF(テーブル22[[#This Row],[ｼｬﾄﾙﾗﾝ]]="",0,(IF(テーブル22[[#This Row],[性別]]="男",LOOKUP(テーブル22[[#This Row],[ｼｬﾄﾙﾗﾝ]],$AR$6:$AS$15),LOOKUP(テーブル22[[#This Row],[ｼｬﾄﾙﾗﾝ]],$AR$20:$AS$29))))</f>
        <v>0</v>
      </c>
      <c r="W301" s="42">
        <f>IF(テーブル22[[#This Row],[50m走]]="",0,(IF(テーブル22[[#This Row],[性別]]="男",LOOKUP(テーブル22[[#This Row],[50m走]],$AT$6:$AU$15),LOOKUP(テーブル22[[#This Row],[50m走]],$AT$20:$AU$29))))</f>
        <v>0</v>
      </c>
      <c r="X301" s="42">
        <f>IF(テーブル22[[#This Row],[立幅とび]]="",0,(IF(テーブル22[[#This Row],[性別]]="男",LOOKUP(テーブル22[[#This Row],[立幅とび]],$AV$6:$AW$15),LOOKUP(テーブル22[[#This Row],[立幅とび]],$AV$20:$AW$29))))</f>
        <v>0</v>
      </c>
      <c r="Y301" s="42">
        <f>IF(テーブル22[[#This Row],[ボール投げ]]="",0,(IF(テーブル22[[#This Row],[性別]]="男",LOOKUP(テーブル22[[#This Row],[ボール投げ]],$AX$6:$AY$15),LOOKUP(テーブル22[[#This Row],[ボール投げ]],$AX$20:$AY$29))))</f>
        <v>0</v>
      </c>
      <c r="Z301" s="19" t="str">
        <f>IF(テーブル22[[#This Row],[学年]]=1,6,IF(テーブル22[[#This Row],[学年]]=2,7,IF(テーブル22[[#This Row],[学年]]=3,8,IF(テーブル22[[#This Row],[学年]]=4,9,IF(テーブル22[[#This Row],[学年]]=5,10,IF(テーブル22[[#This Row],[学年]]=6,11," "))))))</f>
        <v xml:space="preserve"> </v>
      </c>
      <c r="AA301" s="125" t="str">
        <f>IF(テーブル22[[#This Row],[肥満度数値]]="","",LOOKUP(AC301,$AW$39:$AW$44,$AX$39:$AX$44))</f>
        <v/>
      </c>
      <c r="AB3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1" s="124" t="str">
        <f>IF(テーブル22[[#This Row],[体重]]="","",(テーブル22[[#This Row],[体重]]-テーブル22[[#This Row],[標準体重]])/テーブル22[[#This Row],[標準体重]]*100)</f>
        <v/>
      </c>
      <c r="AD301" s="1">
        <f>COUNTA(テーブル22[[#This Row],[握力]:[ボール投げ]])</f>
        <v>0</v>
      </c>
      <c r="AE301" s="1" t="str">
        <f>IF(テーブル22[[#This Row],[判定]]=$BD$10,"○","")</f>
        <v/>
      </c>
      <c r="AF301" s="1" t="str">
        <f>IF(AE301="","",COUNTIF($AE$6:AE301,"○"))</f>
        <v/>
      </c>
    </row>
    <row r="302" spans="1:32" x14ac:dyDescent="0.2">
      <c r="A302" s="40">
        <v>297</v>
      </c>
      <c r="B302" s="145"/>
      <c r="C302" s="148"/>
      <c r="D302" s="145"/>
      <c r="E302" s="156"/>
      <c r="F302" s="145"/>
      <c r="G302" s="145"/>
      <c r="H302" s="146"/>
      <c r="I302" s="146"/>
      <c r="J302" s="148"/>
      <c r="K302" s="145"/>
      <c r="L302" s="148"/>
      <c r="M302" s="149"/>
      <c r="N302" s="148"/>
      <c r="O302" s="150"/>
      <c r="P3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2" s="43" t="str">
        <f>IF(テーブル22[[#This Row],[得点]]="","",IF(テーブル22[[#This Row],[年齢]]&gt;10,LOOKUP(P302,$BG$6:$BG$10,$BD$6:$BD$10),IF(テーブル22[[#This Row],[年齢]]&gt;9,LOOKUP(P302,$BF$6:$BF$10,$BD$6:$BD$10),IF(テーブル22[[#This Row],[年齢]]&gt;8,LOOKUP(P302,$BE$6:$BE$10,$BD$6:$BD$10),IF(テーブル22[[#This Row],[年齢]]&gt;7,LOOKUP(P302,$BC$6:$BC$10,$BD$6:$BD$10),IF(テーブル22[[#This Row],[年齢]]&gt;6,LOOKUP(P302,$BB$6:$BB$10,$BD$6:$BD$10),LOOKUP(P302,$BA$6:$BA$10,$BD$6:$BD$10)))))))</f>
        <v/>
      </c>
      <c r="R302" s="42">
        <f>IF(H302="",0,(IF(テーブル22[[#This Row],[性別]]="男",LOOKUP(テーブル22[[#This Row],[握力]],$AH$6:$AI$15),LOOKUP(テーブル22[[#This Row],[握力]],$AH$20:$AI$29))))</f>
        <v>0</v>
      </c>
      <c r="S302" s="42">
        <f>IF(テーブル22[[#This Row],[上体]]="",0,(IF(テーブル22[[#This Row],[性別]]="男",LOOKUP(テーブル22[[#This Row],[上体]],$AJ$6:$AK$15),LOOKUP(テーブル22[[#This Row],[上体]],$AJ$20:$AK$29))))</f>
        <v>0</v>
      </c>
      <c r="T302" s="42">
        <f>IF(テーブル22[[#This Row],[長座]]="",0,(IF(テーブル22[[#This Row],[性別]]="男",LOOKUP(テーブル22[[#This Row],[長座]],$AL$6:$AM$15),LOOKUP(テーブル22[[#This Row],[長座]],$AL$20:$AM$29))))</f>
        <v>0</v>
      </c>
      <c r="U302" s="42">
        <f>IF(テーブル22[[#This Row],[反復]]="",0,(IF(テーブル22[[#This Row],[性別]]="男",LOOKUP(テーブル22[[#This Row],[反復]],$AN$6:$AO$15),LOOKUP(テーブル22[[#This Row],[反復]],$AN$20:$AO$29))))</f>
        <v>0</v>
      </c>
      <c r="V302" s="42">
        <f>IF(テーブル22[[#This Row],[ｼｬﾄﾙﾗﾝ]]="",0,(IF(テーブル22[[#This Row],[性別]]="男",LOOKUP(テーブル22[[#This Row],[ｼｬﾄﾙﾗﾝ]],$AR$6:$AS$15),LOOKUP(テーブル22[[#This Row],[ｼｬﾄﾙﾗﾝ]],$AR$20:$AS$29))))</f>
        <v>0</v>
      </c>
      <c r="W302" s="42">
        <f>IF(テーブル22[[#This Row],[50m走]]="",0,(IF(テーブル22[[#This Row],[性別]]="男",LOOKUP(テーブル22[[#This Row],[50m走]],$AT$6:$AU$15),LOOKUP(テーブル22[[#This Row],[50m走]],$AT$20:$AU$29))))</f>
        <v>0</v>
      </c>
      <c r="X302" s="42">
        <f>IF(テーブル22[[#This Row],[立幅とび]]="",0,(IF(テーブル22[[#This Row],[性別]]="男",LOOKUP(テーブル22[[#This Row],[立幅とび]],$AV$6:$AW$15),LOOKUP(テーブル22[[#This Row],[立幅とび]],$AV$20:$AW$29))))</f>
        <v>0</v>
      </c>
      <c r="Y302" s="42">
        <f>IF(テーブル22[[#This Row],[ボール投げ]]="",0,(IF(テーブル22[[#This Row],[性別]]="男",LOOKUP(テーブル22[[#This Row],[ボール投げ]],$AX$6:$AY$15),LOOKUP(テーブル22[[#This Row],[ボール投げ]],$AX$20:$AY$29))))</f>
        <v>0</v>
      </c>
      <c r="Z302" s="19" t="str">
        <f>IF(テーブル22[[#This Row],[学年]]=1,6,IF(テーブル22[[#This Row],[学年]]=2,7,IF(テーブル22[[#This Row],[学年]]=3,8,IF(テーブル22[[#This Row],[学年]]=4,9,IF(テーブル22[[#This Row],[学年]]=5,10,IF(テーブル22[[#This Row],[学年]]=6,11," "))))))</f>
        <v xml:space="preserve"> </v>
      </c>
      <c r="AA302" s="125" t="str">
        <f>IF(テーブル22[[#This Row],[肥満度数値]]="","",LOOKUP(AC302,$AW$39:$AW$44,$AX$39:$AX$44))</f>
        <v/>
      </c>
      <c r="AB3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2" s="124" t="str">
        <f>IF(テーブル22[[#This Row],[体重]]="","",(テーブル22[[#This Row],[体重]]-テーブル22[[#This Row],[標準体重]])/テーブル22[[#This Row],[標準体重]]*100)</f>
        <v/>
      </c>
      <c r="AD302" s="1">
        <f>COUNTA(テーブル22[[#This Row],[握力]:[ボール投げ]])</f>
        <v>0</v>
      </c>
      <c r="AE302" s="1" t="str">
        <f>IF(テーブル22[[#This Row],[判定]]=$BD$10,"○","")</f>
        <v/>
      </c>
      <c r="AF302" s="1" t="str">
        <f>IF(AE302="","",COUNTIF($AE$6:AE302,"○"))</f>
        <v/>
      </c>
    </row>
    <row r="303" spans="1:32" x14ac:dyDescent="0.2">
      <c r="A303" s="40">
        <v>298</v>
      </c>
      <c r="B303" s="145"/>
      <c r="C303" s="148"/>
      <c r="D303" s="145"/>
      <c r="E303" s="156"/>
      <c r="F303" s="145"/>
      <c r="G303" s="145"/>
      <c r="H303" s="146"/>
      <c r="I303" s="146"/>
      <c r="J303" s="148"/>
      <c r="K303" s="145"/>
      <c r="L303" s="148"/>
      <c r="M303" s="149"/>
      <c r="N303" s="148"/>
      <c r="O303" s="150"/>
      <c r="P3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3" s="43" t="str">
        <f>IF(テーブル22[[#This Row],[得点]]="","",IF(テーブル22[[#This Row],[年齢]]&gt;10,LOOKUP(P303,$BG$6:$BG$10,$BD$6:$BD$10),IF(テーブル22[[#This Row],[年齢]]&gt;9,LOOKUP(P303,$BF$6:$BF$10,$BD$6:$BD$10),IF(テーブル22[[#This Row],[年齢]]&gt;8,LOOKUP(P303,$BE$6:$BE$10,$BD$6:$BD$10),IF(テーブル22[[#This Row],[年齢]]&gt;7,LOOKUP(P303,$BC$6:$BC$10,$BD$6:$BD$10),IF(テーブル22[[#This Row],[年齢]]&gt;6,LOOKUP(P303,$BB$6:$BB$10,$BD$6:$BD$10),LOOKUP(P303,$BA$6:$BA$10,$BD$6:$BD$10)))))))</f>
        <v/>
      </c>
      <c r="R303" s="42">
        <f>IF(H303="",0,(IF(テーブル22[[#This Row],[性別]]="男",LOOKUP(テーブル22[[#This Row],[握力]],$AH$6:$AI$15),LOOKUP(テーブル22[[#This Row],[握力]],$AH$20:$AI$29))))</f>
        <v>0</v>
      </c>
      <c r="S303" s="42">
        <f>IF(テーブル22[[#This Row],[上体]]="",0,(IF(テーブル22[[#This Row],[性別]]="男",LOOKUP(テーブル22[[#This Row],[上体]],$AJ$6:$AK$15),LOOKUP(テーブル22[[#This Row],[上体]],$AJ$20:$AK$29))))</f>
        <v>0</v>
      </c>
      <c r="T303" s="42">
        <f>IF(テーブル22[[#This Row],[長座]]="",0,(IF(テーブル22[[#This Row],[性別]]="男",LOOKUP(テーブル22[[#This Row],[長座]],$AL$6:$AM$15),LOOKUP(テーブル22[[#This Row],[長座]],$AL$20:$AM$29))))</f>
        <v>0</v>
      </c>
      <c r="U303" s="42">
        <f>IF(テーブル22[[#This Row],[反復]]="",0,(IF(テーブル22[[#This Row],[性別]]="男",LOOKUP(テーブル22[[#This Row],[反復]],$AN$6:$AO$15),LOOKUP(テーブル22[[#This Row],[反復]],$AN$20:$AO$29))))</f>
        <v>0</v>
      </c>
      <c r="V303" s="42">
        <f>IF(テーブル22[[#This Row],[ｼｬﾄﾙﾗﾝ]]="",0,(IF(テーブル22[[#This Row],[性別]]="男",LOOKUP(テーブル22[[#This Row],[ｼｬﾄﾙﾗﾝ]],$AR$6:$AS$15),LOOKUP(テーブル22[[#This Row],[ｼｬﾄﾙﾗﾝ]],$AR$20:$AS$29))))</f>
        <v>0</v>
      </c>
      <c r="W303" s="42">
        <f>IF(テーブル22[[#This Row],[50m走]]="",0,(IF(テーブル22[[#This Row],[性別]]="男",LOOKUP(テーブル22[[#This Row],[50m走]],$AT$6:$AU$15),LOOKUP(テーブル22[[#This Row],[50m走]],$AT$20:$AU$29))))</f>
        <v>0</v>
      </c>
      <c r="X303" s="42">
        <f>IF(テーブル22[[#This Row],[立幅とび]]="",0,(IF(テーブル22[[#This Row],[性別]]="男",LOOKUP(テーブル22[[#This Row],[立幅とび]],$AV$6:$AW$15),LOOKUP(テーブル22[[#This Row],[立幅とび]],$AV$20:$AW$29))))</f>
        <v>0</v>
      </c>
      <c r="Y303" s="42">
        <f>IF(テーブル22[[#This Row],[ボール投げ]]="",0,(IF(テーブル22[[#This Row],[性別]]="男",LOOKUP(テーブル22[[#This Row],[ボール投げ]],$AX$6:$AY$15),LOOKUP(テーブル22[[#This Row],[ボール投げ]],$AX$20:$AY$29))))</f>
        <v>0</v>
      </c>
      <c r="Z303" s="19" t="str">
        <f>IF(テーブル22[[#This Row],[学年]]=1,6,IF(テーブル22[[#This Row],[学年]]=2,7,IF(テーブル22[[#This Row],[学年]]=3,8,IF(テーブル22[[#This Row],[学年]]=4,9,IF(テーブル22[[#This Row],[学年]]=5,10,IF(テーブル22[[#This Row],[学年]]=6,11," "))))))</f>
        <v xml:space="preserve"> </v>
      </c>
      <c r="AA303" s="125" t="str">
        <f>IF(テーブル22[[#This Row],[肥満度数値]]="","",LOOKUP(AC303,$AW$39:$AW$44,$AX$39:$AX$44))</f>
        <v/>
      </c>
      <c r="AB3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3" s="124" t="str">
        <f>IF(テーブル22[[#This Row],[体重]]="","",(テーブル22[[#This Row],[体重]]-テーブル22[[#This Row],[標準体重]])/テーブル22[[#This Row],[標準体重]]*100)</f>
        <v/>
      </c>
      <c r="AD303" s="1">
        <f>COUNTA(テーブル22[[#This Row],[握力]:[ボール投げ]])</f>
        <v>0</v>
      </c>
      <c r="AE303" s="1" t="str">
        <f>IF(テーブル22[[#This Row],[判定]]=$BD$10,"○","")</f>
        <v/>
      </c>
      <c r="AF303" s="1" t="str">
        <f>IF(AE303="","",COUNTIF($AE$6:AE303,"○"))</f>
        <v/>
      </c>
    </row>
    <row r="304" spans="1:32" x14ac:dyDescent="0.2">
      <c r="A304" s="40">
        <v>299</v>
      </c>
      <c r="B304" s="145"/>
      <c r="C304" s="148"/>
      <c r="D304" s="145"/>
      <c r="E304" s="156"/>
      <c r="F304" s="145"/>
      <c r="G304" s="145"/>
      <c r="H304" s="146"/>
      <c r="I304" s="146"/>
      <c r="J304" s="148"/>
      <c r="K304" s="145"/>
      <c r="L304" s="148"/>
      <c r="M304" s="149"/>
      <c r="N304" s="148"/>
      <c r="O304" s="150"/>
      <c r="P3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4" s="43" t="str">
        <f>IF(テーブル22[[#This Row],[得点]]="","",IF(テーブル22[[#This Row],[年齢]]&gt;10,LOOKUP(P304,$BG$6:$BG$10,$BD$6:$BD$10),IF(テーブル22[[#This Row],[年齢]]&gt;9,LOOKUP(P304,$BF$6:$BF$10,$BD$6:$BD$10),IF(テーブル22[[#This Row],[年齢]]&gt;8,LOOKUP(P304,$BE$6:$BE$10,$BD$6:$BD$10),IF(テーブル22[[#This Row],[年齢]]&gt;7,LOOKUP(P304,$BC$6:$BC$10,$BD$6:$BD$10),IF(テーブル22[[#This Row],[年齢]]&gt;6,LOOKUP(P304,$BB$6:$BB$10,$BD$6:$BD$10),LOOKUP(P304,$BA$6:$BA$10,$BD$6:$BD$10)))))))</f>
        <v/>
      </c>
      <c r="R304" s="42">
        <f>IF(H304="",0,(IF(テーブル22[[#This Row],[性別]]="男",LOOKUP(テーブル22[[#This Row],[握力]],$AH$6:$AI$15),LOOKUP(テーブル22[[#This Row],[握力]],$AH$20:$AI$29))))</f>
        <v>0</v>
      </c>
      <c r="S304" s="42">
        <f>IF(テーブル22[[#This Row],[上体]]="",0,(IF(テーブル22[[#This Row],[性別]]="男",LOOKUP(テーブル22[[#This Row],[上体]],$AJ$6:$AK$15),LOOKUP(テーブル22[[#This Row],[上体]],$AJ$20:$AK$29))))</f>
        <v>0</v>
      </c>
      <c r="T304" s="42">
        <f>IF(テーブル22[[#This Row],[長座]]="",0,(IF(テーブル22[[#This Row],[性別]]="男",LOOKUP(テーブル22[[#This Row],[長座]],$AL$6:$AM$15),LOOKUP(テーブル22[[#This Row],[長座]],$AL$20:$AM$29))))</f>
        <v>0</v>
      </c>
      <c r="U304" s="42">
        <f>IF(テーブル22[[#This Row],[反復]]="",0,(IF(テーブル22[[#This Row],[性別]]="男",LOOKUP(テーブル22[[#This Row],[反復]],$AN$6:$AO$15),LOOKUP(テーブル22[[#This Row],[反復]],$AN$20:$AO$29))))</f>
        <v>0</v>
      </c>
      <c r="V304" s="42">
        <f>IF(テーブル22[[#This Row],[ｼｬﾄﾙﾗﾝ]]="",0,(IF(テーブル22[[#This Row],[性別]]="男",LOOKUP(テーブル22[[#This Row],[ｼｬﾄﾙﾗﾝ]],$AR$6:$AS$15),LOOKUP(テーブル22[[#This Row],[ｼｬﾄﾙﾗﾝ]],$AR$20:$AS$29))))</f>
        <v>0</v>
      </c>
      <c r="W304" s="42">
        <f>IF(テーブル22[[#This Row],[50m走]]="",0,(IF(テーブル22[[#This Row],[性別]]="男",LOOKUP(テーブル22[[#This Row],[50m走]],$AT$6:$AU$15),LOOKUP(テーブル22[[#This Row],[50m走]],$AT$20:$AU$29))))</f>
        <v>0</v>
      </c>
      <c r="X304" s="42">
        <f>IF(テーブル22[[#This Row],[立幅とび]]="",0,(IF(テーブル22[[#This Row],[性別]]="男",LOOKUP(テーブル22[[#This Row],[立幅とび]],$AV$6:$AW$15),LOOKUP(テーブル22[[#This Row],[立幅とび]],$AV$20:$AW$29))))</f>
        <v>0</v>
      </c>
      <c r="Y304" s="42">
        <f>IF(テーブル22[[#This Row],[ボール投げ]]="",0,(IF(テーブル22[[#This Row],[性別]]="男",LOOKUP(テーブル22[[#This Row],[ボール投げ]],$AX$6:$AY$15),LOOKUP(テーブル22[[#This Row],[ボール投げ]],$AX$20:$AY$29))))</f>
        <v>0</v>
      </c>
      <c r="Z304" s="19" t="str">
        <f>IF(テーブル22[[#This Row],[学年]]=1,6,IF(テーブル22[[#This Row],[学年]]=2,7,IF(テーブル22[[#This Row],[学年]]=3,8,IF(テーブル22[[#This Row],[学年]]=4,9,IF(テーブル22[[#This Row],[学年]]=5,10,IF(テーブル22[[#This Row],[学年]]=6,11," "))))))</f>
        <v xml:space="preserve"> </v>
      </c>
      <c r="AA304" s="125" t="str">
        <f>IF(テーブル22[[#This Row],[肥満度数値]]="","",LOOKUP(AC304,$AW$39:$AW$44,$AX$39:$AX$44))</f>
        <v/>
      </c>
      <c r="AB3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4" s="124" t="str">
        <f>IF(テーブル22[[#This Row],[体重]]="","",(テーブル22[[#This Row],[体重]]-テーブル22[[#This Row],[標準体重]])/テーブル22[[#This Row],[標準体重]]*100)</f>
        <v/>
      </c>
      <c r="AD304" s="1">
        <f>COUNTA(テーブル22[[#This Row],[握力]:[ボール投げ]])</f>
        <v>0</v>
      </c>
      <c r="AE304" s="1" t="str">
        <f>IF(テーブル22[[#This Row],[判定]]=$BD$10,"○","")</f>
        <v/>
      </c>
      <c r="AF304" s="1" t="str">
        <f>IF(AE304="","",COUNTIF($AE$6:AE304,"○"))</f>
        <v/>
      </c>
    </row>
    <row r="305" spans="1:32" x14ac:dyDescent="0.2">
      <c r="A305" s="40">
        <v>300</v>
      </c>
      <c r="B305" s="145"/>
      <c r="C305" s="148"/>
      <c r="D305" s="145"/>
      <c r="E305" s="156"/>
      <c r="F305" s="145"/>
      <c r="G305" s="145"/>
      <c r="H305" s="146"/>
      <c r="I305" s="146"/>
      <c r="J305" s="148"/>
      <c r="K305" s="145"/>
      <c r="L305" s="148"/>
      <c r="M305" s="149"/>
      <c r="N305" s="148"/>
      <c r="O305" s="150"/>
      <c r="P3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5" s="43" t="str">
        <f>IF(テーブル22[[#This Row],[得点]]="","",IF(テーブル22[[#This Row],[年齢]]&gt;10,LOOKUP(P305,$BG$6:$BG$10,$BD$6:$BD$10),IF(テーブル22[[#This Row],[年齢]]&gt;9,LOOKUP(P305,$BF$6:$BF$10,$BD$6:$BD$10),IF(テーブル22[[#This Row],[年齢]]&gt;8,LOOKUP(P305,$BE$6:$BE$10,$BD$6:$BD$10),IF(テーブル22[[#This Row],[年齢]]&gt;7,LOOKUP(P305,$BC$6:$BC$10,$BD$6:$BD$10),IF(テーブル22[[#This Row],[年齢]]&gt;6,LOOKUP(P305,$BB$6:$BB$10,$BD$6:$BD$10),LOOKUP(P305,$BA$6:$BA$10,$BD$6:$BD$10)))))))</f>
        <v/>
      </c>
      <c r="R305" s="42">
        <f>IF(H305="",0,(IF(テーブル22[[#This Row],[性別]]="男",LOOKUP(テーブル22[[#This Row],[握力]],$AH$6:$AI$15),LOOKUP(テーブル22[[#This Row],[握力]],$AH$20:$AI$29))))</f>
        <v>0</v>
      </c>
      <c r="S305" s="42">
        <f>IF(テーブル22[[#This Row],[上体]]="",0,(IF(テーブル22[[#This Row],[性別]]="男",LOOKUP(テーブル22[[#This Row],[上体]],$AJ$6:$AK$15),LOOKUP(テーブル22[[#This Row],[上体]],$AJ$20:$AK$29))))</f>
        <v>0</v>
      </c>
      <c r="T305" s="42">
        <f>IF(テーブル22[[#This Row],[長座]]="",0,(IF(テーブル22[[#This Row],[性別]]="男",LOOKUP(テーブル22[[#This Row],[長座]],$AL$6:$AM$15),LOOKUP(テーブル22[[#This Row],[長座]],$AL$20:$AM$29))))</f>
        <v>0</v>
      </c>
      <c r="U305" s="42">
        <f>IF(テーブル22[[#This Row],[反復]]="",0,(IF(テーブル22[[#This Row],[性別]]="男",LOOKUP(テーブル22[[#This Row],[反復]],$AN$6:$AO$15),LOOKUP(テーブル22[[#This Row],[反復]],$AN$20:$AO$29))))</f>
        <v>0</v>
      </c>
      <c r="V305" s="42">
        <f>IF(テーブル22[[#This Row],[ｼｬﾄﾙﾗﾝ]]="",0,(IF(テーブル22[[#This Row],[性別]]="男",LOOKUP(テーブル22[[#This Row],[ｼｬﾄﾙﾗﾝ]],$AR$6:$AS$15),LOOKUP(テーブル22[[#This Row],[ｼｬﾄﾙﾗﾝ]],$AR$20:$AS$29))))</f>
        <v>0</v>
      </c>
      <c r="W305" s="42">
        <f>IF(テーブル22[[#This Row],[50m走]]="",0,(IF(テーブル22[[#This Row],[性別]]="男",LOOKUP(テーブル22[[#This Row],[50m走]],$AT$6:$AU$15),LOOKUP(テーブル22[[#This Row],[50m走]],$AT$20:$AU$29))))</f>
        <v>0</v>
      </c>
      <c r="X305" s="42">
        <f>IF(テーブル22[[#This Row],[立幅とび]]="",0,(IF(テーブル22[[#This Row],[性別]]="男",LOOKUP(テーブル22[[#This Row],[立幅とび]],$AV$6:$AW$15),LOOKUP(テーブル22[[#This Row],[立幅とび]],$AV$20:$AW$29))))</f>
        <v>0</v>
      </c>
      <c r="Y305" s="42">
        <f>IF(テーブル22[[#This Row],[ボール投げ]]="",0,(IF(テーブル22[[#This Row],[性別]]="男",LOOKUP(テーブル22[[#This Row],[ボール投げ]],$AX$6:$AY$15),LOOKUP(テーブル22[[#This Row],[ボール投げ]],$AX$20:$AY$29))))</f>
        <v>0</v>
      </c>
      <c r="Z305" s="19" t="str">
        <f>IF(テーブル22[[#This Row],[学年]]=1,6,IF(テーブル22[[#This Row],[学年]]=2,7,IF(テーブル22[[#This Row],[学年]]=3,8,IF(テーブル22[[#This Row],[学年]]=4,9,IF(テーブル22[[#This Row],[学年]]=5,10,IF(テーブル22[[#This Row],[学年]]=6,11," "))))))</f>
        <v xml:space="preserve"> </v>
      </c>
      <c r="AA305" s="125" t="str">
        <f>IF(テーブル22[[#This Row],[肥満度数値]]="","",LOOKUP(AC305,$AW$39:$AW$44,$AX$39:$AX$44))</f>
        <v/>
      </c>
      <c r="AB3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5" s="124" t="str">
        <f>IF(テーブル22[[#This Row],[体重]]="","",(テーブル22[[#This Row],[体重]]-テーブル22[[#This Row],[標準体重]])/テーブル22[[#This Row],[標準体重]]*100)</f>
        <v/>
      </c>
      <c r="AD305" s="1">
        <f>COUNTA(テーブル22[[#This Row],[握力]:[ボール投げ]])</f>
        <v>0</v>
      </c>
      <c r="AE305" s="1" t="str">
        <f>IF(テーブル22[[#This Row],[判定]]=$BD$10,"○","")</f>
        <v/>
      </c>
      <c r="AF305" s="1" t="str">
        <f>IF(AE305="","",COUNTIF($AE$6:AE305,"○"))</f>
        <v/>
      </c>
    </row>
    <row r="306" spans="1:32" x14ac:dyDescent="0.2">
      <c r="A306" s="40">
        <v>301</v>
      </c>
      <c r="B306" s="145"/>
      <c r="C306" s="148"/>
      <c r="D306" s="145"/>
      <c r="E306" s="156"/>
      <c r="F306" s="145"/>
      <c r="G306" s="145"/>
      <c r="H306" s="146"/>
      <c r="I306" s="146"/>
      <c r="J306" s="148"/>
      <c r="K306" s="145"/>
      <c r="L306" s="148"/>
      <c r="M306" s="149"/>
      <c r="N306" s="148"/>
      <c r="O306" s="150"/>
      <c r="P3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6" s="43" t="str">
        <f>IF(テーブル22[[#This Row],[得点]]="","",IF(テーブル22[[#This Row],[年齢]]&gt;10,LOOKUP(P306,$BG$6:$BG$10,$BD$6:$BD$10),IF(テーブル22[[#This Row],[年齢]]&gt;9,LOOKUP(P306,$BF$6:$BF$10,$BD$6:$BD$10),IF(テーブル22[[#This Row],[年齢]]&gt;8,LOOKUP(P306,$BE$6:$BE$10,$BD$6:$BD$10),IF(テーブル22[[#This Row],[年齢]]&gt;7,LOOKUP(P306,$BC$6:$BC$10,$BD$6:$BD$10),IF(テーブル22[[#This Row],[年齢]]&gt;6,LOOKUP(P306,$BB$6:$BB$10,$BD$6:$BD$10),LOOKUP(P306,$BA$6:$BA$10,$BD$6:$BD$10)))))))</f>
        <v/>
      </c>
      <c r="R306" s="42">
        <f>IF(H306="",0,(IF(テーブル22[[#This Row],[性別]]="男",LOOKUP(テーブル22[[#This Row],[握力]],$AH$6:$AI$15),LOOKUP(テーブル22[[#This Row],[握力]],$AH$20:$AI$29))))</f>
        <v>0</v>
      </c>
      <c r="S306" s="42">
        <f>IF(テーブル22[[#This Row],[上体]]="",0,(IF(テーブル22[[#This Row],[性別]]="男",LOOKUP(テーブル22[[#This Row],[上体]],$AJ$6:$AK$15),LOOKUP(テーブル22[[#This Row],[上体]],$AJ$20:$AK$29))))</f>
        <v>0</v>
      </c>
      <c r="T306" s="42">
        <f>IF(テーブル22[[#This Row],[長座]]="",0,(IF(テーブル22[[#This Row],[性別]]="男",LOOKUP(テーブル22[[#This Row],[長座]],$AL$6:$AM$15),LOOKUP(テーブル22[[#This Row],[長座]],$AL$20:$AM$29))))</f>
        <v>0</v>
      </c>
      <c r="U306" s="42">
        <f>IF(テーブル22[[#This Row],[反復]]="",0,(IF(テーブル22[[#This Row],[性別]]="男",LOOKUP(テーブル22[[#This Row],[反復]],$AN$6:$AO$15),LOOKUP(テーブル22[[#This Row],[反復]],$AN$20:$AO$29))))</f>
        <v>0</v>
      </c>
      <c r="V306" s="42">
        <f>IF(テーブル22[[#This Row],[ｼｬﾄﾙﾗﾝ]]="",0,(IF(テーブル22[[#This Row],[性別]]="男",LOOKUP(テーブル22[[#This Row],[ｼｬﾄﾙﾗﾝ]],$AR$6:$AS$15),LOOKUP(テーブル22[[#This Row],[ｼｬﾄﾙﾗﾝ]],$AR$20:$AS$29))))</f>
        <v>0</v>
      </c>
      <c r="W306" s="42">
        <f>IF(テーブル22[[#This Row],[50m走]]="",0,(IF(テーブル22[[#This Row],[性別]]="男",LOOKUP(テーブル22[[#This Row],[50m走]],$AT$6:$AU$15),LOOKUP(テーブル22[[#This Row],[50m走]],$AT$20:$AU$29))))</f>
        <v>0</v>
      </c>
      <c r="X306" s="42">
        <f>IF(テーブル22[[#This Row],[立幅とび]]="",0,(IF(テーブル22[[#This Row],[性別]]="男",LOOKUP(テーブル22[[#This Row],[立幅とび]],$AV$6:$AW$15),LOOKUP(テーブル22[[#This Row],[立幅とび]],$AV$20:$AW$29))))</f>
        <v>0</v>
      </c>
      <c r="Y306" s="42">
        <f>IF(テーブル22[[#This Row],[ボール投げ]]="",0,(IF(テーブル22[[#This Row],[性別]]="男",LOOKUP(テーブル22[[#This Row],[ボール投げ]],$AX$6:$AY$15),LOOKUP(テーブル22[[#This Row],[ボール投げ]],$AX$20:$AY$29))))</f>
        <v>0</v>
      </c>
      <c r="Z306" s="19" t="str">
        <f>IF(テーブル22[[#This Row],[学年]]=1,6,IF(テーブル22[[#This Row],[学年]]=2,7,IF(テーブル22[[#This Row],[学年]]=3,8,IF(テーブル22[[#This Row],[学年]]=4,9,IF(テーブル22[[#This Row],[学年]]=5,10,IF(テーブル22[[#This Row],[学年]]=6,11," "))))))</f>
        <v xml:space="preserve"> </v>
      </c>
      <c r="AA306" s="125" t="str">
        <f>IF(テーブル22[[#This Row],[肥満度数値]]="","",LOOKUP(AC306,$AW$39:$AW$44,$AX$39:$AX$44))</f>
        <v/>
      </c>
      <c r="AB3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6" s="124" t="str">
        <f>IF(テーブル22[[#This Row],[体重]]="","",(テーブル22[[#This Row],[体重]]-テーブル22[[#This Row],[標準体重]])/テーブル22[[#This Row],[標準体重]]*100)</f>
        <v/>
      </c>
      <c r="AD306" s="1">
        <f>COUNTA(テーブル22[[#This Row],[握力]:[ボール投げ]])</f>
        <v>0</v>
      </c>
      <c r="AE306" s="1" t="str">
        <f>IF(テーブル22[[#This Row],[判定]]=$BD$10,"○","")</f>
        <v/>
      </c>
      <c r="AF306" s="1" t="str">
        <f>IF(AE306="","",COUNTIF($AE$6:AE306,"○"))</f>
        <v/>
      </c>
    </row>
    <row r="307" spans="1:32" x14ac:dyDescent="0.2">
      <c r="A307" s="40">
        <v>302</v>
      </c>
      <c r="B307" s="145"/>
      <c r="C307" s="148"/>
      <c r="D307" s="145"/>
      <c r="E307" s="156"/>
      <c r="F307" s="145"/>
      <c r="G307" s="145"/>
      <c r="H307" s="146"/>
      <c r="I307" s="146"/>
      <c r="J307" s="148"/>
      <c r="K307" s="145"/>
      <c r="L307" s="148"/>
      <c r="M307" s="149"/>
      <c r="N307" s="148"/>
      <c r="O307" s="150"/>
      <c r="P3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7" s="43" t="str">
        <f>IF(テーブル22[[#This Row],[得点]]="","",IF(テーブル22[[#This Row],[年齢]]&gt;10,LOOKUP(P307,$BG$6:$BG$10,$BD$6:$BD$10),IF(テーブル22[[#This Row],[年齢]]&gt;9,LOOKUP(P307,$BF$6:$BF$10,$BD$6:$BD$10),IF(テーブル22[[#This Row],[年齢]]&gt;8,LOOKUP(P307,$BE$6:$BE$10,$BD$6:$BD$10),IF(テーブル22[[#This Row],[年齢]]&gt;7,LOOKUP(P307,$BC$6:$BC$10,$BD$6:$BD$10),IF(テーブル22[[#This Row],[年齢]]&gt;6,LOOKUP(P307,$BB$6:$BB$10,$BD$6:$BD$10),LOOKUP(P307,$BA$6:$BA$10,$BD$6:$BD$10)))))))</f>
        <v/>
      </c>
      <c r="R307" s="42">
        <f>IF(H307="",0,(IF(テーブル22[[#This Row],[性別]]="男",LOOKUP(テーブル22[[#This Row],[握力]],$AH$6:$AI$15),LOOKUP(テーブル22[[#This Row],[握力]],$AH$20:$AI$29))))</f>
        <v>0</v>
      </c>
      <c r="S307" s="42">
        <f>IF(テーブル22[[#This Row],[上体]]="",0,(IF(テーブル22[[#This Row],[性別]]="男",LOOKUP(テーブル22[[#This Row],[上体]],$AJ$6:$AK$15),LOOKUP(テーブル22[[#This Row],[上体]],$AJ$20:$AK$29))))</f>
        <v>0</v>
      </c>
      <c r="T307" s="42">
        <f>IF(テーブル22[[#This Row],[長座]]="",0,(IF(テーブル22[[#This Row],[性別]]="男",LOOKUP(テーブル22[[#This Row],[長座]],$AL$6:$AM$15),LOOKUP(テーブル22[[#This Row],[長座]],$AL$20:$AM$29))))</f>
        <v>0</v>
      </c>
      <c r="U307" s="42">
        <f>IF(テーブル22[[#This Row],[反復]]="",0,(IF(テーブル22[[#This Row],[性別]]="男",LOOKUP(テーブル22[[#This Row],[反復]],$AN$6:$AO$15),LOOKUP(テーブル22[[#This Row],[反復]],$AN$20:$AO$29))))</f>
        <v>0</v>
      </c>
      <c r="V307" s="42">
        <f>IF(テーブル22[[#This Row],[ｼｬﾄﾙﾗﾝ]]="",0,(IF(テーブル22[[#This Row],[性別]]="男",LOOKUP(テーブル22[[#This Row],[ｼｬﾄﾙﾗﾝ]],$AR$6:$AS$15),LOOKUP(テーブル22[[#This Row],[ｼｬﾄﾙﾗﾝ]],$AR$20:$AS$29))))</f>
        <v>0</v>
      </c>
      <c r="W307" s="42">
        <f>IF(テーブル22[[#This Row],[50m走]]="",0,(IF(テーブル22[[#This Row],[性別]]="男",LOOKUP(テーブル22[[#This Row],[50m走]],$AT$6:$AU$15),LOOKUP(テーブル22[[#This Row],[50m走]],$AT$20:$AU$29))))</f>
        <v>0</v>
      </c>
      <c r="X307" s="42">
        <f>IF(テーブル22[[#This Row],[立幅とび]]="",0,(IF(テーブル22[[#This Row],[性別]]="男",LOOKUP(テーブル22[[#This Row],[立幅とび]],$AV$6:$AW$15),LOOKUP(テーブル22[[#This Row],[立幅とび]],$AV$20:$AW$29))))</f>
        <v>0</v>
      </c>
      <c r="Y307" s="42">
        <f>IF(テーブル22[[#This Row],[ボール投げ]]="",0,(IF(テーブル22[[#This Row],[性別]]="男",LOOKUP(テーブル22[[#This Row],[ボール投げ]],$AX$6:$AY$15),LOOKUP(テーブル22[[#This Row],[ボール投げ]],$AX$20:$AY$29))))</f>
        <v>0</v>
      </c>
      <c r="Z307" s="19" t="str">
        <f>IF(テーブル22[[#This Row],[学年]]=1,6,IF(テーブル22[[#This Row],[学年]]=2,7,IF(テーブル22[[#This Row],[学年]]=3,8,IF(テーブル22[[#This Row],[学年]]=4,9,IF(テーブル22[[#This Row],[学年]]=5,10,IF(テーブル22[[#This Row],[学年]]=6,11," "))))))</f>
        <v xml:space="preserve"> </v>
      </c>
      <c r="AA307" s="125" t="str">
        <f>IF(テーブル22[[#This Row],[肥満度数値]]="","",LOOKUP(AC307,$AW$39:$AW$44,$AX$39:$AX$44))</f>
        <v/>
      </c>
      <c r="AB3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7" s="124" t="str">
        <f>IF(テーブル22[[#This Row],[体重]]="","",(テーブル22[[#This Row],[体重]]-テーブル22[[#This Row],[標準体重]])/テーブル22[[#This Row],[標準体重]]*100)</f>
        <v/>
      </c>
      <c r="AD307" s="1">
        <f>COUNTA(テーブル22[[#This Row],[握力]:[ボール投げ]])</f>
        <v>0</v>
      </c>
      <c r="AE307" s="1" t="str">
        <f>IF(テーブル22[[#This Row],[判定]]=$BD$10,"○","")</f>
        <v/>
      </c>
      <c r="AF307" s="1" t="str">
        <f>IF(AE307="","",COUNTIF($AE$6:AE307,"○"))</f>
        <v/>
      </c>
    </row>
    <row r="308" spans="1:32" x14ac:dyDescent="0.2">
      <c r="A308" s="40">
        <v>303</v>
      </c>
      <c r="B308" s="145"/>
      <c r="C308" s="148"/>
      <c r="D308" s="145"/>
      <c r="E308" s="156"/>
      <c r="F308" s="145"/>
      <c r="G308" s="145"/>
      <c r="H308" s="146"/>
      <c r="I308" s="146"/>
      <c r="J308" s="148"/>
      <c r="K308" s="145"/>
      <c r="L308" s="148"/>
      <c r="M308" s="149"/>
      <c r="N308" s="148"/>
      <c r="O308" s="150"/>
      <c r="P3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8" s="43" t="str">
        <f>IF(テーブル22[[#This Row],[得点]]="","",IF(テーブル22[[#This Row],[年齢]]&gt;10,LOOKUP(P308,$BG$6:$BG$10,$BD$6:$BD$10),IF(テーブル22[[#This Row],[年齢]]&gt;9,LOOKUP(P308,$BF$6:$BF$10,$BD$6:$BD$10),IF(テーブル22[[#This Row],[年齢]]&gt;8,LOOKUP(P308,$BE$6:$BE$10,$BD$6:$BD$10),IF(テーブル22[[#This Row],[年齢]]&gt;7,LOOKUP(P308,$BC$6:$BC$10,$BD$6:$BD$10),IF(テーブル22[[#This Row],[年齢]]&gt;6,LOOKUP(P308,$BB$6:$BB$10,$BD$6:$BD$10),LOOKUP(P308,$BA$6:$BA$10,$BD$6:$BD$10)))))))</f>
        <v/>
      </c>
      <c r="R308" s="42">
        <f>IF(H308="",0,(IF(テーブル22[[#This Row],[性別]]="男",LOOKUP(テーブル22[[#This Row],[握力]],$AH$6:$AI$15),LOOKUP(テーブル22[[#This Row],[握力]],$AH$20:$AI$29))))</f>
        <v>0</v>
      </c>
      <c r="S308" s="42">
        <f>IF(テーブル22[[#This Row],[上体]]="",0,(IF(テーブル22[[#This Row],[性別]]="男",LOOKUP(テーブル22[[#This Row],[上体]],$AJ$6:$AK$15),LOOKUP(テーブル22[[#This Row],[上体]],$AJ$20:$AK$29))))</f>
        <v>0</v>
      </c>
      <c r="T308" s="42">
        <f>IF(テーブル22[[#This Row],[長座]]="",0,(IF(テーブル22[[#This Row],[性別]]="男",LOOKUP(テーブル22[[#This Row],[長座]],$AL$6:$AM$15),LOOKUP(テーブル22[[#This Row],[長座]],$AL$20:$AM$29))))</f>
        <v>0</v>
      </c>
      <c r="U308" s="42">
        <f>IF(テーブル22[[#This Row],[反復]]="",0,(IF(テーブル22[[#This Row],[性別]]="男",LOOKUP(テーブル22[[#This Row],[反復]],$AN$6:$AO$15),LOOKUP(テーブル22[[#This Row],[反復]],$AN$20:$AO$29))))</f>
        <v>0</v>
      </c>
      <c r="V308" s="42">
        <f>IF(テーブル22[[#This Row],[ｼｬﾄﾙﾗﾝ]]="",0,(IF(テーブル22[[#This Row],[性別]]="男",LOOKUP(テーブル22[[#This Row],[ｼｬﾄﾙﾗﾝ]],$AR$6:$AS$15),LOOKUP(テーブル22[[#This Row],[ｼｬﾄﾙﾗﾝ]],$AR$20:$AS$29))))</f>
        <v>0</v>
      </c>
      <c r="W308" s="42">
        <f>IF(テーブル22[[#This Row],[50m走]]="",0,(IF(テーブル22[[#This Row],[性別]]="男",LOOKUP(テーブル22[[#This Row],[50m走]],$AT$6:$AU$15),LOOKUP(テーブル22[[#This Row],[50m走]],$AT$20:$AU$29))))</f>
        <v>0</v>
      </c>
      <c r="X308" s="42">
        <f>IF(テーブル22[[#This Row],[立幅とび]]="",0,(IF(テーブル22[[#This Row],[性別]]="男",LOOKUP(テーブル22[[#This Row],[立幅とび]],$AV$6:$AW$15),LOOKUP(テーブル22[[#This Row],[立幅とび]],$AV$20:$AW$29))))</f>
        <v>0</v>
      </c>
      <c r="Y308" s="42">
        <f>IF(テーブル22[[#This Row],[ボール投げ]]="",0,(IF(テーブル22[[#This Row],[性別]]="男",LOOKUP(テーブル22[[#This Row],[ボール投げ]],$AX$6:$AY$15),LOOKUP(テーブル22[[#This Row],[ボール投げ]],$AX$20:$AY$29))))</f>
        <v>0</v>
      </c>
      <c r="Z308" s="19" t="str">
        <f>IF(テーブル22[[#This Row],[学年]]=1,6,IF(テーブル22[[#This Row],[学年]]=2,7,IF(テーブル22[[#This Row],[学年]]=3,8,IF(テーブル22[[#This Row],[学年]]=4,9,IF(テーブル22[[#This Row],[学年]]=5,10,IF(テーブル22[[#This Row],[学年]]=6,11," "))))))</f>
        <v xml:space="preserve"> </v>
      </c>
      <c r="AA308" s="125" t="str">
        <f>IF(テーブル22[[#This Row],[肥満度数値]]="","",LOOKUP(AC308,$AW$39:$AW$44,$AX$39:$AX$44))</f>
        <v/>
      </c>
      <c r="AB3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8" s="124" t="str">
        <f>IF(テーブル22[[#This Row],[体重]]="","",(テーブル22[[#This Row],[体重]]-テーブル22[[#This Row],[標準体重]])/テーブル22[[#This Row],[標準体重]]*100)</f>
        <v/>
      </c>
      <c r="AD308" s="1">
        <f>COUNTA(テーブル22[[#This Row],[握力]:[ボール投げ]])</f>
        <v>0</v>
      </c>
      <c r="AE308" s="1" t="str">
        <f>IF(テーブル22[[#This Row],[判定]]=$BD$10,"○","")</f>
        <v/>
      </c>
      <c r="AF308" s="1" t="str">
        <f>IF(AE308="","",COUNTIF($AE$6:AE308,"○"))</f>
        <v/>
      </c>
    </row>
    <row r="309" spans="1:32" x14ac:dyDescent="0.2">
      <c r="A309" s="40">
        <v>304</v>
      </c>
      <c r="B309" s="145"/>
      <c r="C309" s="148"/>
      <c r="D309" s="145"/>
      <c r="E309" s="156"/>
      <c r="F309" s="145"/>
      <c r="G309" s="145"/>
      <c r="H309" s="146"/>
      <c r="I309" s="146"/>
      <c r="J309" s="148"/>
      <c r="K309" s="145"/>
      <c r="L309" s="148"/>
      <c r="M309" s="149"/>
      <c r="N309" s="148"/>
      <c r="O309" s="150"/>
      <c r="P3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09" s="43" t="str">
        <f>IF(テーブル22[[#This Row],[得点]]="","",IF(テーブル22[[#This Row],[年齢]]&gt;10,LOOKUP(P309,$BG$6:$BG$10,$BD$6:$BD$10),IF(テーブル22[[#This Row],[年齢]]&gt;9,LOOKUP(P309,$BF$6:$BF$10,$BD$6:$BD$10),IF(テーブル22[[#This Row],[年齢]]&gt;8,LOOKUP(P309,$BE$6:$BE$10,$BD$6:$BD$10),IF(テーブル22[[#This Row],[年齢]]&gt;7,LOOKUP(P309,$BC$6:$BC$10,$BD$6:$BD$10),IF(テーブル22[[#This Row],[年齢]]&gt;6,LOOKUP(P309,$BB$6:$BB$10,$BD$6:$BD$10),LOOKUP(P309,$BA$6:$BA$10,$BD$6:$BD$10)))))))</f>
        <v/>
      </c>
      <c r="R309" s="42">
        <f>IF(H309="",0,(IF(テーブル22[[#This Row],[性別]]="男",LOOKUP(テーブル22[[#This Row],[握力]],$AH$6:$AI$15),LOOKUP(テーブル22[[#This Row],[握力]],$AH$20:$AI$29))))</f>
        <v>0</v>
      </c>
      <c r="S309" s="42">
        <f>IF(テーブル22[[#This Row],[上体]]="",0,(IF(テーブル22[[#This Row],[性別]]="男",LOOKUP(テーブル22[[#This Row],[上体]],$AJ$6:$AK$15),LOOKUP(テーブル22[[#This Row],[上体]],$AJ$20:$AK$29))))</f>
        <v>0</v>
      </c>
      <c r="T309" s="42">
        <f>IF(テーブル22[[#This Row],[長座]]="",0,(IF(テーブル22[[#This Row],[性別]]="男",LOOKUP(テーブル22[[#This Row],[長座]],$AL$6:$AM$15),LOOKUP(テーブル22[[#This Row],[長座]],$AL$20:$AM$29))))</f>
        <v>0</v>
      </c>
      <c r="U309" s="42">
        <f>IF(テーブル22[[#This Row],[反復]]="",0,(IF(テーブル22[[#This Row],[性別]]="男",LOOKUP(テーブル22[[#This Row],[反復]],$AN$6:$AO$15),LOOKUP(テーブル22[[#This Row],[反復]],$AN$20:$AO$29))))</f>
        <v>0</v>
      </c>
      <c r="V309" s="42">
        <f>IF(テーブル22[[#This Row],[ｼｬﾄﾙﾗﾝ]]="",0,(IF(テーブル22[[#This Row],[性別]]="男",LOOKUP(テーブル22[[#This Row],[ｼｬﾄﾙﾗﾝ]],$AR$6:$AS$15),LOOKUP(テーブル22[[#This Row],[ｼｬﾄﾙﾗﾝ]],$AR$20:$AS$29))))</f>
        <v>0</v>
      </c>
      <c r="W309" s="42">
        <f>IF(テーブル22[[#This Row],[50m走]]="",0,(IF(テーブル22[[#This Row],[性別]]="男",LOOKUP(テーブル22[[#This Row],[50m走]],$AT$6:$AU$15),LOOKUP(テーブル22[[#This Row],[50m走]],$AT$20:$AU$29))))</f>
        <v>0</v>
      </c>
      <c r="X309" s="42">
        <f>IF(テーブル22[[#This Row],[立幅とび]]="",0,(IF(テーブル22[[#This Row],[性別]]="男",LOOKUP(テーブル22[[#This Row],[立幅とび]],$AV$6:$AW$15),LOOKUP(テーブル22[[#This Row],[立幅とび]],$AV$20:$AW$29))))</f>
        <v>0</v>
      </c>
      <c r="Y309" s="42">
        <f>IF(テーブル22[[#This Row],[ボール投げ]]="",0,(IF(テーブル22[[#This Row],[性別]]="男",LOOKUP(テーブル22[[#This Row],[ボール投げ]],$AX$6:$AY$15),LOOKUP(テーブル22[[#This Row],[ボール投げ]],$AX$20:$AY$29))))</f>
        <v>0</v>
      </c>
      <c r="Z309" s="19" t="str">
        <f>IF(テーブル22[[#This Row],[学年]]=1,6,IF(テーブル22[[#This Row],[学年]]=2,7,IF(テーブル22[[#This Row],[学年]]=3,8,IF(テーブル22[[#This Row],[学年]]=4,9,IF(テーブル22[[#This Row],[学年]]=5,10,IF(テーブル22[[#This Row],[学年]]=6,11," "))))))</f>
        <v xml:space="preserve"> </v>
      </c>
      <c r="AA309" s="125" t="str">
        <f>IF(テーブル22[[#This Row],[肥満度数値]]="","",LOOKUP(AC309,$AW$39:$AW$44,$AX$39:$AX$44))</f>
        <v/>
      </c>
      <c r="AB3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09" s="124" t="str">
        <f>IF(テーブル22[[#This Row],[体重]]="","",(テーブル22[[#This Row],[体重]]-テーブル22[[#This Row],[標準体重]])/テーブル22[[#This Row],[標準体重]]*100)</f>
        <v/>
      </c>
      <c r="AD309" s="1">
        <f>COUNTA(テーブル22[[#This Row],[握力]:[ボール投げ]])</f>
        <v>0</v>
      </c>
      <c r="AE309" s="1" t="str">
        <f>IF(テーブル22[[#This Row],[判定]]=$BD$10,"○","")</f>
        <v/>
      </c>
      <c r="AF309" s="1" t="str">
        <f>IF(AE309="","",COUNTIF($AE$6:AE309,"○"))</f>
        <v/>
      </c>
    </row>
    <row r="310" spans="1:32" x14ac:dyDescent="0.2">
      <c r="A310" s="40">
        <v>305</v>
      </c>
      <c r="B310" s="145"/>
      <c r="C310" s="148"/>
      <c r="D310" s="145"/>
      <c r="E310" s="156"/>
      <c r="F310" s="145"/>
      <c r="G310" s="145"/>
      <c r="H310" s="146"/>
      <c r="I310" s="146"/>
      <c r="J310" s="148"/>
      <c r="K310" s="145"/>
      <c r="L310" s="148"/>
      <c r="M310" s="149"/>
      <c r="N310" s="148"/>
      <c r="O310" s="150"/>
      <c r="P3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0" s="43" t="str">
        <f>IF(テーブル22[[#This Row],[得点]]="","",IF(テーブル22[[#This Row],[年齢]]&gt;10,LOOKUP(P310,$BG$6:$BG$10,$BD$6:$BD$10),IF(テーブル22[[#This Row],[年齢]]&gt;9,LOOKUP(P310,$BF$6:$BF$10,$BD$6:$BD$10),IF(テーブル22[[#This Row],[年齢]]&gt;8,LOOKUP(P310,$BE$6:$BE$10,$BD$6:$BD$10),IF(テーブル22[[#This Row],[年齢]]&gt;7,LOOKUP(P310,$BC$6:$BC$10,$BD$6:$BD$10),IF(テーブル22[[#This Row],[年齢]]&gt;6,LOOKUP(P310,$BB$6:$BB$10,$BD$6:$BD$10),LOOKUP(P310,$BA$6:$BA$10,$BD$6:$BD$10)))))))</f>
        <v/>
      </c>
      <c r="R310" s="42">
        <f>IF(H310="",0,(IF(テーブル22[[#This Row],[性別]]="男",LOOKUP(テーブル22[[#This Row],[握力]],$AH$6:$AI$15),LOOKUP(テーブル22[[#This Row],[握力]],$AH$20:$AI$29))))</f>
        <v>0</v>
      </c>
      <c r="S310" s="42">
        <f>IF(テーブル22[[#This Row],[上体]]="",0,(IF(テーブル22[[#This Row],[性別]]="男",LOOKUP(テーブル22[[#This Row],[上体]],$AJ$6:$AK$15),LOOKUP(テーブル22[[#This Row],[上体]],$AJ$20:$AK$29))))</f>
        <v>0</v>
      </c>
      <c r="T310" s="42">
        <f>IF(テーブル22[[#This Row],[長座]]="",0,(IF(テーブル22[[#This Row],[性別]]="男",LOOKUP(テーブル22[[#This Row],[長座]],$AL$6:$AM$15),LOOKUP(テーブル22[[#This Row],[長座]],$AL$20:$AM$29))))</f>
        <v>0</v>
      </c>
      <c r="U310" s="42">
        <f>IF(テーブル22[[#This Row],[反復]]="",0,(IF(テーブル22[[#This Row],[性別]]="男",LOOKUP(テーブル22[[#This Row],[反復]],$AN$6:$AO$15),LOOKUP(テーブル22[[#This Row],[反復]],$AN$20:$AO$29))))</f>
        <v>0</v>
      </c>
      <c r="V310" s="42">
        <f>IF(テーブル22[[#This Row],[ｼｬﾄﾙﾗﾝ]]="",0,(IF(テーブル22[[#This Row],[性別]]="男",LOOKUP(テーブル22[[#This Row],[ｼｬﾄﾙﾗﾝ]],$AR$6:$AS$15),LOOKUP(テーブル22[[#This Row],[ｼｬﾄﾙﾗﾝ]],$AR$20:$AS$29))))</f>
        <v>0</v>
      </c>
      <c r="W310" s="42">
        <f>IF(テーブル22[[#This Row],[50m走]]="",0,(IF(テーブル22[[#This Row],[性別]]="男",LOOKUP(テーブル22[[#This Row],[50m走]],$AT$6:$AU$15),LOOKUP(テーブル22[[#This Row],[50m走]],$AT$20:$AU$29))))</f>
        <v>0</v>
      </c>
      <c r="X310" s="42">
        <f>IF(テーブル22[[#This Row],[立幅とび]]="",0,(IF(テーブル22[[#This Row],[性別]]="男",LOOKUP(テーブル22[[#This Row],[立幅とび]],$AV$6:$AW$15),LOOKUP(テーブル22[[#This Row],[立幅とび]],$AV$20:$AW$29))))</f>
        <v>0</v>
      </c>
      <c r="Y310" s="42">
        <f>IF(テーブル22[[#This Row],[ボール投げ]]="",0,(IF(テーブル22[[#This Row],[性別]]="男",LOOKUP(テーブル22[[#This Row],[ボール投げ]],$AX$6:$AY$15),LOOKUP(テーブル22[[#This Row],[ボール投げ]],$AX$20:$AY$29))))</f>
        <v>0</v>
      </c>
      <c r="Z310" s="19" t="str">
        <f>IF(テーブル22[[#This Row],[学年]]=1,6,IF(テーブル22[[#This Row],[学年]]=2,7,IF(テーブル22[[#This Row],[学年]]=3,8,IF(テーブル22[[#This Row],[学年]]=4,9,IF(テーブル22[[#This Row],[学年]]=5,10,IF(テーブル22[[#This Row],[学年]]=6,11," "))))))</f>
        <v xml:space="preserve"> </v>
      </c>
      <c r="AA310" s="125" t="str">
        <f>IF(テーブル22[[#This Row],[肥満度数値]]="","",LOOKUP(AC310,$AW$39:$AW$44,$AX$39:$AX$44))</f>
        <v/>
      </c>
      <c r="AB3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0" s="124" t="str">
        <f>IF(テーブル22[[#This Row],[体重]]="","",(テーブル22[[#This Row],[体重]]-テーブル22[[#This Row],[標準体重]])/テーブル22[[#This Row],[標準体重]]*100)</f>
        <v/>
      </c>
      <c r="AD310" s="1">
        <f>COUNTA(テーブル22[[#This Row],[握力]:[ボール投げ]])</f>
        <v>0</v>
      </c>
      <c r="AE310" s="1" t="str">
        <f>IF(テーブル22[[#This Row],[判定]]=$BD$10,"○","")</f>
        <v/>
      </c>
      <c r="AF310" s="1" t="str">
        <f>IF(AE310="","",COUNTIF($AE$6:AE310,"○"))</f>
        <v/>
      </c>
    </row>
    <row r="311" spans="1:32" x14ac:dyDescent="0.2">
      <c r="A311" s="40">
        <v>306</v>
      </c>
      <c r="B311" s="145"/>
      <c r="C311" s="148"/>
      <c r="D311" s="145"/>
      <c r="E311" s="156"/>
      <c r="F311" s="145"/>
      <c r="G311" s="145"/>
      <c r="H311" s="146"/>
      <c r="I311" s="146"/>
      <c r="J311" s="148"/>
      <c r="K311" s="145"/>
      <c r="L311" s="148"/>
      <c r="M311" s="149"/>
      <c r="N311" s="148"/>
      <c r="O311" s="150"/>
      <c r="P3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1" s="43" t="str">
        <f>IF(テーブル22[[#This Row],[得点]]="","",IF(テーブル22[[#This Row],[年齢]]&gt;10,LOOKUP(P311,$BG$6:$BG$10,$BD$6:$BD$10),IF(テーブル22[[#This Row],[年齢]]&gt;9,LOOKUP(P311,$BF$6:$BF$10,$BD$6:$BD$10),IF(テーブル22[[#This Row],[年齢]]&gt;8,LOOKUP(P311,$BE$6:$BE$10,$BD$6:$BD$10),IF(テーブル22[[#This Row],[年齢]]&gt;7,LOOKUP(P311,$BC$6:$BC$10,$BD$6:$BD$10),IF(テーブル22[[#This Row],[年齢]]&gt;6,LOOKUP(P311,$BB$6:$BB$10,$BD$6:$BD$10),LOOKUP(P311,$BA$6:$BA$10,$BD$6:$BD$10)))))))</f>
        <v/>
      </c>
      <c r="R311" s="42">
        <f>IF(H311="",0,(IF(テーブル22[[#This Row],[性別]]="男",LOOKUP(テーブル22[[#This Row],[握力]],$AH$6:$AI$15),LOOKUP(テーブル22[[#This Row],[握力]],$AH$20:$AI$29))))</f>
        <v>0</v>
      </c>
      <c r="S311" s="42">
        <f>IF(テーブル22[[#This Row],[上体]]="",0,(IF(テーブル22[[#This Row],[性別]]="男",LOOKUP(テーブル22[[#This Row],[上体]],$AJ$6:$AK$15),LOOKUP(テーブル22[[#This Row],[上体]],$AJ$20:$AK$29))))</f>
        <v>0</v>
      </c>
      <c r="T311" s="42">
        <f>IF(テーブル22[[#This Row],[長座]]="",0,(IF(テーブル22[[#This Row],[性別]]="男",LOOKUP(テーブル22[[#This Row],[長座]],$AL$6:$AM$15),LOOKUP(テーブル22[[#This Row],[長座]],$AL$20:$AM$29))))</f>
        <v>0</v>
      </c>
      <c r="U311" s="42">
        <f>IF(テーブル22[[#This Row],[反復]]="",0,(IF(テーブル22[[#This Row],[性別]]="男",LOOKUP(テーブル22[[#This Row],[反復]],$AN$6:$AO$15),LOOKUP(テーブル22[[#This Row],[反復]],$AN$20:$AO$29))))</f>
        <v>0</v>
      </c>
      <c r="V311" s="42">
        <f>IF(テーブル22[[#This Row],[ｼｬﾄﾙﾗﾝ]]="",0,(IF(テーブル22[[#This Row],[性別]]="男",LOOKUP(テーブル22[[#This Row],[ｼｬﾄﾙﾗﾝ]],$AR$6:$AS$15),LOOKUP(テーブル22[[#This Row],[ｼｬﾄﾙﾗﾝ]],$AR$20:$AS$29))))</f>
        <v>0</v>
      </c>
      <c r="W311" s="42">
        <f>IF(テーブル22[[#This Row],[50m走]]="",0,(IF(テーブル22[[#This Row],[性別]]="男",LOOKUP(テーブル22[[#This Row],[50m走]],$AT$6:$AU$15),LOOKUP(テーブル22[[#This Row],[50m走]],$AT$20:$AU$29))))</f>
        <v>0</v>
      </c>
      <c r="X311" s="42">
        <f>IF(テーブル22[[#This Row],[立幅とび]]="",0,(IF(テーブル22[[#This Row],[性別]]="男",LOOKUP(テーブル22[[#This Row],[立幅とび]],$AV$6:$AW$15),LOOKUP(テーブル22[[#This Row],[立幅とび]],$AV$20:$AW$29))))</f>
        <v>0</v>
      </c>
      <c r="Y311" s="42">
        <f>IF(テーブル22[[#This Row],[ボール投げ]]="",0,(IF(テーブル22[[#This Row],[性別]]="男",LOOKUP(テーブル22[[#This Row],[ボール投げ]],$AX$6:$AY$15),LOOKUP(テーブル22[[#This Row],[ボール投げ]],$AX$20:$AY$29))))</f>
        <v>0</v>
      </c>
      <c r="Z311" s="19" t="str">
        <f>IF(テーブル22[[#This Row],[学年]]=1,6,IF(テーブル22[[#This Row],[学年]]=2,7,IF(テーブル22[[#This Row],[学年]]=3,8,IF(テーブル22[[#This Row],[学年]]=4,9,IF(テーブル22[[#This Row],[学年]]=5,10,IF(テーブル22[[#This Row],[学年]]=6,11," "))))))</f>
        <v xml:space="preserve"> </v>
      </c>
      <c r="AA311" s="125" t="str">
        <f>IF(テーブル22[[#This Row],[肥満度数値]]="","",LOOKUP(AC311,$AW$39:$AW$44,$AX$39:$AX$44))</f>
        <v/>
      </c>
      <c r="AB3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1" s="124" t="str">
        <f>IF(テーブル22[[#This Row],[体重]]="","",(テーブル22[[#This Row],[体重]]-テーブル22[[#This Row],[標準体重]])/テーブル22[[#This Row],[標準体重]]*100)</f>
        <v/>
      </c>
      <c r="AD311" s="1">
        <f>COUNTA(テーブル22[[#This Row],[握力]:[ボール投げ]])</f>
        <v>0</v>
      </c>
      <c r="AE311" s="1" t="str">
        <f>IF(テーブル22[[#This Row],[判定]]=$BD$10,"○","")</f>
        <v/>
      </c>
      <c r="AF311" s="1" t="str">
        <f>IF(AE311="","",COUNTIF($AE$6:AE311,"○"))</f>
        <v/>
      </c>
    </row>
    <row r="312" spans="1:32" x14ac:dyDescent="0.2">
      <c r="A312" s="40">
        <v>307</v>
      </c>
      <c r="B312" s="145"/>
      <c r="C312" s="148"/>
      <c r="D312" s="145"/>
      <c r="E312" s="156"/>
      <c r="F312" s="145"/>
      <c r="G312" s="145"/>
      <c r="H312" s="146"/>
      <c r="I312" s="146"/>
      <c r="J312" s="148"/>
      <c r="K312" s="145"/>
      <c r="L312" s="148"/>
      <c r="M312" s="149"/>
      <c r="N312" s="148"/>
      <c r="O312" s="150"/>
      <c r="P3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2" s="43" t="str">
        <f>IF(テーブル22[[#This Row],[得点]]="","",IF(テーブル22[[#This Row],[年齢]]&gt;10,LOOKUP(P312,$BG$6:$BG$10,$BD$6:$BD$10),IF(テーブル22[[#This Row],[年齢]]&gt;9,LOOKUP(P312,$BF$6:$BF$10,$BD$6:$BD$10),IF(テーブル22[[#This Row],[年齢]]&gt;8,LOOKUP(P312,$BE$6:$BE$10,$BD$6:$BD$10),IF(テーブル22[[#This Row],[年齢]]&gt;7,LOOKUP(P312,$BC$6:$BC$10,$BD$6:$BD$10),IF(テーブル22[[#This Row],[年齢]]&gt;6,LOOKUP(P312,$BB$6:$BB$10,$BD$6:$BD$10),LOOKUP(P312,$BA$6:$BA$10,$BD$6:$BD$10)))))))</f>
        <v/>
      </c>
      <c r="R312" s="42">
        <f>IF(H312="",0,(IF(テーブル22[[#This Row],[性別]]="男",LOOKUP(テーブル22[[#This Row],[握力]],$AH$6:$AI$15),LOOKUP(テーブル22[[#This Row],[握力]],$AH$20:$AI$29))))</f>
        <v>0</v>
      </c>
      <c r="S312" s="42">
        <f>IF(テーブル22[[#This Row],[上体]]="",0,(IF(テーブル22[[#This Row],[性別]]="男",LOOKUP(テーブル22[[#This Row],[上体]],$AJ$6:$AK$15),LOOKUP(テーブル22[[#This Row],[上体]],$AJ$20:$AK$29))))</f>
        <v>0</v>
      </c>
      <c r="T312" s="42">
        <f>IF(テーブル22[[#This Row],[長座]]="",0,(IF(テーブル22[[#This Row],[性別]]="男",LOOKUP(テーブル22[[#This Row],[長座]],$AL$6:$AM$15),LOOKUP(テーブル22[[#This Row],[長座]],$AL$20:$AM$29))))</f>
        <v>0</v>
      </c>
      <c r="U312" s="42">
        <f>IF(テーブル22[[#This Row],[反復]]="",0,(IF(テーブル22[[#This Row],[性別]]="男",LOOKUP(テーブル22[[#This Row],[反復]],$AN$6:$AO$15),LOOKUP(テーブル22[[#This Row],[反復]],$AN$20:$AO$29))))</f>
        <v>0</v>
      </c>
      <c r="V312" s="42">
        <f>IF(テーブル22[[#This Row],[ｼｬﾄﾙﾗﾝ]]="",0,(IF(テーブル22[[#This Row],[性別]]="男",LOOKUP(テーブル22[[#This Row],[ｼｬﾄﾙﾗﾝ]],$AR$6:$AS$15),LOOKUP(テーブル22[[#This Row],[ｼｬﾄﾙﾗﾝ]],$AR$20:$AS$29))))</f>
        <v>0</v>
      </c>
      <c r="W312" s="42">
        <f>IF(テーブル22[[#This Row],[50m走]]="",0,(IF(テーブル22[[#This Row],[性別]]="男",LOOKUP(テーブル22[[#This Row],[50m走]],$AT$6:$AU$15),LOOKUP(テーブル22[[#This Row],[50m走]],$AT$20:$AU$29))))</f>
        <v>0</v>
      </c>
      <c r="X312" s="42">
        <f>IF(テーブル22[[#This Row],[立幅とび]]="",0,(IF(テーブル22[[#This Row],[性別]]="男",LOOKUP(テーブル22[[#This Row],[立幅とび]],$AV$6:$AW$15),LOOKUP(テーブル22[[#This Row],[立幅とび]],$AV$20:$AW$29))))</f>
        <v>0</v>
      </c>
      <c r="Y312" s="42">
        <f>IF(テーブル22[[#This Row],[ボール投げ]]="",0,(IF(テーブル22[[#This Row],[性別]]="男",LOOKUP(テーブル22[[#This Row],[ボール投げ]],$AX$6:$AY$15),LOOKUP(テーブル22[[#This Row],[ボール投げ]],$AX$20:$AY$29))))</f>
        <v>0</v>
      </c>
      <c r="Z312" s="19" t="str">
        <f>IF(テーブル22[[#This Row],[学年]]=1,6,IF(テーブル22[[#This Row],[学年]]=2,7,IF(テーブル22[[#This Row],[学年]]=3,8,IF(テーブル22[[#This Row],[学年]]=4,9,IF(テーブル22[[#This Row],[学年]]=5,10,IF(テーブル22[[#This Row],[学年]]=6,11," "))))))</f>
        <v xml:space="preserve"> </v>
      </c>
      <c r="AA312" s="125" t="str">
        <f>IF(テーブル22[[#This Row],[肥満度数値]]="","",LOOKUP(AC312,$AW$39:$AW$44,$AX$39:$AX$44))</f>
        <v/>
      </c>
      <c r="AB3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2" s="124" t="str">
        <f>IF(テーブル22[[#This Row],[体重]]="","",(テーブル22[[#This Row],[体重]]-テーブル22[[#This Row],[標準体重]])/テーブル22[[#This Row],[標準体重]]*100)</f>
        <v/>
      </c>
      <c r="AD312" s="1">
        <f>COUNTA(テーブル22[[#This Row],[握力]:[ボール投げ]])</f>
        <v>0</v>
      </c>
      <c r="AE312" s="1" t="str">
        <f>IF(テーブル22[[#This Row],[判定]]=$BD$10,"○","")</f>
        <v/>
      </c>
      <c r="AF312" s="1" t="str">
        <f>IF(AE312="","",COUNTIF($AE$6:AE312,"○"))</f>
        <v/>
      </c>
    </row>
    <row r="313" spans="1:32" x14ac:dyDescent="0.2">
      <c r="A313" s="40">
        <v>308</v>
      </c>
      <c r="B313" s="145"/>
      <c r="C313" s="148"/>
      <c r="D313" s="145"/>
      <c r="E313" s="156"/>
      <c r="F313" s="145"/>
      <c r="G313" s="145"/>
      <c r="H313" s="146"/>
      <c r="I313" s="146"/>
      <c r="J313" s="148"/>
      <c r="K313" s="145"/>
      <c r="L313" s="148"/>
      <c r="M313" s="149"/>
      <c r="N313" s="148"/>
      <c r="O313" s="150"/>
      <c r="P3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3" s="43" t="str">
        <f>IF(テーブル22[[#This Row],[得点]]="","",IF(テーブル22[[#This Row],[年齢]]&gt;10,LOOKUP(P313,$BG$6:$BG$10,$BD$6:$BD$10),IF(テーブル22[[#This Row],[年齢]]&gt;9,LOOKUP(P313,$BF$6:$BF$10,$BD$6:$BD$10),IF(テーブル22[[#This Row],[年齢]]&gt;8,LOOKUP(P313,$BE$6:$BE$10,$BD$6:$BD$10),IF(テーブル22[[#This Row],[年齢]]&gt;7,LOOKUP(P313,$BC$6:$BC$10,$BD$6:$BD$10),IF(テーブル22[[#This Row],[年齢]]&gt;6,LOOKUP(P313,$BB$6:$BB$10,$BD$6:$BD$10),LOOKUP(P313,$BA$6:$BA$10,$BD$6:$BD$10)))))))</f>
        <v/>
      </c>
      <c r="R313" s="42">
        <f>IF(H313="",0,(IF(テーブル22[[#This Row],[性別]]="男",LOOKUP(テーブル22[[#This Row],[握力]],$AH$6:$AI$15),LOOKUP(テーブル22[[#This Row],[握力]],$AH$20:$AI$29))))</f>
        <v>0</v>
      </c>
      <c r="S313" s="42">
        <f>IF(テーブル22[[#This Row],[上体]]="",0,(IF(テーブル22[[#This Row],[性別]]="男",LOOKUP(テーブル22[[#This Row],[上体]],$AJ$6:$AK$15),LOOKUP(テーブル22[[#This Row],[上体]],$AJ$20:$AK$29))))</f>
        <v>0</v>
      </c>
      <c r="T313" s="42">
        <f>IF(テーブル22[[#This Row],[長座]]="",0,(IF(テーブル22[[#This Row],[性別]]="男",LOOKUP(テーブル22[[#This Row],[長座]],$AL$6:$AM$15),LOOKUP(テーブル22[[#This Row],[長座]],$AL$20:$AM$29))))</f>
        <v>0</v>
      </c>
      <c r="U313" s="42">
        <f>IF(テーブル22[[#This Row],[反復]]="",0,(IF(テーブル22[[#This Row],[性別]]="男",LOOKUP(テーブル22[[#This Row],[反復]],$AN$6:$AO$15),LOOKUP(テーブル22[[#This Row],[反復]],$AN$20:$AO$29))))</f>
        <v>0</v>
      </c>
      <c r="V313" s="42">
        <f>IF(テーブル22[[#This Row],[ｼｬﾄﾙﾗﾝ]]="",0,(IF(テーブル22[[#This Row],[性別]]="男",LOOKUP(テーブル22[[#This Row],[ｼｬﾄﾙﾗﾝ]],$AR$6:$AS$15),LOOKUP(テーブル22[[#This Row],[ｼｬﾄﾙﾗﾝ]],$AR$20:$AS$29))))</f>
        <v>0</v>
      </c>
      <c r="W313" s="42">
        <f>IF(テーブル22[[#This Row],[50m走]]="",0,(IF(テーブル22[[#This Row],[性別]]="男",LOOKUP(テーブル22[[#This Row],[50m走]],$AT$6:$AU$15),LOOKUP(テーブル22[[#This Row],[50m走]],$AT$20:$AU$29))))</f>
        <v>0</v>
      </c>
      <c r="X313" s="42">
        <f>IF(テーブル22[[#This Row],[立幅とび]]="",0,(IF(テーブル22[[#This Row],[性別]]="男",LOOKUP(テーブル22[[#This Row],[立幅とび]],$AV$6:$AW$15),LOOKUP(テーブル22[[#This Row],[立幅とび]],$AV$20:$AW$29))))</f>
        <v>0</v>
      </c>
      <c r="Y313" s="42">
        <f>IF(テーブル22[[#This Row],[ボール投げ]]="",0,(IF(テーブル22[[#This Row],[性別]]="男",LOOKUP(テーブル22[[#This Row],[ボール投げ]],$AX$6:$AY$15),LOOKUP(テーブル22[[#This Row],[ボール投げ]],$AX$20:$AY$29))))</f>
        <v>0</v>
      </c>
      <c r="Z313" s="19" t="str">
        <f>IF(テーブル22[[#This Row],[学年]]=1,6,IF(テーブル22[[#This Row],[学年]]=2,7,IF(テーブル22[[#This Row],[学年]]=3,8,IF(テーブル22[[#This Row],[学年]]=4,9,IF(テーブル22[[#This Row],[学年]]=5,10,IF(テーブル22[[#This Row],[学年]]=6,11," "))))))</f>
        <v xml:space="preserve"> </v>
      </c>
      <c r="AA313" s="125" t="str">
        <f>IF(テーブル22[[#This Row],[肥満度数値]]="","",LOOKUP(AC313,$AW$39:$AW$44,$AX$39:$AX$44))</f>
        <v/>
      </c>
      <c r="AB3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3" s="124" t="str">
        <f>IF(テーブル22[[#This Row],[体重]]="","",(テーブル22[[#This Row],[体重]]-テーブル22[[#This Row],[標準体重]])/テーブル22[[#This Row],[標準体重]]*100)</f>
        <v/>
      </c>
      <c r="AD313" s="1">
        <f>COUNTA(テーブル22[[#This Row],[握力]:[ボール投げ]])</f>
        <v>0</v>
      </c>
      <c r="AE313" s="1" t="str">
        <f>IF(テーブル22[[#This Row],[判定]]=$BD$10,"○","")</f>
        <v/>
      </c>
      <c r="AF313" s="1" t="str">
        <f>IF(AE313="","",COUNTIF($AE$6:AE313,"○"))</f>
        <v/>
      </c>
    </row>
    <row r="314" spans="1:32" x14ac:dyDescent="0.2">
      <c r="A314" s="40">
        <v>309</v>
      </c>
      <c r="B314" s="145"/>
      <c r="C314" s="148"/>
      <c r="D314" s="145"/>
      <c r="E314" s="156"/>
      <c r="F314" s="145"/>
      <c r="G314" s="145"/>
      <c r="H314" s="146"/>
      <c r="I314" s="146"/>
      <c r="J314" s="148"/>
      <c r="K314" s="145"/>
      <c r="L314" s="148"/>
      <c r="M314" s="149"/>
      <c r="N314" s="148"/>
      <c r="O314" s="150"/>
      <c r="P3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4" s="43" t="str">
        <f>IF(テーブル22[[#This Row],[得点]]="","",IF(テーブル22[[#This Row],[年齢]]&gt;10,LOOKUP(P314,$BG$6:$BG$10,$BD$6:$BD$10),IF(テーブル22[[#This Row],[年齢]]&gt;9,LOOKUP(P314,$BF$6:$BF$10,$BD$6:$BD$10),IF(テーブル22[[#This Row],[年齢]]&gt;8,LOOKUP(P314,$BE$6:$BE$10,$BD$6:$BD$10),IF(テーブル22[[#This Row],[年齢]]&gt;7,LOOKUP(P314,$BC$6:$BC$10,$BD$6:$BD$10),IF(テーブル22[[#This Row],[年齢]]&gt;6,LOOKUP(P314,$BB$6:$BB$10,$BD$6:$BD$10),LOOKUP(P314,$BA$6:$BA$10,$BD$6:$BD$10)))))))</f>
        <v/>
      </c>
      <c r="R314" s="42">
        <f>IF(H314="",0,(IF(テーブル22[[#This Row],[性別]]="男",LOOKUP(テーブル22[[#This Row],[握力]],$AH$6:$AI$15),LOOKUP(テーブル22[[#This Row],[握力]],$AH$20:$AI$29))))</f>
        <v>0</v>
      </c>
      <c r="S314" s="42">
        <f>IF(テーブル22[[#This Row],[上体]]="",0,(IF(テーブル22[[#This Row],[性別]]="男",LOOKUP(テーブル22[[#This Row],[上体]],$AJ$6:$AK$15),LOOKUP(テーブル22[[#This Row],[上体]],$AJ$20:$AK$29))))</f>
        <v>0</v>
      </c>
      <c r="T314" s="42">
        <f>IF(テーブル22[[#This Row],[長座]]="",0,(IF(テーブル22[[#This Row],[性別]]="男",LOOKUP(テーブル22[[#This Row],[長座]],$AL$6:$AM$15),LOOKUP(テーブル22[[#This Row],[長座]],$AL$20:$AM$29))))</f>
        <v>0</v>
      </c>
      <c r="U314" s="42">
        <f>IF(テーブル22[[#This Row],[反復]]="",0,(IF(テーブル22[[#This Row],[性別]]="男",LOOKUP(テーブル22[[#This Row],[反復]],$AN$6:$AO$15),LOOKUP(テーブル22[[#This Row],[反復]],$AN$20:$AO$29))))</f>
        <v>0</v>
      </c>
      <c r="V314" s="42">
        <f>IF(テーブル22[[#This Row],[ｼｬﾄﾙﾗﾝ]]="",0,(IF(テーブル22[[#This Row],[性別]]="男",LOOKUP(テーブル22[[#This Row],[ｼｬﾄﾙﾗﾝ]],$AR$6:$AS$15),LOOKUP(テーブル22[[#This Row],[ｼｬﾄﾙﾗﾝ]],$AR$20:$AS$29))))</f>
        <v>0</v>
      </c>
      <c r="W314" s="42">
        <f>IF(テーブル22[[#This Row],[50m走]]="",0,(IF(テーブル22[[#This Row],[性別]]="男",LOOKUP(テーブル22[[#This Row],[50m走]],$AT$6:$AU$15),LOOKUP(テーブル22[[#This Row],[50m走]],$AT$20:$AU$29))))</f>
        <v>0</v>
      </c>
      <c r="X314" s="42">
        <f>IF(テーブル22[[#This Row],[立幅とび]]="",0,(IF(テーブル22[[#This Row],[性別]]="男",LOOKUP(テーブル22[[#This Row],[立幅とび]],$AV$6:$AW$15),LOOKUP(テーブル22[[#This Row],[立幅とび]],$AV$20:$AW$29))))</f>
        <v>0</v>
      </c>
      <c r="Y314" s="42">
        <f>IF(テーブル22[[#This Row],[ボール投げ]]="",0,(IF(テーブル22[[#This Row],[性別]]="男",LOOKUP(テーブル22[[#This Row],[ボール投げ]],$AX$6:$AY$15),LOOKUP(テーブル22[[#This Row],[ボール投げ]],$AX$20:$AY$29))))</f>
        <v>0</v>
      </c>
      <c r="Z314" s="19" t="str">
        <f>IF(テーブル22[[#This Row],[学年]]=1,6,IF(テーブル22[[#This Row],[学年]]=2,7,IF(テーブル22[[#This Row],[学年]]=3,8,IF(テーブル22[[#This Row],[学年]]=4,9,IF(テーブル22[[#This Row],[学年]]=5,10,IF(テーブル22[[#This Row],[学年]]=6,11," "))))))</f>
        <v xml:space="preserve"> </v>
      </c>
      <c r="AA314" s="125" t="str">
        <f>IF(テーブル22[[#This Row],[肥満度数値]]="","",LOOKUP(AC314,$AW$39:$AW$44,$AX$39:$AX$44))</f>
        <v/>
      </c>
      <c r="AB3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4" s="124" t="str">
        <f>IF(テーブル22[[#This Row],[体重]]="","",(テーブル22[[#This Row],[体重]]-テーブル22[[#This Row],[標準体重]])/テーブル22[[#This Row],[標準体重]]*100)</f>
        <v/>
      </c>
      <c r="AD314" s="1">
        <f>COUNTA(テーブル22[[#This Row],[握力]:[ボール投げ]])</f>
        <v>0</v>
      </c>
      <c r="AE314" s="1" t="str">
        <f>IF(テーブル22[[#This Row],[判定]]=$BD$10,"○","")</f>
        <v/>
      </c>
      <c r="AF314" s="1" t="str">
        <f>IF(AE314="","",COUNTIF($AE$6:AE314,"○"))</f>
        <v/>
      </c>
    </row>
    <row r="315" spans="1:32" x14ac:dyDescent="0.2">
      <c r="A315" s="40">
        <v>310</v>
      </c>
      <c r="B315" s="145"/>
      <c r="C315" s="148"/>
      <c r="D315" s="145"/>
      <c r="E315" s="156"/>
      <c r="F315" s="145"/>
      <c r="G315" s="145"/>
      <c r="H315" s="146"/>
      <c r="I315" s="146"/>
      <c r="J315" s="148"/>
      <c r="K315" s="145"/>
      <c r="L315" s="148"/>
      <c r="M315" s="149"/>
      <c r="N315" s="148"/>
      <c r="O315" s="150"/>
      <c r="P3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5" s="43" t="str">
        <f>IF(テーブル22[[#This Row],[得点]]="","",IF(テーブル22[[#This Row],[年齢]]&gt;10,LOOKUP(P315,$BG$6:$BG$10,$BD$6:$BD$10),IF(テーブル22[[#This Row],[年齢]]&gt;9,LOOKUP(P315,$BF$6:$BF$10,$BD$6:$BD$10),IF(テーブル22[[#This Row],[年齢]]&gt;8,LOOKUP(P315,$BE$6:$BE$10,$BD$6:$BD$10),IF(テーブル22[[#This Row],[年齢]]&gt;7,LOOKUP(P315,$BC$6:$BC$10,$BD$6:$BD$10),IF(テーブル22[[#This Row],[年齢]]&gt;6,LOOKUP(P315,$BB$6:$BB$10,$BD$6:$BD$10),LOOKUP(P315,$BA$6:$BA$10,$BD$6:$BD$10)))))))</f>
        <v/>
      </c>
      <c r="R315" s="42">
        <f>IF(H315="",0,(IF(テーブル22[[#This Row],[性別]]="男",LOOKUP(テーブル22[[#This Row],[握力]],$AH$6:$AI$15),LOOKUP(テーブル22[[#This Row],[握力]],$AH$20:$AI$29))))</f>
        <v>0</v>
      </c>
      <c r="S315" s="42">
        <f>IF(テーブル22[[#This Row],[上体]]="",0,(IF(テーブル22[[#This Row],[性別]]="男",LOOKUP(テーブル22[[#This Row],[上体]],$AJ$6:$AK$15),LOOKUP(テーブル22[[#This Row],[上体]],$AJ$20:$AK$29))))</f>
        <v>0</v>
      </c>
      <c r="T315" s="42">
        <f>IF(テーブル22[[#This Row],[長座]]="",0,(IF(テーブル22[[#This Row],[性別]]="男",LOOKUP(テーブル22[[#This Row],[長座]],$AL$6:$AM$15),LOOKUP(テーブル22[[#This Row],[長座]],$AL$20:$AM$29))))</f>
        <v>0</v>
      </c>
      <c r="U315" s="42">
        <f>IF(テーブル22[[#This Row],[反復]]="",0,(IF(テーブル22[[#This Row],[性別]]="男",LOOKUP(テーブル22[[#This Row],[反復]],$AN$6:$AO$15),LOOKUP(テーブル22[[#This Row],[反復]],$AN$20:$AO$29))))</f>
        <v>0</v>
      </c>
      <c r="V315" s="42">
        <f>IF(テーブル22[[#This Row],[ｼｬﾄﾙﾗﾝ]]="",0,(IF(テーブル22[[#This Row],[性別]]="男",LOOKUP(テーブル22[[#This Row],[ｼｬﾄﾙﾗﾝ]],$AR$6:$AS$15),LOOKUP(テーブル22[[#This Row],[ｼｬﾄﾙﾗﾝ]],$AR$20:$AS$29))))</f>
        <v>0</v>
      </c>
      <c r="W315" s="42">
        <f>IF(テーブル22[[#This Row],[50m走]]="",0,(IF(テーブル22[[#This Row],[性別]]="男",LOOKUP(テーブル22[[#This Row],[50m走]],$AT$6:$AU$15),LOOKUP(テーブル22[[#This Row],[50m走]],$AT$20:$AU$29))))</f>
        <v>0</v>
      </c>
      <c r="X315" s="42">
        <f>IF(テーブル22[[#This Row],[立幅とび]]="",0,(IF(テーブル22[[#This Row],[性別]]="男",LOOKUP(テーブル22[[#This Row],[立幅とび]],$AV$6:$AW$15),LOOKUP(テーブル22[[#This Row],[立幅とび]],$AV$20:$AW$29))))</f>
        <v>0</v>
      </c>
      <c r="Y315" s="42">
        <f>IF(テーブル22[[#This Row],[ボール投げ]]="",0,(IF(テーブル22[[#This Row],[性別]]="男",LOOKUP(テーブル22[[#This Row],[ボール投げ]],$AX$6:$AY$15),LOOKUP(テーブル22[[#This Row],[ボール投げ]],$AX$20:$AY$29))))</f>
        <v>0</v>
      </c>
      <c r="Z315" s="19" t="str">
        <f>IF(テーブル22[[#This Row],[学年]]=1,6,IF(テーブル22[[#This Row],[学年]]=2,7,IF(テーブル22[[#This Row],[学年]]=3,8,IF(テーブル22[[#This Row],[学年]]=4,9,IF(テーブル22[[#This Row],[学年]]=5,10,IF(テーブル22[[#This Row],[学年]]=6,11," "))))))</f>
        <v xml:space="preserve"> </v>
      </c>
      <c r="AA315" s="125" t="str">
        <f>IF(テーブル22[[#This Row],[肥満度数値]]="","",LOOKUP(AC315,$AW$39:$AW$44,$AX$39:$AX$44))</f>
        <v/>
      </c>
      <c r="AB3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5" s="124" t="str">
        <f>IF(テーブル22[[#This Row],[体重]]="","",(テーブル22[[#This Row],[体重]]-テーブル22[[#This Row],[標準体重]])/テーブル22[[#This Row],[標準体重]]*100)</f>
        <v/>
      </c>
      <c r="AD315" s="1">
        <f>COUNTA(テーブル22[[#This Row],[握力]:[ボール投げ]])</f>
        <v>0</v>
      </c>
      <c r="AE315" s="1" t="str">
        <f>IF(テーブル22[[#This Row],[判定]]=$BD$10,"○","")</f>
        <v/>
      </c>
      <c r="AF315" s="1" t="str">
        <f>IF(AE315="","",COUNTIF($AE$6:AE315,"○"))</f>
        <v/>
      </c>
    </row>
    <row r="316" spans="1:32" x14ac:dyDescent="0.2">
      <c r="A316" s="40">
        <v>311</v>
      </c>
      <c r="B316" s="145"/>
      <c r="C316" s="148"/>
      <c r="D316" s="145"/>
      <c r="E316" s="156"/>
      <c r="F316" s="145"/>
      <c r="G316" s="145"/>
      <c r="H316" s="146"/>
      <c r="I316" s="146"/>
      <c r="J316" s="148"/>
      <c r="K316" s="145"/>
      <c r="L316" s="148"/>
      <c r="M316" s="149"/>
      <c r="N316" s="148"/>
      <c r="O316" s="150"/>
      <c r="P3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6" s="43" t="str">
        <f>IF(テーブル22[[#This Row],[得点]]="","",IF(テーブル22[[#This Row],[年齢]]&gt;10,LOOKUP(P316,$BG$6:$BG$10,$BD$6:$BD$10),IF(テーブル22[[#This Row],[年齢]]&gt;9,LOOKUP(P316,$BF$6:$BF$10,$BD$6:$BD$10),IF(テーブル22[[#This Row],[年齢]]&gt;8,LOOKUP(P316,$BE$6:$BE$10,$BD$6:$BD$10),IF(テーブル22[[#This Row],[年齢]]&gt;7,LOOKUP(P316,$BC$6:$BC$10,$BD$6:$BD$10),IF(テーブル22[[#This Row],[年齢]]&gt;6,LOOKUP(P316,$BB$6:$BB$10,$BD$6:$BD$10),LOOKUP(P316,$BA$6:$BA$10,$BD$6:$BD$10)))))))</f>
        <v/>
      </c>
      <c r="R316" s="42">
        <f>IF(H316="",0,(IF(テーブル22[[#This Row],[性別]]="男",LOOKUP(テーブル22[[#This Row],[握力]],$AH$6:$AI$15),LOOKUP(テーブル22[[#This Row],[握力]],$AH$20:$AI$29))))</f>
        <v>0</v>
      </c>
      <c r="S316" s="42">
        <f>IF(テーブル22[[#This Row],[上体]]="",0,(IF(テーブル22[[#This Row],[性別]]="男",LOOKUP(テーブル22[[#This Row],[上体]],$AJ$6:$AK$15),LOOKUP(テーブル22[[#This Row],[上体]],$AJ$20:$AK$29))))</f>
        <v>0</v>
      </c>
      <c r="T316" s="42">
        <f>IF(テーブル22[[#This Row],[長座]]="",0,(IF(テーブル22[[#This Row],[性別]]="男",LOOKUP(テーブル22[[#This Row],[長座]],$AL$6:$AM$15),LOOKUP(テーブル22[[#This Row],[長座]],$AL$20:$AM$29))))</f>
        <v>0</v>
      </c>
      <c r="U316" s="42">
        <f>IF(テーブル22[[#This Row],[反復]]="",0,(IF(テーブル22[[#This Row],[性別]]="男",LOOKUP(テーブル22[[#This Row],[反復]],$AN$6:$AO$15),LOOKUP(テーブル22[[#This Row],[反復]],$AN$20:$AO$29))))</f>
        <v>0</v>
      </c>
      <c r="V316" s="42">
        <f>IF(テーブル22[[#This Row],[ｼｬﾄﾙﾗﾝ]]="",0,(IF(テーブル22[[#This Row],[性別]]="男",LOOKUP(テーブル22[[#This Row],[ｼｬﾄﾙﾗﾝ]],$AR$6:$AS$15),LOOKUP(テーブル22[[#This Row],[ｼｬﾄﾙﾗﾝ]],$AR$20:$AS$29))))</f>
        <v>0</v>
      </c>
      <c r="W316" s="42">
        <f>IF(テーブル22[[#This Row],[50m走]]="",0,(IF(テーブル22[[#This Row],[性別]]="男",LOOKUP(テーブル22[[#This Row],[50m走]],$AT$6:$AU$15),LOOKUP(テーブル22[[#This Row],[50m走]],$AT$20:$AU$29))))</f>
        <v>0</v>
      </c>
      <c r="X316" s="42">
        <f>IF(テーブル22[[#This Row],[立幅とび]]="",0,(IF(テーブル22[[#This Row],[性別]]="男",LOOKUP(テーブル22[[#This Row],[立幅とび]],$AV$6:$AW$15),LOOKUP(テーブル22[[#This Row],[立幅とび]],$AV$20:$AW$29))))</f>
        <v>0</v>
      </c>
      <c r="Y316" s="42">
        <f>IF(テーブル22[[#This Row],[ボール投げ]]="",0,(IF(テーブル22[[#This Row],[性別]]="男",LOOKUP(テーブル22[[#This Row],[ボール投げ]],$AX$6:$AY$15),LOOKUP(テーブル22[[#This Row],[ボール投げ]],$AX$20:$AY$29))))</f>
        <v>0</v>
      </c>
      <c r="Z316" s="19" t="str">
        <f>IF(テーブル22[[#This Row],[学年]]=1,6,IF(テーブル22[[#This Row],[学年]]=2,7,IF(テーブル22[[#This Row],[学年]]=3,8,IF(テーブル22[[#This Row],[学年]]=4,9,IF(テーブル22[[#This Row],[学年]]=5,10,IF(テーブル22[[#This Row],[学年]]=6,11," "))))))</f>
        <v xml:space="preserve"> </v>
      </c>
      <c r="AA316" s="125" t="str">
        <f>IF(テーブル22[[#This Row],[肥満度数値]]="","",LOOKUP(AC316,$AW$39:$AW$44,$AX$39:$AX$44))</f>
        <v/>
      </c>
      <c r="AB3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6" s="124" t="str">
        <f>IF(テーブル22[[#This Row],[体重]]="","",(テーブル22[[#This Row],[体重]]-テーブル22[[#This Row],[標準体重]])/テーブル22[[#This Row],[標準体重]]*100)</f>
        <v/>
      </c>
      <c r="AD316" s="1">
        <f>COUNTA(テーブル22[[#This Row],[握力]:[ボール投げ]])</f>
        <v>0</v>
      </c>
      <c r="AE316" s="1" t="str">
        <f>IF(テーブル22[[#This Row],[判定]]=$BD$10,"○","")</f>
        <v/>
      </c>
      <c r="AF316" s="1" t="str">
        <f>IF(AE316="","",COUNTIF($AE$6:AE316,"○"))</f>
        <v/>
      </c>
    </row>
    <row r="317" spans="1:32" x14ac:dyDescent="0.2">
      <c r="A317" s="40">
        <v>312</v>
      </c>
      <c r="B317" s="145"/>
      <c r="C317" s="148"/>
      <c r="D317" s="145"/>
      <c r="E317" s="156"/>
      <c r="F317" s="145"/>
      <c r="G317" s="145"/>
      <c r="H317" s="146"/>
      <c r="I317" s="146"/>
      <c r="J317" s="148"/>
      <c r="K317" s="145"/>
      <c r="L317" s="148"/>
      <c r="M317" s="149"/>
      <c r="N317" s="148"/>
      <c r="O317" s="150"/>
      <c r="P3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7" s="43" t="str">
        <f>IF(テーブル22[[#This Row],[得点]]="","",IF(テーブル22[[#This Row],[年齢]]&gt;10,LOOKUP(P317,$BG$6:$BG$10,$BD$6:$BD$10),IF(テーブル22[[#This Row],[年齢]]&gt;9,LOOKUP(P317,$BF$6:$BF$10,$BD$6:$BD$10),IF(テーブル22[[#This Row],[年齢]]&gt;8,LOOKUP(P317,$BE$6:$BE$10,$BD$6:$BD$10),IF(テーブル22[[#This Row],[年齢]]&gt;7,LOOKUP(P317,$BC$6:$BC$10,$BD$6:$BD$10),IF(テーブル22[[#This Row],[年齢]]&gt;6,LOOKUP(P317,$BB$6:$BB$10,$BD$6:$BD$10),LOOKUP(P317,$BA$6:$BA$10,$BD$6:$BD$10)))))))</f>
        <v/>
      </c>
      <c r="R317" s="42">
        <f>IF(H317="",0,(IF(テーブル22[[#This Row],[性別]]="男",LOOKUP(テーブル22[[#This Row],[握力]],$AH$6:$AI$15),LOOKUP(テーブル22[[#This Row],[握力]],$AH$20:$AI$29))))</f>
        <v>0</v>
      </c>
      <c r="S317" s="42">
        <f>IF(テーブル22[[#This Row],[上体]]="",0,(IF(テーブル22[[#This Row],[性別]]="男",LOOKUP(テーブル22[[#This Row],[上体]],$AJ$6:$AK$15),LOOKUP(テーブル22[[#This Row],[上体]],$AJ$20:$AK$29))))</f>
        <v>0</v>
      </c>
      <c r="T317" s="42">
        <f>IF(テーブル22[[#This Row],[長座]]="",0,(IF(テーブル22[[#This Row],[性別]]="男",LOOKUP(テーブル22[[#This Row],[長座]],$AL$6:$AM$15),LOOKUP(テーブル22[[#This Row],[長座]],$AL$20:$AM$29))))</f>
        <v>0</v>
      </c>
      <c r="U317" s="42">
        <f>IF(テーブル22[[#This Row],[反復]]="",0,(IF(テーブル22[[#This Row],[性別]]="男",LOOKUP(テーブル22[[#This Row],[反復]],$AN$6:$AO$15),LOOKUP(テーブル22[[#This Row],[反復]],$AN$20:$AO$29))))</f>
        <v>0</v>
      </c>
      <c r="V317" s="42">
        <f>IF(テーブル22[[#This Row],[ｼｬﾄﾙﾗﾝ]]="",0,(IF(テーブル22[[#This Row],[性別]]="男",LOOKUP(テーブル22[[#This Row],[ｼｬﾄﾙﾗﾝ]],$AR$6:$AS$15),LOOKUP(テーブル22[[#This Row],[ｼｬﾄﾙﾗﾝ]],$AR$20:$AS$29))))</f>
        <v>0</v>
      </c>
      <c r="W317" s="42">
        <f>IF(テーブル22[[#This Row],[50m走]]="",0,(IF(テーブル22[[#This Row],[性別]]="男",LOOKUP(テーブル22[[#This Row],[50m走]],$AT$6:$AU$15),LOOKUP(テーブル22[[#This Row],[50m走]],$AT$20:$AU$29))))</f>
        <v>0</v>
      </c>
      <c r="X317" s="42">
        <f>IF(テーブル22[[#This Row],[立幅とび]]="",0,(IF(テーブル22[[#This Row],[性別]]="男",LOOKUP(テーブル22[[#This Row],[立幅とび]],$AV$6:$AW$15),LOOKUP(テーブル22[[#This Row],[立幅とび]],$AV$20:$AW$29))))</f>
        <v>0</v>
      </c>
      <c r="Y317" s="42">
        <f>IF(テーブル22[[#This Row],[ボール投げ]]="",0,(IF(テーブル22[[#This Row],[性別]]="男",LOOKUP(テーブル22[[#This Row],[ボール投げ]],$AX$6:$AY$15),LOOKUP(テーブル22[[#This Row],[ボール投げ]],$AX$20:$AY$29))))</f>
        <v>0</v>
      </c>
      <c r="Z317" s="19" t="str">
        <f>IF(テーブル22[[#This Row],[学年]]=1,6,IF(テーブル22[[#This Row],[学年]]=2,7,IF(テーブル22[[#This Row],[学年]]=3,8,IF(テーブル22[[#This Row],[学年]]=4,9,IF(テーブル22[[#This Row],[学年]]=5,10,IF(テーブル22[[#This Row],[学年]]=6,11," "))))))</f>
        <v xml:space="preserve"> </v>
      </c>
      <c r="AA317" s="125" t="str">
        <f>IF(テーブル22[[#This Row],[肥満度数値]]="","",LOOKUP(AC317,$AW$39:$AW$44,$AX$39:$AX$44))</f>
        <v/>
      </c>
      <c r="AB3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7" s="124" t="str">
        <f>IF(テーブル22[[#This Row],[体重]]="","",(テーブル22[[#This Row],[体重]]-テーブル22[[#This Row],[標準体重]])/テーブル22[[#This Row],[標準体重]]*100)</f>
        <v/>
      </c>
      <c r="AD317" s="1">
        <f>COUNTA(テーブル22[[#This Row],[握力]:[ボール投げ]])</f>
        <v>0</v>
      </c>
      <c r="AE317" s="1" t="str">
        <f>IF(テーブル22[[#This Row],[判定]]=$BD$10,"○","")</f>
        <v/>
      </c>
      <c r="AF317" s="1" t="str">
        <f>IF(AE317="","",COUNTIF($AE$6:AE317,"○"))</f>
        <v/>
      </c>
    </row>
    <row r="318" spans="1:32" x14ac:dyDescent="0.2">
      <c r="A318" s="40">
        <v>313</v>
      </c>
      <c r="B318" s="145"/>
      <c r="C318" s="148"/>
      <c r="D318" s="145"/>
      <c r="E318" s="156"/>
      <c r="F318" s="145"/>
      <c r="G318" s="145"/>
      <c r="H318" s="146"/>
      <c r="I318" s="146"/>
      <c r="J318" s="148"/>
      <c r="K318" s="145"/>
      <c r="L318" s="148"/>
      <c r="M318" s="149"/>
      <c r="N318" s="148"/>
      <c r="O318" s="150"/>
      <c r="P3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8" s="43" t="str">
        <f>IF(テーブル22[[#This Row],[得点]]="","",IF(テーブル22[[#This Row],[年齢]]&gt;10,LOOKUP(P318,$BG$6:$BG$10,$BD$6:$BD$10),IF(テーブル22[[#This Row],[年齢]]&gt;9,LOOKUP(P318,$BF$6:$BF$10,$BD$6:$BD$10),IF(テーブル22[[#This Row],[年齢]]&gt;8,LOOKUP(P318,$BE$6:$BE$10,$BD$6:$BD$10),IF(テーブル22[[#This Row],[年齢]]&gt;7,LOOKUP(P318,$BC$6:$BC$10,$BD$6:$BD$10),IF(テーブル22[[#This Row],[年齢]]&gt;6,LOOKUP(P318,$BB$6:$BB$10,$BD$6:$BD$10),LOOKUP(P318,$BA$6:$BA$10,$BD$6:$BD$10)))))))</f>
        <v/>
      </c>
      <c r="R318" s="42">
        <f>IF(H318="",0,(IF(テーブル22[[#This Row],[性別]]="男",LOOKUP(テーブル22[[#This Row],[握力]],$AH$6:$AI$15),LOOKUP(テーブル22[[#This Row],[握力]],$AH$20:$AI$29))))</f>
        <v>0</v>
      </c>
      <c r="S318" s="42">
        <f>IF(テーブル22[[#This Row],[上体]]="",0,(IF(テーブル22[[#This Row],[性別]]="男",LOOKUP(テーブル22[[#This Row],[上体]],$AJ$6:$AK$15),LOOKUP(テーブル22[[#This Row],[上体]],$AJ$20:$AK$29))))</f>
        <v>0</v>
      </c>
      <c r="T318" s="42">
        <f>IF(テーブル22[[#This Row],[長座]]="",0,(IF(テーブル22[[#This Row],[性別]]="男",LOOKUP(テーブル22[[#This Row],[長座]],$AL$6:$AM$15),LOOKUP(テーブル22[[#This Row],[長座]],$AL$20:$AM$29))))</f>
        <v>0</v>
      </c>
      <c r="U318" s="42">
        <f>IF(テーブル22[[#This Row],[反復]]="",0,(IF(テーブル22[[#This Row],[性別]]="男",LOOKUP(テーブル22[[#This Row],[反復]],$AN$6:$AO$15),LOOKUP(テーブル22[[#This Row],[反復]],$AN$20:$AO$29))))</f>
        <v>0</v>
      </c>
      <c r="V318" s="42">
        <f>IF(テーブル22[[#This Row],[ｼｬﾄﾙﾗﾝ]]="",0,(IF(テーブル22[[#This Row],[性別]]="男",LOOKUP(テーブル22[[#This Row],[ｼｬﾄﾙﾗﾝ]],$AR$6:$AS$15),LOOKUP(テーブル22[[#This Row],[ｼｬﾄﾙﾗﾝ]],$AR$20:$AS$29))))</f>
        <v>0</v>
      </c>
      <c r="W318" s="42">
        <f>IF(テーブル22[[#This Row],[50m走]]="",0,(IF(テーブル22[[#This Row],[性別]]="男",LOOKUP(テーブル22[[#This Row],[50m走]],$AT$6:$AU$15),LOOKUP(テーブル22[[#This Row],[50m走]],$AT$20:$AU$29))))</f>
        <v>0</v>
      </c>
      <c r="X318" s="42">
        <f>IF(テーブル22[[#This Row],[立幅とび]]="",0,(IF(テーブル22[[#This Row],[性別]]="男",LOOKUP(テーブル22[[#This Row],[立幅とび]],$AV$6:$AW$15),LOOKUP(テーブル22[[#This Row],[立幅とび]],$AV$20:$AW$29))))</f>
        <v>0</v>
      </c>
      <c r="Y318" s="42">
        <f>IF(テーブル22[[#This Row],[ボール投げ]]="",0,(IF(テーブル22[[#This Row],[性別]]="男",LOOKUP(テーブル22[[#This Row],[ボール投げ]],$AX$6:$AY$15),LOOKUP(テーブル22[[#This Row],[ボール投げ]],$AX$20:$AY$29))))</f>
        <v>0</v>
      </c>
      <c r="Z318" s="19" t="str">
        <f>IF(テーブル22[[#This Row],[学年]]=1,6,IF(テーブル22[[#This Row],[学年]]=2,7,IF(テーブル22[[#This Row],[学年]]=3,8,IF(テーブル22[[#This Row],[学年]]=4,9,IF(テーブル22[[#This Row],[学年]]=5,10,IF(テーブル22[[#This Row],[学年]]=6,11," "))))))</f>
        <v xml:space="preserve"> </v>
      </c>
      <c r="AA318" s="125" t="str">
        <f>IF(テーブル22[[#This Row],[肥満度数値]]="","",LOOKUP(AC318,$AW$39:$AW$44,$AX$39:$AX$44))</f>
        <v/>
      </c>
      <c r="AB3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8" s="124" t="str">
        <f>IF(テーブル22[[#This Row],[体重]]="","",(テーブル22[[#This Row],[体重]]-テーブル22[[#This Row],[標準体重]])/テーブル22[[#This Row],[標準体重]]*100)</f>
        <v/>
      </c>
      <c r="AD318" s="1">
        <f>COUNTA(テーブル22[[#This Row],[握力]:[ボール投げ]])</f>
        <v>0</v>
      </c>
      <c r="AE318" s="1" t="str">
        <f>IF(テーブル22[[#This Row],[判定]]=$BD$10,"○","")</f>
        <v/>
      </c>
      <c r="AF318" s="1" t="str">
        <f>IF(AE318="","",COUNTIF($AE$6:AE318,"○"))</f>
        <v/>
      </c>
    </row>
    <row r="319" spans="1:32" x14ac:dyDescent="0.2">
      <c r="A319" s="40">
        <v>314</v>
      </c>
      <c r="B319" s="145"/>
      <c r="C319" s="148"/>
      <c r="D319" s="145"/>
      <c r="E319" s="156"/>
      <c r="F319" s="145"/>
      <c r="G319" s="145"/>
      <c r="H319" s="146"/>
      <c r="I319" s="146"/>
      <c r="J319" s="148"/>
      <c r="K319" s="145"/>
      <c r="L319" s="148"/>
      <c r="M319" s="149"/>
      <c r="N319" s="148"/>
      <c r="O319" s="150"/>
      <c r="P3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19" s="43" t="str">
        <f>IF(テーブル22[[#This Row],[得点]]="","",IF(テーブル22[[#This Row],[年齢]]&gt;10,LOOKUP(P319,$BG$6:$BG$10,$BD$6:$BD$10),IF(テーブル22[[#This Row],[年齢]]&gt;9,LOOKUP(P319,$BF$6:$BF$10,$BD$6:$BD$10),IF(テーブル22[[#This Row],[年齢]]&gt;8,LOOKUP(P319,$BE$6:$BE$10,$BD$6:$BD$10),IF(テーブル22[[#This Row],[年齢]]&gt;7,LOOKUP(P319,$BC$6:$BC$10,$BD$6:$BD$10),IF(テーブル22[[#This Row],[年齢]]&gt;6,LOOKUP(P319,$BB$6:$BB$10,$BD$6:$BD$10),LOOKUP(P319,$BA$6:$BA$10,$BD$6:$BD$10)))))))</f>
        <v/>
      </c>
      <c r="R319" s="42">
        <f>IF(H319="",0,(IF(テーブル22[[#This Row],[性別]]="男",LOOKUP(テーブル22[[#This Row],[握力]],$AH$6:$AI$15),LOOKUP(テーブル22[[#This Row],[握力]],$AH$20:$AI$29))))</f>
        <v>0</v>
      </c>
      <c r="S319" s="42">
        <f>IF(テーブル22[[#This Row],[上体]]="",0,(IF(テーブル22[[#This Row],[性別]]="男",LOOKUP(テーブル22[[#This Row],[上体]],$AJ$6:$AK$15),LOOKUP(テーブル22[[#This Row],[上体]],$AJ$20:$AK$29))))</f>
        <v>0</v>
      </c>
      <c r="T319" s="42">
        <f>IF(テーブル22[[#This Row],[長座]]="",0,(IF(テーブル22[[#This Row],[性別]]="男",LOOKUP(テーブル22[[#This Row],[長座]],$AL$6:$AM$15),LOOKUP(テーブル22[[#This Row],[長座]],$AL$20:$AM$29))))</f>
        <v>0</v>
      </c>
      <c r="U319" s="42">
        <f>IF(テーブル22[[#This Row],[反復]]="",0,(IF(テーブル22[[#This Row],[性別]]="男",LOOKUP(テーブル22[[#This Row],[反復]],$AN$6:$AO$15),LOOKUP(テーブル22[[#This Row],[反復]],$AN$20:$AO$29))))</f>
        <v>0</v>
      </c>
      <c r="V319" s="42">
        <f>IF(テーブル22[[#This Row],[ｼｬﾄﾙﾗﾝ]]="",0,(IF(テーブル22[[#This Row],[性別]]="男",LOOKUP(テーブル22[[#This Row],[ｼｬﾄﾙﾗﾝ]],$AR$6:$AS$15),LOOKUP(テーブル22[[#This Row],[ｼｬﾄﾙﾗﾝ]],$AR$20:$AS$29))))</f>
        <v>0</v>
      </c>
      <c r="W319" s="42">
        <f>IF(テーブル22[[#This Row],[50m走]]="",0,(IF(テーブル22[[#This Row],[性別]]="男",LOOKUP(テーブル22[[#This Row],[50m走]],$AT$6:$AU$15),LOOKUP(テーブル22[[#This Row],[50m走]],$AT$20:$AU$29))))</f>
        <v>0</v>
      </c>
      <c r="X319" s="42">
        <f>IF(テーブル22[[#This Row],[立幅とび]]="",0,(IF(テーブル22[[#This Row],[性別]]="男",LOOKUP(テーブル22[[#This Row],[立幅とび]],$AV$6:$AW$15),LOOKUP(テーブル22[[#This Row],[立幅とび]],$AV$20:$AW$29))))</f>
        <v>0</v>
      </c>
      <c r="Y319" s="42">
        <f>IF(テーブル22[[#This Row],[ボール投げ]]="",0,(IF(テーブル22[[#This Row],[性別]]="男",LOOKUP(テーブル22[[#This Row],[ボール投げ]],$AX$6:$AY$15),LOOKUP(テーブル22[[#This Row],[ボール投げ]],$AX$20:$AY$29))))</f>
        <v>0</v>
      </c>
      <c r="Z319" s="19" t="str">
        <f>IF(テーブル22[[#This Row],[学年]]=1,6,IF(テーブル22[[#This Row],[学年]]=2,7,IF(テーブル22[[#This Row],[学年]]=3,8,IF(テーブル22[[#This Row],[学年]]=4,9,IF(テーブル22[[#This Row],[学年]]=5,10,IF(テーブル22[[#This Row],[学年]]=6,11," "))))))</f>
        <v xml:space="preserve"> </v>
      </c>
      <c r="AA319" s="125" t="str">
        <f>IF(テーブル22[[#This Row],[肥満度数値]]="","",LOOKUP(AC319,$AW$39:$AW$44,$AX$39:$AX$44))</f>
        <v/>
      </c>
      <c r="AB3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19" s="124" t="str">
        <f>IF(テーブル22[[#This Row],[体重]]="","",(テーブル22[[#This Row],[体重]]-テーブル22[[#This Row],[標準体重]])/テーブル22[[#This Row],[標準体重]]*100)</f>
        <v/>
      </c>
      <c r="AD319" s="1">
        <f>COUNTA(テーブル22[[#This Row],[握力]:[ボール投げ]])</f>
        <v>0</v>
      </c>
      <c r="AE319" s="1" t="str">
        <f>IF(テーブル22[[#This Row],[判定]]=$BD$10,"○","")</f>
        <v/>
      </c>
      <c r="AF319" s="1" t="str">
        <f>IF(AE319="","",COUNTIF($AE$6:AE319,"○"))</f>
        <v/>
      </c>
    </row>
    <row r="320" spans="1:32" x14ac:dyDescent="0.2">
      <c r="A320" s="40">
        <v>315</v>
      </c>
      <c r="B320" s="145"/>
      <c r="C320" s="148"/>
      <c r="D320" s="145"/>
      <c r="E320" s="156"/>
      <c r="F320" s="145"/>
      <c r="G320" s="145"/>
      <c r="H320" s="146"/>
      <c r="I320" s="146"/>
      <c r="J320" s="148"/>
      <c r="K320" s="145"/>
      <c r="L320" s="148"/>
      <c r="M320" s="149"/>
      <c r="N320" s="148"/>
      <c r="O320" s="150"/>
      <c r="P3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0" s="43" t="str">
        <f>IF(テーブル22[[#This Row],[得点]]="","",IF(テーブル22[[#This Row],[年齢]]&gt;10,LOOKUP(P320,$BG$6:$BG$10,$BD$6:$BD$10),IF(テーブル22[[#This Row],[年齢]]&gt;9,LOOKUP(P320,$BF$6:$BF$10,$BD$6:$BD$10),IF(テーブル22[[#This Row],[年齢]]&gt;8,LOOKUP(P320,$BE$6:$BE$10,$BD$6:$BD$10),IF(テーブル22[[#This Row],[年齢]]&gt;7,LOOKUP(P320,$BC$6:$BC$10,$BD$6:$BD$10),IF(テーブル22[[#This Row],[年齢]]&gt;6,LOOKUP(P320,$BB$6:$BB$10,$BD$6:$BD$10),LOOKUP(P320,$BA$6:$BA$10,$BD$6:$BD$10)))))))</f>
        <v/>
      </c>
      <c r="R320" s="42">
        <f>IF(H320="",0,(IF(テーブル22[[#This Row],[性別]]="男",LOOKUP(テーブル22[[#This Row],[握力]],$AH$6:$AI$15),LOOKUP(テーブル22[[#This Row],[握力]],$AH$20:$AI$29))))</f>
        <v>0</v>
      </c>
      <c r="S320" s="42">
        <f>IF(テーブル22[[#This Row],[上体]]="",0,(IF(テーブル22[[#This Row],[性別]]="男",LOOKUP(テーブル22[[#This Row],[上体]],$AJ$6:$AK$15),LOOKUP(テーブル22[[#This Row],[上体]],$AJ$20:$AK$29))))</f>
        <v>0</v>
      </c>
      <c r="T320" s="42">
        <f>IF(テーブル22[[#This Row],[長座]]="",0,(IF(テーブル22[[#This Row],[性別]]="男",LOOKUP(テーブル22[[#This Row],[長座]],$AL$6:$AM$15),LOOKUP(テーブル22[[#This Row],[長座]],$AL$20:$AM$29))))</f>
        <v>0</v>
      </c>
      <c r="U320" s="42">
        <f>IF(テーブル22[[#This Row],[反復]]="",0,(IF(テーブル22[[#This Row],[性別]]="男",LOOKUP(テーブル22[[#This Row],[反復]],$AN$6:$AO$15),LOOKUP(テーブル22[[#This Row],[反復]],$AN$20:$AO$29))))</f>
        <v>0</v>
      </c>
      <c r="V320" s="42">
        <f>IF(テーブル22[[#This Row],[ｼｬﾄﾙﾗﾝ]]="",0,(IF(テーブル22[[#This Row],[性別]]="男",LOOKUP(テーブル22[[#This Row],[ｼｬﾄﾙﾗﾝ]],$AR$6:$AS$15),LOOKUP(テーブル22[[#This Row],[ｼｬﾄﾙﾗﾝ]],$AR$20:$AS$29))))</f>
        <v>0</v>
      </c>
      <c r="W320" s="42">
        <f>IF(テーブル22[[#This Row],[50m走]]="",0,(IF(テーブル22[[#This Row],[性別]]="男",LOOKUP(テーブル22[[#This Row],[50m走]],$AT$6:$AU$15),LOOKUP(テーブル22[[#This Row],[50m走]],$AT$20:$AU$29))))</f>
        <v>0</v>
      </c>
      <c r="X320" s="42">
        <f>IF(テーブル22[[#This Row],[立幅とび]]="",0,(IF(テーブル22[[#This Row],[性別]]="男",LOOKUP(テーブル22[[#This Row],[立幅とび]],$AV$6:$AW$15),LOOKUP(テーブル22[[#This Row],[立幅とび]],$AV$20:$AW$29))))</f>
        <v>0</v>
      </c>
      <c r="Y320" s="42">
        <f>IF(テーブル22[[#This Row],[ボール投げ]]="",0,(IF(テーブル22[[#This Row],[性別]]="男",LOOKUP(テーブル22[[#This Row],[ボール投げ]],$AX$6:$AY$15),LOOKUP(テーブル22[[#This Row],[ボール投げ]],$AX$20:$AY$29))))</f>
        <v>0</v>
      </c>
      <c r="Z320" s="19" t="str">
        <f>IF(テーブル22[[#This Row],[学年]]=1,6,IF(テーブル22[[#This Row],[学年]]=2,7,IF(テーブル22[[#This Row],[学年]]=3,8,IF(テーブル22[[#This Row],[学年]]=4,9,IF(テーブル22[[#This Row],[学年]]=5,10,IF(テーブル22[[#This Row],[学年]]=6,11," "))))))</f>
        <v xml:space="preserve"> </v>
      </c>
      <c r="AA320" s="125" t="str">
        <f>IF(テーブル22[[#This Row],[肥満度数値]]="","",LOOKUP(AC320,$AW$39:$AW$44,$AX$39:$AX$44))</f>
        <v/>
      </c>
      <c r="AB3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0" s="124" t="str">
        <f>IF(テーブル22[[#This Row],[体重]]="","",(テーブル22[[#This Row],[体重]]-テーブル22[[#This Row],[標準体重]])/テーブル22[[#This Row],[標準体重]]*100)</f>
        <v/>
      </c>
      <c r="AD320" s="1">
        <f>COUNTA(テーブル22[[#This Row],[握力]:[ボール投げ]])</f>
        <v>0</v>
      </c>
      <c r="AE320" s="1" t="str">
        <f>IF(テーブル22[[#This Row],[判定]]=$BD$10,"○","")</f>
        <v/>
      </c>
      <c r="AF320" s="1" t="str">
        <f>IF(AE320="","",COUNTIF($AE$6:AE320,"○"))</f>
        <v/>
      </c>
    </row>
    <row r="321" spans="1:32" x14ac:dyDescent="0.2">
      <c r="A321" s="40">
        <v>316</v>
      </c>
      <c r="B321" s="145"/>
      <c r="C321" s="148"/>
      <c r="D321" s="145"/>
      <c r="E321" s="156"/>
      <c r="F321" s="145"/>
      <c r="G321" s="145"/>
      <c r="H321" s="146"/>
      <c r="I321" s="146"/>
      <c r="J321" s="148"/>
      <c r="K321" s="145"/>
      <c r="L321" s="148"/>
      <c r="M321" s="149"/>
      <c r="N321" s="148"/>
      <c r="O321" s="150"/>
      <c r="P3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1" s="43" t="str">
        <f>IF(テーブル22[[#This Row],[得点]]="","",IF(テーブル22[[#This Row],[年齢]]&gt;10,LOOKUP(P321,$BG$6:$BG$10,$BD$6:$BD$10),IF(テーブル22[[#This Row],[年齢]]&gt;9,LOOKUP(P321,$BF$6:$BF$10,$BD$6:$BD$10),IF(テーブル22[[#This Row],[年齢]]&gt;8,LOOKUP(P321,$BE$6:$BE$10,$BD$6:$BD$10),IF(テーブル22[[#This Row],[年齢]]&gt;7,LOOKUP(P321,$BC$6:$BC$10,$BD$6:$BD$10),IF(テーブル22[[#This Row],[年齢]]&gt;6,LOOKUP(P321,$BB$6:$BB$10,$BD$6:$BD$10),LOOKUP(P321,$BA$6:$BA$10,$BD$6:$BD$10)))))))</f>
        <v/>
      </c>
      <c r="R321" s="42">
        <f>IF(H321="",0,(IF(テーブル22[[#This Row],[性別]]="男",LOOKUP(テーブル22[[#This Row],[握力]],$AH$6:$AI$15),LOOKUP(テーブル22[[#This Row],[握力]],$AH$20:$AI$29))))</f>
        <v>0</v>
      </c>
      <c r="S321" s="42">
        <f>IF(テーブル22[[#This Row],[上体]]="",0,(IF(テーブル22[[#This Row],[性別]]="男",LOOKUP(テーブル22[[#This Row],[上体]],$AJ$6:$AK$15),LOOKUP(テーブル22[[#This Row],[上体]],$AJ$20:$AK$29))))</f>
        <v>0</v>
      </c>
      <c r="T321" s="42">
        <f>IF(テーブル22[[#This Row],[長座]]="",0,(IF(テーブル22[[#This Row],[性別]]="男",LOOKUP(テーブル22[[#This Row],[長座]],$AL$6:$AM$15),LOOKUP(テーブル22[[#This Row],[長座]],$AL$20:$AM$29))))</f>
        <v>0</v>
      </c>
      <c r="U321" s="42">
        <f>IF(テーブル22[[#This Row],[反復]]="",0,(IF(テーブル22[[#This Row],[性別]]="男",LOOKUP(テーブル22[[#This Row],[反復]],$AN$6:$AO$15),LOOKUP(テーブル22[[#This Row],[反復]],$AN$20:$AO$29))))</f>
        <v>0</v>
      </c>
      <c r="V321" s="42">
        <f>IF(テーブル22[[#This Row],[ｼｬﾄﾙﾗﾝ]]="",0,(IF(テーブル22[[#This Row],[性別]]="男",LOOKUP(テーブル22[[#This Row],[ｼｬﾄﾙﾗﾝ]],$AR$6:$AS$15),LOOKUP(テーブル22[[#This Row],[ｼｬﾄﾙﾗﾝ]],$AR$20:$AS$29))))</f>
        <v>0</v>
      </c>
      <c r="W321" s="42">
        <f>IF(テーブル22[[#This Row],[50m走]]="",0,(IF(テーブル22[[#This Row],[性別]]="男",LOOKUP(テーブル22[[#This Row],[50m走]],$AT$6:$AU$15),LOOKUP(テーブル22[[#This Row],[50m走]],$AT$20:$AU$29))))</f>
        <v>0</v>
      </c>
      <c r="X321" s="42">
        <f>IF(テーブル22[[#This Row],[立幅とび]]="",0,(IF(テーブル22[[#This Row],[性別]]="男",LOOKUP(テーブル22[[#This Row],[立幅とび]],$AV$6:$AW$15),LOOKUP(テーブル22[[#This Row],[立幅とび]],$AV$20:$AW$29))))</f>
        <v>0</v>
      </c>
      <c r="Y321" s="42">
        <f>IF(テーブル22[[#This Row],[ボール投げ]]="",0,(IF(テーブル22[[#This Row],[性別]]="男",LOOKUP(テーブル22[[#This Row],[ボール投げ]],$AX$6:$AY$15),LOOKUP(テーブル22[[#This Row],[ボール投げ]],$AX$20:$AY$29))))</f>
        <v>0</v>
      </c>
      <c r="Z321" s="19" t="str">
        <f>IF(テーブル22[[#This Row],[学年]]=1,6,IF(テーブル22[[#This Row],[学年]]=2,7,IF(テーブル22[[#This Row],[学年]]=3,8,IF(テーブル22[[#This Row],[学年]]=4,9,IF(テーブル22[[#This Row],[学年]]=5,10,IF(テーブル22[[#This Row],[学年]]=6,11," "))))))</f>
        <v xml:space="preserve"> </v>
      </c>
      <c r="AA321" s="125" t="str">
        <f>IF(テーブル22[[#This Row],[肥満度数値]]="","",LOOKUP(AC321,$AW$39:$AW$44,$AX$39:$AX$44))</f>
        <v/>
      </c>
      <c r="AB3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1" s="124" t="str">
        <f>IF(テーブル22[[#This Row],[体重]]="","",(テーブル22[[#This Row],[体重]]-テーブル22[[#This Row],[標準体重]])/テーブル22[[#This Row],[標準体重]]*100)</f>
        <v/>
      </c>
      <c r="AD321" s="1">
        <f>COUNTA(テーブル22[[#This Row],[握力]:[ボール投げ]])</f>
        <v>0</v>
      </c>
      <c r="AE321" s="1" t="str">
        <f>IF(テーブル22[[#This Row],[判定]]=$BD$10,"○","")</f>
        <v/>
      </c>
      <c r="AF321" s="1" t="str">
        <f>IF(AE321="","",COUNTIF($AE$6:AE321,"○"))</f>
        <v/>
      </c>
    </row>
    <row r="322" spans="1:32" x14ac:dyDescent="0.2">
      <c r="A322" s="40">
        <v>317</v>
      </c>
      <c r="B322" s="145"/>
      <c r="C322" s="148"/>
      <c r="D322" s="145"/>
      <c r="E322" s="156"/>
      <c r="F322" s="145"/>
      <c r="G322" s="145"/>
      <c r="H322" s="146"/>
      <c r="I322" s="146"/>
      <c r="J322" s="148"/>
      <c r="K322" s="145"/>
      <c r="L322" s="148"/>
      <c r="M322" s="149"/>
      <c r="N322" s="148"/>
      <c r="O322" s="150"/>
      <c r="P3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2" s="43" t="str">
        <f>IF(テーブル22[[#This Row],[得点]]="","",IF(テーブル22[[#This Row],[年齢]]&gt;10,LOOKUP(P322,$BG$6:$BG$10,$BD$6:$BD$10),IF(テーブル22[[#This Row],[年齢]]&gt;9,LOOKUP(P322,$BF$6:$BF$10,$BD$6:$BD$10),IF(テーブル22[[#This Row],[年齢]]&gt;8,LOOKUP(P322,$BE$6:$BE$10,$BD$6:$BD$10),IF(テーブル22[[#This Row],[年齢]]&gt;7,LOOKUP(P322,$BC$6:$BC$10,$BD$6:$BD$10),IF(テーブル22[[#This Row],[年齢]]&gt;6,LOOKUP(P322,$BB$6:$BB$10,$BD$6:$BD$10),LOOKUP(P322,$BA$6:$BA$10,$BD$6:$BD$10)))))))</f>
        <v/>
      </c>
      <c r="R322" s="42">
        <f>IF(H322="",0,(IF(テーブル22[[#This Row],[性別]]="男",LOOKUP(テーブル22[[#This Row],[握力]],$AH$6:$AI$15),LOOKUP(テーブル22[[#This Row],[握力]],$AH$20:$AI$29))))</f>
        <v>0</v>
      </c>
      <c r="S322" s="42">
        <f>IF(テーブル22[[#This Row],[上体]]="",0,(IF(テーブル22[[#This Row],[性別]]="男",LOOKUP(テーブル22[[#This Row],[上体]],$AJ$6:$AK$15),LOOKUP(テーブル22[[#This Row],[上体]],$AJ$20:$AK$29))))</f>
        <v>0</v>
      </c>
      <c r="T322" s="42">
        <f>IF(テーブル22[[#This Row],[長座]]="",0,(IF(テーブル22[[#This Row],[性別]]="男",LOOKUP(テーブル22[[#This Row],[長座]],$AL$6:$AM$15),LOOKUP(テーブル22[[#This Row],[長座]],$AL$20:$AM$29))))</f>
        <v>0</v>
      </c>
      <c r="U322" s="42">
        <f>IF(テーブル22[[#This Row],[反復]]="",0,(IF(テーブル22[[#This Row],[性別]]="男",LOOKUP(テーブル22[[#This Row],[反復]],$AN$6:$AO$15),LOOKUP(テーブル22[[#This Row],[反復]],$AN$20:$AO$29))))</f>
        <v>0</v>
      </c>
      <c r="V322" s="42">
        <f>IF(テーブル22[[#This Row],[ｼｬﾄﾙﾗﾝ]]="",0,(IF(テーブル22[[#This Row],[性別]]="男",LOOKUP(テーブル22[[#This Row],[ｼｬﾄﾙﾗﾝ]],$AR$6:$AS$15),LOOKUP(テーブル22[[#This Row],[ｼｬﾄﾙﾗﾝ]],$AR$20:$AS$29))))</f>
        <v>0</v>
      </c>
      <c r="W322" s="42">
        <f>IF(テーブル22[[#This Row],[50m走]]="",0,(IF(テーブル22[[#This Row],[性別]]="男",LOOKUP(テーブル22[[#This Row],[50m走]],$AT$6:$AU$15),LOOKUP(テーブル22[[#This Row],[50m走]],$AT$20:$AU$29))))</f>
        <v>0</v>
      </c>
      <c r="X322" s="42">
        <f>IF(テーブル22[[#This Row],[立幅とび]]="",0,(IF(テーブル22[[#This Row],[性別]]="男",LOOKUP(テーブル22[[#This Row],[立幅とび]],$AV$6:$AW$15),LOOKUP(テーブル22[[#This Row],[立幅とび]],$AV$20:$AW$29))))</f>
        <v>0</v>
      </c>
      <c r="Y322" s="42">
        <f>IF(テーブル22[[#This Row],[ボール投げ]]="",0,(IF(テーブル22[[#This Row],[性別]]="男",LOOKUP(テーブル22[[#This Row],[ボール投げ]],$AX$6:$AY$15),LOOKUP(テーブル22[[#This Row],[ボール投げ]],$AX$20:$AY$29))))</f>
        <v>0</v>
      </c>
      <c r="Z322" s="19" t="str">
        <f>IF(テーブル22[[#This Row],[学年]]=1,6,IF(テーブル22[[#This Row],[学年]]=2,7,IF(テーブル22[[#This Row],[学年]]=3,8,IF(テーブル22[[#This Row],[学年]]=4,9,IF(テーブル22[[#This Row],[学年]]=5,10,IF(テーブル22[[#This Row],[学年]]=6,11," "))))))</f>
        <v xml:space="preserve"> </v>
      </c>
      <c r="AA322" s="125" t="str">
        <f>IF(テーブル22[[#This Row],[肥満度数値]]="","",LOOKUP(AC322,$AW$39:$AW$44,$AX$39:$AX$44))</f>
        <v/>
      </c>
      <c r="AB3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2" s="124" t="str">
        <f>IF(テーブル22[[#This Row],[体重]]="","",(テーブル22[[#This Row],[体重]]-テーブル22[[#This Row],[標準体重]])/テーブル22[[#This Row],[標準体重]]*100)</f>
        <v/>
      </c>
      <c r="AD322" s="1">
        <f>COUNTA(テーブル22[[#This Row],[握力]:[ボール投げ]])</f>
        <v>0</v>
      </c>
      <c r="AE322" s="1" t="str">
        <f>IF(テーブル22[[#This Row],[判定]]=$BD$10,"○","")</f>
        <v/>
      </c>
      <c r="AF322" s="1" t="str">
        <f>IF(AE322="","",COUNTIF($AE$6:AE322,"○"))</f>
        <v/>
      </c>
    </row>
    <row r="323" spans="1:32" x14ac:dyDescent="0.2">
      <c r="A323" s="40">
        <v>318</v>
      </c>
      <c r="B323" s="145"/>
      <c r="C323" s="148"/>
      <c r="D323" s="145"/>
      <c r="E323" s="156"/>
      <c r="F323" s="145"/>
      <c r="G323" s="145"/>
      <c r="H323" s="146"/>
      <c r="I323" s="146"/>
      <c r="J323" s="148"/>
      <c r="K323" s="145"/>
      <c r="L323" s="148"/>
      <c r="M323" s="149"/>
      <c r="N323" s="148"/>
      <c r="O323" s="150"/>
      <c r="P3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3" s="43" t="str">
        <f>IF(テーブル22[[#This Row],[得点]]="","",IF(テーブル22[[#This Row],[年齢]]&gt;10,LOOKUP(P323,$BG$6:$BG$10,$BD$6:$BD$10),IF(テーブル22[[#This Row],[年齢]]&gt;9,LOOKUP(P323,$BF$6:$BF$10,$BD$6:$BD$10),IF(テーブル22[[#This Row],[年齢]]&gt;8,LOOKUP(P323,$BE$6:$BE$10,$BD$6:$BD$10),IF(テーブル22[[#This Row],[年齢]]&gt;7,LOOKUP(P323,$BC$6:$BC$10,$BD$6:$BD$10),IF(テーブル22[[#This Row],[年齢]]&gt;6,LOOKUP(P323,$BB$6:$BB$10,$BD$6:$BD$10),LOOKUP(P323,$BA$6:$BA$10,$BD$6:$BD$10)))))))</f>
        <v/>
      </c>
      <c r="R323" s="42">
        <f>IF(H323="",0,(IF(テーブル22[[#This Row],[性別]]="男",LOOKUP(テーブル22[[#This Row],[握力]],$AH$6:$AI$15),LOOKUP(テーブル22[[#This Row],[握力]],$AH$20:$AI$29))))</f>
        <v>0</v>
      </c>
      <c r="S323" s="42">
        <f>IF(テーブル22[[#This Row],[上体]]="",0,(IF(テーブル22[[#This Row],[性別]]="男",LOOKUP(テーブル22[[#This Row],[上体]],$AJ$6:$AK$15),LOOKUP(テーブル22[[#This Row],[上体]],$AJ$20:$AK$29))))</f>
        <v>0</v>
      </c>
      <c r="T323" s="42">
        <f>IF(テーブル22[[#This Row],[長座]]="",0,(IF(テーブル22[[#This Row],[性別]]="男",LOOKUP(テーブル22[[#This Row],[長座]],$AL$6:$AM$15),LOOKUP(テーブル22[[#This Row],[長座]],$AL$20:$AM$29))))</f>
        <v>0</v>
      </c>
      <c r="U323" s="42">
        <f>IF(テーブル22[[#This Row],[反復]]="",0,(IF(テーブル22[[#This Row],[性別]]="男",LOOKUP(テーブル22[[#This Row],[反復]],$AN$6:$AO$15),LOOKUP(テーブル22[[#This Row],[反復]],$AN$20:$AO$29))))</f>
        <v>0</v>
      </c>
      <c r="V323" s="42">
        <f>IF(テーブル22[[#This Row],[ｼｬﾄﾙﾗﾝ]]="",0,(IF(テーブル22[[#This Row],[性別]]="男",LOOKUP(テーブル22[[#This Row],[ｼｬﾄﾙﾗﾝ]],$AR$6:$AS$15),LOOKUP(テーブル22[[#This Row],[ｼｬﾄﾙﾗﾝ]],$AR$20:$AS$29))))</f>
        <v>0</v>
      </c>
      <c r="W323" s="42">
        <f>IF(テーブル22[[#This Row],[50m走]]="",0,(IF(テーブル22[[#This Row],[性別]]="男",LOOKUP(テーブル22[[#This Row],[50m走]],$AT$6:$AU$15),LOOKUP(テーブル22[[#This Row],[50m走]],$AT$20:$AU$29))))</f>
        <v>0</v>
      </c>
      <c r="X323" s="42">
        <f>IF(テーブル22[[#This Row],[立幅とび]]="",0,(IF(テーブル22[[#This Row],[性別]]="男",LOOKUP(テーブル22[[#This Row],[立幅とび]],$AV$6:$AW$15),LOOKUP(テーブル22[[#This Row],[立幅とび]],$AV$20:$AW$29))))</f>
        <v>0</v>
      </c>
      <c r="Y323" s="42">
        <f>IF(テーブル22[[#This Row],[ボール投げ]]="",0,(IF(テーブル22[[#This Row],[性別]]="男",LOOKUP(テーブル22[[#This Row],[ボール投げ]],$AX$6:$AY$15),LOOKUP(テーブル22[[#This Row],[ボール投げ]],$AX$20:$AY$29))))</f>
        <v>0</v>
      </c>
      <c r="Z323" s="19" t="str">
        <f>IF(テーブル22[[#This Row],[学年]]=1,6,IF(テーブル22[[#This Row],[学年]]=2,7,IF(テーブル22[[#This Row],[学年]]=3,8,IF(テーブル22[[#This Row],[学年]]=4,9,IF(テーブル22[[#This Row],[学年]]=5,10,IF(テーブル22[[#This Row],[学年]]=6,11," "))))))</f>
        <v xml:space="preserve"> </v>
      </c>
      <c r="AA323" s="125" t="str">
        <f>IF(テーブル22[[#This Row],[肥満度数値]]="","",LOOKUP(AC323,$AW$39:$AW$44,$AX$39:$AX$44))</f>
        <v/>
      </c>
      <c r="AB3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3" s="124" t="str">
        <f>IF(テーブル22[[#This Row],[体重]]="","",(テーブル22[[#This Row],[体重]]-テーブル22[[#This Row],[標準体重]])/テーブル22[[#This Row],[標準体重]]*100)</f>
        <v/>
      </c>
      <c r="AD323" s="1">
        <f>COUNTA(テーブル22[[#This Row],[握力]:[ボール投げ]])</f>
        <v>0</v>
      </c>
      <c r="AE323" s="1" t="str">
        <f>IF(テーブル22[[#This Row],[判定]]=$BD$10,"○","")</f>
        <v/>
      </c>
      <c r="AF323" s="1" t="str">
        <f>IF(AE323="","",COUNTIF($AE$6:AE323,"○"))</f>
        <v/>
      </c>
    </row>
    <row r="324" spans="1:32" x14ac:dyDescent="0.2">
      <c r="A324" s="40">
        <v>319</v>
      </c>
      <c r="B324" s="145"/>
      <c r="C324" s="148"/>
      <c r="D324" s="145"/>
      <c r="E324" s="156"/>
      <c r="F324" s="145"/>
      <c r="G324" s="145"/>
      <c r="H324" s="146"/>
      <c r="I324" s="146"/>
      <c r="J324" s="148"/>
      <c r="K324" s="145"/>
      <c r="L324" s="148"/>
      <c r="M324" s="149"/>
      <c r="N324" s="148"/>
      <c r="O324" s="150"/>
      <c r="P3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4" s="43" t="str">
        <f>IF(テーブル22[[#This Row],[得点]]="","",IF(テーブル22[[#This Row],[年齢]]&gt;10,LOOKUP(P324,$BG$6:$BG$10,$BD$6:$BD$10),IF(テーブル22[[#This Row],[年齢]]&gt;9,LOOKUP(P324,$BF$6:$BF$10,$BD$6:$BD$10),IF(テーブル22[[#This Row],[年齢]]&gt;8,LOOKUP(P324,$BE$6:$BE$10,$BD$6:$BD$10),IF(テーブル22[[#This Row],[年齢]]&gt;7,LOOKUP(P324,$BC$6:$BC$10,$BD$6:$BD$10),IF(テーブル22[[#This Row],[年齢]]&gt;6,LOOKUP(P324,$BB$6:$BB$10,$BD$6:$BD$10),LOOKUP(P324,$BA$6:$BA$10,$BD$6:$BD$10)))))))</f>
        <v/>
      </c>
      <c r="R324" s="42">
        <f>IF(H324="",0,(IF(テーブル22[[#This Row],[性別]]="男",LOOKUP(テーブル22[[#This Row],[握力]],$AH$6:$AI$15),LOOKUP(テーブル22[[#This Row],[握力]],$AH$20:$AI$29))))</f>
        <v>0</v>
      </c>
      <c r="S324" s="42">
        <f>IF(テーブル22[[#This Row],[上体]]="",0,(IF(テーブル22[[#This Row],[性別]]="男",LOOKUP(テーブル22[[#This Row],[上体]],$AJ$6:$AK$15),LOOKUP(テーブル22[[#This Row],[上体]],$AJ$20:$AK$29))))</f>
        <v>0</v>
      </c>
      <c r="T324" s="42">
        <f>IF(テーブル22[[#This Row],[長座]]="",0,(IF(テーブル22[[#This Row],[性別]]="男",LOOKUP(テーブル22[[#This Row],[長座]],$AL$6:$AM$15),LOOKUP(テーブル22[[#This Row],[長座]],$AL$20:$AM$29))))</f>
        <v>0</v>
      </c>
      <c r="U324" s="42">
        <f>IF(テーブル22[[#This Row],[反復]]="",0,(IF(テーブル22[[#This Row],[性別]]="男",LOOKUP(テーブル22[[#This Row],[反復]],$AN$6:$AO$15),LOOKUP(テーブル22[[#This Row],[反復]],$AN$20:$AO$29))))</f>
        <v>0</v>
      </c>
      <c r="V324" s="42">
        <f>IF(テーブル22[[#This Row],[ｼｬﾄﾙﾗﾝ]]="",0,(IF(テーブル22[[#This Row],[性別]]="男",LOOKUP(テーブル22[[#This Row],[ｼｬﾄﾙﾗﾝ]],$AR$6:$AS$15),LOOKUP(テーブル22[[#This Row],[ｼｬﾄﾙﾗﾝ]],$AR$20:$AS$29))))</f>
        <v>0</v>
      </c>
      <c r="W324" s="42">
        <f>IF(テーブル22[[#This Row],[50m走]]="",0,(IF(テーブル22[[#This Row],[性別]]="男",LOOKUP(テーブル22[[#This Row],[50m走]],$AT$6:$AU$15),LOOKUP(テーブル22[[#This Row],[50m走]],$AT$20:$AU$29))))</f>
        <v>0</v>
      </c>
      <c r="X324" s="42">
        <f>IF(テーブル22[[#This Row],[立幅とび]]="",0,(IF(テーブル22[[#This Row],[性別]]="男",LOOKUP(テーブル22[[#This Row],[立幅とび]],$AV$6:$AW$15),LOOKUP(テーブル22[[#This Row],[立幅とび]],$AV$20:$AW$29))))</f>
        <v>0</v>
      </c>
      <c r="Y324" s="42">
        <f>IF(テーブル22[[#This Row],[ボール投げ]]="",0,(IF(テーブル22[[#This Row],[性別]]="男",LOOKUP(テーブル22[[#This Row],[ボール投げ]],$AX$6:$AY$15),LOOKUP(テーブル22[[#This Row],[ボール投げ]],$AX$20:$AY$29))))</f>
        <v>0</v>
      </c>
      <c r="Z324" s="19" t="str">
        <f>IF(テーブル22[[#This Row],[学年]]=1,6,IF(テーブル22[[#This Row],[学年]]=2,7,IF(テーブル22[[#This Row],[学年]]=3,8,IF(テーブル22[[#This Row],[学年]]=4,9,IF(テーブル22[[#This Row],[学年]]=5,10,IF(テーブル22[[#This Row],[学年]]=6,11," "))))))</f>
        <v xml:space="preserve"> </v>
      </c>
      <c r="AA324" s="125" t="str">
        <f>IF(テーブル22[[#This Row],[肥満度数値]]="","",LOOKUP(AC324,$AW$39:$AW$44,$AX$39:$AX$44))</f>
        <v/>
      </c>
      <c r="AB3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4" s="124" t="str">
        <f>IF(テーブル22[[#This Row],[体重]]="","",(テーブル22[[#This Row],[体重]]-テーブル22[[#This Row],[標準体重]])/テーブル22[[#This Row],[標準体重]]*100)</f>
        <v/>
      </c>
      <c r="AD324" s="1">
        <f>COUNTA(テーブル22[[#This Row],[握力]:[ボール投げ]])</f>
        <v>0</v>
      </c>
      <c r="AE324" s="1" t="str">
        <f>IF(テーブル22[[#This Row],[判定]]=$BD$10,"○","")</f>
        <v/>
      </c>
      <c r="AF324" s="1" t="str">
        <f>IF(AE324="","",COUNTIF($AE$6:AE324,"○"))</f>
        <v/>
      </c>
    </row>
    <row r="325" spans="1:32" x14ac:dyDescent="0.2">
      <c r="A325" s="40">
        <v>320</v>
      </c>
      <c r="B325" s="145"/>
      <c r="C325" s="148"/>
      <c r="D325" s="145"/>
      <c r="E325" s="156"/>
      <c r="F325" s="145"/>
      <c r="G325" s="145"/>
      <c r="H325" s="146"/>
      <c r="I325" s="146"/>
      <c r="J325" s="148"/>
      <c r="K325" s="145"/>
      <c r="L325" s="148"/>
      <c r="M325" s="149"/>
      <c r="N325" s="148"/>
      <c r="O325" s="150"/>
      <c r="P3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5" s="43" t="str">
        <f>IF(テーブル22[[#This Row],[得点]]="","",IF(テーブル22[[#This Row],[年齢]]&gt;10,LOOKUP(P325,$BG$6:$BG$10,$BD$6:$BD$10),IF(テーブル22[[#This Row],[年齢]]&gt;9,LOOKUP(P325,$BF$6:$BF$10,$BD$6:$BD$10),IF(テーブル22[[#This Row],[年齢]]&gt;8,LOOKUP(P325,$BE$6:$BE$10,$BD$6:$BD$10),IF(テーブル22[[#This Row],[年齢]]&gt;7,LOOKUP(P325,$BC$6:$BC$10,$BD$6:$BD$10),IF(テーブル22[[#This Row],[年齢]]&gt;6,LOOKUP(P325,$BB$6:$BB$10,$BD$6:$BD$10),LOOKUP(P325,$BA$6:$BA$10,$BD$6:$BD$10)))))))</f>
        <v/>
      </c>
      <c r="R325" s="42">
        <f>IF(H325="",0,(IF(テーブル22[[#This Row],[性別]]="男",LOOKUP(テーブル22[[#This Row],[握力]],$AH$6:$AI$15),LOOKUP(テーブル22[[#This Row],[握力]],$AH$20:$AI$29))))</f>
        <v>0</v>
      </c>
      <c r="S325" s="42">
        <f>IF(テーブル22[[#This Row],[上体]]="",0,(IF(テーブル22[[#This Row],[性別]]="男",LOOKUP(テーブル22[[#This Row],[上体]],$AJ$6:$AK$15),LOOKUP(テーブル22[[#This Row],[上体]],$AJ$20:$AK$29))))</f>
        <v>0</v>
      </c>
      <c r="T325" s="42">
        <f>IF(テーブル22[[#This Row],[長座]]="",0,(IF(テーブル22[[#This Row],[性別]]="男",LOOKUP(テーブル22[[#This Row],[長座]],$AL$6:$AM$15),LOOKUP(テーブル22[[#This Row],[長座]],$AL$20:$AM$29))))</f>
        <v>0</v>
      </c>
      <c r="U325" s="42">
        <f>IF(テーブル22[[#This Row],[反復]]="",0,(IF(テーブル22[[#This Row],[性別]]="男",LOOKUP(テーブル22[[#This Row],[反復]],$AN$6:$AO$15),LOOKUP(テーブル22[[#This Row],[反復]],$AN$20:$AO$29))))</f>
        <v>0</v>
      </c>
      <c r="V325" s="42">
        <f>IF(テーブル22[[#This Row],[ｼｬﾄﾙﾗﾝ]]="",0,(IF(テーブル22[[#This Row],[性別]]="男",LOOKUP(テーブル22[[#This Row],[ｼｬﾄﾙﾗﾝ]],$AR$6:$AS$15),LOOKUP(テーブル22[[#This Row],[ｼｬﾄﾙﾗﾝ]],$AR$20:$AS$29))))</f>
        <v>0</v>
      </c>
      <c r="W325" s="42">
        <f>IF(テーブル22[[#This Row],[50m走]]="",0,(IF(テーブル22[[#This Row],[性別]]="男",LOOKUP(テーブル22[[#This Row],[50m走]],$AT$6:$AU$15),LOOKUP(テーブル22[[#This Row],[50m走]],$AT$20:$AU$29))))</f>
        <v>0</v>
      </c>
      <c r="X325" s="42">
        <f>IF(テーブル22[[#This Row],[立幅とび]]="",0,(IF(テーブル22[[#This Row],[性別]]="男",LOOKUP(テーブル22[[#This Row],[立幅とび]],$AV$6:$AW$15),LOOKUP(テーブル22[[#This Row],[立幅とび]],$AV$20:$AW$29))))</f>
        <v>0</v>
      </c>
      <c r="Y325" s="42">
        <f>IF(テーブル22[[#This Row],[ボール投げ]]="",0,(IF(テーブル22[[#This Row],[性別]]="男",LOOKUP(テーブル22[[#This Row],[ボール投げ]],$AX$6:$AY$15),LOOKUP(テーブル22[[#This Row],[ボール投げ]],$AX$20:$AY$29))))</f>
        <v>0</v>
      </c>
      <c r="Z325" s="19" t="str">
        <f>IF(テーブル22[[#This Row],[学年]]=1,6,IF(テーブル22[[#This Row],[学年]]=2,7,IF(テーブル22[[#This Row],[学年]]=3,8,IF(テーブル22[[#This Row],[学年]]=4,9,IF(テーブル22[[#This Row],[学年]]=5,10,IF(テーブル22[[#This Row],[学年]]=6,11," "))))))</f>
        <v xml:space="preserve"> </v>
      </c>
      <c r="AA325" s="125" t="str">
        <f>IF(テーブル22[[#This Row],[肥満度数値]]="","",LOOKUP(AC325,$AW$39:$AW$44,$AX$39:$AX$44))</f>
        <v/>
      </c>
      <c r="AB3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5" s="124" t="str">
        <f>IF(テーブル22[[#This Row],[体重]]="","",(テーブル22[[#This Row],[体重]]-テーブル22[[#This Row],[標準体重]])/テーブル22[[#This Row],[標準体重]]*100)</f>
        <v/>
      </c>
      <c r="AD325" s="1">
        <f>COUNTA(テーブル22[[#This Row],[握力]:[ボール投げ]])</f>
        <v>0</v>
      </c>
      <c r="AE325" s="1" t="str">
        <f>IF(テーブル22[[#This Row],[判定]]=$BD$10,"○","")</f>
        <v/>
      </c>
      <c r="AF325" s="1" t="str">
        <f>IF(AE325="","",COUNTIF($AE$6:AE325,"○"))</f>
        <v/>
      </c>
    </row>
    <row r="326" spans="1:32" x14ac:dyDescent="0.2">
      <c r="A326" s="40">
        <v>321</v>
      </c>
      <c r="B326" s="145"/>
      <c r="C326" s="148"/>
      <c r="D326" s="145"/>
      <c r="E326" s="156"/>
      <c r="F326" s="145"/>
      <c r="G326" s="145"/>
      <c r="H326" s="146"/>
      <c r="I326" s="146"/>
      <c r="J326" s="148"/>
      <c r="K326" s="145"/>
      <c r="L326" s="148"/>
      <c r="M326" s="149"/>
      <c r="N326" s="148"/>
      <c r="O326" s="150"/>
      <c r="P3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6" s="43" t="str">
        <f>IF(テーブル22[[#This Row],[得点]]="","",IF(テーブル22[[#This Row],[年齢]]&gt;10,LOOKUP(P326,$BG$6:$BG$10,$BD$6:$BD$10),IF(テーブル22[[#This Row],[年齢]]&gt;9,LOOKUP(P326,$BF$6:$BF$10,$BD$6:$BD$10),IF(テーブル22[[#This Row],[年齢]]&gt;8,LOOKUP(P326,$BE$6:$BE$10,$BD$6:$BD$10),IF(テーブル22[[#This Row],[年齢]]&gt;7,LOOKUP(P326,$BC$6:$BC$10,$BD$6:$BD$10),IF(テーブル22[[#This Row],[年齢]]&gt;6,LOOKUP(P326,$BB$6:$BB$10,$BD$6:$BD$10),LOOKUP(P326,$BA$6:$BA$10,$BD$6:$BD$10)))))))</f>
        <v/>
      </c>
      <c r="R326" s="42">
        <f>IF(H326="",0,(IF(テーブル22[[#This Row],[性別]]="男",LOOKUP(テーブル22[[#This Row],[握力]],$AH$6:$AI$15),LOOKUP(テーブル22[[#This Row],[握力]],$AH$20:$AI$29))))</f>
        <v>0</v>
      </c>
      <c r="S326" s="42">
        <f>IF(テーブル22[[#This Row],[上体]]="",0,(IF(テーブル22[[#This Row],[性別]]="男",LOOKUP(テーブル22[[#This Row],[上体]],$AJ$6:$AK$15),LOOKUP(テーブル22[[#This Row],[上体]],$AJ$20:$AK$29))))</f>
        <v>0</v>
      </c>
      <c r="T326" s="42">
        <f>IF(テーブル22[[#This Row],[長座]]="",0,(IF(テーブル22[[#This Row],[性別]]="男",LOOKUP(テーブル22[[#This Row],[長座]],$AL$6:$AM$15),LOOKUP(テーブル22[[#This Row],[長座]],$AL$20:$AM$29))))</f>
        <v>0</v>
      </c>
      <c r="U326" s="42">
        <f>IF(テーブル22[[#This Row],[反復]]="",0,(IF(テーブル22[[#This Row],[性別]]="男",LOOKUP(テーブル22[[#This Row],[反復]],$AN$6:$AO$15),LOOKUP(テーブル22[[#This Row],[反復]],$AN$20:$AO$29))))</f>
        <v>0</v>
      </c>
      <c r="V326" s="42">
        <f>IF(テーブル22[[#This Row],[ｼｬﾄﾙﾗﾝ]]="",0,(IF(テーブル22[[#This Row],[性別]]="男",LOOKUP(テーブル22[[#This Row],[ｼｬﾄﾙﾗﾝ]],$AR$6:$AS$15),LOOKUP(テーブル22[[#This Row],[ｼｬﾄﾙﾗﾝ]],$AR$20:$AS$29))))</f>
        <v>0</v>
      </c>
      <c r="W326" s="42">
        <f>IF(テーブル22[[#This Row],[50m走]]="",0,(IF(テーブル22[[#This Row],[性別]]="男",LOOKUP(テーブル22[[#This Row],[50m走]],$AT$6:$AU$15),LOOKUP(テーブル22[[#This Row],[50m走]],$AT$20:$AU$29))))</f>
        <v>0</v>
      </c>
      <c r="X326" s="42">
        <f>IF(テーブル22[[#This Row],[立幅とび]]="",0,(IF(テーブル22[[#This Row],[性別]]="男",LOOKUP(テーブル22[[#This Row],[立幅とび]],$AV$6:$AW$15),LOOKUP(テーブル22[[#This Row],[立幅とび]],$AV$20:$AW$29))))</f>
        <v>0</v>
      </c>
      <c r="Y326" s="42">
        <f>IF(テーブル22[[#This Row],[ボール投げ]]="",0,(IF(テーブル22[[#This Row],[性別]]="男",LOOKUP(テーブル22[[#This Row],[ボール投げ]],$AX$6:$AY$15),LOOKUP(テーブル22[[#This Row],[ボール投げ]],$AX$20:$AY$29))))</f>
        <v>0</v>
      </c>
      <c r="Z326" s="19" t="str">
        <f>IF(テーブル22[[#This Row],[学年]]=1,6,IF(テーブル22[[#This Row],[学年]]=2,7,IF(テーブル22[[#This Row],[学年]]=3,8,IF(テーブル22[[#This Row],[学年]]=4,9,IF(テーブル22[[#This Row],[学年]]=5,10,IF(テーブル22[[#This Row],[学年]]=6,11," "))))))</f>
        <v xml:space="preserve"> </v>
      </c>
      <c r="AA326" s="125" t="str">
        <f>IF(テーブル22[[#This Row],[肥満度数値]]="","",LOOKUP(AC326,$AW$39:$AW$44,$AX$39:$AX$44))</f>
        <v/>
      </c>
      <c r="AB3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6" s="124" t="str">
        <f>IF(テーブル22[[#This Row],[体重]]="","",(テーブル22[[#This Row],[体重]]-テーブル22[[#This Row],[標準体重]])/テーブル22[[#This Row],[標準体重]]*100)</f>
        <v/>
      </c>
      <c r="AD326" s="1">
        <f>COUNTA(テーブル22[[#This Row],[握力]:[ボール投げ]])</f>
        <v>0</v>
      </c>
      <c r="AE326" s="1" t="str">
        <f>IF(テーブル22[[#This Row],[判定]]=$BD$10,"○","")</f>
        <v/>
      </c>
      <c r="AF326" s="1" t="str">
        <f>IF(AE326="","",COUNTIF($AE$6:AE326,"○"))</f>
        <v/>
      </c>
    </row>
    <row r="327" spans="1:32" x14ac:dyDescent="0.2">
      <c r="A327" s="40">
        <v>322</v>
      </c>
      <c r="B327" s="145"/>
      <c r="C327" s="148"/>
      <c r="D327" s="145"/>
      <c r="E327" s="156"/>
      <c r="F327" s="145"/>
      <c r="G327" s="145"/>
      <c r="H327" s="146"/>
      <c r="I327" s="146"/>
      <c r="J327" s="148"/>
      <c r="K327" s="145"/>
      <c r="L327" s="148"/>
      <c r="M327" s="149"/>
      <c r="N327" s="148"/>
      <c r="O327" s="150"/>
      <c r="P3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7" s="43" t="str">
        <f>IF(テーブル22[[#This Row],[得点]]="","",IF(テーブル22[[#This Row],[年齢]]&gt;10,LOOKUP(P327,$BG$6:$BG$10,$BD$6:$BD$10),IF(テーブル22[[#This Row],[年齢]]&gt;9,LOOKUP(P327,$BF$6:$BF$10,$BD$6:$BD$10),IF(テーブル22[[#This Row],[年齢]]&gt;8,LOOKUP(P327,$BE$6:$BE$10,$BD$6:$BD$10),IF(テーブル22[[#This Row],[年齢]]&gt;7,LOOKUP(P327,$BC$6:$BC$10,$BD$6:$BD$10),IF(テーブル22[[#This Row],[年齢]]&gt;6,LOOKUP(P327,$BB$6:$BB$10,$BD$6:$BD$10),LOOKUP(P327,$BA$6:$BA$10,$BD$6:$BD$10)))))))</f>
        <v/>
      </c>
      <c r="R327" s="42">
        <f>IF(H327="",0,(IF(テーブル22[[#This Row],[性別]]="男",LOOKUP(テーブル22[[#This Row],[握力]],$AH$6:$AI$15),LOOKUP(テーブル22[[#This Row],[握力]],$AH$20:$AI$29))))</f>
        <v>0</v>
      </c>
      <c r="S327" s="42">
        <f>IF(テーブル22[[#This Row],[上体]]="",0,(IF(テーブル22[[#This Row],[性別]]="男",LOOKUP(テーブル22[[#This Row],[上体]],$AJ$6:$AK$15),LOOKUP(テーブル22[[#This Row],[上体]],$AJ$20:$AK$29))))</f>
        <v>0</v>
      </c>
      <c r="T327" s="42">
        <f>IF(テーブル22[[#This Row],[長座]]="",0,(IF(テーブル22[[#This Row],[性別]]="男",LOOKUP(テーブル22[[#This Row],[長座]],$AL$6:$AM$15),LOOKUP(テーブル22[[#This Row],[長座]],$AL$20:$AM$29))))</f>
        <v>0</v>
      </c>
      <c r="U327" s="42">
        <f>IF(テーブル22[[#This Row],[反復]]="",0,(IF(テーブル22[[#This Row],[性別]]="男",LOOKUP(テーブル22[[#This Row],[反復]],$AN$6:$AO$15),LOOKUP(テーブル22[[#This Row],[反復]],$AN$20:$AO$29))))</f>
        <v>0</v>
      </c>
      <c r="V327" s="42">
        <f>IF(テーブル22[[#This Row],[ｼｬﾄﾙﾗﾝ]]="",0,(IF(テーブル22[[#This Row],[性別]]="男",LOOKUP(テーブル22[[#This Row],[ｼｬﾄﾙﾗﾝ]],$AR$6:$AS$15),LOOKUP(テーブル22[[#This Row],[ｼｬﾄﾙﾗﾝ]],$AR$20:$AS$29))))</f>
        <v>0</v>
      </c>
      <c r="W327" s="42">
        <f>IF(テーブル22[[#This Row],[50m走]]="",0,(IF(テーブル22[[#This Row],[性別]]="男",LOOKUP(テーブル22[[#This Row],[50m走]],$AT$6:$AU$15),LOOKUP(テーブル22[[#This Row],[50m走]],$AT$20:$AU$29))))</f>
        <v>0</v>
      </c>
      <c r="X327" s="42">
        <f>IF(テーブル22[[#This Row],[立幅とび]]="",0,(IF(テーブル22[[#This Row],[性別]]="男",LOOKUP(テーブル22[[#This Row],[立幅とび]],$AV$6:$AW$15),LOOKUP(テーブル22[[#This Row],[立幅とび]],$AV$20:$AW$29))))</f>
        <v>0</v>
      </c>
      <c r="Y327" s="42">
        <f>IF(テーブル22[[#This Row],[ボール投げ]]="",0,(IF(テーブル22[[#This Row],[性別]]="男",LOOKUP(テーブル22[[#This Row],[ボール投げ]],$AX$6:$AY$15),LOOKUP(テーブル22[[#This Row],[ボール投げ]],$AX$20:$AY$29))))</f>
        <v>0</v>
      </c>
      <c r="Z327" s="19" t="str">
        <f>IF(テーブル22[[#This Row],[学年]]=1,6,IF(テーブル22[[#This Row],[学年]]=2,7,IF(テーブル22[[#This Row],[学年]]=3,8,IF(テーブル22[[#This Row],[学年]]=4,9,IF(テーブル22[[#This Row],[学年]]=5,10,IF(テーブル22[[#This Row],[学年]]=6,11," "))))))</f>
        <v xml:space="preserve"> </v>
      </c>
      <c r="AA327" s="125" t="str">
        <f>IF(テーブル22[[#This Row],[肥満度数値]]="","",LOOKUP(AC327,$AW$39:$AW$44,$AX$39:$AX$44))</f>
        <v/>
      </c>
      <c r="AB3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7" s="124" t="str">
        <f>IF(テーブル22[[#This Row],[体重]]="","",(テーブル22[[#This Row],[体重]]-テーブル22[[#This Row],[標準体重]])/テーブル22[[#This Row],[標準体重]]*100)</f>
        <v/>
      </c>
      <c r="AD327" s="1">
        <f>COUNTA(テーブル22[[#This Row],[握力]:[ボール投げ]])</f>
        <v>0</v>
      </c>
      <c r="AE327" s="1" t="str">
        <f>IF(テーブル22[[#This Row],[判定]]=$BD$10,"○","")</f>
        <v/>
      </c>
      <c r="AF327" s="1" t="str">
        <f>IF(AE327="","",COUNTIF($AE$6:AE327,"○"))</f>
        <v/>
      </c>
    </row>
    <row r="328" spans="1:32" x14ac:dyDescent="0.2">
      <c r="A328" s="40">
        <v>323</v>
      </c>
      <c r="B328" s="145"/>
      <c r="C328" s="148"/>
      <c r="D328" s="145"/>
      <c r="E328" s="156"/>
      <c r="F328" s="145"/>
      <c r="G328" s="145"/>
      <c r="H328" s="146"/>
      <c r="I328" s="146"/>
      <c r="J328" s="148"/>
      <c r="K328" s="145"/>
      <c r="L328" s="148"/>
      <c r="M328" s="149"/>
      <c r="N328" s="148"/>
      <c r="O328" s="150"/>
      <c r="P3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8" s="43" t="str">
        <f>IF(テーブル22[[#This Row],[得点]]="","",IF(テーブル22[[#This Row],[年齢]]&gt;10,LOOKUP(P328,$BG$6:$BG$10,$BD$6:$BD$10),IF(テーブル22[[#This Row],[年齢]]&gt;9,LOOKUP(P328,$BF$6:$BF$10,$BD$6:$BD$10),IF(テーブル22[[#This Row],[年齢]]&gt;8,LOOKUP(P328,$BE$6:$BE$10,$BD$6:$BD$10),IF(テーブル22[[#This Row],[年齢]]&gt;7,LOOKUP(P328,$BC$6:$BC$10,$BD$6:$BD$10),IF(テーブル22[[#This Row],[年齢]]&gt;6,LOOKUP(P328,$BB$6:$BB$10,$BD$6:$BD$10),LOOKUP(P328,$BA$6:$BA$10,$BD$6:$BD$10)))))))</f>
        <v/>
      </c>
      <c r="R328" s="42">
        <f>IF(H328="",0,(IF(テーブル22[[#This Row],[性別]]="男",LOOKUP(テーブル22[[#This Row],[握力]],$AH$6:$AI$15),LOOKUP(テーブル22[[#This Row],[握力]],$AH$20:$AI$29))))</f>
        <v>0</v>
      </c>
      <c r="S328" s="42">
        <f>IF(テーブル22[[#This Row],[上体]]="",0,(IF(テーブル22[[#This Row],[性別]]="男",LOOKUP(テーブル22[[#This Row],[上体]],$AJ$6:$AK$15),LOOKUP(テーブル22[[#This Row],[上体]],$AJ$20:$AK$29))))</f>
        <v>0</v>
      </c>
      <c r="T328" s="42">
        <f>IF(テーブル22[[#This Row],[長座]]="",0,(IF(テーブル22[[#This Row],[性別]]="男",LOOKUP(テーブル22[[#This Row],[長座]],$AL$6:$AM$15),LOOKUP(テーブル22[[#This Row],[長座]],$AL$20:$AM$29))))</f>
        <v>0</v>
      </c>
      <c r="U328" s="42">
        <f>IF(テーブル22[[#This Row],[反復]]="",0,(IF(テーブル22[[#This Row],[性別]]="男",LOOKUP(テーブル22[[#This Row],[反復]],$AN$6:$AO$15),LOOKUP(テーブル22[[#This Row],[反復]],$AN$20:$AO$29))))</f>
        <v>0</v>
      </c>
      <c r="V328" s="42">
        <f>IF(テーブル22[[#This Row],[ｼｬﾄﾙﾗﾝ]]="",0,(IF(テーブル22[[#This Row],[性別]]="男",LOOKUP(テーブル22[[#This Row],[ｼｬﾄﾙﾗﾝ]],$AR$6:$AS$15),LOOKUP(テーブル22[[#This Row],[ｼｬﾄﾙﾗﾝ]],$AR$20:$AS$29))))</f>
        <v>0</v>
      </c>
      <c r="W328" s="42">
        <f>IF(テーブル22[[#This Row],[50m走]]="",0,(IF(テーブル22[[#This Row],[性別]]="男",LOOKUP(テーブル22[[#This Row],[50m走]],$AT$6:$AU$15),LOOKUP(テーブル22[[#This Row],[50m走]],$AT$20:$AU$29))))</f>
        <v>0</v>
      </c>
      <c r="X328" s="42">
        <f>IF(テーブル22[[#This Row],[立幅とび]]="",0,(IF(テーブル22[[#This Row],[性別]]="男",LOOKUP(テーブル22[[#This Row],[立幅とび]],$AV$6:$AW$15),LOOKUP(テーブル22[[#This Row],[立幅とび]],$AV$20:$AW$29))))</f>
        <v>0</v>
      </c>
      <c r="Y328" s="42">
        <f>IF(テーブル22[[#This Row],[ボール投げ]]="",0,(IF(テーブル22[[#This Row],[性別]]="男",LOOKUP(テーブル22[[#This Row],[ボール投げ]],$AX$6:$AY$15),LOOKUP(テーブル22[[#This Row],[ボール投げ]],$AX$20:$AY$29))))</f>
        <v>0</v>
      </c>
      <c r="Z328" s="19" t="str">
        <f>IF(テーブル22[[#This Row],[学年]]=1,6,IF(テーブル22[[#This Row],[学年]]=2,7,IF(テーブル22[[#This Row],[学年]]=3,8,IF(テーブル22[[#This Row],[学年]]=4,9,IF(テーブル22[[#This Row],[学年]]=5,10,IF(テーブル22[[#This Row],[学年]]=6,11," "))))))</f>
        <v xml:space="preserve"> </v>
      </c>
      <c r="AA328" s="125" t="str">
        <f>IF(テーブル22[[#This Row],[肥満度数値]]="","",LOOKUP(AC328,$AW$39:$AW$44,$AX$39:$AX$44))</f>
        <v/>
      </c>
      <c r="AB3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8" s="124" t="str">
        <f>IF(テーブル22[[#This Row],[体重]]="","",(テーブル22[[#This Row],[体重]]-テーブル22[[#This Row],[標準体重]])/テーブル22[[#This Row],[標準体重]]*100)</f>
        <v/>
      </c>
      <c r="AD328" s="1">
        <f>COUNTA(テーブル22[[#This Row],[握力]:[ボール投げ]])</f>
        <v>0</v>
      </c>
      <c r="AE328" s="1" t="str">
        <f>IF(テーブル22[[#This Row],[判定]]=$BD$10,"○","")</f>
        <v/>
      </c>
      <c r="AF328" s="1" t="str">
        <f>IF(AE328="","",COUNTIF($AE$6:AE328,"○"))</f>
        <v/>
      </c>
    </row>
    <row r="329" spans="1:32" x14ac:dyDescent="0.2">
      <c r="A329" s="40">
        <v>324</v>
      </c>
      <c r="B329" s="145"/>
      <c r="C329" s="148"/>
      <c r="D329" s="145"/>
      <c r="E329" s="156"/>
      <c r="F329" s="145"/>
      <c r="G329" s="145"/>
      <c r="H329" s="146"/>
      <c r="I329" s="146"/>
      <c r="J329" s="148"/>
      <c r="K329" s="145"/>
      <c r="L329" s="148"/>
      <c r="M329" s="149"/>
      <c r="N329" s="148"/>
      <c r="O329" s="150"/>
      <c r="P3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29" s="43" t="str">
        <f>IF(テーブル22[[#This Row],[得点]]="","",IF(テーブル22[[#This Row],[年齢]]&gt;10,LOOKUP(P329,$BG$6:$BG$10,$BD$6:$BD$10),IF(テーブル22[[#This Row],[年齢]]&gt;9,LOOKUP(P329,$BF$6:$BF$10,$BD$6:$BD$10),IF(テーブル22[[#This Row],[年齢]]&gt;8,LOOKUP(P329,$BE$6:$BE$10,$BD$6:$BD$10),IF(テーブル22[[#This Row],[年齢]]&gt;7,LOOKUP(P329,$BC$6:$BC$10,$BD$6:$BD$10),IF(テーブル22[[#This Row],[年齢]]&gt;6,LOOKUP(P329,$BB$6:$BB$10,$BD$6:$BD$10),LOOKUP(P329,$BA$6:$BA$10,$BD$6:$BD$10)))))))</f>
        <v/>
      </c>
      <c r="R329" s="42">
        <f>IF(H329="",0,(IF(テーブル22[[#This Row],[性別]]="男",LOOKUP(テーブル22[[#This Row],[握力]],$AH$6:$AI$15),LOOKUP(テーブル22[[#This Row],[握力]],$AH$20:$AI$29))))</f>
        <v>0</v>
      </c>
      <c r="S329" s="42">
        <f>IF(テーブル22[[#This Row],[上体]]="",0,(IF(テーブル22[[#This Row],[性別]]="男",LOOKUP(テーブル22[[#This Row],[上体]],$AJ$6:$AK$15),LOOKUP(テーブル22[[#This Row],[上体]],$AJ$20:$AK$29))))</f>
        <v>0</v>
      </c>
      <c r="T329" s="42">
        <f>IF(テーブル22[[#This Row],[長座]]="",0,(IF(テーブル22[[#This Row],[性別]]="男",LOOKUP(テーブル22[[#This Row],[長座]],$AL$6:$AM$15),LOOKUP(テーブル22[[#This Row],[長座]],$AL$20:$AM$29))))</f>
        <v>0</v>
      </c>
      <c r="U329" s="42">
        <f>IF(テーブル22[[#This Row],[反復]]="",0,(IF(テーブル22[[#This Row],[性別]]="男",LOOKUP(テーブル22[[#This Row],[反復]],$AN$6:$AO$15),LOOKUP(テーブル22[[#This Row],[反復]],$AN$20:$AO$29))))</f>
        <v>0</v>
      </c>
      <c r="V329" s="42">
        <f>IF(テーブル22[[#This Row],[ｼｬﾄﾙﾗﾝ]]="",0,(IF(テーブル22[[#This Row],[性別]]="男",LOOKUP(テーブル22[[#This Row],[ｼｬﾄﾙﾗﾝ]],$AR$6:$AS$15),LOOKUP(テーブル22[[#This Row],[ｼｬﾄﾙﾗﾝ]],$AR$20:$AS$29))))</f>
        <v>0</v>
      </c>
      <c r="W329" s="42">
        <f>IF(テーブル22[[#This Row],[50m走]]="",0,(IF(テーブル22[[#This Row],[性別]]="男",LOOKUP(テーブル22[[#This Row],[50m走]],$AT$6:$AU$15),LOOKUP(テーブル22[[#This Row],[50m走]],$AT$20:$AU$29))))</f>
        <v>0</v>
      </c>
      <c r="X329" s="42">
        <f>IF(テーブル22[[#This Row],[立幅とび]]="",0,(IF(テーブル22[[#This Row],[性別]]="男",LOOKUP(テーブル22[[#This Row],[立幅とび]],$AV$6:$AW$15),LOOKUP(テーブル22[[#This Row],[立幅とび]],$AV$20:$AW$29))))</f>
        <v>0</v>
      </c>
      <c r="Y329" s="42">
        <f>IF(テーブル22[[#This Row],[ボール投げ]]="",0,(IF(テーブル22[[#This Row],[性別]]="男",LOOKUP(テーブル22[[#This Row],[ボール投げ]],$AX$6:$AY$15),LOOKUP(テーブル22[[#This Row],[ボール投げ]],$AX$20:$AY$29))))</f>
        <v>0</v>
      </c>
      <c r="Z329" s="19" t="str">
        <f>IF(テーブル22[[#This Row],[学年]]=1,6,IF(テーブル22[[#This Row],[学年]]=2,7,IF(テーブル22[[#This Row],[学年]]=3,8,IF(テーブル22[[#This Row],[学年]]=4,9,IF(テーブル22[[#This Row],[学年]]=5,10,IF(テーブル22[[#This Row],[学年]]=6,11," "))))))</f>
        <v xml:space="preserve"> </v>
      </c>
      <c r="AA329" s="125" t="str">
        <f>IF(テーブル22[[#This Row],[肥満度数値]]="","",LOOKUP(AC329,$AW$39:$AW$44,$AX$39:$AX$44))</f>
        <v/>
      </c>
      <c r="AB3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29" s="124" t="str">
        <f>IF(テーブル22[[#This Row],[体重]]="","",(テーブル22[[#This Row],[体重]]-テーブル22[[#This Row],[標準体重]])/テーブル22[[#This Row],[標準体重]]*100)</f>
        <v/>
      </c>
      <c r="AD329" s="1">
        <f>COUNTA(テーブル22[[#This Row],[握力]:[ボール投げ]])</f>
        <v>0</v>
      </c>
      <c r="AE329" s="1" t="str">
        <f>IF(テーブル22[[#This Row],[判定]]=$BD$10,"○","")</f>
        <v/>
      </c>
      <c r="AF329" s="1" t="str">
        <f>IF(AE329="","",COUNTIF($AE$6:AE329,"○"))</f>
        <v/>
      </c>
    </row>
    <row r="330" spans="1:32" x14ac:dyDescent="0.2">
      <c r="A330" s="40">
        <v>325</v>
      </c>
      <c r="B330" s="145"/>
      <c r="C330" s="148"/>
      <c r="D330" s="145"/>
      <c r="E330" s="156"/>
      <c r="F330" s="145"/>
      <c r="G330" s="145"/>
      <c r="H330" s="146"/>
      <c r="I330" s="146"/>
      <c r="J330" s="148"/>
      <c r="K330" s="145"/>
      <c r="L330" s="148"/>
      <c r="M330" s="149"/>
      <c r="N330" s="148"/>
      <c r="O330" s="150"/>
      <c r="P3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0" s="43" t="str">
        <f>IF(テーブル22[[#This Row],[得点]]="","",IF(テーブル22[[#This Row],[年齢]]&gt;10,LOOKUP(P330,$BG$6:$BG$10,$BD$6:$BD$10),IF(テーブル22[[#This Row],[年齢]]&gt;9,LOOKUP(P330,$BF$6:$BF$10,$BD$6:$BD$10),IF(テーブル22[[#This Row],[年齢]]&gt;8,LOOKUP(P330,$BE$6:$BE$10,$BD$6:$BD$10),IF(テーブル22[[#This Row],[年齢]]&gt;7,LOOKUP(P330,$BC$6:$BC$10,$BD$6:$BD$10),IF(テーブル22[[#This Row],[年齢]]&gt;6,LOOKUP(P330,$BB$6:$BB$10,$BD$6:$BD$10),LOOKUP(P330,$BA$6:$BA$10,$BD$6:$BD$10)))))))</f>
        <v/>
      </c>
      <c r="R330" s="42">
        <f>IF(H330="",0,(IF(テーブル22[[#This Row],[性別]]="男",LOOKUP(テーブル22[[#This Row],[握力]],$AH$6:$AI$15),LOOKUP(テーブル22[[#This Row],[握力]],$AH$20:$AI$29))))</f>
        <v>0</v>
      </c>
      <c r="S330" s="42">
        <f>IF(テーブル22[[#This Row],[上体]]="",0,(IF(テーブル22[[#This Row],[性別]]="男",LOOKUP(テーブル22[[#This Row],[上体]],$AJ$6:$AK$15),LOOKUP(テーブル22[[#This Row],[上体]],$AJ$20:$AK$29))))</f>
        <v>0</v>
      </c>
      <c r="T330" s="42">
        <f>IF(テーブル22[[#This Row],[長座]]="",0,(IF(テーブル22[[#This Row],[性別]]="男",LOOKUP(テーブル22[[#This Row],[長座]],$AL$6:$AM$15),LOOKUP(テーブル22[[#This Row],[長座]],$AL$20:$AM$29))))</f>
        <v>0</v>
      </c>
      <c r="U330" s="42">
        <f>IF(テーブル22[[#This Row],[反復]]="",0,(IF(テーブル22[[#This Row],[性別]]="男",LOOKUP(テーブル22[[#This Row],[反復]],$AN$6:$AO$15),LOOKUP(テーブル22[[#This Row],[反復]],$AN$20:$AO$29))))</f>
        <v>0</v>
      </c>
      <c r="V330" s="42">
        <f>IF(テーブル22[[#This Row],[ｼｬﾄﾙﾗﾝ]]="",0,(IF(テーブル22[[#This Row],[性別]]="男",LOOKUP(テーブル22[[#This Row],[ｼｬﾄﾙﾗﾝ]],$AR$6:$AS$15),LOOKUP(テーブル22[[#This Row],[ｼｬﾄﾙﾗﾝ]],$AR$20:$AS$29))))</f>
        <v>0</v>
      </c>
      <c r="W330" s="42">
        <f>IF(テーブル22[[#This Row],[50m走]]="",0,(IF(テーブル22[[#This Row],[性別]]="男",LOOKUP(テーブル22[[#This Row],[50m走]],$AT$6:$AU$15),LOOKUP(テーブル22[[#This Row],[50m走]],$AT$20:$AU$29))))</f>
        <v>0</v>
      </c>
      <c r="X330" s="42">
        <f>IF(テーブル22[[#This Row],[立幅とび]]="",0,(IF(テーブル22[[#This Row],[性別]]="男",LOOKUP(テーブル22[[#This Row],[立幅とび]],$AV$6:$AW$15),LOOKUP(テーブル22[[#This Row],[立幅とび]],$AV$20:$AW$29))))</f>
        <v>0</v>
      </c>
      <c r="Y330" s="42">
        <f>IF(テーブル22[[#This Row],[ボール投げ]]="",0,(IF(テーブル22[[#This Row],[性別]]="男",LOOKUP(テーブル22[[#This Row],[ボール投げ]],$AX$6:$AY$15),LOOKUP(テーブル22[[#This Row],[ボール投げ]],$AX$20:$AY$29))))</f>
        <v>0</v>
      </c>
      <c r="Z330" s="19" t="str">
        <f>IF(テーブル22[[#This Row],[学年]]=1,6,IF(テーブル22[[#This Row],[学年]]=2,7,IF(テーブル22[[#This Row],[学年]]=3,8,IF(テーブル22[[#This Row],[学年]]=4,9,IF(テーブル22[[#This Row],[学年]]=5,10,IF(テーブル22[[#This Row],[学年]]=6,11," "))))))</f>
        <v xml:space="preserve"> </v>
      </c>
      <c r="AA330" s="125" t="str">
        <f>IF(テーブル22[[#This Row],[肥満度数値]]="","",LOOKUP(AC330,$AW$39:$AW$44,$AX$39:$AX$44))</f>
        <v/>
      </c>
      <c r="AB3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0" s="124" t="str">
        <f>IF(テーブル22[[#This Row],[体重]]="","",(テーブル22[[#This Row],[体重]]-テーブル22[[#This Row],[標準体重]])/テーブル22[[#This Row],[標準体重]]*100)</f>
        <v/>
      </c>
      <c r="AD330" s="1">
        <f>COUNTA(テーブル22[[#This Row],[握力]:[ボール投げ]])</f>
        <v>0</v>
      </c>
      <c r="AE330" s="1" t="str">
        <f>IF(テーブル22[[#This Row],[判定]]=$BD$10,"○","")</f>
        <v/>
      </c>
      <c r="AF330" s="1" t="str">
        <f>IF(AE330="","",COUNTIF($AE$6:AE330,"○"))</f>
        <v/>
      </c>
    </row>
    <row r="331" spans="1:32" x14ac:dyDescent="0.2">
      <c r="A331" s="40">
        <v>326</v>
      </c>
      <c r="B331" s="145"/>
      <c r="C331" s="148"/>
      <c r="D331" s="145"/>
      <c r="E331" s="156"/>
      <c r="F331" s="145"/>
      <c r="G331" s="145"/>
      <c r="H331" s="146"/>
      <c r="I331" s="146"/>
      <c r="J331" s="148"/>
      <c r="K331" s="145"/>
      <c r="L331" s="148"/>
      <c r="M331" s="149"/>
      <c r="N331" s="148"/>
      <c r="O331" s="150"/>
      <c r="P3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1" s="43" t="str">
        <f>IF(テーブル22[[#This Row],[得点]]="","",IF(テーブル22[[#This Row],[年齢]]&gt;10,LOOKUP(P331,$BG$6:$BG$10,$BD$6:$BD$10),IF(テーブル22[[#This Row],[年齢]]&gt;9,LOOKUP(P331,$BF$6:$BF$10,$BD$6:$BD$10),IF(テーブル22[[#This Row],[年齢]]&gt;8,LOOKUP(P331,$BE$6:$BE$10,$BD$6:$BD$10),IF(テーブル22[[#This Row],[年齢]]&gt;7,LOOKUP(P331,$BC$6:$BC$10,$BD$6:$BD$10),IF(テーブル22[[#This Row],[年齢]]&gt;6,LOOKUP(P331,$BB$6:$BB$10,$BD$6:$BD$10),LOOKUP(P331,$BA$6:$BA$10,$BD$6:$BD$10)))))))</f>
        <v/>
      </c>
      <c r="R331" s="42">
        <f>IF(H331="",0,(IF(テーブル22[[#This Row],[性別]]="男",LOOKUP(テーブル22[[#This Row],[握力]],$AH$6:$AI$15),LOOKUP(テーブル22[[#This Row],[握力]],$AH$20:$AI$29))))</f>
        <v>0</v>
      </c>
      <c r="S331" s="42">
        <f>IF(テーブル22[[#This Row],[上体]]="",0,(IF(テーブル22[[#This Row],[性別]]="男",LOOKUP(テーブル22[[#This Row],[上体]],$AJ$6:$AK$15),LOOKUP(テーブル22[[#This Row],[上体]],$AJ$20:$AK$29))))</f>
        <v>0</v>
      </c>
      <c r="T331" s="42">
        <f>IF(テーブル22[[#This Row],[長座]]="",0,(IF(テーブル22[[#This Row],[性別]]="男",LOOKUP(テーブル22[[#This Row],[長座]],$AL$6:$AM$15),LOOKUP(テーブル22[[#This Row],[長座]],$AL$20:$AM$29))))</f>
        <v>0</v>
      </c>
      <c r="U331" s="42">
        <f>IF(テーブル22[[#This Row],[反復]]="",0,(IF(テーブル22[[#This Row],[性別]]="男",LOOKUP(テーブル22[[#This Row],[反復]],$AN$6:$AO$15),LOOKUP(テーブル22[[#This Row],[反復]],$AN$20:$AO$29))))</f>
        <v>0</v>
      </c>
      <c r="V331" s="42">
        <f>IF(テーブル22[[#This Row],[ｼｬﾄﾙﾗﾝ]]="",0,(IF(テーブル22[[#This Row],[性別]]="男",LOOKUP(テーブル22[[#This Row],[ｼｬﾄﾙﾗﾝ]],$AR$6:$AS$15),LOOKUP(テーブル22[[#This Row],[ｼｬﾄﾙﾗﾝ]],$AR$20:$AS$29))))</f>
        <v>0</v>
      </c>
      <c r="W331" s="42">
        <f>IF(テーブル22[[#This Row],[50m走]]="",0,(IF(テーブル22[[#This Row],[性別]]="男",LOOKUP(テーブル22[[#This Row],[50m走]],$AT$6:$AU$15),LOOKUP(テーブル22[[#This Row],[50m走]],$AT$20:$AU$29))))</f>
        <v>0</v>
      </c>
      <c r="X331" s="42">
        <f>IF(テーブル22[[#This Row],[立幅とび]]="",0,(IF(テーブル22[[#This Row],[性別]]="男",LOOKUP(テーブル22[[#This Row],[立幅とび]],$AV$6:$AW$15),LOOKUP(テーブル22[[#This Row],[立幅とび]],$AV$20:$AW$29))))</f>
        <v>0</v>
      </c>
      <c r="Y331" s="42">
        <f>IF(テーブル22[[#This Row],[ボール投げ]]="",0,(IF(テーブル22[[#This Row],[性別]]="男",LOOKUP(テーブル22[[#This Row],[ボール投げ]],$AX$6:$AY$15),LOOKUP(テーブル22[[#This Row],[ボール投げ]],$AX$20:$AY$29))))</f>
        <v>0</v>
      </c>
      <c r="Z331" s="19" t="str">
        <f>IF(テーブル22[[#This Row],[学年]]=1,6,IF(テーブル22[[#This Row],[学年]]=2,7,IF(テーブル22[[#This Row],[学年]]=3,8,IF(テーブル22[[#This Row],[学年]]=4,9,IF(テーブル22[[#This Row],[学年]]=5,10,IF(テーブル22[[#This Row],[学年]]=6,11," "))))))</f>
        <v xml:space="preserve"> </v>
      </c>
      <c r="AA331" s="125" t="str">
        <f>IF(テーブル22[[#This Row],[肥満度数値]]="","",LOOKUP(AC331,$AW$39:$AW$44,$AX$39:$AX$44))</f>
        <v/>
      </c>
      <c r="AB3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1" s="124" t="str">
        <f>IF(テーブル22[[#This Row],[体重]]="","",(テーブル22[[#This Row],[体重]]-テーブル22[[#This Row],[標準体重]])/テーブル22[[#This Row],[標準体重]]*100)</f>
        <v/>
      </c>
      <c r="AD331" s="1">
        <f>COUNTA(テーブル22[[#This Row],[握力]:[ボール投げ]])</f>
        <v>0</v>
      </c>
      <c r="AE331" s="1" t="str">
        <f>IF(テーブル22[[#This Row],[判定]]=$BD$10,"○","")</f>
        <v/>
      </c>
      <c r="AF331" s="1" t="str">
        <f>IF(AE331="","",COUNTIF($AE$6:AE331,"○"))</f>
        <v/>
      </c>
    </row>
    <row r="332" spans="1:32" x14ac:dyDescent="0.2">
      <c r="A332" s="40">
        <v>327</v>
      </c>
      <c r="B332" s="145"/>
      <c r="C332" s="148"/>
      <c r="D332" s="145"/>
      <c r="E332" s="156"/>
      <c r="F332" s="145"/>
      <c r="G332" s="145"/>
      <c r="H332" s="146"/>
      <c r="I332" s="146"/>
      <c r="J332" s="148"/>
      <c r="K332" s="145"/>
      <c r="L332" s="148"/>
      <c r="M332" s="149"/>
      <c r="N332" s="148"/>
      <c r="O332" s="150"/>
      <c r="P3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2" s="43" t="str">
        <f>IF(テーブル22[[#This Row],[得点]]="","",IF(テーブル22[[#This Row],[年齢]]&gt;10,LOOKUP(P332,$BG$6:$BG$10,$BD$6:$BD$10),IF(テーブル22[[#This Row],[年齢]]&gt;9,LOOKUP(P332,$BF$6:$BF$10,$BD$6:$BD$10),IF(テーブル22[[#This Row],[年齢]]&gt;8,LOOKUP(P332,$BE$6:$BE$10,$BD$6:$BD$10),IF(テーブル22[[#This Row],[年齢]]&gt;7,LOOKUP(P332,$BC$6:$BC$10,$BD$6:$BD$10),IF(テーブル22[[#This Row],[年齢]]&gt;6,LOOKUP(P332,$BB$6:$BB$10,$BD$6:$BD$10),LOOKUP(P332,$BA$6:$BA$10,$BD$6:$BD$10)))))))</f>
        <v/>
      </c>
      <c r="R332" s="42">
        <f>IF(H332="",0,(IF(テーブル22[[#This Row],[性別]]="男",LOOKUP(テーブル22[[#This Row],[握力]],$AH$6:$AI$15),LOOKUP(テーブル22[[#This Row],[握力]],$AH$20:$AI$29))))</f>
        <v>0</v>
      </c>
      <c r="S332" s="42">
        <f>IF(テーブル22[[#This Row],[上体]]="",0,(IF(テーブル22[[#This Row],[性別]]="男",LOOKUP(テーブル22[[#This Row],[上体]],$AJ$6:$AK$15),LOOKUP(テーブル22[[#This Row],[上体]],$AJ$20:$AK$29))))</f>
        <v>0</v>
      </c>
      <c r="T332" s="42">
        <f>IF(テーブル22[[#This Row],[長座]]="",0,(IF(テーブル22[[#This Row],[性別]]="男",LOOKUP(テーブル22[[#This Row],[長座]],$AL$6:$AM$15),LOOKUP(テーブル22[[#This Row],[長座]],$AL$20:$AM$29))))</f>
        <v>0</v>
      </c>
      <c r="U332" s="42">
        <f>IF(テーブル22[[#This Row],[反復]]="",0,(IF(テーブル22[[#This Row],[性別]]="男",LOOKUP(テーブル22[[#This Row],[反復]],$AN$6:$AO$15),LOOKUP(テーブル22[[#This Row],[反復]],$AN$20:$AO$29))))</f>
        <v>0</v>
      </c>
      <c r="V332" s="42">
        <f>IF(テーブル22[[#This Row],[ｼｬﾄﾙﾗﾝ]]="",0,(IF(テーブル22[[#This Row],[性別]]="男",LOOKUP(テーブル22[[#This Row],[ｼｬﾄﾙﾗﾝ]],$AR$6:$AS$15),LOOKUP(テーブル22[[#This Row],[ｼｬﾄﾙﾗﾝ]],$AR$20:$AS$29))))</f>
        <v>0</v>
      </c>
      <c r="W332" s="42">
        <f>IF(テーブル22[[#This Row],[50m走]]="",0,(IF(テーブル22[[#This Row],[性別]]="男",LOOKUP(テーブル22[[#This Row],[50m走]],$AT$6:$AU$15),LOOKUP(テーブル22[[#This Row],[50m走]],$AT$20:$AU$29))))</f>
        <v>0</v>
      </c>
      <c r="X332" s="42">
        <f>IF(テーブル22[[#This Row],[立幅とび]]="",0,(IF(テーブル22[[#This Row],[性別]]="男",LOOKUP(テーブル22[[#This Row],[立幅とび]],$AV$6:$AW$15),LOOKUP(テーブル22[[#This Row],[立幅とび]],$AV$20:$AW$29))))</f>
        <v>0</v>
      </c>
      <c r="Y332" s="42">
        <f>IF(テーブル22[[#This Row],[ボール投げ]]="",0,(IF(テーブル22[[#This Row],[性別]]="男",LOOKUP(テーブル22[[#This Row],[ボール投げ]],$AX$6:$AY$15),LOOKUP(テーブル22[[#This Row],[ボール投げ]],$AX$20:$AY$29))))</f>
        <v>0</v>
      </c>
      <c r="Z332" s="19" t="str">
        <f>IF(テーブル22[[#This Row],[学年]]=1,6,IF(テーブル22[[#This Row],[学年]]=2,7,IF(テーブル22[[#This Row],[学年]]=3,8,IF(テーブル22[[#This Row],[学年]]=4,9,IF(テーブル22[[#This Row],[学年]]=5,10,IF(テーブル22[[#This Row],[学年]]=6,11," "))))))</f>
        <v xml:space="preserve"> </v>
      </c>
      <c r="AA332" s="125" t="str">
        <f>IF(テーブル22[[#This Row],[肥満度数値]]="","",LOOKUP(AC332,$AW$39:$AW$44,$AX$39:$AX$44))</f>
        <v/>
      </c>
      <c r="AB3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2" s="124" t="str">
        <f>IF(テーブル22[[#This Row],[体重]]="","",(テーブル22[[#This Row],[体重]]-テーブル22[[#This Row],[標準体重]])/テーブル22[[#This Row],[標準体重]]*100)</f>
        <v/>
      </c>
      <c r="AD332" s="1">
        <f>COUNTA(テーブル22[[#This Row],[握力]:[ボール投げ]])</f>
        <v>0</v>
      </c>
      <c r="AE332" s="1" t="str">
        <f>IF(テーブル22[[#This Row],[判定]]=$BD$10,"○","")</f>
        <v/>
      </c>
      <c r="AF332" s="1" t="str">
        <f>IF(AE332="","",COUNTIF($AE$6:AE332,"○"))</f>
        <v/>
      </c>
    </row>
    <row r="333" spans="1:32" x14ac:dyDescent="0.2">
      <c r="A333" s="40">
        <v>328</v>
      </c>
      <c r="B333" s="145"/>
      <c r="C333" s="148"/>
      <c r="D333" s="145"/>
      <c r="E333" s="156"/>
      <c r="F333" s="145"/>
      <c r="G333" s="145"/>
      <c r="H333" s="146"/>
      <c r="I333" s="146"/>
      <c r="J333" s="148"/>
      <c r="K333" s="145"/>
      <c r="L333" s="148"/>
      <c r="M333" s="149"/>
      <c r="N333" s="148"/>
      <c r="O333" s="150"/>
      <c r="P3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3" s="43" t="str">
        <f>IF(テーブル22[[#This Row],[得点]]="","",IF(テーブル22[[#This Row],[年齢]]&gt;10,LOOKUP(P333,$BG$6:$BG$10,$BD$6:$BD$10),IF(テーブル22[[#This Row],[年齢]]&gt;9,LOOKUP(P333,$BF$6:$BF$10,$BD$6:$BD$10),IF(テーブル22[[#This Row],[年齢]]&gt;8,LOOKUP(P333,$BE$6:$BE$10,$BD$6:$BD$10),IF(テーブル22[[#This Row],[年齢]]&gt;7,LOOKUP(P333,$BC$6:$BC$10,$BD$6:$BD$10),IF(テーブル22[[#This Row],[年齢]]&gt;6,LOOKUP(P333,$BB$6:$BB$10,$BD$6:$BD$10),LOOKUP(P333,$BA$6:$BA$10,$BD$6:$BD$10)))))))</f>
        <v/>
      </c>
      <c r="R333" s="42">
        <f>IF(H333="",0,(IF(テーブル22[[#This Row],[性別]]="男",LOOKUP(テーブル22[[#This Row],[握力]],$AH$6:$AI$15),LOOKUP(テーブル22[[#This Row],[握力]],$AH$20:$AI$29))))</f>
        <v>0</v>
      </c>
      <c r="S333" s="42">
        <f>IF(テーブル22[[#This Row],[上体]]="",0,(IF(テーブル22[[#This Row],[性別]]="男",LOOKUP(テーブル22[[#This Row],[上体]],$AJ$6:$AK$15),LOOKUP(テーブル22[[#This Row],[上体]],$AJ$20:$AK$29))))</f>
        <v>0</v>
      </c>
      <c r="T333" s="42">
        <f>IF(テーブル22[[#This Row],[長座]]="",0,(IF(テーブル22[[#This Row],[性別]]="男",LOOKUP(テーブル22[[#This Row],[長座]],$AL$6:$AM$15),LOOKUP(テーブル22[[#This Row],[長座]],$AL$20:$AM$29))))</f>
        <v>0</v>
      </c>
      <c r="U333" s="42">
        <f>IF(テーブル22[[#This Row],[反復]]="",0,(IF(テーブル22[[#This Row],[性別]]="男",LOOKUP(テーブル22[[#This Row],[反復]],$AN$6:$AO$15),LOOKUP(テーブル22[[#This Row],[反復]],$AN$20:$AO$29))))</f>
        <v>0</v>
      </c>
      <c r="V333" s="42">
        <f>IF(テーブル22[[#This Row],[ｼｬﾄﾙﾗﾝ]]="",0,(IF(テーブル22[[#This Row],[性別]]="男",LOOKUP(テーブル22[[#This Row],[ｼｬﾄﾙﾗﾝ]],$AR$6:$AS$15),LOOKUP(テーブル22[[#This Row],[ｼｬﾄﾙﾗﾝ]],$AR$20:$AS$29))))</f>
        <v>0</v>
      </c>
      <c r="W333" s="42">
        <f>IF(テーブル22[[#This Row],[50m走]]="",0,(IF(テーブル22[[#This Row],[性別]]="男",LOOKUP(テーブル22[[#This Row],[50m走]],$AT$6:$AU$15),LOOKUP(テーブル22[[#This Row],[50m走]],$AT$20:$AU$29))))</f>
        <v>0</v>
      </c>
      <c r="X333" s="42">
        <f>IF(テーブル22[[#This Row],[立幅とび]]="",0,(IF(テーブル22[[#This Row],[性別]]="男",LOOKUP(テーブル22[[#This Row],[立幅とび]],$AV$6:$AW$15),LOOKUP(テーブル22[[#This Row],[立幅とび]],$AV$20:$AW$29))))</f>
        <v>0</v>
      </c>
      <c r="Y333" s="42">
        <f>IF(テーブル22[[#This Row],[ボール投げ]]="",0,(IF(テーブル22[[#This Row],[性別]]="男",LOOKUP(テーブル22[[#This Row],[ボール投げ]],$AX$6:$AY$15),LOOKUP(テーブル22[[#This Row],[ボール投げ]],$AX$20:$AY$29))))</f>
        <v>0</v>
      </c>
      <c r="Z333" s="19" t="str">
        <f>IF(テーブル22[[#This Row],[学年]]=1,6,IF(テーブル22[[#This Row],[学年]]=2,7,IF(テーブル22[[#This Row],[学年]]=3,8,IF(テーブル22[[#This Row],[学年]]=4,9,IF(テーブル22[[#This Row],[学年]]=5,10,IF(テーブル22[[#This Row],[学年]]=6,11," "))))))</f>
        <v xml:space="preserve"> </v>
      </c>
      <c r="AA333" s="125" t="str">
        <f>IF(テーブル22[[#This Row],[肥満度数値]]="","",LOOKUP(AC333,$AW$39:$AW$44,$AX$39:$AX$44))</f>
        <v/>
      </c>
      <c r="AB3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3" s="124" t="str">
        <f>IF(テーブル22[[#This Row],[体重]]="","",(テーブル22[[#This Row],[体重]]-テーブル22[[#This Row],[標準体重]])/テーブル22[[#This Row],[標準体重]]*100)</f>
        <v/>
      </c>
      <c r="AD333" s="1">
        <f>COUNTA(テーブル22[[#This Row],[握力]:[ボール投げ]])</f>
        <v>0</v>
      </c>
      <c r="AE333" s="1" t="str">
        <f>IF(テーブル22[[#This Row],[判定]]=$BD$10,"○","")</f>
        <v/>
      </c>
      <c r="AF333" s="1" t="str">
        <f>IF(AE333="","",COUNTIF($AE$6:AE333,"○"))</f>
        <v/>
      </c>
    </row>
    <row r="334" spans="1:32" x14ac:dyDescent="0.2">
      <c r="A334" s="40">
        <v>329</v>
      </c>
      <c r="B334" s="145"/>
      <c r="C334" s="148"/>
      <c r="D334" s="145"/>
      <c r="E334" s="156"/>
      <c r="F334" s="145"/>
      <c r="G334" s="145"/>
      <c r="H334" s="146"/>
      <c r="I334" s="146"/>
      <c r="J334" s="148"/>
      <c r="K334" s="145"/>
      <c r="L334" s="148"/>
      <c r="M334" s="149"/>
      <c r="N334" s="148"/>
      <c r="O334" s="150"/>
      <c r="P3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4" s="43" t="str">
        <f>IF(テーブル22[[#This Row],[得点]]="","",IF(テーブル22[[#This Row],[年齢]]&gt;10,LOOKUP(P334,$BG$6:$BG$10,$BD$6:$BD$10),IF(テーブル22[[#This Row],[年齢]]&gt;9,LOOKUP(P334,$BF$6:$BF$10,$BD$6:$BD$10),IF(テーブル22[[#This Row],[年齢]]&gt;8,LOOKUP(P334,$BE$6:$BE$10,$BD$6:$BD$10),IF(テーブル22[[#This Row],[年齢]]&gt;7,LOOKUP(P334,$BC$6:$BC$10,$BD$6:$BD$10),IF(テーブル22[[#This Row],[年齢]]&gt;6,LOOKUP(P334,$BB$6:$BB$10,$BD$6:$BD$10),LOOKUP(P334,$BA$6:$BA$10,$BD$6:$BD$10)))))))</f>
        <v/>
      </c>
      <c r="R334" s="42">
        <f>IF(H334="",0,(IF(テーブル22[[#This Row],[性別]]="男",LOOKUP(テーブル22[[#This Row],[握力]],$AH$6:$AI$15),LOOKUP(テーブル22[[#This Row],[握力]],$AH$20:$AI$29))))</f>
        <v>0</v>
      </c>
      <c r="S334" s="42">
        <f>IF(テーブル22[[#This Row],[上体]]="",0,(IF(テーブル22[[#This Row],[性別]]="男",LOOKUP(テーブル22[[#This Row],[上体]],$AJ$6:$AK$15),LOOKUP(テーブル22[[#This Row],[上体]],$AJ$20:$AK$29))))</f>
        <v>0</v>
      </c>
      <c r="T334" s="42">
        <f>IF(テーブル22[[#This Row],[長座]]="",0,(IF(テーブル22[[#This Row],[性別]]="男",LOOKUP(テーブル22[[#This Row],[長座]],$AL$6:$AM$15),LOOKUP(テーブル22[[#This Row],[長座]],$AL$20:$AM$29))))</f>
        <v>0</v>
      </c>
      <c r="U334" s="42">
        <f>IF(テーブル22[[#This Row],[反復]]="",0,(IF(テーブル22[[#This Row],[性別]]="男",LOOKUP(テーブル22[[#This Row],[反復]],$AN$6:$AO$15),LOOKUP(テーブル22[[#This Row],[反復]],$AN$20:$AO$29))))</f>
        <v>0</v>
      </c>
      <c r="V334" s="42">
        <f>IF(テーブル22[[#This Row],[ｼｬﾄﾙﾗﾝ]]="",0,(IF(テーブル22[[#This Row],[性別]]="男",LOOKUP(テーブル22[[#This Row],[ｼｬﾄﾙﾗﾝ]],$AR$6:$AS$15),LOOKUP(テーブル22[[#This Row],[ｼｬﾄﾙﾗﾝ]],$AR$20:$AS$29))))</f>
        <v>0</v>
      </c>
      <c r="W334" s="42">
        <f>IF(テーブル22[[#This Row],[50m走]]="",0,(IF(テーブル22[[#This Row],[性別]]="男",LOOKUP(テーブル22[[#This Row],[50m走]],$AT$6:$AU$15),LOOKUP(テーブル22[[#This Row],[50m走]],$AT$20:$AU$29))))</f>
        <v>0</v>
      </c>
      <c r="X334" s="42">
        <f>IF(テーブル22[[#This Row],[立幅とび]]="",0,(IF(テーブル22[[#This Row],[性別]]="男",LOOKUP(テーブル22[[#This Row],[立幅とび]],$AV$6:$AW$15),LOOKUP(テーブル22[[#This Row],[立幅とび]],$AV$20:$AW$29))))</f>
        <v>0</v>
      </c>
      <c r="Y334" s="42">
        <f>IF(テーブル22[[#This Row],[ボール投げ]]="",0,(IF(テーブル22[[#This Row],[性別]]="男",LOOKUP(テーブル22[[#This Row],[ボール投げ]],$AX$6:$AY$15),LOOKUP(テーブル22[[#This Row],[ボール投げ]],$AX$20:$AY$29))))</f>
        <v>0</v>
      </c>
      <c r="Z334" s="19" t="str">
        <f>IF(テーブル22[[#This Row],[学年]]=1,6,IF(テーブル22[[#This Row],[学年]]=2,7,IF(テーブル22[[#This Row],[学年]]=3,8,IF(テーブル22[[#This Row],[学年]]=4,9,IF(テーブル22[[#This Row],[学年]]=5,10,IF(テーブル22[[#This Row],[学年]]=6,11," "))))))</f>
        <v xml:space="preserve"> </v>
      </c>
      <c r="AA334" s="125" t="str">
        <f>IF(テーブル22[[#This Row],[肥満度数値]]="","",LOOKUP(AC334,$AW$39:$AW$44,$AX$39:$AX$44))</f>
        <v/>
      </c>
      <c r="AB3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4" s="124" t="str">
        <f>IF(テーブル22[[#This Row],[体重]]="","",(テーブル22[[#This Row],[体重]]-テーブル22[[#This Row],[標準体重]])/テーブル22[[#This Row],[標準体重]]*100)</f>
        <v/>
      </c>
      <c r="AD334" s="1">
        <f>COUNTA(テーブル22[[#This Row],[握力]:[ボール投げ]])</f>
        <v>0</v>
      </c>
      <c r="AE334" s="1" t="str">
        <f>IF(テーブル22[[#This Row],[判定]]=$BD$10,"○","")</f>
        <v/>
      </c>
      <c r="AF334" s="1" t="str">
        <f>IF(AE334="","",COUNTIF($AE$6:AE334,"○"))</f>
        <v/>
      </c>
    </row>
    <row r="335" spans="1:32" x14ac:dyDescent="0.2">
      <c r="A335" s="40">
        <v>330</v>
      </c>
      <c r="B335" s="145"/>
      <c r="C335" s="148"/>
      <c r="D335" s="145"/>
      <c r="E335" s="156"/>
      <c r="F335" s="145"/>
      <c r="G335" s="145"/>
      <c r="H335" s="146"/>
      <c r="I335" s="146"/>
      <c r="J335" s="148"/>
      <c r="K335" s="145"/>
      <c r="L335" s="148"/>
      <c r="M335" s="149"/>
      <c r="N335" s="148"/>
      <c r="O335" s="150"/>
      <c r="P3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5" s="43" t="str">
        <f>IF(テーブル22[[#This Row],[得点]]="","",IF(テーブル22[[#This Row],[年齢]]&gt;10,LOOKUP(P335,$BG$6:$BG$10,$BD$6:$BD$10),IF(テーブル22[[#This Row],[年齢]]&gt;9,LOOKUP(P335,$BF$6:$BF$10,$BD$6:$BD$10),IF(テーブル22[[#This Row],[年齢]]&gt;8,LOOKUP(P335,$BE$6:$BE$10,$BD$6:$BD$10),IF(テーブル22[[#This Row],[年齢]]&gt;7,LOOKUP(P335,$BC$6:$BC$10,$BD$6:$BD$10),IF(テーブル22[[#This Row],[年齢]]&gt;6,LOOKUP(P335,$BB$6:$BB$10,$BD$6:$BD$10),LOOKUP(P335,$BA$6:$BA$10,$BD$6:$BD$10)))))))</f>
        <v/>
      </c>
      <c r="R335" s="42">
        <f>IF(H335="",0,(IF(テーブル22[[#This Row],[性別]]="男",LOOKUP(テーブル22[[#This Row],[握力]],$AH$6:$AI$15),LOOKUP(テーブル22[[#This Row],[握力]],$AH$20:$AI$29))))</f>
        <v>0</v>
      </c>
      <c r="S335" s="42">
        <f>IF(テーブル22[[#This Row],[上体]]="",0,(IF(テーブル22[[#This Row],[性別]]="男",LOOKUP(テーブル22[[#This Row],[上体]],$AJ$6:$AK$15),LOOKUP(テーブル22[[#This Row],[上体]],$AJ$20:$AK$29))))</f>
        <v>0</v>
      </c>
      <c r="T335" s="42">
        <f>IF(テーブル22[[#This Row],[長座]]="",0,(IF(テーブル22[[#This Row],[性別]]="男",LOOKUP(テーブル22[[#This Row],[長座]],$AL$6:$AM$15),LOOKUP(テーブル22[[#This Row],[長座]],$AL$20:$AM$29))))</f>
        <v>0</v>
      </c>
      <c r="U335" s="42">
        <f>IF(テーブル22[[#This Row],[反復]]="",0,(IF(テーブル22[[#This Row],[性別]]="男",LOOKUP(テーブル22[[#This Row],[反復]],$AN$6:$AO$15),LOOKUP(テーブル22[[#This Row],[反復]],$AN$20:$AO$29))))</f>
        <v>0</v>
      </c>
      <c r="V335" s="42">
        <f>IF(テーブル22[[#This Row],[ｼｬﾄﾙﾗﾝ]]="",0,(IF(テーブル22[[#This Row],[性別]]="男",LOOKUP(テーブル22[[#This Row],[ｼｬﾄﾙﾗﾝ]],$AR$6:$AS$15),LOOKUP(テーブル22[[#This Row],[ｼｬﾄﾙﾗﾝ]],$AR$20:$AS$29))))</f>
        <v>0</v>
      </c>
      <c r="W335" s="42">
        <f>IF(テーブル22[[#This Row],[50m走]]="",0,(IF(テーブル22[[#This Row],[性別]]="男",LOOKUP(テーブル22[[#This Row],[50m走]],$AT$6:$AU$15),LOOKUP(テーブル22[[#This Row],[50m走]],$AT$20:$AU$29))))</f>
        <v>0</v>
      </c>
      <c r="X335" s="42">
        <f>IF(テーブル22[[#This Row],[立幅とび]]="",0,(IF(テーブル22[[#This Row],[性別]]="男",LOOKUP(テーブル22[[#This Row],[立幅とび]],$AV$6:$AW$15),LOOKUP(テーブル22[[#This Row],[立幅とび]],$AV$20:$AW$29))))</f>
        <v>0</v>
      </c>
      <c r="Y335" s="42">
        <f>IF(テーブル22[[#This Row],[ボール投げ]]="",0,(IF(テーブル22[[#This Row],[性別]]="男",LOOKUP(テーブル22[[#This Row],[ボール投げ]],$AX$6:$AY$15),LOOKUP(テーブル22[[#This Row],[ボール投げ]],$AX$20:$AY$29))))</f>
        <v>0</v>
      </c>
      <c r="Z335" s="19" t="str">
        <f>IF(テーブル22[[#This Row],[学年]]=1,6,IF(テーブル22[[#This Row],[学年]]=2,7,IF(テーブル22[[#This Row],[学年]]=3,8,IF(テーブル22[[#This Row],[学年]]=4,9,IF(テーブル22[[#This Row],[学年]]=5,10,IF(テーブル22[[#This Row],[学年]]=6,11," "))))))</f>
        <v xml:space="preserve"> </v>
      </c>
      <c r="AA335" s="125" t="str">
        <f>IF(テーブル22[[#This Row],[肥満度数値]]="","",LOOKUP(AC335,$AW$39:$AW$44,$AX$39:$AX$44))</f>
        <v/>
      </c>
      <c r="AB3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5" s="124" t="str">
        <f>IF(テーブル22[[#This Row],[体重]]="","",(テーブル22[[#This Row],[体重]]-テーブル22[[#This Row],[標準体重]])/テーブル22[[#This Row],[標準体重]]*100)</f>
        <v/>
      </c>
      <c r="AD335" s="1">
        <f>COUNTA(テーブル22[[#This Row],[握力]:[ボール投げ]])</f>
        <v>0</v>
      </c>
      <c r="AE335" s="1" t="str">
        <f>IF(テーブル22[[#This Row],[判定]]=$BD$10,"○","")</f>
        <v/>
      </c>
      <c r="AF335" s="1" t="str">
        <f>IF(AE335="","",COUNTIF($AE$6:AE335,"○"))</f>
        <v/>
      </c>
    </row>
    <row r="336" spans="1:32" x14ac:dyDescent="0.2">
      <c r="A336" s="40">
        <v>331</v>
      </c>
      <c r="B336" s="145"/>
      <c r="C336" s="148"/>
      <c r="D336" s="145"/>
      <c r="E336" s="156"/>
      <c r="F336" s="145"/>
      <c r="G336" s="145"/>
      <c r="H336" s="146"/>
      <c r="I336" s="146"/>
      <c r="J336" s="148"/>
      <c r="K336" s="145"/>
      <c r="L336" s="148"/>
      <c r="M336" s="149"/>
      <c r="N336" s="148"/>
      <c r="O336" s="150"/>
      <c r="P3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6" s="43" t="str">
        <f>IF(テーブル22[[#This Row],[得点]]="","",IF(テーブル22[[#This Row],[年齢]]&gt;10,LOOKUP(P336,$BG$6:$BG$10,$BD$6:$BD$10),IF(テーブル22[[#This Row],[年齢]]&gt;9,LOOKUP(P336,$BF$6:$BF$10,$BD$6:$BD$10),IF(テーブル22[[#This Row],[年齢]]&gt;8,LOOKUP(P336,$BE$6:$BE$10,$BD$6:$BD$10),IF(テーブル22[[#This Row],[年齢]]&gt;7,LOOKUP(P336,$BC$6:$BC$10,$BD$6:$BD$10),IF(テーブル22[[#This Row],[年齢]]&gt;6,LOOKUP(P336,$BB$6:$BB$10,$BD$6:$BD$10),LOOKUP(P336,$BA$6:$BA$10,$BD$6:$BD$10)))))))</f>
        <v/>
      </c>
      <c r="R336" s="42">
        <f>IF(H336="",0,(IF(テーブル22[[#This Row],[性別]]="男",LOOKUP(テーブル22[[#This Row],[握力]],$AH$6:$AI$15),LOOKUP(テーブル22[[#This Row],[握力]],$AH$20:$AI$29))))</f>
        <v>0</v>
      </c>
      <c r="S336" s="42">
        <f>IF(テーブル22[[#This Row],[上体]]="",0,(IF(テーブル22[[#This Row],[性別]]="男",LOOKUP(テーブル22[[#This Row],[上体]],$AJ$6:$AK$15),LOOKUP(テーブル22[[#This Row],[上体]],$AJ$20:$AK$29))))</f>
        <v>0</v>
      </c>
      <c r="T336" s="42">
        <f>IF(テーブル22[[#This Row],[長座]]="",0,(IF(テーブル22[[#This Row],[性別]]="男",LOOKUP(テーブル22[[#This Row],[長座]],$AL$6:$AM$15),LOOKUP(テーブル22[[#This Row],[長座]],$AL$20:$AM$29))))</f>
        <v>0</v>
      </c>
      <c r="U336" s="42">
        <f>IF(テーブル22[[#This Row],[反復]]="",0,(IF(テーブル22[[#This Row],[性別]]="男",LOOKUP(テーブル22[[#This Row],[反復]],$AN$6:$AO$15),LOOKUP(テーブル22[[#This Row],[反復]],$AN$20:$AO$29))))</f>
        <v>0</v>
      </c>
      <c r="V336" s="42">
        <f>IF(テーブル22[[#This Row],[ｼｬﾄﾙﾗﾝ]]="",0,(IF(テーブル22[[#This Row],[性別]]="男",LOOKUP(テーブル22[[#This Row],[ｼｬﾄﾙﾗﾝ]],$AR$6:$AS$15),LOOKUP(テーブル22[[#This Row],[ｼｬﾄﾙﾗﾝ]],$AR$20:$AS$29))))</f>
        <v>0</v>
      </c>
      <c r="W336" s="42">
        <f>IF(テーブル22[[#This Row],[50m走]]="",0,(IF(テーブル22[[#This Row],[性別]]="男",LOOKUP(テーブル22[[#This Row],[50m走]],$AT$6:$AU$15),LOOKUP(テーブル22[[#This Row],[50m走]],$AT$20:$AU$29))))</f>
        <v>0</v>
      </c>
      <c r="X336" s="42">
        <f>IF(テーブル22[[#This Row],[立幅とび]]="",0,(IF(テーブル22[[#This Row],[性別]]="男",LOOKUP(テーブル22[[#This Row],[立幅とび]],$AV$6:$AW$15),LOOKUP(テーブル22[[#This Row],[立幅とび]],$AV$20:$AW$29))))</f>
        <v>0</v>
      </c>
      <c r="Y336" s="42">
        <f>IF(テーブル22[[#This Row],[ボール投げ]]="",0,(IF(テーブル22[[#This Row],[性別]]="男",LOOKUP(テーブル22[[#This Row],[ボール投げ]],$AX$6:$AY$15),LOOKUP(テーブル22[[#This Row],[ボール投げ]],$AX$20:$AY$29))))</f>
        <v>0</v>
      </c>
      <c r="Z336" s="19" t="str">
        <f>IF(テーブル22[[#This Row],[学年]]=1,6,IF(テーブル22[[#This Row],[学年]]=2,7,IF(テーブル22[[#This Row],[学年]]=3,8,IF(テーブル22[[#This Row],[学年]]=4,9,IF(テーブル22[[#This Row],[学年]]=5,10,IF(テーブル22[[#This Row],[学年]]=6,11," "))))))</f>
        <v xml:space="preserve"> </v>
      </c>
      <c r="AA336" s="125" t="str">
        <f>IF(テーブル22[[#This Row],[肥満度数値]]="","",LOOKUP(AC336,$AW$39:$AW$44,$AX$39:$AX$44))</f>
        <v/>
      </c>
      <c r="AB3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6" s="124" t="str">
        <f>IF(テーブル22[[#This Row],[体重]]="","",(テーブル22[[#This Row],[体重]]-テーブル22[[#This Row],[標準体重]])/テーブル22[[#This Row],[標準体重]]*100)</f>
        <v/>
      </c>
      <c r="AD336" s="1">
        <f>COUNTA(テーブル22[[#This Row],[握力]:[ボール投げ]])</f>
        <v>0</v>
      </c>
      <c r="AE336" s="1" t="str">
        <f>IF(テーブル22[[#This Row],[判定]]=$BD$10,"○","")</f>
        <v/>
      </c>
      <c r="AF336" s="1" t="str">
        <f>IF(AE336="","",COUNTIF($AE$6:AE336,"○"))</f>
        <v/>
      </c>
    </row>
    <row r="337" spans="1:32" x14ac:dyDescent="0.2">
      <c r="A337" s="40">
        <v>332</v>
      </c>
      <c r="B337" s="145"/>
      <c r="C337" s="148"/>
      <c r="D337" s="145"/>
      <c r="E337" s="156"/>
      <c r="F337" s="145"/>
      <c r="G337" s="145"/>
      <c r="H337" s="146"/>
      <c r="I337" s="146"/>
      <c r="J337" s="148"/>
      <c r="K337" s="145"/>
      <c r="L337" s="148"/>
      <c r="M337" s="149"/>
      <c r="N337" s="148"/>
      <c r="O337" s="150"/>
      <c r="P3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7" s="43" t="str">
        <f>IF(テーブル22[[#This Row],[得点]]="","",IF(テーブル22[[#This Row],[年齢]]&gt;10,LOOKUP(P337,$BG$6:$BG$10,$BD$6:$BD$10),IF(テーブル22[[#This Row],[年齢]]&gt;9,LOOKUP(P337,$BF$6:$BF$10,$BD$6:$BD$10),IF(テーブル22[[#This Row],[年齢]]&gt;8,LOOKUP(P337,$BE$6:$BE$10,$BD$6:$BD$10),IF(テーブル22[[#This Row],[年齢]]&gt;7,LOOKUP(P337,$BC$6:$BC$10,$BD$6:$BD$10),IF(テーブル22[[#This Row],[年齢]]&gt;6,LOOKUP(P337,$BB$6:$BB$10,$BD$6:$BD$10),LOOKUP(P337,$BA$6:$BA$10,$BD$6:$BD$10)))))))</f>
        <v/>
      </c>
      <c r="R337" s="42">
        <f>IF(H337="",0,(IF(テーブル22[[#This Row],[性別]]="男",LOOKUP(テーブル22[[#This Row],[握力]],$AH$6:$AI$15),LOOKUP(テーブル22[[#This Row],[握力]],$AH$20:$AI$29))))</f>
        <v>0</v>
      </c>
      <c r="S337" s="42">
        <f>IF(テーブル22[[#This Row],[上体]]="",0,(IF(テーブル22[[#This Row],[性別]]="男",LOOKUP(テーブル22[[#This Row],[上体]],$AJ$6:$AK$15),LOOKUP(テーブル22[[#This Row],[上体]],$AJ$20:$AK$29))))</f>
        <v>0</v>
      </c>
      <c r="T337" s="42">
        <f>IF(テーブル22[[#This Row],[長座]]="",0,(IF(テーブル22[[#This Row],[性別]]="男",LOOKUP(テーブル22[[#This Row],[長座]],$AL$6:$AM$15),LOOKUP(テーブル22[[#This Row],[長座]],$AL$20:$AM$29))))</f>
        <v>0</v>
      </c>
      <c r="U337" s="42">
        <f>IF(テーブル22[[#This Row],[反復]]="",0,(IF(テーブル22[[#This Row],[性別]]="男",LOOKUP(テーブル22[[#This Row],[反復]],$AN$6:$AO$15),LOOKUP(テーブル22[[#This Row],[反復]],$AN$20:$AO$29))))</f>
        <v>0</v>
      </c>
      <c r="V337" s="42">
        <f>IF(テーブル22[[#This Row],[ｼｬﾄﾙﾗﾝ]]="",0,(IF(テーブル22[[#This Row],[性別]]="男",LOOKUP(テーブル22[[#This Row],[ｼｬﾄﾙﾗﾝ]],$AR$6:$AS$15),LOOKUP(テーブル22[[#This Row],[ｼｬﾄﾙﾗﾝ]],$AR$20:$AS$29))))</f>
        <v>0</v>
      </c>
      <c r="W337" s="42">
        <f>IF(テーブル22[[#This Row],[50m走]]="",0,(IF(テーブル22[[#This Row],[性別]]="男",LOOKUP(テーブル22[[#This Row],[50m走]],$AT$6:$AU$15),LOOKUP(テーブル22[[#This Row],[50m走]],$AT$20:$AU$29))))</f>
        <v>0</v>
      </c>
      <c r="X337" s="42">
        <f>IF(テーブル22[[#This Row],[立幅とび]]="",0,(IF(テーブル22[[#This Row],[性別]]="男",LOOKUP(テーブル22[[#This Row],[立幅とび]],$AV$6:$AW$15),LOOKUP(テーブル22[[#This Row],[立幅とび]],$AV$20:$AW$29))))</f>
        <v>0</v>
      </c>
      <c r="Y337" s="42">
        <f>IF(テーブル22[[#This Row],[ボール投げ]]="",0,(IF(テーブル22[[#This Row],[性別]]="男",LOOKUP(テーブル22[[#This Row],[ボール投げ]],$AX$6:$AY$15),LOOKUP(テーブル22[[#This Row],[ボール投げ]],$AX$20:$AY$29))))</f>
        <v>0</v>
      </c>
      <c r="Z337" s="19" t="str">
        <f>IF(テーブル22[[#This Row],[学年]]=1,6,IF(テーブル22[[#This Row],[学年]]=2,7,IF(テーブル22[[#This Row],[学年]]=3,8,IF(テーブル22[[#This Row],[学年]]=4,9,IF(テーブル22[[#This Row],[学年]]=5,10,IF(テーブル22[[#This Row],[学年]]=6,11," "))))))</f>
        <v xml:space="preserve"> </v>
      </c>
      <c r="AA337" s="125" t="str">
        <f>IF(テーブル22[[#This Row],[肥満度数値]]="","",LOOKUP(AC337,$AW$39:$AW$44,$AX$39:$AX$44))</f>
        <v/>
      </c>
      <c r="AB3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7" s="124" t="str">
        <f>IF(テーブル22[[#This Row],[体重]]="","",(テーブル22[[#This Row],[体重]]-テーブル22[[#This Row],[標準体重]])/テーブル22[[#This Row],[標準体重]]*100)</f>
        <v/>
      </c>
      <c r="AD337" s="1">
        <f>COUNTA(テーブル22[[#This Row],[握力]:[ボール投げ]])</f>
        <v>0</v>
      </c>
      <c r="AE337" s="1" t="str">
        <f>IF(テーブル22[[#This Row],[判定]]=$BD$10,"○","")</f>
        <v/>
      </c>
      <c r="AF337" s="1" t="str">
        <f>IF(AE337="","",COUNTIF($AE$6:AE337,"○"))</f>
        <v/>
      </c>
    </row>
    <row r="338" spans="1:32" x14ac:dyDescent="0.2">
      <c r="A338" s="40">
        <v>333</v>
      </c>
      <c r="B338" s="145"/>
      <c r="C338" s="148"/>
      <c r="D338" s="145"/>
      <c r="E338" s="156"/>
      <c r="F338" s="145"/>
      <c r="G338" s="145"/>
      <c r="H338" s="146"/>
      <c r="I338" s="146"/>
      <c r="J338" s="148"/>
      <c r="K338" s="145"/>
      <c r="L338" s="148"/>
      <c r="M338" s="149"/>
      <c r="N338" s="148"/>
      <c r="O338" s="150"/>
      <c r="P3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8" s="43" t="str">
        <f>IF(テーブル22[[#This Row],[得点]]="","",IF(テーブル22[[#This Row],[年齢]]&gt;10,LOOKUP(P338,$BG$6:$BG$10,$BD$6:$BD$10),IF(テーブル22[[#This Row],[年齢]]&gt;9,LOOKUP(P338,$BF$6:$BF$10,$BD$6:$BD$10),IF(テーブル22[[#This Row],[年齢]]&gt;8,LOOKUP(P338,$BE$6:$BE$10,$BD$6:$BD$10),IF(テーブル22[[#This Row],[年齢]]&gt;7,LOOKUP(P338,$BC$6:$BC$10,$BD$6:$BD$10),IF(テーブル22[[#This Row],[年齢]]&gt;6,LOOKUP(P338,$BB$6:$BB$10,$BD$6:$BD$10),LOOKUP(P338,$BA$6:$BA$10,$BD$6:$BD$10)))))))</f>
        <v/>
      </c>
      <c r="R338" s="42">
        <f>IF(H338="",0,(IF(テーブル22[[#This Row],[性別]]="男",LOOKUP(テーブル22[[#This Row],[握力]],$AH$6:$AI$15),LOOKUP(テーブル22[[#This Row],[握力]],$AH$20:$AI$29))))</f>
        <v>0</v>
      </c>
      <c r="S338" s="42">
        <f>IF(テーブル22[[#This Row],[上体]]="",0,(IF(テーブル22[[#This Row],[性別]]="男",LOOKUP(テーブル22[[#This Row],[上体]],$AJ$6:$AK$15),LOOKUP(テーブル22[[#This Row],[上体]],$AJ$20:$AK$29))))</f>
        <v>0</v>
      </c>
      <c r="T338" s="42">
        <f>IF(テーブル22[[#This Row],[長座]]="",0,(IF(テーブル22[[#This Row],[性別]]="男",LOOKUP(テーブル22[[#This Row],[長座]],$AL$6:$AM$15),LOOKUP(テーブル22[[#This Row],[長座]],$AL$20:$AM$29))))</f>
        <v>0</v>
      </c>
      <c r="U338" s="42">
        <f>IF(テーブル22[[#This Row],[反復]]="",0,(IF(テーブル22[[#This Row],[性別]]="男",LOOKUP(テーブル22[[#This Row],[反復]],$AN$6:$AO$15),LOOKUP(テーブル22[[#This Row],[反復]],$AN$20:$AO$29))))</f>
        <v>0</v>
      </c>
      <c r="V338" s="42">
        <f>IF(テーブル22[[#This Row],[ｼｬﾄﾙﾗﾝ]]="",0,(IF(テーブル22[[#This Row],[性別]]="男",LOOKUP(テーブル22[[#This Row],[ｼｬﾄﾙﾗﾝ]],$AR$6:$AS$15),LOOKUP(テーブル22[[#This Row],[ｼｬﾄﾙﾗﾝ]],$AR$20:$AS$29))))</f>
        <v>0</v>
      </c>
      <c r="W338" s="42">
        <f>IF(テーブル22[[#This Row],[50m走]]="",0,(IF(テーブル22[[#This Row],[性別]]="男",LOOKUP(テーブル22[[#This Row],[50m走]],$AT$6:$AU$15),LOOKUP(テーブル22[[#This Row],[50m走]],$AT$20:$AU$29))))</f>
        <v>0</v>
      </c>
      <c r="X338" s="42">
        <f>IF(テーブル22[[#This Row],[立幅とび]]="",0,(IF(テーブル22[[#This Row],[性別]]="男",LOOKUP(テーブル22[[#This Row],[立幅とび]],$AV$6:$AW$15),LOOKUP(テーブル22[[#This Row],[立幅とび]],$AV$20:$AW$29))))</f>
        <v>0</v>
      </c>
      <c r="Y338" s="42">
        <f>IF(テーブル22[[#This Row],[ボール投げ]]="",0,(IF(テーブル22[[#This Row],[性別]]="男",LOOKUP(テーブル22[[#This Row],[ボール投げ]],$AX$6:$AY$15),LOOKUP(テーブル22[[#This Row],[ボール投げ]],$AX$20:$AY$29))))</f>
        <v>0</v>
      </c>
      <c r="Z338" s="19" t="str">
        <f>IF(テーブル22[[#This Row],[学年]]=1,6,IF(テーブル22[[#This Row],[学年]]=2,7,IF(テーブル22[[#This Row],[学年]]=3,8,IF(テーブル22[[#This Row],[学年]]=4,9,IF(テーブル22[[#This Row],[学年]]=5,10,IF(テーブル22[[#This Row],[学年]]=6,11," "))))))</f>
        <v xml:space="preserve"> </v>
      </c>
      <c r="AA338" s="125" t="str">
        <f>IF(テーブル22[[#This Row],[肥満度数値]]="","",LOOKUP(AC338,$AW$39:$AW$44,$AX$39:$AX$44))</f>
        <v/>
      </c>
      <c r="AB3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8" s="124" t="str">
        <f>IF(テーブル22[[#This Row],[体重]]="","",(テーブル22[[#This Row],[体重]]-テーブル22[[#This Row],[標準体重]])/テーブル22[[#This Row],[標準体重]]*100)</f>
        <v/>
      </c>
      <c r="AD338" s="1">
        <f>COUNTA(テーブル22[[#This Row],[握力]:[ボール投げ]])</f>
        <v>0</v>
      </c>
      <c r="AE338" s="1" t="str">
        <f>IF(テーブル22[[#This Row],[判定]]=$BD$10,"○","")</f>
        <v/>
      </c>
      <c r="AF338" s="1" t="str">
        <f>IF(AE338="","",COUNTIF($AE$6:AE338,"○"))</f>
        <v/>
      </c>
    </row>
    <row r="339" spans="1:32" x14ac:dyDescent="0.2">
      <c r="A339" s="40">
        <v>334</v>
      </c>
      <c r="B339" s="145"/>
      <c r="C339" s="148"/>
      <c r="D339" s="145"/>
      <c r="E339" s="156"/>
      <c r="F339" s="145"/>
      <c r="G339" s="145"/>
      <c r="H339" s="146"/>
      <c r="I339" s="146"/>
      <c r="J339" s="148"/>
      <c r="K339" s="145"/>
      <c r="L339" s="148"/>
      <c r="M339" s="149"/>
      <c r="N339" s="148"/>
      <c r="O339" s="150"/>
      <c r="P3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39" s="43" t="str">
        <f>IF(テーブル22[[#This Row],[得点]]="","",IF(テーブル22[[#This Row],[年齢]]&gt;10,LOOKUP(P339,$BG$6:$BG$10,$BD$6:$BD$10),IF(テーブル22[[#This Row],[年齢]]&gt;9,LOOKUP(P339,$BF$6:$BF$10,$BD$6:$BD$10),IF(テーブル22[[#This Row],[年齢]]&gt;8,LOOKUP(P339,$BE$6:$BE$10,$BD$6:$BD$10),IF(テーブル22[[#This Row],[年齢]]&gt;7,LOOKUP(P339,$BC$6:$BC$10,$BD$6:$BD$10),IF(テーブル22[[#This Row],[年齢]]&gt;6,LOOKUP(P339,$BB$6:$BB$10,$BD$6:$BD$10),LOOKUP(P339,$BA$6:$BA$10,$BD$6:$BD$10)))))))</f>
        <v/>
      </c>
      <c r="R339" s="42">
        <f>IF(H339="",0,(IF(テーブル22[[#This Row],[性別]]="男",LOOKUP(テーブル22[[#This Row],[握力]],$AH$6:$AI$15),LOOKUP(テーブル22[[#This Row],[握力]],$AH$20:$AI$29))))</f>
        <v>0</v>
      </c>
      <c r="S339" s="42">
        <f>IF(テーブル22[[#This Row],[上体]]="",0,(IF(テーブル22[[#This Row],[性別]]="男",LOOKUP(テーブル22[[#This Row],[上体]],$AJ$6:$AK$15),LOOKUP(テーブル22[[#This Row],[上体]],$AJ$20:$AK$29))))</f>
        <v>0</v>
      </c>
      <c r="T339" s="42">
        <f>IF(テーブル22[[#This Row],[長座]]="",0,(IF(テーブル22[[#This Row],[性別]]="男",LOOKUP(テーブル22[[#This Row],[長座]],$AL$6:$AM$15),LOOKUP(テーブル22[[#This Row],[長座]],$AL$20:$AM$29))))</f>
        <v>0</v>
      </c>
      <c r="U339" s="42">
        <f>IF(テーブル22[[#This Row],[反復]]="",0,(IF(テーブル22[[#This Row],[性別]]="男",LOOKUP(テーブル22[[#This Row],[反復]],$AN$6:$AO$15),LOOKUP(テーブル22[[#This Row],[反復]],$AN$20:$AO$29))))</f>
        <v>0</v>
      </c>
      <c r="V339" s="42">
        <f>IF(テーブル22[[#This Row],[ｼｬﾄﾙﾗﾝ]]="",0,(IF(テーブル22[[#This Row],[性別]]="男",LOOKUP(テーブル22[[#This Row],[ｼｬﾄﾙﾗﾝ]],$AR$6:$AS$15),LOOKUP(テーブル22[[#This Row],[ｼｬﾄﾙﾗﾝ]],$AR$20:$AS$29))))</f>
        <v>0</v>
      </c>
      <c r="W339" s="42">
        <f>IF(テーブル22[[#This Row],[50m走]]="",0,(IF(テーブル22[[#This Row],[性別]]="男",LOOKUP(テーブル22[[#This Row],[50m走]],$AT$6:$AU$15),LOOKUP(テーブル22[[#This Row],[50m走]],$AT$20:$AU$29))))</f>
        <v>0</v>
      </c>
      <c r="X339" s="42">
        <f>IF(テーブル22[[#This Row],[立幅とび]]="",0,(IF(テーブル22[[#This Row],[性別]]="男",LOOKUP(テーブル22[[#This Row],[立幅とび]],$AV$6:$AW$15),LOOKUP(テーブル22[[#This Row],[立幅とび]],$AV$20:$AW$29))))</f>
        <v>0</v>
      </c>
      <c r="Y339" s="42">
        <f>IF(テーブル22[[#This Row],[ボール投げ]]="",0,(IF(テーブル22[[#This Row],[性別]]="男",LOOKUP(テーブル22[[#This Row],[ボール投げ]],$AX$6:$AY$15),LOOKUP(テーブル22[[#This Row],[ボール投げ]],$AX$20:$AY$29))))</f>
        <v>0</v>
      </c>
      <c r="Z339" s="19" t="str">
        <f>IF(テーブル22[[#This Row],[学年]]=1,6,IF(テーブル22[[#This Row],[学年]]=2,7,IF(テーブル22[[#This Row],[学年]]=3,8,IF(テーブル22[[#This Row],[学年]]=4,9,IF(テーブル22[[#This Row],[学年]]=5,10,IF(テーブル22[[#This Row],[学年]]=6,11," "))))))</f>
        <v xml:space="preserve"> </v>
      </c>
      <c r="AA339" s="125" t="str">
        <f>IF(テーブル22[[#This Row],[肥満度数値]]="","",LOOKUP(AC339,$AW$39:$AW$44,$AX$39:$AX$44))</f>
        <v/>
      </c>
      <c r="AB3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39" s="124" t="str">
        <f>IF(テーブル22[[#This Row],[体重]]="","",(テーブル22[[#This Row],[体重]]-テーブル22[[#This Row],[標準体重]])/テーブル22[[#This Row],[標準体重]]*100)</f>
        <v/>
      </c>
      <c r="AD339" s="1">
        <f>COUNTA(テーブル22[[#This Row],[握力]:[ボール投げ]])</f>
        <v>0</v>
      </c>
      <c r="AE339" s="1" t="str">
        <f>IF(テーブル22[[#This Row],[判定]]=$BD$10,"○","")</f>
        <v/>
      </c>
      <c r="AF339" s="1" t="str">
        <f>IF(AE339="","",COUNTIF($AE$6:AE339,"○"))</f>
        <v/>
      </c>
    </row>
    <row r="340" spans="1:32" x14ac:dyDescent="0.2">
      <c r="A340" s="40">
        <v>335</v>
      </c>
      <c r="B340" s="145"/>
      <c r="C340" s="148"/>
      <c r="D340" s="145"/>
      <c r="E340" s="156"/>
      <c r="F340" s="145"/>
      <c r="G340" s="145"/>
      <c r="H340" s="146"/>
      <c r="I340" s="146"/>
      <c r="J340" s="148"/>
      <c r="K340" s="145"/>
      <c r="L340" s="148"/>
      <c r="M340" s="149"/>
      <c r="N340" s="148"/>
      <c r="O340" s="150"/>
      <c r="P3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0" s="43" t="str">
        <f>IF(テーブル22[[#This Row],[得点]]="","",IF(テーブル22[[#This Row],[年齢]]&gt;10,LOOKUP(P340,$BG$6:$BG$10,$BD$6:$BD$10),IF(テーブル22[[#This Row],[年齢]]&gt;9,LOOKUP(P340,$BF$6:$BF$10,$BD$6:$BD$10),IF(テーブル22[[#This Row],[年齢]]&gt;8,LOOKUP(P340,$BE$6:$BE$10,$BD$6:$BD$10),IF(テーブル22[[#This Row],[年齢]]&gt;7,LOOKUP(P340,$BC$6:$BC$10,$BD$6:$BD$10),IF(テーブル22[[#This Row],[年齢]]&gt;6,LOOKUP(P340,$BB$6:$BB$10,$BD$6:$BD$10),LOOKUP(P340,$BA$6:$BA$10,$BD$6:$BD$10)))))))</f>
        <v/>
      </c>
      <c r="R340" s="42">
        <f>IF(H340="",0,(IF(テーブル22[[#This Row],[性別]]="男",LOOKUP(テーブル22[[#This Row],[握力]],$AH$6:$AI$15),LOOKUP(テーブル22[[#This Row],[握力]],$AH$20:$AI$29))))</f>
        <v>0</v>
      </c>
      <c r="S340" s="42">
        <f>IF(テーブル22[[#This Row],[上体]]="",0,(IF(テーブル22[[#This Row],[性別]]="男",LOOKUP(テーブル22[[#This Row],[上体]],$AJ$6:$AK$15),LOOKUP(テーブル22[[#This Row],[上体]],$AJ$20:$AK$29))))</f>
        <v>0</v>
      </c>
      <c r="T340" s="42">
        <f>IF(テーブル22[[#This Row],[長座]]="",0,(IF(テーブル22[[#This Row],[性別]]="男",LOOKUP(テーブル22[[#This Row],[長座]],$AL$6:$AM$15),LOOKUP(テーブル22[[#This Row],[長座]],$AL$20:$AM$29))))</f>
        <v>0</v>
      </c>
      <c r="U340" s="42">
        <f>IF(テーブル22[[#This Row],[反復]]="",0,(IF(テーブル22[[#This Row],[性別]]="男",LOOKUP(テーブル22[[#This Row],[反復]],$AN$6:$AO$15),LOOKUP(テーブル22[[#This Row],[反復]],$AN$20:$AO$29))))</f>
        <v>0</v>
      </c>
      <c r="V340" s="42">
        <f>IF(テーブル22[[#This Row],[ｼｬﾄﾙﾗﾝ]]="",0,(IF(テーブル22[[#This Row],[性別]]="男",LOOKUP(テーブル22[[#This Row],[ｼｬﾄﾙﾗﾝ]],$AR$6:$AS$15),LOOKUP(テーブル22[[#This Row],[ｼｬﾄﾙﾗﾝ]],$AR$20:$AS$29))))</f>
        <v>0</v>
      </c>
      <c r="W340" s="42">
        <f>IF(テーブル22[[#This Row],[50m走]]="",0,(IF(テーブル22[[#This Row],[性別]]="男",LOOKUP(テーブル22[[#This Row],[50m走]],$AT$6:$AU$15),LOOKUP(テーブル22[[#This Row],[50m走]],$AT$20:$AU$29))))</f>
        <v>0</v>
      </c>
      <c r="X340" s="42">
        <f>IF(テーブル22[[#This Row],[立幅とび]]="",0,(IF(テーブル22[[#This Row],[性別]]="男",LOOKUP(テーブル22[[#This Row],[立幅とび]],$AV$6:$AW$15),LOOKUP(テーブル22[[#This Row],[立幅とび]],$AV$20:$AW$29))))</f>
        <v>0</v>
      </c>
      <c r="Y340" s="42">
        <f>IF(テーブル22[[#This Row],[ボール投げ]]="",0,(IF(テーブル22[[#This Row],[性別]]="男",LOOKUP(テーブル22[[#This Row],[ボール投げ]],$AX$6:$AY$15),LOOKUP(テーブル22[[#This Row],[ボール投げ]],$AX$20:$AY$29))))</f>
        <v>0</v>
      </c>
      <c r="Z340" s="19" t="str">
        <f>IF(テーブル22[[#This Row],[学年]]=1,6,IF(テーブル22[[#This Row],[学年]]=2,7,IF(テーブル22[[#This Row],[学年]]=3,8,IF(テーブル22[[#This Row],[学年]]=4,9,IF(テーブル22[[#This Row],[学年]]=5,10,IF(テーブル22[[#This Row],[学年]]=6,11," "))))))</f>
        <v xml:space="preserve"> </v>
      </c>
      <c r="AA340" s="125" t="str">
        <f>IF(テーブル22[[#This Row],[肥満度数値]]="","",LOOKUP(AC340,$AW$39:$AW$44,$AX$39:$AX$44))</f>
        <v/>
      </c>
      <c r="AB3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0" s="124" t="str">
        <f>IF(テーブル22[[#This Row],[体重]]="","",(テーブル22[[#This Row],[体重]]-テーブル22[[#This Row],[標準体重]])/テーブル22[[#This Row],[標準体重]]*100)</f>
        <v/>
      </c>
      <c r="AD340" s="1">
        <f>COUNTA(テーブル22[[#This Row],[握力]:[ボール投げ]])</f>
        <v>0</v>
      </c>
      <c r="AE340" s="1" t="str">
        <f>IF(テーブル22[[#This Row],[判定]]=$BD$10,"○","")</f>
        <v/>
      </c>
      <c r="AF340" s="1" t="str">
        <f>IF(AE340="","",COUNTIF($AE$6:AE340,"○"))</f>
        <v/>
      </c>
    </row>
    <row r="341" spans="1:32" x14ac:dyDescent="0.2">
      <c r="A341" s="40">
        <v>336</v>
      </c>
      <c r="B341" s="145"/>
      <c r="C341" s="148"/>
      <c r="D341" s="145"/>
      <c r="E341" s="156"/>
      <c r="F341" s="145"/>
      <c r="G341" s="145"/>
      <c r="H341" s="146"/>
      <c r="I341" s="146"/>
      <c r="J341" s="148"/>
      <c r="K341" s="145"/>
      <c r="L341" s="148"/>
      <c r="M341" s="149"/>
      <c r="N341" s="148"/>
      <c r="O341" s="150"/>
      <c r="P3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1" s="43" t="str">
        <f>IF(テーブル22[[#This Row],[得点]]="","",IF(テーブル22[[#This Row],[年齢]]&gt;10,LOOKUP(P341,$BG$6:$BG$10,$BD$6:$BD$10),IF(テーブル22[[#This Row],[年齢]]&gt;9,LOOKUP(P341,$BF$6:$BF$10,$BD$6:$BD$10),IF(テーブル22[[#This Row],[年齢]]&gt;8,LOOKUP(P341,$BE$6:$BE$10,$BD$6:$BD$10),IF(テーブル22[[#This Row],[年齢]]&gt;7,LOOKUP(P341,$BC$6:$BC$10,$BD$6:$BD$10),IF(テーブル22[[#This Row],[年齢]]&gt;6,LOOKUP(P341,$BB$6:$BB$10,$BD$6:$BD$10),LOOKUP(P341,$BA$6:$BA$10,$BD$6:$BD$10)))))))</f>
        <v/>
      </c>
      <c r="R341" s="42">
        <f>IF(H341="",0,(IF(テーブル22[[#This Row],[性別]]="男",LOOKUP(テーブル22[[#This Row],[握力]],$AH$6:$AI$15),LOOKUP(テーブル22[[#This Row],[握力]],$AH$20:$AI$29))))</f>
        <v>0</v>
      </c>
      <c r="S341" s="42">
        <f>IF(テーブル22[[#This Row],[上体]]="",0,(IF(テーブル22[[#This Row],[性別]]="男",LOOKUP(テーブル22[[#This Row],[上体]],$AJ$6:$AK$15),LOOKUP(テーブル22[[#This Row],[上体]],$AJ$20:$AK$29))))</f>
        <v>0</v>
      </c>
      <c r="T341" s="42">
        <f>IF(テーブル22[[#This Row],[長座]]="",0,(IF(テーブル22[[#This Row],[性別]]="男",LOOKUP(テーブル22[[#This Row],[長座]],$AL$6:$AM$15),LOOKUP(テーブル22[[#This Row],[長座]],$AL$20:$AM$29))))</f>
        <v>0</v>
      </c>
      <c r="U341" s="42">
        <f>IF(テーブル22[[#This Row],[反復]]="",0,(IF(テーブル22[[#This Row],[性別]]="男",LOOKUP(テーブル22[[#This Row],[反復]],$AN$6:$AO$15),LOOKUP(テーブル22[[#This Row],[反復]],$AN$20:$AO$29))))</f>
        <v>0</v>
      </c>
      <c r="V341" s="42">
        <f>IF(テーブル22[[#This Row],[ｼｬﾄﾙﾗﾝ]]="",0,(IF(テーブル22[[#This Row],[性別]]="男",LOOKUP(テーブル22[[#This Row],[ｼｬﾄﾙﾗﾝ]],$AR$6:$AS$15),LOOKUP(テーブル22[[#This Row],[ｼｬﾄﾙﾗﾝ]],$AR$20:$AS$29))))</f>
        <v>0</v>
      </c>
      <c r="W341" s="42">
        <f>IF(テーブル22[[#This Row],[50m走]]="",0,(IF(テーブル22[[#This Row],[性別]]="男",LOOKUP(テーブル22[[#This Row],[50m走]],$AT$6:$AU$15),LOOKUP(テーブル22[[#This Row],[50m走]],$AT$20:$AU$29))))</f>
        <v>0</v>
      </c>
      <c r="X341" s="42">
        <f>IF(テーブル22[[#This Row],[立幅とび]]="",0,(IF(テーブル22[[#This Row],[性別]]="男",LOOKUP(テーブル22[[#This Row],[立幅とび]],$AV$6:$AW$15),LOOKUP(テーブル22[[#This Row],[立幅とび]],$AV$20:$AW$29))))</f>
        <v>0</v>
      </c>
      <c r="Y341" s="42">
        <f>IF(テーブル22[[#This Row],[ボール投げ]]="",0,(IF(テーブル22[[#This Row],[性別]]="男",LOOKUP(テーブル22[[#This Row],[ボール投げ]],$AX$6:$AY$15),LOOKUP(テーブル22[[#This Row],[ボール投げ]],$AX$20:$AY$29))))</f>
        <v>0</v>
      </c>
      <c r="Z341" s="19" t="str">
        <f>IF(テーブル22[[#This Row],[学年]]=1,6,IF(テーブル22[[#This Row],[学年]]=2,7,IF(テーブル22[[#This Row],[学年]]=3,8,IF(テーブル22[[#This Row],[学年]]=4,9,IF(テーブル22[[#This Row],[学年]]=5,10,IF(テーブル22[[#This Row],[学年]]=6,11," "))))))</f>
        <v xml:space="preserve"> </v>
      </c>
      <c r="AA341" s="125" t="str">
        <f>IF(テーブル22[[#This Row],[肥満度数値]]="","",LOOKUP(AC341,$AW$39:$AW$44,$AX$39:$AX$44))</f>
        <v/>
      </c>
      <c r="AB3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1" s="124" t="str">
        <f>IF(テーブル22[[#This Row],[体重]]="","",(テーブル22[[#This Row],[体重]]-テーブル22[[#This Row],[標準体重]])/テーブル22[[#This Row],[標準体重]]*100)</f>
        <v/>
      </c>
      <c r="AD341" s="1">
        <f>COUNTA(テーブル22[[#This Row],[握力]:[ボール投げ]])</f>
        <v>0</v>
      </c>
      <c r="AE341" s="1" t="str">
        <f>IF(テーブル22[[#This Row],[判定]]=$BD$10,"○","")</f>
        <v/>
      </c>
      <c r="AF341" s="1" t="str">
        <f>IF(AE341="","",COUNTIF($AE$6:AE341,"○"))</f>
        <v/>
      </c>
    </row>
    <row r="342" spans="1:32" x14ac:dyDescent="0.2">
      <c r="A342" s="40">
        <v>337</v>
      </c>
      <c r="B342" s="145"/>
      <c r="C342" s="148"/>
      <c r="D342" s="145"/>
      <c r="E342" s="156"/>
      <c r="F342" s="145"/>
      <c r="G342" s="145"/>
      <c r="H342" s="146"/>
      <c r="I342" s="146"/>
      <c r="J342" s="148"/>
      <c r="K342" s="145"/>
      <c r="L342" s="148"/>
      <c r="M342" s="149"/>
      <c r="N342" s="148"/>
      <c r="O342" s="150"/>
      <c r="P3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2" s="43" t="str">
        <f>IF(テーブル22[[#This Row],[得点]]="","",IF(テーブル22[[#This Row],[年齢]]&gt;10,LOOKUP(P342,$BG$6:$BG$10,$BD$6:$BD$10),IF(テーブル22[[#This Row],[年齢]]&gt;9,LOOKUP(P342,$BF$6:$BF$10,$BD$6:$BD$10),IF(テーブル22[[#This Row],[年齢]]&gt;8,LOOKUP(P342,$BE$6:$BE$10,$BD$6:$BD$10),IF(テーブル22[[#This Row],[年齢]]&gt;7,LOOKUP(P342,$BC$6:$BC$10,$BD$6:$BD$10),IF(テーブル22[[#This Row],[年齢]]&gt;6,LOOKUP(P342,$BB$6:$BB$10,$BD$6:$BD$10),LOOKUP(P342,$BA$6:$BA$10,$BD$6:$BD$10)))))))</f>
        <v/>
      </c>
      <c r="R342" s="42">
        <f>IF(H342="",0,(IF(テーブル22[[#This Row],[性別]]="男",LOOKUP(テーブル22[[#This Row],[握力]],$AH$6:$AI$15),LOOKUP(テーブル22[[#This Row],[握力]],$AH$20:$AI$29))))</f>
        <v>0</v>
      </c>
      <c r="S342" s="42">
        <f>IF(テーブル22[[#This Row],[上体]]="",0,(IF(テーブル22[[#This Row],[性別]]="男",LOOKUP(テーブル22[[#This Row],[上体]],$AJ$6:$AK$15),LOOKUP(テーブル22[[#This Row],[上体]],$AJ$20:$AK$29))))</f>
        <v>0</v>
      </c>
      <c r="T342" s="42">
        <f>IF(テーブル22[[#This Row],[長座]]="",0,(IF(テーブル22[[#This Row],[性別]]="男",LOOKUP(テーブル22[[#This Row],[長座]],$AL$6:$AM$15),LOOKUP(テーブル22[[#This Row],[長座]],$AL$20:$AM$29))))</f>
        <v>0</v>
      </c>
      <c r="U342" s="42">
        <f>IF(テーブル22[[#This Row],[反復]]="",0,(IF(テーブル22[[#This Row],[性別]]="男",LOOKUP(テーブル22[[#This Row],[反復]],$AN$6:$AO$15),LOOKUP(テーブル22[[#This Row],[反復]],$AN$20:$AO$29))))</f>
        <v>0</v>
      </c>
      <c r="V342" s="42">
        <f>IF(テーブル22[[#This Row],[ｼｬﾄﾙﾗﾝ]]="",0,(IF(テーブル22[[#This Row],[性別]]="男",LOOKUP(テーブル22[[#This Row],[ｼｬﾄﾙﾗﾝ]],$AR$6:$AS$15),LOOKUP(テーブル22[[#This Row],[ｼｬﾄﾙﾗﾝ]],$AR$20:$AS$29))))</f>
        <v>0</v>
      </c>
      <c r="W342" s="42">
        <f>IF(テーブル22[[#This Row],[50m走]]="",0,(IF(テーブル22[[#This Row],[性別]]="男",LOOKUP(テーブル22[[#This Row],[50m走]],$AT$6:$AU$15),LOOKUP(テーブル22[[#This Row],[50m走]],$AT$20:$AU$29))))</f>
        <v>0</v>
      </c>
      <c r="X342" s="42">
        <f>IF(テーブル22[[#This Row],[立幅とび]]="",0,(IF(テーブル22[[#This Row],[性別]]="男",LOOKUP(テーブル22[[#This Row],[立幅とび]],$AV$6:$AW$15),LOOKUP(テーブル22[[#This Row],[立幅とび]],$AV$20:$AW$29))))</f>
        <v>0</v>
      </c>
      <c r="Y342" s="42">
        <f>IF(テーブル22[[#This Row],[ボール投げ]]="",0,(IF(テーブル22[[#This Row],[性別]]="男",LOOKUP(テーブル22[[#This Row],[ボール投げ]],$AX$6:$AY$15),LOOKUP(テーブル22[[#This Row],[ボール投げ]],$AX$20:$AY$29))))</f>
        <v>0</v>
      </c>
      <c r="Z342" s="19" t="str">
        <f>IF(テーブル22[[#This Row],[学年]]=1,6,IF(テーブル22[[#This Row],[学年]]=2,7,IF(テーブル22[[#This Row],[学年]]=3,8,IF(テーブル22[[#This Row],[学年]]=4,9,IF(テーブル22[[#This Row],[学年]]=5,10,IF(テーブル22[[#This Row],[学年]]=6,11," "))))))</f>
        <v xml:space="preserve"> </v>
      </c>
      <c r="AA342" s="125" t="str">
        <f>IF(テーブル22[[#This Row],[肥満度数値]]="","",LOOKUP(AC342,$AW$39:$AW$44,$AX$39:$AX$44))</f>
        <v/>
      </c>
      <c r="AB3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2" s="124" t="str">
        <f>IF(テーブル22[[#This Row],[体重]]="","",(テーブル22[[#This Row],[体重]]-テーブル22[[#This Row],[標準体重]])/テーブル22[[#This Row],[標準体重]]*100)</f>
        <v/>
      </c>
      <c r="AD342" s="1">
        <f>COUNTA(テーブル22[[#This Row],[握力]:[ボール投げ]])</f>
        <v>0</v>
      </c>
      <c r="AE342" s="1" t="str">
        <f>IF(テーブル22[[#This Row],[判定]]=$BD$10,"○","")</f>
        <v/>
      </c>
      <c r="AF342" s="1" t="str">
        <f>IF(AE342="","",COUNTIF($AE$6:AE342,"○"))</f>
        <v/>
      </c>
    </row>
    <row r="343" spans="1:32" x14ac:dyDescent="0.2">
      <c r="A343" s="40">
        <v>338</v>
      </c>
      <c r="B343" s="145"/>
      <c r="C343" s="148"/>
      <c r="D343" s="145"/>
      <c r="E343" s="156"/>
      <c r="F343" s="145"/>
      <c r="G343" s="145"/>
      <c r="H343" s="146"/>
      <c r="I343" s="146"/>
      <c r="J343" s="148"/>
      <c r="K343" s="145"/>
      <c r="L343" s="148"/>
      <c r="M343" s="149"/>
      <c r="N343" s="148"/>
      <c r="O343" s="150"/>
      <c r="P3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3" s="43" t="str">
        <f>IF(テーブル22[[#This Row],[得点]]="","",IF(テーブル22[[#This Row],[年齢]]&gt;10,LOOKUP(P343,$BG$6:$BG$10,$BD$6:$BD$10),IF(テーブル22[[#This Row],[年齢]]&gt;9,LOOKUP(P343,$BF$6:$BF$10,$BD$6:$BD$10),IF(テーブル22[[#This Row],[年齢]]&gt;8,LOOKUP(P343,$BE$6:$BE$10,$BD$6:$BD$10),IF(テーブル22[[#This Row],[年齢]]&gt;7,LOOKUP(P343,$BC$6:$BC$10,$BD$6:$BD$10),IF(テーブル22[[#This Row],[年齢]]&gt;6,LOOKUP(P343,$BB$6:$BB$10,$BD$6:$BD$10),LOOKUP(P343,$BA$6:$BA$10,$BD$6:$BD$10)))))))</f>
        <v/>
      </c>
      <c r="R343" s="42">
        <f>IF(H343="",0,(IF(テーブル22[[#This Row],[性別]]="男",LOOKUP(テーブル22[[#This Row],[握力]],$AH$6:$AI$15),LOOKUP(テーブル22[[#This Row],[握力]],$AH$20:$AI$29))))</f>
        <v>0</v>
      </c>
      <c r="S343" s="42">
        <f>IF(テーブル22[[#This Row],[上体]]="",0,(IF(テーブル22[[#This Row],[性別]]="男",LOOKUP(テーブル22[[#This Row],[上体]],$AJ$6:$AK$15),LOOKUP(テーブル22[[#This Row],[上体]],$AJ$20:$AK$29))))</f>
        <v>0</v>
      </c>
      <c r="T343" s="42">
        <f>IF(テーブル22[[#This Row],[長座]]="",0,(IF(テーブル22[[#This Row],[性別]]="男",LOOKUP(テーブル22[[#This Row],[長座]],$AL$6:$AM$15),LOOKUP(テーブル22[[#This Row],[長座]],$AL$20:$AM$29))))</f>
        <v>0</v>
      </c>
      <c r="U343" s="42">
        <f>IF(テーブル22[[#This Row],[反復]]="",0,(IF(テーブル22[[#This Row],[性別]]="男",LOOKUP(テーブル22[[#This Row],[反復]],$AN$6:$AO$15),LOOKUP(テーブル22[[#This Row],[反復]],$AN$20:$AO$29))))</f>
        <v>0</v>
      </c>
      <c r="V343" s="42">
        <f>IF(テーブル22[[#This Row],[ｼｬﾄﾙﾗﾝ]]="",0,(IF(テーブル22[[#This Row],[性別]]="男",LOOKUP(テーブル22[[#This Row],[ｼｬﾄﾙﾗﾝ]],$AR$6:$AS$15),LOOKUP(テーブル22[[#This Row],[ｼｬﾄﾙﾗﾝ]],$AR$20:$AS$29))))</f>
        <v>0</v>
      </c>
      <c r="W343" s="42">
        <f>IF(テーブル22[[#This Row],[50m走]]="",0,(IF(テーブル22[[#This Row],[性別]]="男",LOOKUP(テーブル22[[#This Row],[50m走]],$AT$6:$AU$15),LOOKUP(テーブル22[[#This Row],[50m走]],$AT$20:$AU$29))))</f>
        <v>0</v>
      </c>
      <c r="X343" s="42">
        <f>IF(テーブル22[[#This Row],[立幅とび]]="",0,(IF(テーブル22[[#This Row],[性別]]="男",LOOKUP(テーブル22[[#This Row],[立幅とび]],$AV$6:$AW$15),LOOKUP(テーブル22[[#This Row],[立幅とび]],$AV$20:$AW$29))))</f>
        <v>0</v>
      </c>
      <c r="Y343" s="42">
        <f>IF(テーブル22[[#This Row],[ボール投げ]]="",0,(IF(テーブル22[[#This Row],[性別]]="男",LOOKUP(テーブル22[[#This Row],[ボール投げ]],$AX$6:$AY$15),LOOKUP(テーブル22[[#This Row],[ボール投げ]],$AX$20:$AY$29))))</f>
        <v>0</v>
      </c>
      <c r="Z343" s="19" t="str">
        <f>IF(テーブル22[[#This Row],[学年]]=1,6,IF(テーブル22[[#This Row],[学年]]=2,7,IF(テーブル22[[#This Row],[学年]]=3,8,IF(テーブル22[[#This Row],[学年]]=4,9,IF(テーブル22[[#This Row],[学年]]=5,10,IF(テーブル22[[#This Row],[学年]]=6,11," "))))))</f>
        <v xml:space="preserve"> </v>
      </c>
      <c r="AA343" s="125" t="str">
        <f>IF(テーブル22[[#This Row],[肥満度数値]]="","",LOOKUP(AC343,$AW$39:$AW$44,$AX$39:$AX$44))</f>
        <v/>
      </c>
      <c r="AB3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3" s="124" t="str">
        <f>IF(テーブル22[[#This Row],[体重]]="","",(テーブル22[[#This Row],[体重]]-テーブル22[[#This Row],[標準体重]])/テーブル22[[#This Row],[標準体重]]*100)</f>
        <v/>
      </c>
      <c r="AD343" s="1">
        <f>COUNTA(テーブル22[[#This Row],[握力]:[ボール投げ]])</f>
        <v>0</v>
      </c>
      <c r="AE343" s="1" t="str">
        <f>IF(テーブル22[[#This Row],[判定]]=$BD$10,"○","")</f>
        <v/>
      </c>
      <c r="AF343" s="1" t="str">
        <f>IF(AE343="","",COUNTIF($AE$6:AE343,"○"))</f>
        <v/>
      </c>
    </row>
    <row r="344" spans="1:32" x14ac:dyDescent="0.2">
      <c r="A344" s="40">
        <v>339</v>
      </c>
      <c r="B344" s="145"/>
      <c r="C344" s="148"/>
      <c r="D344" s="145"/>
      <c r="E344" s="156"/>
      <c r="F344" s="145"/>
      <c r="G344" s="145"/>
      <c r="H344" s="146"/>
      <c r="I344" s="146"/>
      <c r="J344" s="148"/>
      <c r="K344" s="145"/>
      <c r="L344" s="148"/>
      <c r="M344" s="149"/>
      <c r="N344" s="148"/>
      <c r="O344" s="150"/>
      <c r="P3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4" s="43" t="str">
        <f>IF(テーブル22[[#This Row],[得点]]="","",IF(テーブル22[[#This Row],[年齢]]&gt;10,LOOKUP(P344,$BG$6:$BG$10,$BD$6:$BD$10),IF(テーブル22[[#This Row],[年齢]]&gt;9,LOOKUP(P344,$BF$6:$BF$10,$BD$6:$BD$10),IF(テーブル22[[#This Row],[年齢]]&gt;8,LOOKUP(P344,$BE$6:$BE$10,$BD$6:$BD$10),IF(テーブル22[[#This Row],[年齢]]&gt;7,LOOKUP(P344,$BC$6:$BC$10,$BD$6:$BD$10),IF(テーブル22[[#This Row],[年齢]]&gt;6,LOOKUP(P344,$BB$6:$BB$10,$BD$6:$BD$10),LOOKUP(P344,$BA$6:$BA$10,$BD$6:$BD$10)))))))</f>
        <v/>
      </c>
      <c r="R344" s="42">
        <f>IF(H344="",0,(IF(テーブル22[[#This Row],[性別]]="男",LOOKUP(テーブル22[[#This Row],[握力]],$AH$6:$AI$15),LOOKUP(テーブル22[[#This Row],[握力]],$AH$20:$AI$29))))</f>
        <v>0</v>
      </c>
      <c r="S344" s="42">
        <f>IF(テーブル22[[#This Row],[上体]]="",0,(IF(テーブル22[[#This Row],[性別]]="男",LOOKUP(テーブル22[[#This Row],[上体]],$AJ$6:$AK$15),LOOKUP(テーブル22[[#This Row],[上体]],$AJ$20:$AK$29))))</f>
        <v>0</v>
      </c>
      <c r="T344" s="42">
        <f>IF(テーブル22[[#This Row],[長座]]="",0,(IF(テーブル22[[#This Row],[性別]]="男",LOOKUP(テーブル22[[#This Row],[長座]],$AL$6:$AM$15),LOOKUP(テーブル22[[#This Row],[長座]],$AL$20:$AM$29))))</f>
        <v>0</v>
      </c>
      <c r="U344" s="42">
        <f>IF(テーブル22[[#This Row],[反復]]="",0,(IF(テーブル22[[#This Row],[性別]]="男",LOOKUP(テーブル22[[#This Row],[反復]],$AN$6:$AO$15),LOOKUP(テーブル22[[#This Row],[反復]],$AN$20:$AO$29))))</f>
        <v>0</v>
      </c>
      <c r="V344" s="42">
        <f>IF(テーブル22[[#This Row],[ｼｬﾄﾙﾗﾝ]]="",0,(IF(テーブル22[[#This Row],[性別]]="男",LOOKUP(テーブル22[[#This Row],[ｼｬﾄﾙﾗﾝ]],$AR$6:$AS$15),LOOKUP(テーブル22[[#This Row],[ｼｬﾄﾙﾗﾝ]],$AR$20:$AS$29))))</f>
        <v>0</v>
      </c>
      <c r="W344" s="42">
        <f>IF(テーブル22[[#This Row],[50m走]]="",0,(IF(テーブル22[[#This Row],[性別]]="男",LOOKUP(テーブル22[[#This Row],[50m走]],$AT$6:$AU$15),LOOKUP(テーブル22[[#This Row],[50m走]],$AT$20:$AU$29))))</f>
        <v>0</v>
      </c>
      <c r="X344" s="42">
        <f>IF(テーブル22[[#This Row],[立幅とび]]="",0,(IF(テーブル22[[#This Row],[性別]]="男",LOOKUP(テーブル22[[#This Row],[立幅とび]],$AV$6:$AW$15),LOOKUP(テーブル22[[#This Row],[立幅とび]],$AV$20:$AW$29))))</f>
        <v>0</v>
      </c>
      <c r="Y344" s="42">
        <f>IF(テーブル22[[#This Row],[ボール投げ]]="",0,(IF(テーブル22[[#This Row],[性別]]="男",LOOKUP(テーブル22[[#This Row],[ボール投げ]],$AX$6:$AY$15),LOOKUP(テーブル22[[#This Row],[ボール投げ]],$AX$20:$AY$29))))</f>
        <v>0</v>
      </c>
      <c r="Z344" s="19" t="str">
        <f>IF(テーブル22[[#This Row],[学年]]=1,6,IF(テーブル22[[#This Row],[学年]]=2,7,IF(テーブル22[[#This Row],[学年]]=3,8,IF(テーブル22[[#This Row],[学年]]=4,9,IF(テーブル22[[#This Row],[学年]]=5,10,IF(テーブル22[[#This Row],[学年]]=6,11," "))))))</f>
        <v xml:space="preserve"> </v>
      </c>
      <c r="AA344" s="125" t="str">
        <f>IF(テーブル22[[#This Row],[肥満度数値]]="","",LOOKUP(AC344,$AW$39:$AW$44,$AX$39:$AX$44))</f>
        <v/>
      </c>
      <c r="AB3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4" s="124" t="str">
        <f>IF(テーブル22[[#This Row],[体重]]="","",(テーブル22[[#This Row],[体重]]-テーブル22[[#This Row],[標準体重]])/テーブル22[[#This Row],[標準体重]]*100)</f>
        <v/>
      </c>
      <c r="AD344" s="1">
        <f>COUNTA(テーブル22[[#This Row],[握力]:[ボール投げ]])</f>
        <v>0</v>
      </c>
      <c r="AE344" s="1" t="str">
        <f>IF(テーブル22[[#This Row],[判定]]=$BD$10,"○","")</f>
        <v/>
      </c>
      <c r="AF344" s="1" t="str">
        <f>IF(AE344="","",COUNTIF($AE$6:AE344,"○"))</f>
        <v/>
      </c>
    </row>
    <row r="345" spans="1:32" x14ac:dyDescent="0.2">
      <c r="A345" s="40">
        <v>340</v>
      </c>
      <c r="B345" s="145"/>
      <c r="C345" s="148"/>
      <c r="D345" s="145"/>
      <c r="E345" s="156"/>
      <c r="F345" s="145"/>
      <c r="G345" s="145"/>
      <c r="H345" s="146"/>
      <c r="I345" s="146"/>
      <c r="J345" s="148"/>
      <c r="K345" s="145"/>
      <c r="L345" s="148"/>
      <c r="M345" s="149"/>
      <c r="N345" s="148"/>
      <c r="O345" s="150"/>
      <c r="P3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5" s="43" t="str">
        <f>IF(テーブル22[[#This Row],[得点]]="","",IF(テーブル22[[#This Row],[年齢]]&gt;10,LOOKUP(P345,$BG$6:$BG$10,$BD$6:$BD$10),IF(テーブル22[[#This Row],[年齢]]&gt;9,LOOKUP(P345,$BF$6:$BF$10,$BD$6:$BD$10),IF(テーブル22[[#This Row],[年齢]]&gt;8,LOOKUP(P345,$BE$6:$BE$10,$BD$6:$BD$10),IF(テーブル22[[#This Row],[年齢]]&gt;7,LOOKUP(P345,$BC$6:$BC$10,$BD$6:$BD$10),IF(テーブル22[[#This Row],[年齢]]&gt;6,LOOKUP(P345,$BB$6:$BB$10,$BD$6:$BD$10),LOOKUP(P345,$BA$6:$BA$10,$BD$6:$BD$10)))))))</f>
        <v/>
      </c>
      <c r="R345" s="42">
        <f>IF(H345="",0,(IF(テーブル22[[#This Row],[性別]]="男",LOOKUP(テーブル22[[#This Row],[握力]],$AH$6:$AI$15),LOOKUP(テーブル22[[#This Row],[握力]],$AH$20:$AI$29))))</f>
        <v>0</v>
      </c>
      <c r="S345" s="42">
        <f>IF(テーブル22[[#This Row],[上体]]="",0,(IF(テーブル22[[#This Row],[性別]]="男",LOOKUP(テーブル22[[#This Row],[上体]],$AJ$6:$AK$15),LOOKUP(テーブル22[[#This Row],[上体]],$AJ$20:$AK$29))))</f>
        <v>0</v>
      </c>
      <c r="T345" s="42">
        <f>IF(テーブル22[[#This Row],[長座]]="",0,(IF(テーブル22[[#This Row],[性別]]="男",LOOKUP(テーブル22[[#This Row],[長座]],$AL$6:$AM$15),LOOKUP(テーブル22[[#This Row],[長座]],$AL$20:$AM$29))))</f>
        <v>0</v>
      </c>
      <c r="U345" s="42">
        <f>IF(テーブル22[[#This Row],[反復]]="",0,(IF(テーブル22[[#This Row],[性別]]="男",LOOKUP(テーブル22[[#This Row],[反復]],$AN$6:$AO$15),LOOKUP(テーブル22[[#This Row],[反復]],$AN$20:$AO$29))))</f>
        <v>0</v>
      </c>
      <c r="V345" s="42">
        <f>IF(テーブル22[[#This Row],[ｼｬﾄﾙﾗﾝ]]="",0,(IF(テーブル22[[#This Row],[性別]]="男",LOOKUP(テーブル22[[#This Row],[ｼｬﾄﾙﾗﾝ]],$AR$6:$AS$15),LOOKUP(テーブル22[[#This Row],[ｼｬﾄﾙﾗﾝ]],$AR$20:$AS$29))))</f>
        <v>0</v>
      </c>
      <c r="W345" s="42">
        <f>IF(テーブル22[[#This Row],[50m走]]="",0,(IF(テーブル22[[#This Row],[性別]]="男",LOOKUP(テーブル22[[#This Row],[50m走]],$AT$6:$AU$15),LOOKUP(テーブル22[[#This Row],[50m走]],$AT$20:$AU$29))))</f>
        <v>0</v>
      </c>
      <c r="X345" s="42">
        <f>IF(テーブル22[[#This Row],[立幅とび]]="",0,(IF(テーブル22[[#This Row],[性別]]="男",LOOKUP(テーブル22[[#This Row],[立幅とび]],$AV$6:$AW$15),LOOKUP(テーブル22[[#This Row],[立幅とび]],$AV$20:$AW$29))))</f>
        <v>0</v>
      </c>
      <c r="Y345" s="42">
        <f>IF(テーブル22[[#This Row],[ボール投げ]]="",0,(IF(テーブル22[[#This Row],[性別]]="男",LOOKUP(テーブル22[[#This Row],[ボール投げ]],$AX$6:$AY$15),LOOKUP(テーブル22[[#This Row],[ボール投げ]],$AX$20:$AY$29))))</f>
        <v>0</v>
      </c>
      <c r="Z345" s="19" t="str">
        <f>IF(テーブル22[[#This Row],[学年]]=1,6,IF(テーブル22[[#This Row],[学年]]=2,7,IF(テーブル22[[#This Row],[学年]]=3,8,IF(テーブル22[[#This Row],[学年]]=4,9,IF(テーブル22[[#This Row],[学年]]=5,10,IF(テーブル22[[#This Row],[学年]]=6,11," "))))))</f>
        <v xml:space="preserve"> </v>
      </c>
      <c r="AA345" s="125" t="str">
        <f>IF(テーブル22[[#This Row],[肥満度数値]]="","",LOOKUP(AC345,$AW$39:$AW$44,$AX$39:$AX$44))</f>
        <v/>
      </c>
      <c r="AB3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5" s="124" t="str">
        <f>IF(テーブル22[[#This Row],[体重]]="","",(テーブル22[[#This Row],[体重]]-テーブル22[[#This Row],[標準体重]])/テーブル22[[#This Row],[標準体重]]*100)</f>
        <v/>
      </c>
      <c r="AD345" s="1">
        <f>COUNTA(テーブル22[[#This Row],[握力]:[ボール投げ]])</f>
        <v>0</v>
      </c>
      <c r="AE345" s="1" t="str">
        <f>IF(テーブル22[[#This Row],[判定]]=$BD$10,"○","")</f>
        <v/>
      </c>
      <c r="AF345" s="1" t="str">
        <f>IF(AE345="","",COUNTIF($AE$6:AE345,"○"))</f>
        <v/>
      </c>
    </row>
    <row r="346" spans="1:32" x14ac:dyDescent="0.2">
      <c r="A346" s="40">
        <v>341</v>
      </c>
      <c r="B346" s="145"/>
      <c r="C346" s="148"/>
      <c r="D346" s="145"/>
      <c r="E346" s="156"/>
      <c r="F346" s="145"/>
      <c r="G346" s="145"/>
      <c r="H346" s="146"/>
      <c r="I346" s="146"/>
      <c r="J346" s="148"/>
      <c r="K346" s="145"/>
      <c r="L346" s="148"/>
      <c r="M346" s="149"/>
      <c r="N346" s="148"/>
      <c r="O346" s="150"/>
      <c r="P3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6" s="43" t="str">
        <f>IF(テーブル22[[#This Row],[得点]]="","",IF(テーブル22[[#This Row],[年齢]]&gt;10,LOOKUP(P346,$BG$6:$BG$10,$BD$6:$BD$10),IF(テーブル22[[#This Row],[年齢]]&gt;9,LOOKUP(P346,$BF$6:$BF$10,$BD$6:$BD$10),IF(テーブル22[[#This Row],[年齢]]&gt;8,LOOKUP(P346,$BE$6:$BE$10,$BD$6:$BD$10),IF(テーブル22[[#This Row],[年齢]]&gt;7,LOOKUP(P346,$BC$6:$BC$10,$BD$6:$BD$10),IF(テーブル22[[#This Row],[年齢]]&gt;6,LOOKUP(P346,$BB$6:$BB$10,$BD$6:$BD$10),LOOKUP(P346,$BA$6:$BA$10,$BD$6:$BD$10)))))))</f>
        <v/>
      </c>
      <c r="R346" s="42">
        <f>IF(H346="",0,(IF(テーブル22[[#This Row],[性別]]="男",LOOKUP(テーブル22[[#This Row],[握力]],$AH$6:$AI$15),LOOKUP(テーブル22[[#This Row],[握力]],$AH$20:$AI$29))))</f>
        <v>0</v>
      </c>
      <c r="S346" s="42">
        <f>IF(テーブル22[[#This Row],[上体]]="",0,(IF(テーブル22[[#This Row],[性別]]="男",LOOKUP(テーブル22[[#This Row],[上体]],$AJ$6:$AK$15),LOOKUP(テーブル22[[#This Row],[上体]],$AJ$20:$AK$29))))</f>
        <v>0</v>
      </c>
      <c r="T346" s="42">
        <f>IF(テーブル22[[#This Row],[長座]]="",0,(IF(テーブル22[[#This Row],[性別]]="男",LOOKUP(テーブル22[[#This Row],[長座]],$AL$6:$AM$15),LOOKUP(テーブル22[[#This Row],[長座]],$AL$20:$AM$29))))</f>
        <v>0</v>
      </c>
      <c r="U346" s="42">
        <f>IF(テーブル22[[#This Row],[反復]]="",0,(IF(テーブル22[[#This Row],[性別]]="男",LOOKUP(テーブル22[[#This Row],[反復]],$AN$6:$AO$15),LOOKUP(テーブル22[[#This Row],[反復]],$AN$20:$AO$29))))</f>
        <v>0</v>
      </c>
      <c r="V346" s="42">
        <f>IF(テーブル22[[#This Row],[ｼｬﾄﾙﾗﾝ]]="",0,(IF(テーブル22[[#This Row],[性別]]="男",LOOKUP(テーブル22[[#This Row],[ｼｬﾄﾙﾗﾝ]],$AR$6:$AS$15),LOOKUP(テーブル22[[#This Row],[ｼｬﾄﾙﾗﾝ]],$AR$20:$AS$29))))</f>
        <v>0</v>
      </c>
      <c r="W346" s="42">
        <f>IF(テーブル22[[#This Row],[50m走]]="",0,(IF(テーブル22[[#This Row],[性別]]="男",LOOKUP(テーブル22[[#This Row],[50m走]],$AT$6:$AU$15),LOOKUP(テーブル22[[#This Row],[50m走]],$AT$20:$AU$29))))</f>
        <v>0</v>
      </c>
      <c r="X346" s="42">
        <f>IF(テーブル22[[#This Row],[立幅とび]]="",0,(IF(テーブル22[[#This Row],[性別]]="男",LOOKUP(テーブル22[[#This Row],[立幅とび]],$AV$6:$AW$15),LOOKUP(テーブル22[[#This Row],[立幅とび]],$AV$20:$AW$29))))</f>
        <v>0</v>
      </c>
      <c r="Y346" s="42">
        <f>IF(テーブル22[[#This Row],[ボール投げ]]="",0,(IF(テーブル22[[#This Row],[性別]]="男",LOOKUP(テーブル22[[#This Row],[ボール投げ]],$AX$6:$AY$15),LOOKUP(テーブル22[[#This Row],[ボール投げ]],$AX$20:$AY$29))))</f>
        <v>0</v>
      </c>
      <c r="Z346" s="19" t="str">
        <f>IF(テーブル22[[#This Row],[学年]]=1,6,IF(テーブル22[[#This Row],[学年]]=2,7,IF(テーブル22[[#This Row],[学年]]=3,8,IF(テーブル22[[#This Row],[学年]]=4,9,IF(テーブル22[[#This Row],[学年]]=5,10,IF(テーブル22[[#This Row],[学年]]=6,11," "))))))</f>
        <v xml:space="preserve"> </v>
      </c>
      <c r="AA346" s="125" t="str">
        <f>IF(テーブル22[[#This Row],[肥満度数値]]="","",LOOKUP(AC346,$AW$39:$AW$44,$AX$39:$AX$44))</f>
        <v/>
      </c>
      <c r="AB3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6" s="124" t="str">
        <f>IF(テーブル22[[#This Row],[体重]]="","",(テーブル22[[#This Row],[体重]]-テーブル22[[#This Row],[標準体重]])/テーブル22[[#This Row],[標準体重]]*100)</f>
        <v/>
      </c>
      <c r="AD346" s="1">
        <f>COUNTA(テーブル22[[#This Row],[握力]:[ボール投げ]])</f>
        <v>0</v>
      </c>
      <c r="AE346" s="1" t="str">
        <f>IF(テーブル22[[#This Row],[判定]]=$BD$10,"○","")</f>
        <v/>
      </c>
      <c r="AF346" s="1" t="str">
        <f>IF(AE346="","",COUNTIF($AE$6:AE346,"○"))</f>
        <v/>
      </c>
    </row>
    <row r="347" spans="1:32" x14ac:dyDescent="0.2">
      <c r="A347" s="40">
        <v>342</v>
      </c>
      <c r="B347" s="145"/>
      <c r="C347" s="148"/>
      <c r="D347" s="145"/>
      <c r="E347" s="156"/>
      <c r="F347" s="145"/>
      <c r="G347" s="145"/>
      <c r="H347" s="146"/>
      <c r="I347" s="146"/>
      <c r="J347" s="148"/>
      <c r="K347" s="145"/>
      <c r="L347" s="148"/>
      <c r="M347" s="149"/>
      <c r="N347" s="148"/>
      <c r="O347" s="150"/>
      <c r="P3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7" s="43" t="str">
        <f>IF(テーブル22[[#This Row],[得点]]="","",IF(テーブル22[[#This Row],[年齢]]&gt;10,LOOKUP(P347,$BG$6:$BG$10,$BD$6:$BD$10),IF(テーブル22[[#This Row],[年齢]]&gt;9,LOOKUP(P347,$BF$6:$BF$10,$BD$6:$BD$10),IF(テーブル22[[#This Row],[年齢]]&gt;8,LOOKUP(P347,$BE$6:$BE$10,$BD$6:$BD$10),IF(テーブル22[[#This Row],[年齢]]&gt;7,LOOKUP(P347,$BC$6:$BC$10,$BD$6:$BD$10),IF(テーブル22[[#This Row],[年齢]]&gt;6,LOOKUP(P347,$BB$6:$BB$10,$BD$6:$BD$10),LOOKUP(P347,$BA$6:$BA$10,$BD$6:$BD$10)))))))</f>
        <v/>
      </c>
      <c r="R347" s="42">
        <f>IF(H347="",0,(IF(テーブル22[[#This Row],[性別]]="男",LOOKUP(テーブル22[[#This Row],[握力]],$AH$6:$AI$15),LOOKUP(テーブル22[[#This Row],[握力]],$AH$20:$AI$29))))</f>
        <v>0</v>
      </c>
      <c r="S347" s="42">
        <f>IF(テーブル22[[#This Row],[上体]]="",0,(IF(テーブル22[[#This Row],[性別]]="男",LOOKUP(テーブル22[[#This Row],[上体]],$AJ$6:$AK$15),LOOKUP(テーブル22[[#This Row],[上体]],$AJ$20:$AK$29))))</f>
        <v>0</v>
      </c>
      <c r="T347" s="42">
        <f>IF(テーブル22[[#This Row],[長座]]="",0,(IF(テーブル22[[#This Row],[性別]]="男",LOOKUP(テーブル22[[#This Row],[長座]],$AL$6:$AM$15),LOOKUP(テーブル22[[#This Row],[長座]],$AL$20:$AM$29))))</f>
        <v>0</v>
      </c>
      <c r="U347" s="42">
        <f>IF(テーブル22[[#This Row],[反復]]="",0,(IF(テーブル22[[#This Row],[性別]]="男",LOOKUP(テーブル22[[#This Row],[反復]],$AN$6:$AO$15),LOOKUP(テーブル22[[#This Row],[反復]],$AN$20:$AO$29))))</f>
        <v>0</v>
      </c>
      <c r="V347" s="42">
        <f>IF(テーブル22[[#This Row],[ｼｬﾄﾙﾗﾝ]]="",0,(IF(テーブル22[[#This Row],[性別]]="男",LOOKUP(テーブル22[[#This Row],[ｼｬﾄﾙﾗﾝ]],$AR$6:$AS$15),LOOKUP(テーブル22[[#This Row],[ｼｬﾄﾙﾗﾝ]],$AR$20:$AS$29))))</f>
        <v>0</v>
      </c>
      <c r="W347" s="42">
        <f>IF(テーブル22[[#This Row],[50m走]]="",0,(IF(テーブル22[[#This Row],[性別]]="男",LOOKUP(テーブル22[[#This Row],[50m走]],$AT$6:$AU$15),LOOKUP(テーブル22[[#This Row],[50m走]],$AT$20:$AU$29))))</f>
        <v>0</v>
      </c>
      <c r="X347" s="42">
        <f>IF(テーブル22[[#This Row],[立幅とび]]="",0,(IF(テーブル22[[#This Row],[性別]]="男",LOOKUP(テーブル22[[#This Row],[立幅とび]],$AV$6:$AW$15),LOOKUP(テーブル22[[#This Row],[立幅とび]],$AV$20:$AW$29))))</f>
        <v>0</v>
      </c>
      <c r="Y347" s="42">
        <f>IF(テーブル22[[#This Row],[ボール投げ]]="",0,(IF(テーブル22[[#This Row],[性別]]="男",LOOKUP(テーブル22[[#This Row],[ボール投げ]],$AX$6:$AY$15),LOOKUP(テーブル22[[#This Row],[ボール投げ]],$AX$20:$AY$29))))</f>
        <v>0</v>
      </c>
      <c r="Z347" s="19" t="str">
        <f>IF(テーブル22[[#This Row],[学年]]=1,6,IF(テーブル22[[#This Row],[学年]]=2,7,IF(テーブル22[[#This Row],[学年]]=3,8,IF(テーブル22[[#This Row],[学年]]=4,9,IF(テーブル22[[#This Row],[学年]]=5,10,IF(テーブル22[[#This Row],[学年]]=6,11," "))))))</f>
        <v xml:space="preserve"> </v>
      </c>
      <c r="AA347" s="125" t="str">
        <f>IF(テーブル22[[#This Row],[肥満度数値]]="","",LOOKUP(AC347,$AW$39:$AW$44,$AX$39:$AX$44))</f>
        <v/>
      </c>
      <c r="AB3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7" s="124" t="str">
        <f>IF(テーブル22[[#This Row],[体重]]="","",(テーブル22[[#This Row],[体重]]-テーブル22[[#This Row],[標準体重]])/テーブル22[[#This Row],[標準体重]]*100)</f>
        <v/>
      </c>
      <c r="AD347" s="1">
        <f>COUNTA(テーブル22[[#This Row],[握力]:[ボール投げ]])</f>
        <v>0</v>
      </c>
      <c r="AE347" s="1" t="str">
        <f>IF(テーブル22[[#This Row],[判定]]=$BD$10,"○","")</f>
        <v/>
      </c>
      <c r="AF347" s="1" t="str">
        <f>IF(AE347="","",COUNTIF($AE$6:AE347,"○"))</f>
        <v/>
      </c>
    </row>
    <row r="348" spans="1:32" x14ac:dyDescent="0.2">
      <c r="A348" s="40">
        <v>343</v>
      </c>
      <c r="B348" s="145"/>
      <c r="C348" s="148"/>
      <c r="D348" s="145"/>
      <c r="E348" s="156"/>
      <c r="F348" s="145"/>
      <c r="G348" s="145"/>
      <c r="H348" s="146"/>
      <c r="I348" s="146"/>
      <c r="J348" s="148"/>
      <c r="K348" s="145"/>
      <c r="L348" s="148"/>
      <c r="M348" s="149"/>
      <c r="N348" s="148"/>
      <c r="O348" s="150"/>
      <c r="P3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8" s="43" t="str">
        <f>IF(テーブル22[[#This Row],[得点]]="","",IF(テーブル22[[#This Row],[年齢]]&gt;10,LOOKUP(P348,$BG$6:$BG$10,$BD$6:$BD$10),IF(テーブル22[[#This Row],[年齢]]&gt;9,LOOKUP(P348,$BF$6:$BF$10,$BD$6:$BD$10),IF(テーブル22[[#This Row],[年齢]]&gt;8,LOOKUP(P348,$BE$6:$BE$10,$BD$6:$BD$10),IF(テーブル22[[#This Row],[年齢]]&gt;7,LOOKUP(P348,$BC$6:$BC$10,$BD$6:$BD$10),IF(テーブル22[[#This Row],[年齢]]&gt;6,LOOKUP(P348,$BB$6:$BB$10,$BD$6:$BD$10),LOOKUP(P348,$BA$6:$BA$10,$BD$6:$BD$10)))))))</f>
        <v/>
      </c>
      <c r="R348" s="42">
        <f>IF(H348="",0,(IF(テーブル22[[#This Row],[性別]]="男",LOOKUP(テーブル22[[#This Row],[握力]],$AH$6:$AI$15),LOOKUP(テーブル22[[#This Row],[握力]],$AH$20:$AI$29))))</f>
        <v>0</v>
      </c>
      <c r="S348" s="42">
        <f>IF(テーブル22[[#This Row],[上体]]="",0,(IF(テーブル22[[#This Row],[性別]]="男",LOOKUP(テーブル22[[#This Row],[上体]],$AJ$6:$AK$15),LOOKUP(テーブル22[[#This Row],[上体]],$AJ$20:$AK$29))))</f>
        <v>0</v>
      </c>
      <c r="T348" s="42">
        <f>IF(テーブル22[[#This Row],[長座]]="",0,(IF(テーブル22[[#This Row],[性別]]="男",LOOKUP(テーブル22[[#This Row],[長座]],$AL$6:$AM$15),LOOKUP(テーブル22[[#This Row],[長座]],$AL$20:$AM$29))))</f>
        <v>0</v>
      </c>
      <c r="U348" s="42">
        <f>IF(テーブル22[[#This Row],[反復]]="",0,(IF(テーブル22[[#This Row],[性別]]="男",LOOKUP(テーブル22[[#This Row],[反復]],$AN$6:$AO$15),LOOKUP(テーブル22[[#This Row],[反復]],$AN$20:$AO$29))))</f>
        <v>0</v>
      </c>
      <c r="V348" s="42">
        <f>IF(テーブル22[[#This Row],[ｼｬﾄﾙﾗﾝ]]="",0,(IF(テーブル22[[#This Row],[性別]]="男",LOOKUP(テーブル22[[#This Row],[ｼｬﾄﾙﾗﾝ]],$AR$6:$AS$15),LOOKUP(テーブル22[[#This Row],[ｼｬﾄﾙﾗﾝ]],$AR$20:$AS$29))))</f>
        <v>0</v>
      </c>
      <c r="W348" s="42">
        <f>IF(テーブル22[[#This Row],[50m走]]="",0,(IF(テーブル22[[#This Row],[性別]]="男",LOOKUP(テーブル22[[#This Row],[50m走]],$AT$6:$AU$15),LOOKUP(テーブル22[[#This Row],[50m走]],$AT$20:$AU$29))))</f>
        <v>0</v>
      </c>
      <c r="X348" s="42">
        <f>IF(テーブル22[[#This Row],[立幅とび]]="",0,(IF(テーブル22[[#This Row],[性別]]="男",LOOKUP(テーブル22[[#This Row],[立幅とび]],$AV$6:$AW$15),LOOKUP(テーブル22[[#This Row],[立幅とび]],$AV$20:$AW$29))))</f>
        <v>0</v>
      </c>
      <c r="Y348" s="42">
        <f>IF(テーブル22[[#This Row],[ボール投げ]]="",0,(IF(テーブル22[[#This Row],[性別]]="男",LOOKUP(テーブル22[[#This Row],[ボール投げ]],$AX$6:$AY$15),LOOKUP(テーブル22[[#This Row],[ボール投げ]],$AX$20:$AY$29))))</f>
        <v>0</v>
      </c>
      <c r="Z348" s="19" t="str">
        <f>IF(テーブル22[[#This Row],[学年]]=1,6,IF(テーブル22[[#This Row],[学年]]=2,7,IF(テーブル22[[#This Row],[学年]]=3,8,IF(テーブル22[[#This Row],[学年]]=4,9,IF(テーブル22[[#This Row],[学年]]=5,10,IF(テーブル22[[#This Row],[学年]]=6,11," "))))))</f>
        <v xml:space="preserve"> </v>
      </c>
      <c r="AA348" s="125" t="str">
        <f>IF(テーブル22[[#This Row],[肥満度数値]]="","",LOOKUP(AC348,$AW$39:$AW$44,$AX$39:$AX$44))</f>
        <v/>
      </c>
      <c r="AB3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8" s="124" t="str">
        <f>IF(テーブル22[[#This Row],[体重]]="","",(テーブル22[[#This Row],[体重]]-テーブル22[[#This Row],[標準体重]])/テーブル22[[#This Row],[標準体重]]*100)</f>
        <v/>
      </c>
      <c r="AD348" s="1">
        <f>COUNTA(テーブル22[[#This Row],[握力]:[ボール投げ]])</f>
        <v>0</v>
      </c>
      <c r="AE348" s="1" t="str">
        <f>IF(テーブル22[[#This Row],[判定]]=$BD$10,"○","")</f>
        <v/>
      </c>
      <c r="AF348" s="1" t="str">
        <f>IF(AE348="","",COUNTIF($AE$6:AE348,"○"))</f>
        <v/>
      </c>
    </row>
    <row r="349" spans="1:32" x14ac:dyDescent="0.2">
      <c r="A349" s="40">
        <v>344</v>
      </c>
      <c r="B349" s="145"/>
      <c r="C349" s="148"/>
      <c r="D349" s="145"/>
      <c r="E349" s="156"/>
      <c r="F349" s="145"/>
      <c r="G349" s="145"/>
      <c r="H349" s="146"/>
      <c r="I349" s="146"/>
      <c r="J349" s="148"/>
      <c r="K349" s="145"/>
      <c r="L349" s="148"/>
      <c r="M349" s="149"/>
      <c r="N349" s="148"/>
      <c r="O349" s="150"/>
      <c r="P3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49" s="43" t="str">
        <f>IF(テーブル22[[#This Row],[得点]]="","",IF(テーブル22[[#This Row],[年齢]]&gt;10,LOOKUP(P349,$BG$6:$BG$10,$BD$6:$BD$10),IF(テーブル22[[#This Row],[年齢]]&gt;9,LOOKUP(P349,$BF$6:$BF$10,$BD$6:$BD$10),IF(テーブル22[[#This Row],[年齢]]&gt;8,LOOKUP(P349,$BE$6:$BE$10,$BD$6:$BD$10),IF(テーブル22[[#This Row],[年齢]]&gt;7,LOOKUP(P349,$BC$6:$BC$10,$BD$6:$BD$10),IF(テーブル22[[#This Row],[年齢]]&gt;6,LOOKUP(P349,$BB$6:$BB$10,$BD$6:$BD$10),LOOKUP(P349,$BA$6:$BA$10,$BD$6:$BD$10)))))))</f>
        <v/>
      </c>
      <c r="R349" s="42">
        <f>IF(H349="",0,(IF(テーブル22[[#This Row],[性別]]="男",LOOKUP(テーブル22[[#This Row],[握力]],$AH$6:$AI$15),LOOKUP(テーブル22[[#This Row],[握力]],$AH$20:$AI$29))))</f>
        <v>0</v>
      </c>
      <c r="S349" s="42">
        <f>IF(テーブル22[[#This Row],[上体]]="",0,(IF(テーブル22[[#This Row],[性別]]="男",LOOKUP(テーブル22[[#This Row],[上体]],$AJ$6:$AK$15),LOOKUP(テーブル22[[#This Row],[上体]],$AJ$20:$AK$29))))</f>
        <v>0</v>
      </c>
      <c r="T349" s="42">
        <f>IF(テーブル22[[#This Row],[長座]]="",0,(IF(テーブル22[[#This Row],[性別]]="男",LOOKUP(テーブル22[[#This Row],[長座]],$AL$6:$AM$15),LOOKUP(テーブル22[[#This Row],[長座]],$AL$20:$AM$29))))</f>
        <v>0</v>
      </c>
      <c r="U349" s="42">
        <f>IF(テーブル22[[#This Row],[反復]]="",0,(IF(テーブル22[[#This Row],[性別]]="男",LOOKUP(テーブル22[[#This Row],[反復]],$AN$6:$AO$15),LOOKUP(テーブル22[[#This Row],[反復]],$AN$20:$AO$29))))</f>
        <v>0</v>
      </c>
      <c r="V349" s="42">
        <f>IF(テーブル22[[#This Row],[ｼｬﾄﾙﾗﾝ]]="",0,(IF(テーブル22[[#This Row],[性別]]="男",LOOKUP(テーブル22[[#This Row],[ｼｬﾄﾙﾗﾝ]],$AR$6:$AS$15),LOOKUP(テーブル22[[#This Row],[ｼｬﾄﾙﾗﾝ]],$AR$20:$AS$29))))</f>
        <v>0</v>
      </c>
      <c r="W349" s="42">
        <f>IF(テーブル22[[#This Row],[50m走]]="",0,(IF(テーブル22[[#This Row],[性別]]="男",LOOKUP(テーブル22[[#This Row],[50m走]],$AT$6:$AU$15),LOOKUP(テーブル22[[#This Row],[50m走]],$AT$20:$AU$29))))</f>
        <v>0</v>
      </c>
      <c r="X349" s="42">
        <f>IF(テーブル22[[#This Row],[立幅とび]]="",0,(IF(テーブル22[[#This Row],[性別]]="男",LOOKUP(テーブル22[[#This Row],[立幅とび]],$AV$6:$AW$15),LOOKUP(テーブル22[[#This Row],[立幅とび]],$AV$20:$AW$29))))</f>
        <v>0</v>
      </c>
      <c r="Y349" s="42">
        <f>IF(テーブル22[[#This Row],[ボール投げ]]="",0,(IF(テーブル22[[#This Row],[性別]]="男",LOOKUP(テーブル22[[#This Row],[ボール投げ]],$AX$6:$AY$15),LOOKUP(テーブル22[[#This Row],[ボール投げ]],$AX$20:$AY$29))))</f>
        <v>0</v>
      </c>
      <c r="Z349" s="19" t="str">
        <f>IF(テーブル22[[#This Row],[学年]]=1,6,IF(テーブル22[[#This Row],[学年]]=2,7,IF(テーブル22[[#This Row],[学年]]=3,8,IF(テーブル22[[#This Row],[学年]]=4,9,IF(テーブル22[[#This Row],[学年]]=5,10,IF(テーブル22[[#This Row],[学年]]=6,11," "))))))</f>
        <v xml:space="preserve"> </v>
      </c>
      <c r="AA349" s="125" t="str">
        <f>IF(テーブル22[[#This Row],[肥満度数値]]="","",LOOKUP(AC349,$AW$39:$AW$44,$AX$39:$AX$44))</f>
        <v/>
      </c>
      <c r="AB3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49" s="124" t="str">
        <f>IF(テーブル22[[#This Row],[体重]]="","",(テーブル22[[#This Row],[体重]]-テーブル22[[#This Row],[標準体重]])/テーブル22[[#This Row],[標準体重]]*100)</f>
        <v/>
      </c>
      <c r="AD349" s="1">
        <f>COUNTA(テーブル22[[#This Row],[握力]:[ボール投げ]])</f>
        <v>0</v>
      </c>
      <c r="AE349" s="1" t="str">
        <f>IF(テーブル22[[#This Row],[判定]]=$BD$10,"○","")</f>
        <v/>
      </c>
      <c r="AF349" s="1" t="str">
        <f>IF(AE349="","",COUNTIF($AE$6:AE349,"○"))</f>
        <v/>
      </c>
    </row>
    <row r="350" spans="1:32" x14ac:dyDescent="0.2">
      <c r="A350" s="40">
        <v>345</v>
      </c>
      <c r="B350" s="145"/>
      <c r="C350" s="148"/>
      <c r="D350" s="145"/>
      <c r="E350" s="156"/>
      <c r="F350" s="145"/>
      <c r="G350" s="145"/>
      <c r="H350" s="146"/>
      <c r="I350" s="146"/>
      <c r="J350" s="148"/>
      <c r="K350" s="145"/>
      <c r="L350" s="148"/>
      <c r="M350" s="149"/>
      <c r="N350" s="148"/>
      <c r="O350" s="150"/>
      <c r="P3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0" s="43" t="str">
        <f>IF(テーブル22[[#This Row],[得点]]="","",IF(テーブル22[[#This Row],[年齢]]&gt;10,LOOKUP(P350,$BG$6:$BG$10,$BD$6:$BD$10),IF(テーブル22[[#This Row],[年齢]]&gt;9,LOOKUP(P350,$BF$6:$BF$10,$BD$6:$BD$10),IF(テーブル22[[#This Row],[年齢]]&gt;8,LOOKUP(P350,$BE$6:$BE$10,$BD$6:$BD$10),IF(テーブル22[[#This Row],[年齢]]&gt;7,LOOKUP(P350,$BC$6:$BC$10,$BD$6:$BD$10),IF(テーブル22[[#This Row],[年齢]]&gt;6,LOOKUP(P350,$BB$6:$BB$10,$BD$6:$BD$10),LOOKUP(P350,$BA$6:$BA$10,$BD$6:$BD$10)))))))</f>
        <v/>
      </c>
      <c r="R350" s="42">
        <f>IF(H350="",0,(IF(テーブル22[[#This Row],[性別]]="男",LOOKUP(テーブル22[[#This Row],[握力]],$AH$6:$AI$15),LOOKUP(テーブル22[[#This Row],[握力]],$AH$20:$AI$29))))</f>
        <v>0</v>
      </c>
      <c r="S350" s="42">
        <f>IF(テーブル22[[#This Row],[上体]]="",0,(IF(テーブル22[[#This Row],[性別]]="男",LOOKUP(テーブル22[[#This Row],[上体]],$AJ$6:$AK$15),LOOKUP(テーブル22[[#This Row],[上体]],$AJ$20:$AK$29))))</f>
        <v>0</v>
      </c>
      <c r="T350" s="42">
        <f>IF(テーブル22[[#This Row],[長座]]="",0,(IF(テーブル22[[#This Row],[性別]]="男",LOOKUP(テーブル22[[#This Row],[長座]],$AL$6:$AM$15),LOOKUP(テーブル22[[#This Row],[長座]],$AL$20:$AM$29))))</f>
        <v>0</v>
      </c>
      <c r="U350" s="42">
        <f>IF(テーブル22[[#This Row],[反復]]="",0,(IF(テーブル22[[#This Row],[性別]]="男",LOOKUP(テーブル22[[#This Row],[反復]],$AN$6:$AO$15),LOOKUP(テーブル22[[#This Row],[反復]],$AN$20:$AO$29))))</f>
        <v>0</v>
      </c>
      <c r="V350" s="42">
        <f>IF(テーブル22[[#This Row],[ｼｬﾄﾙﾗﾝ]]="",0,(IF(テーブル22[[#This Row],[性別]]="男",LOOKUP(テーブル22[[#This Row],[ｼｬﾄﾙﾗﾝ]],$AR$6:$AS$15),LOOKUP(テーブル22[[#This Row],[ｼｬﾄﾙﾗﾝ]],$AR$20:$AS$29))))</f>
        <v>0</v>
      </c>
      <c r="W350" s="42">
        <f>IF(テーブル22[[#This Row],[50m走]]="",0,(IF(テーブル22[[#This Row],[性別]]="男",LOOKUP(テーブル22[[#This Row],[50m走]],$AT$6:$AU$15),LOOKUP(テーブル22[[#This Row],[50m走]],$AT$20:$AU$29))))</f>
        <v>0</v>
      </c>
      <c r="X350" s="42">
        <f>IF(テーブル22[[#This Row],[立幅とび]]="",0,(IF(テーブル22[[#This Row],[性別]]="男",LOOKUP(テーブル22[[#This Row],[立幅とび]],$AV$6:$AW$15),LOOKUP(テーブル22[[#This Row],[立幅とび]],$AV$20:$AW$29))))</f>
        <v>0</v>
      </c>
      <c r="Y350" s="42">
        <f>IF(テーブル22[[#This Row],[ボール投げ]]="",0,(IF(テーブル22[[#This Row],[性別]]="男",LOOKUP(テーブル22[[#This Row],[ボール投げ]],$AX$6:$AY$15),LOOKUP(テーブル22[[#This Row],[ボール投げ]],$AX$20:$AY$29))))</f>
        <v>0</v>
      </c>
      <c r="Z350" s="19" t="str">
        <f>IF(テーブル22[[#This Row],[学年]]=1,6,IF(テーブル22[[#This Row],[学年]]=2,7,IF(テーブル22[[#This Row],[学年]]=3,8,IF(テーブル22[[#This Row],[学年]]=4,9,IF(テーブル22[[#This Row],[学年]]=5,10,IF(テーブル22[[#This Row],[学年]]=6,11," "))))))</f>
        <v xml:space="preserve"> </v>
      </c>
      <c r="AA350" s="125" t="str">
        <f>IF(テーブル22[[#This Row],[肥満度数値]]="","",LOOKUP(AC350,$AW$39:$AW$44,$AX$39:$AX$44))</f>
        <v/>
      </c>
      <c r="AB3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0" s="124" t="str">
        <f>IF(テーブル22[[#This Row],[体重]]="","",(テーブル22[[#This Row],[体重]]-テーブル22[[#This Row],[標準体重]])/テーブル22[[#This Row],[標準体重]]*100)</f>
        <v/>
      </c>
      <c r="AD350" s="1">
        <f>COUNTA(テーブル22[[#This Row],[握力]:[ボール投げ]])</f>
        <v>0</v>
      </c>
      <c r="AE350" s="1" t="str">
        <f>IF(テーブル22[[#This Row],[判定]]=$BD$10,"○","")</f>
        <v/>
      </c>
      <c r="AF350" s="1" t="str">
        <f>IF(AE350="","",COUNTIF($AE$6:AE350,"○"))</f>
        <v/>
      </c>
    </row>
    <row r="351" spans="1:32" x14ac:dyDescent="0.2">
      <c r="A351" s="40">
        <v>346</v>
      </c>
      <c r="B351" s="145"/>
      <c r="C351" s="148"/>
      <c r="D351" s="145"/>
      <c r="E351" s="156"/>
      <c r="F351" s="145"/>
      <c r="G351" s="145"/>
      <c r="H351" s="146"/>
      <c r="I351" s="146"/>
      <c r="J351" s="148"/>
      <c r="K351" s="145"/>
      <c r="L351" s="148"/>
      <c r="M351" s="149"/>
      <c r="N351" s="148"/>
      <c r="O351" s="150"/>
      <c r="P3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1" s="43" t="str">
        <f>IF(テーブル22[[#This Row],[得点]]="","",IF(テーブル22[[#This Row],[年齢]]&gt;10,LOOKUP(P351,$BG$6:$BG$10,$BD$6:$BD$10),IF(テーブル22[[#This Row],[年齢]]&gt;9,LOOKUP(P351,$BF$6:$BF$10,$BD$6:$BD$10),IF(テーブル22[[#This Row],[年齢]]&gt;8,LOOKUP(P351,$BE$6:$BE$10,$BD$6:$BD$10),IF(テーブル22[[#This Row],[年齢]]&gt;7,LOOKUP(P351,$BC$6:$BC$10,$BD$6:$BD$10),IF(テーブル22[[#This Row],[年齢]]&gt;6,LOOKUP(P351,$BB$6:$BB$10,$BD$6:$BD$10),LOOKUP(P351,$BA$6:$BA$10,$BD$6:$BD$10)))))))</f>
        <v/>
      </c>
      <c r="R351" s="42">
        <f>IF(H351="",0,(IF(テーブル22[[#This Row],[性別]]="男",LOOKUP(テーブル22[[#This Row],[握力]],$AH$6:$AI$15),LOOKUP(テーブル22[[#This Row],[握力]],$AH$20:$AI$29))))</f>
        <v>0</v>
      </c>
      <c r="S351" s="42">
        <f>IF(テーブル22[[#This Row],[上体]]="",0,(IF(テーブル22[[#This Row],[性別]]="男",LOOKUP(テーブル22[[#This Row],[上体]],$AJ$6:$AK$15),LOOKUP(テーブル22[[#This Row],[上体]],$AJ$20:$AK$29))))</f>
        <v>0</v>
      </c>
      <c r="T351" s="42">
        <f>IF(テーブル22[[#This Row],[長座]]="",0,(IF(テーブル22[[#This Row],[性別]]="男",LOOKUP(テーブル22[[#This Row],[長座]],$AL$6:$AM$15),LOOKUP(テーブル22[[#This Row],[長座]],$AL$20:$AM$29))))</f>
        <v>0</v>
      </c>
      <c r="U351" s="42">
        <f>IF(テーブル22[[#This Row],[反復]]="",0,(IF(テーブル22[[#This Row],[性別]]="男",LOOKUP(テーブル22[[#This Row],[反復]],$AN$6:$AO$15),LOOKUP(テーブル22[[#This Row],[反復]],$AN$20:$AO$29))))</f>
        <v>0</v>
      </c>
      <c r="V351" s="42">
        <f>IF(テーブル22[[#This Row],[ｼｬﾄﾙﾗﾝ]]="",0,(IF(テーブル22[[#This Row],[性別]]="男",LOOKUP(テーブル22[[#This Row],[ｼｬﾄﾙﾗﾝ]],$AR$6:$AS$15),LOOKUP(テーブル22[[#This Row],[ｼｬﾄﾙﾗﾝ]],$AR$20:$AS$29))))</f>
        <v>0</v>
      </c>
      <c r="W351" s="42">
        <f>IF(テーブル22[[#This Row],[50m走]]="",0,(IF(テーブル22[[#This Row],[性別]]="男",LOOKUP(テーブル22[[#This Row],[50m走]],$AT$6:$AU$15),LOOKUP(テーブル22[[#This Row],[50m走]],$AT$20:$AU$29))))</f>
        <v>0</v>
      </c>
      <c r="X351" s="42">
        <f>IF(テーブル22[[#This Row],[立幅とび]]="",0,(IF(テーブル22[[#This Row],[性別]]="男",LOOKUP(テーブル22[[#This Row],[立幅とび]],$AV$6:$AW$15),LOOKUP(テーブル22[[#This Row],[立幅とび]],$AV$20:$AW$29))))</f>
        <v>0</v>
      </c>
      <c r="Y351" s="42">
        <f>IF(テーブル22[[#This Row],[ボール投げ]]="",0,(IF(テーブル22[[#This Row],[性別]]="男",LOOKUP(テーブル22[[#This Row],[ボール投げ]],$AX$6:$AY$15),LOOKUP(テーブル22[[#This Row],[ボール投げ]],$AX$20:$AY$29))))</f>
        <v>0</v>
      </c>
      <c r="Z351" s="19" t="str">
        <f>IF(テーブル22[[#This Row],[学年]]=1,6,IF(テーブル22[[#This Row],[学年]]=2,7,IF(テーブル22[[#This Row],[学年]]=3,8,IF(テーブル22[[#This Row],[学年]]=4,9,IF(テーブル22[[#This Row],[学年]]=5,10,IF(テーブル22[[#This Row],[学年]]=6,11," "))))))</f>
        <v xml:space="preserve"> </v>
      </c>
      <c r="AA351" s="125" t="str">
        <f>IF(テーブル22[[#This Row],[肥満度数値]]="","",LOOKUP(AC351,$AW$39:$AW$44,$AX$39:$AX$44))</f>
        <v/>
      </c>
      <c r="AB3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1" s="124" t="str">
        <f>IF(テーブル22[[#This Row],[体重]]="","",(テーブル22[[#This Row],[体重]]-テーブル22[[#This Row],[標準体重]])/テーブル22[[#This Row],[標準体重]]*100)</f>
        <v/>
      </c>
      <c r="AD351" s="1">
        <f>COUNTA(テーブル22[[#This Row],[握力]:[ボール投げ]])</f>
        <v>0</v>
      </c>
      <c r="AE351" s="1" t="str">
        <f>IF(テーブル22[[#This Row],[判定]]=$BD$10,"○","")</f>
        <v/>
      </c>
      <c r="AF351" s="1" t="str">
        <f>IF(AE351="","",COUNTIF($AE$6:AE351,"○"))</f>
        <v/>
      </c>
    </row>
    <row r="352" spans="1:32" x14ac:dyDescent="0.2">
      <c r="A352" s="40">
        <v>347</v>
      </c>
      <c r="B352" s="145"/>
      <c r="C352" s="148"/>
      <c r="D352" s="145"/>
      <c r="E352" s="156"/>
      <c r="F352" s="145"/>
      <c r="G352" s="145"/>
      <c r="H352" s="146"/>
      <c r="I352" s="146"/>
      <c r="J352" s="148"/>
      <c r="K352" s="145"/>
      <c r="L352" s="148"/>
      <c r="M352" s="149"/>
      <c r="N352" s="148"/>
      <c r="O352" s="150"/>
      <c r="P3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2" s="43" t="str">
        <f>IF(テーブル22[[#This Row],[得点]]="","",IF(テーブル22[[#This Row],[年齢]]&gt;10,LOOKUP(P352,$BG$6:$BG$10,$BD$6:$BD$10),IF(テーブル22[[#This Row],[年齢]]&gt;9,LOOKUP(P352,$BF$6:$BF$10,$BD$6:$BD$10),IF(テーブル22[[#This Row],[年齢]]&gt;8,LOOKUP(P352,$BE$6:$BE$10,$BD$6:$BD$10),IF(テーブル22[[#This Row],[年齢]]&gt;7,LOOKUP(P352,$BC$6:$BC$10,$BD$6:$BD$10),IF(テーブル22[[#This Row],[年齢]]&gt;6,LOOKUP(P352,$BB$6:$BB$10,$BD$6:$BD$10),LOOKUP(P352,$BA$6:$BA$10,$BD$6:$BD$10)))))))</f>
        <v/>
      </c>
      <c r="R352" s="42">
        <f>IF(H352="",0,(IF(テーブル22[[#This Row],[性別]]="男",LOOKUP(テーブル22[[#This Row],[握力]],$AH$6:$AI$15),LOOKUP(テーブル22[[#This Row],[握力]],$AH$20:$AI$29))))</f>
        <v>0</v>
      </c>
      <c r="S352" s="42">
        <f>IF(テーブル22[[#This Row],[上体]]="",0,(IF(テーブル22[[#This Row],[性別]]="男",LOOKUP(テーブル22[[#This Row],[上体]],$AJ$6:$AK$15),LOOKUP(テーブル22[[#This Row],[上体]],$AJ$20:$AK$29))))</f>
        <v>0</v>
      </c>
      <c r="T352" s="42">
        <f>IF(テーブル22[[#This Row],[長座]]="",0,(IF(テーブル22[[#This Row],[性別]]="男",LOOKUP(テーブル22[[#This Row],[長座]],$AL$6:$AM$15),LOOKUP(テーブル22[[#This Row],[長座]],$AL$20:$AM$29))))</f>
        <v>0</v>
      </c>
      <c r="U352" s="42">
        <f>IF(テーブル22[[#This Row],[反復]]="",0,(IF(テーブル22[[#This Row],[性別]]="男",LOOKUP(テーブル22[[#This Row],[反復]],$AN$6:$AO$15),LOOKUP(テーブル22[[#This Row],[反復]],$AN$20:$AO$29))))</f>
        <v>0</v>
      </c>
      <c r="V352" s="42">
        <f>IF(テーブル22[[#This Row],[ｼｬﾄﾙﾗﾝ]]="",0,(IF(テーブル22[[#This Row],[性別]]="男",LOOKUP(テーブル22[[#This Row],[ｼｬﾄﾙﾗﾝ]],$AR$6:$AS$15),LOOKUP(テーブル22[[#This Row],[ｼｬﾄﾙﾗﾝ]],$AR$20:$AS$29))))</f>
        <v>0</v>
      </c>
      <c r="W352" s="42">
        <f>IF(テーブル22[[#This Row],[50m走]]="",0,(IF(テーブル22[[#This Row],[性別]]="男",LOOKUP(テーブル22[[#This Row],[50m走]],$AT$6:$AU$15),LOOKUP(テーブル22[[#This Row],[50m走]],$AT$20:$AU$29))))</f>
        <v>0</v>
      </c>
      <c r="X352" s="42">
        <f>IF(テーブル22[[#This Row],[立幅とび]]="",0,(IF(テーブル22[[#This Row],[性別]]="男",LOOKUP(テーブル22[[#This Row],[立幅とび]],$AV$6:$AW$15),LOOKUP(テーブル22[[#This Row],[立幅とび]],$AV$20:$AW$29))))</f>
        <v>0</v>
      </c>
      <c r="Y352" s="42">
        <f>IF(テーブル22[[#This Row],[ボール投げ]]="",0,(IF(テーブル22[[#This Row],[性別]]="男",LOOKUP(テーブル22[[#This Row],[ボール投げ]],$AX$6:$AY$15),LOOKUP(テーブル22[[#This Row],[ボール投げ]],$AX$20:$AY$29))))</f>
        <v>0</v>
      </c>
      <c r="Z352" s="19" t="str">
        <f>IF(テーブル22[[#This Row],[学年]]=1,6,IF(テーブル22[[#This Row],[学年]]=2,7,IF(テーブル22[[#This Row],[学年]]=3,8,IF(テーブル22[[#This Row],[学年]]=4,9,IF(テーブル22[[#This Row],[学年]]=5,10,IF(テーブル22[[#This Row],[学年]]=6,11," "))))))</f>
        <v xml:space="preserve"> </v>
      </c>
      <c r="AA352" s="125" t="str">
        <f>IF(テーブル22[[#This Row],[肥満度数値]]="","",LOOKUP(AC352,$AW$39:$AW$44,$AX$39:$AX$44))</f>
        <v/>
      </c>
      <c r="AB3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2" s="124" t="str">
        <f>IF(テーブル22[[#This Row],[体重]]="","",(テーブル22[[#This Row],[体重]]-テーブル22[[#This Row],[標準体重]])/テーブル22[[#This Row],[標準体重]]*100)</f>
        <v/>
      </c>
      <c r="AD352" s="1">
        <f>COUNTA(テーブル22[[#This Row],[握力]:[ボール投げ]])</f>
        <v>0</v>
      </c>
      <c r="AE352" s="1" t="str">
        <f>IF(テーブル22[[#This Row],[判定]]=$BD$10,"○","")</f>
        <v/>
      </c>
      <c r="AF352" s="1" t="str">
        <f>IF(AE352="","",COUNTIF($AE$6:AE352,"○"))</f>
        <v/>
      </c>
    </row>
    <row r="353" spans="1:32" x14ac:dyDescent="0.2">
      <c r="A353" s="40">
        <v>348</v>
      </c>
      <c r="B353" s="145"/>
      <c r="C353" s="148"/>
      <c r="D353" s="145"/>
      <c r="E353" s="156"/>
      <c r="F353" s="145"/>
      <c r="G353" s="145"/>
      <c r="H353" s="146"/>
      <c r="I353" s="146"/>
      <c r="J353" s="148"/>
      <c r="K353" s="145"/>
      <c r="L353" s="148"/>
      <c r="M353" s="149"/>
      <c r="N353" s="148"/>
      <c r="O353" s="150"/>
      <c r="P3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3" s="43" t="str">
        <f>IF(テーブル22[[#This Row],[得点]]="","",IF(テーブル22[[#This Row],[年齢]]&gt;10,LOOKUP(P353,$BG$6:$BG$10,$BD$6:$BD$10),IF(テーブル22[[#This Row],[年齢]]&gt;9,LOOKUP(P353,$BF$6:$BF$10,$BD$6:$BD$10),IF(テーブル22[[#This Row],[年齢]]&gt;8,LOOKUP(P353,$BE$6:$BE$10,$BD$6:$BD$10),IF(テーブル22[[#This Row],[年齢]]&gt;7,LOOKUP(P353,$BC$6:$BC$10,$BD$6:$BD$10),IF(テーブル22[[#This Row],[年齢]]&gt;6,LOOKUP(P353,$BB$6:$BB$10,$BD$6:$BD$10),LOOKUP(P353,$BA$6:$BA$10,$BD$6:$BD$10)))))))</f>
        <v/>
      </c>
      <c r="R353" s="42">
        <f>IF(H353="",0,(IF(テーブル22[[#This Row],[性別]]="男",LOOKUP(テーブル22[[#This Row],[握力]],$AH$6:$AI$15),LOOKUP(テーブル22[[#This Row],[握力]],$AH$20:$AI$29))))</f>
        <v>0</v>
      </c>
      <c r="S353" s="42">
        <f>IF(テーブル22[[#This Row],[上体]]="",0,(IF(テーブル22[[#This Row],[性別]]="男",LOOKUP(テーブル22[[#This Row],[上体]],$AJ$6:$AK$15),LOOKUP(テーブル22[[#This Row],[上体]],$AJ$20:$AK$29))))</f>
        <v>0</v>
      </c>
      <c r="T353" s="42">
        <f>IF(テーブル22[[#This Row],[長座]]="",0,(IF(テーブル22[[#This Row],[性別]]="男",LOOKUP(テーブル22[[#This Row],[長座]],$AL$6:$AM$15),LOOKUP(テーブル22[[#This Row],[長座]],$AL$20:$AM$29))))</f>
        <v>0</v>
      </c>
      <c r="U353" s="42">
        <f>IF(テーブル22[[#This Row],[反復]]="",0,(IF(テーブル22[[#This Row],[性別]]="男",LOOKUP(テーブル22[[#This Row],[反復]],$AN$6:$AO$15),LOOKUP(テーブル22[[#This Row],[反復]],$AN$20:$AO$29))))</f>
        <v>0</v>
      </c>
      <c r="V353" s="42">
        <f>IF(テーブル22[[#This Row],[ｼｬﾄﾙﾗﾝ]]="",0,(IF(テーブル22[[#This Row],[性別]]="男",LOOKUP(テーブル22[[#This Row],[ｼｬﾄﾙﾗﾝ]],$AR$6:$AS$15),LOOKUP(テーブル22[[#This Row],[ｼｬﾄﾙﾗﾝ]],$AR$20:$AS$29))))</f>
        <v>0</v>
      </c>
      <c r="W353" s="42">
        <f>IF(テーブル22[[#This Row],[50m走]]="",0,(IF(テーブル22[[#This Row],[性別]]="男",LOOKUP(テーブル22[[#This Row],[50m走]],$AT$6:$AU$15),LOOKUP(テーブル22[[#This Row],[50m走]],$AT$20:$AU$29))))</f>
        <v>0</v>
      </c>
      <c r="X353" s="42">
        <f>IF(テーブル22[[#This Row],[立幅とび]]="",0,(IF(テーブル22[[#This Row],[性別]]="男",LOOKUP(テーブル22[[#This Row],[立幅とび]],$AV$6:$AW$15),LOOKUP(テーブル22[[#This Row],[立幅とび]],$AV$20:$AW$29))))</f>
        <v>0</v>
      </c>
      <c r="Y353" s="42">
        <f>IF(テーブル22[[#This Row],[ボール投げ]]="",0,(IF(テーブル22[[#This Row],[性別]]="男",LOOKUP(テーブル22[[#This Row],[ボール投げ]],$AX$6:$AY$15),LOOKUP(テーブル22[[#This Row],[ボール投げ]],$AX$20:$AY$29))))</f>
        <v>0</v>
      </c>
      <c r="Z353" s="19" t="str">
        <f>IF(テーブル22[[#This Row],[学年]]=1,6,IF(テーブル22[[#This Row],[学年]]=2,7,IF(テーブル22[[#This Row],[学年]]=3,8,IF(テーブル22[[#This Row],[学年]]=4,9,IF(テーブル22[[#This Row],[学年]]=5,10,IF(テーブル22[[#This Row],[学年]]=6,11," "))))))</f>
        <v xml:space="preserve"> </v>
      </c>
      <c r="AA353" s="125" t="str">
        <f>IF(テーブル22[[#This Row],[肥満度数値]]="","",LOOKUP(AC353,$AW$39:$AW$44,$AX$39:$AX$44))</f>
        <v/>
      </c>
      <c r="AB3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3" s="124" t="str">
        <f>IF(テーブル22[[#This Row],[体重]]="","",(テーブル22[[#This Row],[体重]]-テーブル22[[#This Row],[標準体重]])/テーブル22[[#This Row],[標準体重]]*100)</f>
        <v/>
      </c>
      <c r="AD353" s="1">
        <f>COUNTA(テーブル22[[#This Row],[握力]:[ボール投げ]])</f>
        <v>0</v>
      </c>
      <c r="AE353" s="1" t="str">
        <f>IF(テーブル22[[#This Row],[判定]]=$BD$10,"○","")</f>
        <v/>
      </c>
      <c r="AF353" s="1" t="str">
        <f>IF(AE353="","",COUNTIF($AE$6:AE353,"○"))</f>
        <v/>
      </c>
    </row>
    <row r="354" spans="1:32" x14ac:dyDescent="0.2">
      <c r="A354" s="40">
        <v>349</v>
      </c>
      <c r="B354" s="145"/>
      <c r="C354" s="148"/>
      <c r="D354" s="145"/>
      <c r="E354" s="156"/>
      <c r="F354" s="145"/>
      <c r="G354" s="145"/>
      <c r="H354" s="146"/>
      <c r="I354" s="146"/>
      <c r="J354" s="148"/>
      <c r="K354" s="145"/>
      <c r="L354" s="148"/>
      <c r="M354" s="149"/>
      <c r="N354" s="148"/>
      <c r="O354" s="150"/>
      <c r="P3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4" s="43" t="str">
        <f>IF(テーブル22[[#This Row],[得点]]="","",IF(テーブル22[[#This Row],[年齢]]&gt;10,LOOKUP(P354,$BG$6:$BG$10,$BD$6:$BD$10),IF(テーブル22[[#This Row],[年齢]]&gt;9,LOOKUP(P354,$BF$6:$BF$10,$BD$6:$BD$10),IF(テーブル22[[#This Row],[年齢]]&gt;8,LOOKUP(P354,$BE$6:$BE$10,$BD$6:$BD$10),IF(テーブル22[[#This Row],[年齢]]&gt;7,LOOKUP(P354,$BC$6:$BC$10,$BD$6:$BD$10),IF(テーブル22[[#This Row],[年齢]]&gt;6,LOOKUP(P354,$BB$6:$BB$10,$BD$6:$BD$10),LOOKUP(P354,$BA$6:$BA$10,$BD$6:$BD$10)))))))</f>
        <v/>
      </c>
      <c r="R354" s="42">
        <f>IF(H354="",0,(IF(テーブル22[[#This Row],[性別]]="男",LOOKUP(テーブル22[[#This Row],[握力]],$AH$6:$AI$15),LOOKUP(テーブル22[[#This Row],[握力]],$AH$20:$AI$29))))</f>
        <v>0</v>
      </c>
      <c r="S354" s="42">
        <f>IF(テーブル22[[#This Row],[上体]]="",0,(IF(テーブル22[[#This Row],[性別]]="男",LOOKUP(テーブル22[[#This Row],[上体]],$AJ$6:$AK$15),LOOKUP(テーブル22[[#This Row],[上体]],$AJ$20:$AK$29))))</f>
        <v>0</v>
      </c>
      <c r="T354" s="42">
        <f>IF(テーブル22[[#This Row],[長座]]="",0,(IF(テーブル22[[#This Row],[性別]]="男",LOOKUP(テーブル22[[#This Row],[長座]],$AL$6:$AM$15),LOOKUP(テーブル22[[#This Row],[長座]],$AL$20:$AM$29))))</f>
        <v>0</v>
      </c>
      <c r="U354" s="42">
        <f>IF(テーブル22[[#This Row],[反復]]="",0,(IF(テーブル22[[#This Row],[性別]]="男",LOOKUP(テーブル22[[#This Row],[反復]],$AN$6:$AO$15),LOOKUP(テーブル22[[#This Row],[反復]],$AN$20:$AO$29))))</f>
        <v>0</v>
      </c>
      <c r="V354" s="42">
        <f>IF(テーブル22[[#This Row],[ｼｬﾄﾙﾗﾝ]]="",0,(IF(テーブル22[[#This Row],[性別]]="男",LOOKUP(テーブル22[[#This Row],[ｼｬﾄﾙﾗﾝ]],$AR$6:$AS$15),LOOKUP(テーブル22[[#This Row],[ｼｬﾄﾙﾗﾝ]],$AR$20:$AS$29))))</f>
        <v>0</v>
      </c>
      <c r="W354" s="42">
        <f>IF(テーブル22[[#This Row],[50m走]]="",0,(IF(テーブル22[[#This Row],[性別]]="男",LOOKUP(テーブル22[[#This Row],[50m走]],$AT$6:$AU$15),LOOKUP(テーブル22[[#This Row],[50m走]],$AT$20:$AU$29))))</f>
        <v>0</v>
      </c>
      <c r="X354" s="42">
        <f>IF(テーブル22[[#This Row],[立幅とび]]="",0,(IF(テーブル22[[#This Row],[性別]]="男",LOOKUP(テーブル22[[#This Row],[立幅とび]],$AV$6:$AW$15),LOOKUP(テーブル22[[#This Row],[立幅とび]],$AV$20:$AW$29))))</f>
        <v>0</v>
      </c>
      <c r="Y354" s="42">
        <f>IF(テーブル22[[#This Row],[ボール投げ]]="",0,(IF(テーブル22[[#This Row],[性別]]="男",LOOKUP(テーブル22[[#This Row],[ボール投げ]],$AX$6:$AY$15),LOOKUP(テーブル22[[#This Row],[ボール投げ]],$AX$20:$AY$29))))</f>
        <v>0</v>
      </c>
      <c r="Z354" s="19" t="str">
        <f>IF(テーブル22[[#This Row],[学年]]=1,6,IF(テーブル22[[#This Row],[学年]]=2,7,IF(テーブル22[[#This Row],[学年]]=3,8,IF(テーブル22[[#This Row],[学年]]=4,9,IF(テーブル22[[#This Row],[学年]]=5,10,IF(テーブル22[[#This Row],[学年]]=6,11," "))))))</f>
        <v xml:space="preserve"> </v>
      </c>
      <c r="AA354" s="125" t="str">
        <f>IF(テーブル22[[#This Row],[肥満度数値]]="","",LOOKUP(AC354,$AW$39:$AW$44,$AX$39:$AX$44))</f>
        <v/>
      </c>
      <c r="AB3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4" s="124" t="str">
        <f>IF(テーブル22[[#This Row],[体重]]="","",(テーブル22[[#This Row],[体重]]-テーブル22[[#This Row],[標準体重]])/テーブル22[[#This Row],[標準体重]]*100)</f>
        <v/>
      </c>
      <c r="AD354" s="1">
        <f>COUNTA(テーブル22[[#This Row],[握力]:[ボール投げ]])</f>
        <v>0</v>
      </c>
      <c r="AE354" s="1" t="str">
        <f>IF(テーブル22[[#This Row],[判定]]=$BD$10,"○","")</f>
        <v/>
      </c>
      <c r="AF354" s="1" t="str">
        <f>IF(AE354="","",COUNTIF($AE$6:AE354,"○"))</f>
        <v/>
      </c>
    </row>
    <row r="355" spans="1:32" x14ac:dyDescent="0.2">
      <c r="A355" s="40">
        <v>350</v>
      </c>
      <c r="B355" s="145"/>
      <c r="C355" s="148"/>
      <c r="D355" s="145"/>
      <c r="E355" s="156"/>
      <c r="F355" s="145"/>
      <c r="G355" s="145"/>
      <c r="H355" s="146"/>
      <c r="I355" s="146"/>
      <c r="J355" s="148"/>
      <c r="K355" s="145"/>
      <c r="L355" s="148"/>
      <c r="M355" s="149"/>
      <c r="N355" s="148"/>
      <c r="O355" s="150"/>
      <c r="P3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5" s="43" t="str">
        <f>IF(テーブル22[[#This Row],[得点]]="","",IF(テーブル22[[#This Row],[年齢]]&gt;10,LOOKUP(P355,$BG$6:$BG$10,$BD$6:$BD$10),IF(テーブル22[[#This Row],[年齢]]&gt;9,LOOKUP(P355,$BF$6:$BF$10,$BD$6:$BD$10),IF(テーブル22[[#This Row],[年齢]]&gt;8,LOOKUP(P355,$BE$6:$BE$10,$BD$6:$BD$10),IF(テーブル22[[#This Row],[年齢]]&gt;7,LOOKUP(P355,$BC$6:$BC$10,$BD$6:$BD$10),IF(テーブル22[[#This Row],[年齢]]&gt;6,LOOKUP(P355,$BB$6:$BB$10,$BD$6:$BD$10),LOOKUP(P355,$BA$6:$BA$10,$BD$6:$BD$10)))))))</f>
        <v/>
      </c>
      <c r="R355" s="42">
        <f>IF(H355="",0,(IF(テーブル22[[#This Row],[性別]]="男",LOOKUP(テーブル22[[#This Row],[握力]],$AH$6:$AI$15),LOOKUP(テーブル22[[#This Row],[握力]],$AH$20:$AI$29))))</f>
        <v>0</v>
      </c>
      <c r="S355" s="42">
        <f>IF(テーブル22[[#This Row],[上体]]="",0,(IF(テーブル22[[#This Row],[性別]]="男",LOOKUP(テーブル22[[#This Row],[上体]],$AJ$6:$AK$15),LOOKUP(テーブル22[[#This Row],[上体]],$AJ$20:$AK$29))))</f>
        <v>0</v>
      </c>
      <c r="T355" s="42">
        <f>IF(テーブル22[[#This Row],[長座]]="",0,(IF(テーブル22[[#This Row],[性別]]="男",LOOKUP(テーブル22[[#This Row],[長座]],$AL$6:$AM$15),LOOKUP(テーブル22[[#This Row],[長座]],$AL$20:$AM$29))))</f>
        <v>0</v>
      </c>
      <c r="U355" s="42">
        <f>IF(テーブル22[[#This Row],[反復]]="",0,(IF(テーブル22[[#This Row],[性別]]="男",LOOKUP(テーブル22[[#This Row],[反復]],$AN$6:$AO$15),LOOKUP(テーブル22[[#This Row],[反復]],$AN$20:$AO$29))))</f>
        <v>0</v>
      </c>
      <c r="V355" s="42">
        <f>IF(テーブル22[[#This Row],[ｼｬﾄﾙﾗﾝ]]="",0,(IF(テーブル22[[#This Row],[性別]]="男",LOOKUP(テーブル22[[#This Row],[ｼｬﾄﾙﾗﾝ]],$AR$6:$AS$15),LOOKUP(テーブル22[[#This Row],[ｼｬﾄﾙﾗﾝ]],$AR$20:$AS$29))))</f>
        <v>0</v>
      </c>
      <c r="W355" s="42">
        <f>IF(テーブル22[[#This Row],[50m走]]="",0,(IF(テーブル22[[#This Row],[性別]]="男",LOOKUP(テーブル22[[#This Row],[50m走]],$AT$6:$AU$15),LOOKUP(テーブル22[[#This Row],[50m走]],$AT$20:$AU$29))))</f>
        <v>0</v>
      </c>
      <c r="X355" s="42">
        <f>IF(テーブル22[[#This Row],[立幅とび]]="",0,(IF(テーブル22[[#This Row],[性別]]="男",LOOKUP(テーブル22[[#This Row],[立幅とび]],$AV$6:$AW$15),LOOKUP(テーブル22[[#This Row],[立幅とび]],$AV$20:$AW$29))))</f>
        <v>0</v>
      </c>
      <c r="Y355" s="42">
        <f>IF(テーブル22[[#This Row],[ボール投げ]]="",0,(IF(テーブル22[[#This Row],[性別]]="男",LOOKUP(テーブル22[[#This Row],[ボール投げ]],$AX$6:$AY$15),LOOKUP(テーブル22[[#This Row],[ボール投げ]],$AX$20:$AY$29))))</f>
        <v>0</v>
      </c>
      <c r="Z355" s="19" t="str">
        <f>IF(テーブル22[[#This Row],[学年]]=1,6,IF(テーブル22[[#This Row],[学年]]=2,7,IF(テーブル22[[#This Row],[学年]]=3,8,IF(テーブル22[[#This Row],[学年]]=4,9,IF(テーブル22[[#This Row],[学年]]=5,10,IF(テーブル22[[#This Row],[学年]]=6,11," "))))))</f>
        <v xml:space="preserve"> </v>
      </c>
      <c r="AA355" s="125" t="str">
        <f>IF(テーブル22[[#This Row],[肥満度数値]]="","",LOOKUP(AC355,$AW$39:$AW$44,$AX$39:$AX$44))</f>
        <v/>
      </c>
      <c r="AB3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5" s="124" t="str">
        <f>IF(テーブル22[[#This Row],[体重]]="","",(テーブル22[[#This Row],[体重]]-テーブル22[[#This Row],[標準体重]])/テーブル22[[#This Row],[標準体重]]*100)</f>
        <v/>
      </c>
      <c r="AD355" s="1">
        <f>COUNTA(テーブル22[[#This Row],[握力]:[ボール投げ]])</f>
        <v>0</v>
      </c>
      <c r="AE355" s="1" t="str">
        <f>IF(テーブル22[[#This Row],[判定]]=$BD$10,"○","")</f>
        <v/>
      </c>
      <c r="AF355" s="1" t="str">
        <f>IF(AE355="","",COUNTIF($AE$6:AE355,"○"))</f>
        <v/>
      </c>
    </row>
    <row r="356" spans="1:32" x14ac:dyDescent="0.2">
      <c r="A356" s="40">
        <v>351</v>
      </c>
      <c r="B356" s="145"/>
      <c r="C356" s="148"/>
      <c r="D356" s="145"/>
      <c r="E356" s="156"/>
      <c r="F356" s="145"/>
      <c r="G356" s="145"/>
      <c r="H356" s="146"/>
      <c r="I356" s="146"/>
      <c r="J356" s="148"/>
      <c r="K356" s="145"/>
      <c r="L356" s="148"/>
      <c r="M356" s="149"/>
      <c r="N356" s="148"/>
      <c r="O356" s="150"/>
      <c r="P3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6" s="43" t="str">
        <f>IF(テーブル22[[#This Row],[得点]]="","",IF(テーブル22[[#This Row],[年齢]]&gt;10,LOOKUP(P356,$BG$6:$BG$10,$BD$6:$BD$10),IF(テーブル22[[#This Row],[年齢]]&gt;9,LOOKUP(P356,$BF$6:$BF$10,$BD$6:$BD$10),IF(テーブル22[[#This Row],[年齢]]&gt;8,LOOKUP(P356,$BE$6:$BE$10,$BD$6:$BD$10),IF(テーブル22[[#This Row],[年齢]]&gt;7,LOOKUP(P356,$BC$6:$BC$10,$BD$6:$BD$10),IF(テーブル22[[#This Row],[年齢]]&gt;6,LOOKUP(P356,$BB$6:$BB$10,$BD$6:$BD$10),LOOKUP(P356,$BA$6:$BA$10,$BD$6:$BD$10)))))))</f>
        <v/>
      </c>
      <c r="R356" s="42">
        <f>IF(H356="",0,(IF(テーブル22[[#This Row],[性別]]="男",LOOKUP(テーブル22[[#This Row],[握力]],$AH$6:$AI$15),LOOKUP(テーブル22[[#This Row],[握力]],$AH$20:$AI$29))))</f>
        <v>0</v>
      </c>
      <c r="S356" s="42">
        <f>IF(テーブル22[[#This Row],[上体]]="",0,(IF(テーブル22[[#This Row],[性別]]="男",LOOKUP(テーブル22[[#This Row],[上体]],$AJ$6:$AK$15),LOOKUP(テーブル22[[#This Row],[上体]],$AJ$20:$AK$29))))</f>
        <v>0</v>
      </c>
      <c r="T356" s="42">
        <f>IF(テーブル22[[#This Row],[長座]]="",0,(IF(テーブル22[[#This Row],[性別]]="男",LOOKUP(テーブル22[[#This Row],[長座]],$AL$6:$AM$15),LOOKUP(テーブル22[[#This Row],[長座]],$AL$20:$AM$29))))</f>
        <v>0</v>
      </c>
      <c r="U356" s="42">
        <f>IF(テーブル22[[#This Row],[反復]]="",0,(IF(テーブル22[[#This Row],[性別]]="男",LOOKUP(テーブル22[[#This Row],[反復]],$AN$6:$AO$15),LOOKUP(テーブル22[[#This Row],[反復]],$AN$20:$AO$29))))</f>
        <v>0</v>
      </c>
      <c r="V356" s="42">
        <f>IF(テーブル22[[#This Row],[ｼｬﾄﾙﾗﾝ]]="",0,(IF(テーブル22[[#This Row],[性別]]="男",LOOKUP(テーブル22[[#This Row],[ｼｬﾄﾙﾗﾝ]],$AR$6:$AS$15),LOOKUP(テーブル22[[#This Row],[ｼｬﾄﾙﾗﾝ]],$AR$20:$AS$29))))</f>
        <v>0</v>
      </c>
      <c r="W356" s="42">
        <f>IF(テーブル22[[#This Row],[50m走]]="",0,(IF(テーブル22[[#This Row],[性別]]="男",LOOKUP(テーブル22[[#This Row],[50m走]],$AT$6:$AU$15),LOOKUP(テーブル22[[#This Row],[50m走]],$AT$20:$AU$29))))</f>
        <v>0</v>
      </c>
      <c r="X356" s="42">
        <f>IF(テーブル22[[#This Row],[立幅とび]]="",0,(IF(テーブル22[[#This Row],[性別]]="男",LOOKUP(テーブル22[[#This Row],[立幅とび]],$AV$6:$AW$15),LOOKUP(テーブル22[[#This Row],[立幅とび]],$AV$20:$AW$29))))</f>
        <v>0</v>
      </c>
      <c r="Y356" s="42">
        <f>IF(テーブル22[[#This Row],[ボール投げ]]="",0,(IF(テーブル22[[#This Row],[性別]]="男",LOOKUP(テーブル22[[#This Row],[ボール投げ]],$AX$6:$AY$15),LOOKUP(テーブル22[[#This Row],[ボール投げ]],$AX$20:$AY$29))))</f>
        <v>0</v>
      </c>
      <c r="Z356" s="19" t="str">
        <f>IF(テーブル22[[#This Row],[学年]]=1,6,IF(テーブル22[[#This Row],[学年]]=2,7,IF(テーブル22[[#This Row],[学年]]=3,8,IF(テーブル22[[#This Row],[学年]]=4,9,IF(テーブル22[[#This Row],[学年]]=5,10,IF(テーブル22[[#This Row],[学年]]=6,11," "))))))</f>
        <v xml:space="preserve"> </v>
      </c>
      <c r="AA356" s="125" t="str">
        <f>IF(テーブル22[[#This Row],[肥満度数値]]="","",LOOKUP(AC356,$AW$39:$AW$44,$AX$39:$AX$44))</f>
        <v/>
      </c>
      <c r="AB3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6" s="124" t="str">
        <f>IF(テーブル22[[#This Row],[体重]]="","",(テーブル22[[#This Row],[体重]]-テーブル22[[#This Row],[標準体重]])/テーブル22[[#This Row],[標準体重]]*100)</f>
        <v/>
      </c>
      <c r="AD356" s="1">
        <f>COUNTA(テーブル22[[#This Row],[握力]:[ボール投げ]])</f>
        <v>0</v>
      </c>
      <c r="AE356" s="1" t="str">
        <f>IF(テーブル22[[#This Row],[判定]]=$BD$10,"○","")</f>
        <v/>
      </c>
      <c r="AF356" s="1" t="str">
        <f>IF(AE356="","",COUNTIF($AE$6:AE356,"○"))</f>
        <v/>
      </c>
    </row>
    <row r="357" spans="1:32" x14ac:dyDescent="0.2">
      <c r="A357" s="40">
        <v>352</v>
      </c>
      <c r="B357" s="145"/>
      <c r="C357" s="148"/>
      <c r="D357" s="145"/>
      <c r="E357" s="156"/>
      <c r="F357" s="145"/>
      <c r="G357" s="145"/>
      <c r="H357" s="146"/>
      <c r="I357" s="146"/>
      <c r="J357" s="148"/>
      <c r="K357" s="145"/>
      <c r="L357" s="148"/>
      <c r="M357" s="149"/>
      <c r="N357" s="148"/>
      <c r="O357" s="150"/>
      <c r="P3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7" s="43" t="str">
        <f>IF(テーブル22[[#This Row],[得点]]="","",IF(テーブル22[[#This Row],[年齢]]&gt;10,LOOKUP(P357,$BG$6:$BG$10,$BD$6:$BD$10),IF(テーブル22[[#This Row],[年齢]]&gt;9,LOOKUP(P357,$BF$6:$BF$10,$BD$6:$BD$10),IF(テーブル22[[#This Row],[年齢]]&gt;8,LOOKUP(P357,$BE$6:$BE$10,$BD$6:$BD$10),IF(テーブル22[[#This Row],[年齢]]&gt;7,LOOKUP(P357,$BC$6:$BC$10,$BD$6:$BD$10),IF(テーブル22[[#This Row],[年齢]]&gt;6,LOOKUP(P357,$BB$6:$BB$10,$BD$6:$BD$10),LOOKUP(P357,$BA$6:$BA$10,$BD$6:$BD$10)))))))</f>
        <v/>
      </c>
      <c r="R357" s="42">
        <f>IF(H357="",0,(IF(テーブル22[[#This Row],[性別]]="男",LOOKUP(テーブル22[[#This Row],[握力]],$AH$6:$AI$15),LOOKUP(テーブル22[[#This Row],[握力]],$AH$20:$AI$29))))</f>
        <v>0</v>
      </c>
      <c r="S357" s="42">
        <f>IF(テーブル22[[#This Row],[上体]]="",0,(IF(テーブル22[[#This Row],[性別]]="男",LOOKUP(テーブル22[[#This Row],[上体]],$AJ$6:$AK$15),LOOKUP(テーブル22[[#This Row],[上体]],$AJ$20:$AK$29))))</f>
        <v>0</v>
      </c>
      <c r="T357" s="42">
        <f>IF(テーブル22[[#This Row],[長座]]="",0,(IF(テーブル22[[#This Row],[性別]]="男",LOOKUP(テーブル22[[#This Row],[長座]],$AL$6:$AM$15),LOOKUP(テーブル22[[#This Row],[長座]],$AL$20:$AM$29))))</f>
        <v>0</v>
      </c>
      <c r="U357" s="42">
        <f>IF(テーブル22[[#This Row],[反復]]="",0,(IF(テーブル22[[#This Row],[性別]]="男",LOOKUP(テーブル22[[#This Row],[反復]],$AN$6:$AO$15),LOOKUP(テーブル22[[#This Row],[反復]],$AN$20:$AO$29))))</f>
        <v>0</v>
      </c>
      <c r="V357" s="42">
        <f>IF(テーブル22[[#This Row],[ｼｬﾄﾙﾗﾝ]]="",0,(IF(テーブル22[[#This Row],[性別]]="男",LOOKUP(テーブル22[[#This Row],[ｼｬﾄﾙﾗﾝ]],$AR$6:$AS$15),LOOKUP(テーブル22[[#This Row],[ｼｬﾄﾙﾗﾝ]],$AR$20:$AS$29))))</f>
        <v>0</v>
      </c>
      <c r="W357" s="42">
        <f>IF(テーブル22[[#This Row],[50m走]]="",0,(IF(テーブル22[[#This Row],[性別]]="男",LOOKUP(テーブル22[[#This Row],[50m走]],$AT$6:$AU$15),LOOKUP(テーブル22[[#This Row],[50m走]],$AT$20:$AU$29))))</f>
        <v>0</v>
      </c>
      <c r="X357" s="42">
        <f>IF(テーブル22[[#This Row],[立幅とび]]="",0,(IF(テーブル22[[#This Row],[性別]]="男",LOOKUP(テーブル22[[#This Row],[立幅とび]],$AV$6:$AW$15),LOOKUP(テーブル22[[#This Row],[立幅とび]],$AV$20:$AW$29))))</f>
        <v>0</v>
      </c>
      <c r="Y357" s="42">
        <f>IF(テーブル22[[#This Row],[ボール投げ]]="",0,(IF(テーブル22[[#This Row],[性別]]="男",LOOKUP(テーブル22[[#This Row],[ボール投げ]],$AX$6:$AY$15),LOOKUP(テーブル22[[#This Row],[ボール投げ]],$AX$20:$AY$29))))</f>
        <v>0</v>
      </c>
      <c r="Z357" s="19" t="str">
        <f>IF(テーブル22[[#This Row],[学年]]=1,6,IF(テーブル22[[#This Row],[学年]]=2,7,IF(テーブル22[[#This Row],[学年]]=3,8,IF(テーブル22[[#This Row],[学年]]=4,9,IF(テーブル22[[#This Row],[学年]]=5,10,IF(テーブル22[[#This Row],[学年]]=6,11," "))))))</f>
        <v xml:space="preserve"> </v>
      </c>
      <c r="AA357" s="125" t="str">
        <f>IF(テーブル22[[#This Row],[肥満度数値]]="","",LOOKUP(AC357,$AW$39:$AW$44,$AX$39:$AX$44))</f>
        <v/>
      </c>
      <c r="AB3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7" s="124" t="str">
        <f>IF(テーブル22[[#This Row],[体重]]="","",(テーブル22[[#This Row],[体重]]-テーブル22[[#This Row],[標準体重]])/テーブル22[[#This Row],[標準体重]]*100)</f>
        <v/>
      </c>
      <c r="AD357" s="1">
        <f>COUNTA(テーブル22[[#This Row],[握力]:[ボール投げ]])</f>
        <v>0</v>
      </c>
      <c r="AE357" s="1" t="str">
        <f>IF(テーブル22[[#This Row],[判定]]=$BD$10,"○","")</f>
        <v/>
      </c>
      <c r="AF357" s="1" t="str">
        <f>IF(AE357="","",COUNTIF($AE$6:AE357,"○"))</f>
        <v/>
      </c>
    </row>
    <row r="358" spans="1:32" x14ac:dyDescent="0.2">
      <c r="A358" s="40">
        <v>353</v>
      </c>
      <c r="B358" s="145"/>
      <c r="C358" s="148"/>
      <c r="D358" s="145"/>
      <c r="E358" s="156"/>
      <c r="F358" s="145"/>
      <c r="G358" s="145"/>
      <c r="H358" s="146"/>
      <c r="I358" s="146"/>
      <c r="J358" s="148"/>
      <c r="K358" s="145"/>
      <c r="L358" s="148"/>
      <c r="M358" s="149"/>
      <c r="N358" s="148"/>
      <c r="O358" s="150"/>
      <c r="P3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8" s="43" t="str">
        <f>IF(テーブル22[[#This Row],[得点]]="","",IF(テーブル22[[#This Row],[年齢]]&gt;10,LOOKUP(P358,$BG$6:$BG$10,$BD$6:$BD$10),IF(テーブル22[[#This Row],[年齢]]&gt;9,LOOKUP(P358,$BF$6:$BF$10,$BD$6:$BD$10),IF(テーブル22[[#This Row],[年齢]]&gt;8,LOOKUP(P358,$BE$6:$BE$10,$BD$6:$BD$10),IF(テーブル22[[#This Row],[年齢]]&gt;7,LOOKUP(P358,$BC$6:$BC$10,$BD$6:$BD$10),IF(テーブル22[[#This Row],[年齢]]&gt;6,LOOKUP(P358,$BB$6:$BB$10,$BD$6:$BD$10),LOOKUP(P358,$BA$6:$BA$10,$BD$6:$BD$10)))))))</f>
        <v/>
      </c>
      <c r="R358" s="42">
        <f>IF(H358="",0,(IF(テーブル22[[#This Row],[性別]]="男",LOOKUP(テーブル22[[#This Row],[握力]],$AH$6:$AI$15),LOOKUP(テーブル22[[#This Row],[握力]],$AH$20:$AI$29))))</f>
        <v>0</v>
      </c>
      <c r="S358" s="42">
        <f>IF(テーブル22[[#This Row],[上体]]="",0,(IF(テーブル22[[#This Row],[性別]]="男",LOOKUP(テーブル22[[#This Row],[上体]],$AJ$6:$AK$15),LOOKUP(テーブル22[[#This Row],[上体]],$AJ$20:$AK$29))))</f>
        <v>0</v>
      </c>
      <c r="T358" s="42">
        <f>IF(テーブル22[[#This Row],[長座]]="",0,(IF(テーブル22[[#This Row],[性別]]="男",LOOKUP(テーブル22[[#This Row],[長座]],$AL$6:$AM$15),LOOKUP(テーブル22[[#This Row],[長座]],$AL$20:$AM$29))))</f>
        <v>0</v>
      </c>
      <c r="U358" s="42">
        <f>IF(テーブル22[[#This Row],[反復]]="",0,(IF(テーブル22[[#This Row],[性別]]="男",LOOKUP(テーブル22[[#This Row],[反復]],$AN$6:$AO$15),LOOKUP(テーブル22[[#This Row],[反復]],$AN$20:$AO$29))))</f>
        <v>0</v>
      </c>
      <c r="V358" s="42">
        <f>IF(テーブル22[[#This Row],[ｼｬﾄﾙﾗﾝ]]="",0,(IF(テーブル22[[#This Row],[性別]]="男",LOOKUP(テーブル22[[#This Row],[ｼｬﾄﾙﾗﾝ]],$AR$6:$AS$15),LOOKUP(テーブル22[[#This Row],[ｼｬﾄﾙﾗﾝ]],$AR$20:$AS$29))))</f>
        <v>0</v>
      </c>
      <c r="W358" s="42">
        <f>IF(テーブル22[[#This Row],[50m走]]="",0,(IF(テーブル22[[#This Row],[性別]]="男",LOOKUP(テーブル22[[#This Row],[50m走]],$AT$6:$AU$15),LOOKUP(テーブル22[[#This Row],[50m走]],$AT$20:$AU$29))))</f>
        <v>0</v>
      </c>
      <c r="X358" s="42">
        <f>IF(テーブル22[[#This Row],[立幅とび]]="",0,(IF(テーブル22[[#This Row],[性別]]="男",LOOKUP(テーブル22[[#This Row],[立幅とび]],$AV$6:$AW$15),LOOKUP(テーブル22[[#This Row],[立幅とび]],$AV$20:$AW$29))))</f>
        <v>0</v>
      </c>
      <c r="Y358" s="42">
        <f>IF(テーブル22[[#This Row],[ボール投げ]]="",0,(IF(テーブル22[[#This Row],[性別]]="男",LOOKUP(テーブル22[[#This Row],[ボール投げ]],$AX$6:$AY$15),LOOKUP(テーブル22[[#This Row],[ボール投げ]],$AX$20:$AY$29))))</f>
        <v>0</v>
      </c>
      <c r="Z358" s="19" t="str">
        <f>IF(テーブル22[[#This Row],[学年]]=1,6,IF(テーブル22[[#This Row],[学年]]=2,7,IF(テーブル22[[#This Row],[学年]]=3,8,IF(テーブル22[[#This Row],[学年]]=4,9,IF(テーブル22[[#This Row],[学年]]=5,10,IF(テーブル22[[#This Row],[学年]]=6,11," "))))))</f>
        <v xml:space="preserve"> </v>
      </c>
      <c r="AA358" s="125" t="str">
        <f>IF(テーブル22[[#This Row],[肥満度数値]]="","",LOOKUP(AC358,$AW$39:$AW$44,$AX$39:$AX$44))</f>
        <v/>
      </c>
      <c r="AB3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8" s="124" t="str">
        <f>IF(テーブル22[[#This Row],[体重]]="","",(テーブル22[[#This Row],[体重]]-テーブル22[[#This Row],[標準体重]])/テーブル22[[#This Row],[標準体重]]*100)</f>
        <v/>
      </c>
      <c r="AD358" s="1">
        <f>COUNTA(テーブル22[[#This Row],[握力]:[ボール投げ]])</f>
        <v>0</v>
      </c>
      <c r="AE358" s="1" t="str">
        <f>IF(テーブル22[[#This Row],[判定]]=$BD$10,"○","")</f>
        <v/>
      </c>
      <c r="AF358" s="1" t="str">
        <f>IF(AE358="","",COUNTIF($AE$6:AE358,"○"))</f>
        <v/>
      </c>
    </row>
    <row r="359" spans="1:32" x14ac:dyDescent="0.2">
      <c r="A359" s="40">
        <v>354</v>
      </c>
      <c r="B359" s="145"/>
      <c r="C359" s="148"/>
      <c r="D359" s="145"/>
      <c r="E359" s="156"/>
      <c r="F359" s="145"/>
      <c r="G359" s="145"/>
      <c r="H359" s="146"/>
      <c r="I359" s="146"/>
      <c r="J359" s="148"/>
      <c r="K359" s="145"/>
      <c r="L359" s="148"/>
      <c r="M359" s="149"/>
      <c r="N359" s="148"/>
      <c r="O359" s="150"/>
      <c r="P3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59" s="43" t="str">
        <f>IF(テーブル22[[#This Row],[得点]]="","",IF(テーブル22[[#This Row],[年齢]]&gt;10,LOOKUP(P359,$BG$6:$BG$10,$BD$6:$BD$10),IF(テーブル22[[#This Row],[年齢]]&gt;9,LOOKUP(P359,$BF$6:$BF$10,$BD$6:$BD$10),IF(テーブル22[[#This Row],[年齢]]&gt;8,LOOKUP(P359,$BE$6:$BE$10,$BD$6:$BD$10),IF(テーブル22[[#This Row],[年齢]]&gt;7,LOOKUP(P359,$BC$6:$BC$10,$BD$6:$BD$10),IF(テーブル22[[#This Row],[年齢]]&gt;6,LOOKUP(P359,$BB$6:$BB$10,$BD$6:$BD$10),LOOKUP(P359,$BA$6:$BA$10,$BD$6:$BD$10)))))))</f>
        <v/>
      </c>
      <c r="R359" s="42">
        <f>IF(H359="",0,(IF(テーブル22[[#This Row],[性別]]="男",LOOKUP(テーブル22[[#This Row],[握力]],$AH$6:$AI$15),LOOKUP(テーブル22[[#This Row],[握力]],$AH$20:$AI$29))))</f>
        <v>0</v>
      </c>
      <c r="S359" s="42">
        <f>IF(テーブル22[[#This Row],[上体]]="",0,(IF(テーブル22[[#This Row],[性別]]="男",LOOKUP(テーブル22[[#This Row],[上体]],$AJ$6:$AK$15),LOOKUP(テーブル22[[#This Row],[上体]],$AJ$20:$AK$29))))</f>
        <v>0</v>
      </c>
      <c r="T359" s="42">
        <f>IF(テーブル22[[#This Row],[長座]]="",0,(IF(テーブル22[[#This Row],[性別]]="男",LOOKUP(テーブル22[[#This Row],[長座]],$AL$6:$AM$15),LOOKUP(テーブル22[[#This Row],[長座]],$AL$20:$AM$29))))</f>
        <v>0</v>
      </c>
      <c r="U359" s="42">
        <f>IF(テーブル22[[#This Row],[反復]]="",0,(IF(テーブル22[[#This Row],[性別]]="男",LOOKUP(テーブル22[[#This Row],[反復]],$AN$6:$AO$15),LOOKUP(テーブル22[[#This Row],[反復]],$AN$20:$AO$29))))</f>
        <v>0</v>
      </c>
      <c r="V359" s="42">
        <f>IF(テーブル22[[#This Row],[ｼｬﾄﾙﾗﾝ]]="",0,(IF(テーブル22[[#This Row],[性別]]="男",LOOKUP(テーブル22[[#This Row],[ｼｬﾄﾙﾗﾝ]],$AR$6:$AS$15),LOOKUP(テーブル22[[#This Row],[ｼｬﾄﾙﾗﾝ]],$AR$20:$AS$29))))</f>
        <v>0</v>
      </c>
      <c r="W359" s="42">
        <f>IF(テーブル22[[#This Row],[50m走]]="",0,(IF(テーブル22[[#This Row],[性別]]="男",LOOKUP(テーブル22[[#This Row],[50m走]],$AT$6:$AU$15),LOOKUP(テーブル22[[#This Row],[50m走]],$AT$20:$AU$29))))</f>
        <v>0</v>
      </c>
      <c r="X359" s="42">
        <f>IF(テーブル22[[#This Row],[立幅とび]]="",0,(IF(テーブル22[[#This Row],[性別]]="男",LOOKUP(テーブル22[[#This Row],[立幅とび]],$AV$6:$AW$15),LOOKUP(テーブル22[[#This Row],[立幅とび]],$AV$20:$AW$29))))</f>
        <v>0</v>
      </c>
      <c r="Y359" s="42">
        <f>IF(テーブル22[[#This Row],[ボール投げ]]="",0,(IF(テーブル22[[#This Row],[性別]]="男",LOOKUP(テーブル22[[#This Row],[ボール投げ]],$AX$6:$AY$15),LOOKUP(テーブル22[[#This Row],[ボール投げ]],$AX$20:$AY$29))))</f>
        <v>0</v>
      </c>
      <c r="Z359" s="19" t="str">
        <f>IF(テーブル22[[#This Row],[学年]]=1,6,IF(テーブル22[[#This Row],[学年]]=2,7,IF(テーブル22[[#This Row],[学年]]=3,8,IF(テーブル22[[#This Row],[学年]]=4,9,IF(テーブル22[[#This Row],[学年]]=5,10,IF(テーブル22[[#This Row],[学年]]=6,11," "))))))</f>
        <v xml:space="preserve"> </v>
      </c>
      <c r="AA359" s="125" t="str">
        <f>IF(テーブル22[[#This Row],[肥満度数値]]="","",LOOKUP(AC359,$AW$39:$AW$44,$AX$39:$AX$44))</f>
        <v/>
      </c>
      <c r="AB3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59" s="124" t="str">
        <f>IF(テーブル22[[#This Row],[体重]]="","",(テーブル22[[#This Row],[体重]]-テーブル22[[#This Row],[標準体重]])/テーブル22[[#This Row],[標準体重]]*100)</f>
        <v/>
      </c>
      <c r="AD359" s="1">
        <f>COUNTA(テーブル22[[#This Row],[握力]:[ボール投げ]])</f>
        <v>0</v>
      </c>
      <c r="AE359" s="1" t="str">
        <f>IF(テーブル22[[#This Row],[判定]]=$BD$10,"○","")</f>
        <v/>
      </c>
      <c r="AF359" s="1" t="str">
        <f>IF(AE359="","",COUNTIF($AE$6:AE359,"○"))</f>
        <v/>
      </c>
    </row>
    <row r="360" spans="1:32" x14ac:dyDescent="0.2">
      <c r="A360" s="40">
        <v>355</v>
      </c>
      <c r="B360" s="145"/>
      <c r="C360" s="148"/>
      <c r="D360" s="145"/>
      <c r="E360" s="156"/>
      <c r="F360" s="145"/>
      <c r="G360" s="145"/>
      <c r="H360" s="146"/>
      <c r="I360" s="146"/>
      <c r="J360" s="148"/>
      <c r="K360" s="145"/>
      <c r="L360" s="148"/>
      <c r="M360" s="149"/>
      <c r="N360" s="148"/>
      <c r="O360" s="150"/>
      <c r="P3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0" s="43" t="str">
        <f>IF(テーブル22[[#This Row],[得点]]="","",IF(テーブル22[[#This Row],[年齢]]&gt;10,LOOKUP(P360,$BG$6:$BG$10,$BD$6:$BD$10),IF(テーブル22[[#This Row],[年齢]]&gt;9,LOOKUP(P360,$BF$6:$BF$10,$BD$6:$BD$10),IF(テーブル22[[#This Row],[年齢]]&gt;8,LOOKUP(P360,$BE$6:$BE$10,$BD$6:$BD$10),IF(テーブル22[[#This Row],[年齢]]&gt;7,LOOKUP(P360,$BC$6:$BC$10,$BD$6:$BD$10),IF(テーブル22[[#This Row],[年齢]]&gt;6,LOOKUP(P360,$BB$6:$BB$10,$BD$6:$BD$10),LOOKUP(P360,$BA$6:$BA$10,$BD$6:$BD$10)))))))</f>
        <v/>
      </c>
      <c r="R360" s="42">
        <f>IF(H360="",0,(IF(テーブル22[[#This Row],[性別]]="男",LOOKUP(テーブル22[[#This Row],[握力]],$AH$6:$AI$15),LOOKUP(テーブル22[[#This Row],[握力]],$AH$20:$AI$29))))</f>
        <v>0</v>
      </c>
      <c r="S360" s="42">
        <f>IF(テーブル22[[#This Row],[上体]]="",0,(IF(テーブル22[[#This Row],[性別]]="男",LOOKUP(テーブル22[[#This Row],[上体]],$AJ$6:$AK$15),LOOKUP(テーブル22[[#This Row],[上体]],$AJ$20:$AK$29))))</f>
        <v>0</v>
      </c>
      <c r="T360" s="42">
        <f>IF(テーブル22[[#This Row],[長座]]="",0,(IF(テーブル22[[#This Row],[性別]]="男",LOOKUP(テーブル22[[#This Row],[長座]],$AL$6:$AM$15),LOOKUP(テーブル22[[#This Row],[長座]],$AL$20:$AM$29))))</f>
        <v>0</v>
      </c>
      <c r="U360" s="42">
        <f>IF(テーブル22[[#This Row],[反復]]="",0,(IF(テーブル22[[#This Row],[性別]]="男",LOOKUP(テーブル22[[#This Row],[反復]],$AN$6:$AO$15),LOOKUP(テーブル22[[#This Row],[反復]],$AN$20:$AO$29))))</f>
        <v>0</v>
      </c>
      <c r="V360" s="42">
        <f>IF(テーブル22[[#This Row],[ｼｬﾄﾙﾗﾝ]]="",0,(IF(テーブル22[[#This Row],[性別]]="男",LOOKUP(テーブル22[[#This Row],[ｼｬﾄﾙﾗﾝ]],$AR$6:$AS$15),LOOKUP(テーブル22[[#This Row],[ｼｬﾄﾙﾗﾝ]],$AR$20:$AS$29))))</f>
        <v>0</v>
      </c>
      <c r="W360" s="42">
        <f>IF(テーブル22[[#This Row],[50m走]]="",0,(IF(テーブル22[[#This Row],[性別]]="男",LOOKUP(テーブル22[[#This Row],[50m走]],$AT$6:$AU$15),LOOKUP(テーブル22[[#This Row],[50m走]],$AT$20:$AU$29))))</f>
        <v>0</v>
      </c>
      <c r="X360" s="42">
        <f>IF(テーブル22[[#This Row],[立幅とび]]="",0,(IF(テーブル22[[#This Row],[性別]]="男",LOOKUP(テーブル22[[#This Row],[立幅とび]],$AV$6:$AW$15),LOOKUP(テーブル22[[#This Row],[立幅とび]],$AV$20:$AW$29))))</f>
        <v>0</v>
      </c>
      <c r="Y360" s="42">
        <f>IF(テーブル22[[#This Row],[ボール投げ]]="",0,(IF(テーブル22[[#This Row],[性別]]="男",LOOKUP(テーブル22[[#This Row],[ボール投げ]],$AX$6:$AY$15),LOOKUP(テーブル22[[#This Row],[ボール投げ]],$AX$20:$AY$29))))</f>
        <v>0</v>
      </c>
      <c r="Z360" s="19" t="str">
        <f>IF(テーブル22[[#This Row],[学年]]=1,6,IF(テーブル22[[#This Row],[学年]]=2,7,IF(テーブル22[[#This Row],[学年]]=3,8,IF(テーブル22[[#This Row],[学年]]=4,9,IF(テーブル22[[#This Row],[学年]]=5,10,IF(テーブル22[[#This Row],[学年]]=6,11," "))))))</f>
        <v xml:space="preserve"> </v>
      </c>
      <c r="AA360" s="125" t="str">
        <f>IF(テーブル22[[#This Row],[肥満度数値]]="","",LOOKUP(AC360,$AW$39:$AW$44,$AX$39:$AX$44))</f>
        <v/>
      </c>
      <c r="AB3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0" s="124" t="str">
        <f>IF(テーブル22[[#This Row],[体重]]="","",(テーブル22[[#This Row],[体重]]-テーブル22[[#This Row],[標準体重]])/テーブル22[[#This Row],[標準体重]]*100)</f>
        <v/>
      </c>
      <c r="AD360" s="1">
        <f>COUNTA(テーブル22[[#This Row],[握力]:[ボール投げ]])</f>
        <v>0</v>
      </c>
      <c r="AE360" s="1" t="str">
        <f>IF(テーブル22[[#This Row],[判定]]=$BD$10,"○","")</f>
        <v/>
      </c>
      <c r="AF360" s="1" t="str">
        <f>IF(AE360="","",COUNTIF($AE$6:AE360,"○"))</f>
        <v/>
      </c>
    </row>
    <row r="361" spans="1:32" x14ac:dyDescent="0.2">
      <c r="A361" s="40">
        <v>356</v>
      </c>
      <c r="B361" s="145"/>
      <c r="C361" s="148"/>
      <c r="D361" s="145"/>
      <c r="E361" s="156"/>
      <c r="F361" s="145"/>
      <c r="G361" s="145"/>
      <c r="H361" s="146"/>
      <c r="I361" s="146"/>
      <c r="J361" s="148"/>
      <c r="K361" s="145"/>
      <c r="L361" s="148"/>
      <c r="M361" s="149"/>
      <c r="N361" s="148"/>
      <c r="O361" s="150"/>
      <c r="P3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1" s="43" t="str">
        <f>IF(テーブル22[[#This Row],[得点]]="","",IF(テーブル22[[#This Row],[年齢]]&gt;10,LOOKUP(P361,$BG$6:$BG$10,$BD$6:$BD$10),IF(テーブル22[[#This Row],[年齢]]&gt;9,LOOKUP(P361,$BF$6:$BF$10,$BD$6:$BD$10),IF(テーブル22[[#This Row],[年齢]]&gt;8,LOOKUP(P361,$BE$6:$BE$10,$BD$6:$BD$10),IF(テーブル22[[#This Row],[年齢]]&gt;7,LOOKUP(P361,$BC$6:$BC$10,$BD$6:$BD$10),IF(テーブル22[[#This Row],[年齢]]&gt;6,LOOKUP(P361,$BB$6:$BB$10,$BD$6:$BD$10),LOOKUP(P361,$BA$6:$BA$10,$BD$6:$BD$10)))))))</f>
        <v/>
      </c>
      <c r="R361" s="42">
        <f>IF(H361="",0,(IF(テーブル22[[#This Row],[性別]]="男",LOOKUP(テーブル22[[#This Row],[握力]],$AH$6:$AI$15),LOOKUP(テーブル22[[#This Row],[握力]],$AH$20:$AI$29))))</f>
        <v>0</v>
      </c>
      <c r="S361" s="42">
        <f>IF(テーブル22[[#This Row],[上体]]="",0,(IF(テーブル22[[#This Row],[性別]]="男",LOOKUP(テーブル22[[#This Row],[上体]],$AJ$6:$AK$15),LOOKUP(テーブル22[[#This Row],[上体]],$AJ$20:$AK$29))))</f>
        <v>0</v>
      </c>
      <c r="T361" s="42">
        <f>IF(テーブル22[[#This Row],[長座]]="",0,(IF(テーブル22[[#This Row],[性別]]="男",LOOKUP(テーブル22[[#This Row],[長座]],$AL$6:$AM$15),LOOKUP(テーブル22[[#This Row],[長座]],$AL$20:$AM$29))))</f>
        <v>0</v>
      </c>
      <c r="U361" s="42">
        <f>IF(テーブル22[[#This Row],[反復]]="",0,(IF(テーブル22[[#This Row],[性別]]="男",LOOKUP(テーブル22[[#This Row],[反復]],$AN$6:$AO$15),LOOKUP(テーブル22[[#This Row],[反復]],$AN$20:$AO$29))))</f>
        <v>0</v>
      </c>
      <c r="V361" s="42">
        <f>IF(テーブル22[[#This Row],[ｼｬﾄﾙﾗﾝ]]="",0,(IF(テーブル22[[#This Row],[性別]]="男",LOOKUP(テーブル22[[#This Row],[ｼｬﾄﾙﾗﾝ]],$AR$6:$AS$15),LOOKUP(テーブル22[[#This Row],[ｼｬﾄﾙﾗﾝ]],$AR$20:$AS$29))))</f>
        <v>0</v>
      </c>
      <c r="W361" s="42">
        <f>IF(テーブル22[[#This Row],[50m走]]="",0,(IF(テーブル22[[#This Row],[性別]]="男",LOOKUP(テーブル22[[#This Row],[50m走]],$AT$6:$AU$15),LOOKUP(テーブル22[[#This Row],[50m走]],$AT$20:$AU$29))))</f>
        <v>0</v>
      </c>
      <c r="X361" s="42">
        <f>IF(テーブル22[[#This Row],[立幅とび]]="",0,(IF(テーブル22[[#This Row],[性別]]="男",LOOKUP(テーブル22[[#This Row],[立幅とび]],$AV$6:$AW$15),LOOKUP(テーブル22[[#This Row],[立幅とび]],$AV$20:$AW$29))))</f>
        <v>0</v>
      </c>
      <c r="Y361" s="42">
        <f>IF(テーブル22[[#This Row],[ボール投げ]]="",0,(IF(テーブル22[[#This Row],[性別]]="男",LOOKUP(テーブル22[[#This Row],[ボール投げ]],$AX$6:$AY$15),LOOKUP(テーブル22[[#This Row],[ボール投げ]],$AX$20:$AY$29))))</f>
        <v>0</v>
      </c>
      <c r="Z361" s="19" t="str">
        <f>IF(テーブル22[[#This Row],[学年]]=1,6,IF(テーブル22[[#This Row],[学年]]=2,7,IF(テーブル22[[#This Row],[学年]]=3,8,IF(テーブル22[[#This Row],[学年]]=4,9,IF(テーブル22[[#This Row],[学年]]=5,10,IF(テーブル22[[#This Row],[学年]]=6,11," "))))))</f>
        <v xml:space="preserve"> </v>
      </c>
      <c r="AA361" s="125" t="str">
        <f>IF(テーブル22[[#This Row],[肥満度数値]]="","",LOOKUP(AC361,$AW$39:$AW$44,$AX$39:$AX$44))</f>
        <v/>
      </c>
      <c r="AB3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1" s="124" t="str">
        <f>IF(テーブル22[[#This Row],[体重]]="","",(テーブル22[[#This Row],[体重]]-テーブル22[[#This Row],[標準体重]])/テーブル22[[#This Row],[標準体重]]*100)</f>
        <v/>
      </c>
      <c r="AD361" s="1">
        <f>COUNTA(テーブル22[[#This Row],[握力]:[ボール投げ]])</f>
        <v>0</v>
      </c>
      <c r="AE361" s="1" t="str">
        <f>IF(テーブル22[[#This Row],[判定]]=$BD$10,"○","")</f>
        <v/>
      </c>
      <c r="AF361" s="1" t="str">
        <f>IF(AE361="","",COUNTIF($AE$6:AE361,"○"))</f>
        <v/>
      </c>
    </row>
    <row r="362" spans="1:32" x14ac:dyDescent="0.2">
      <c r="A362" s="40">
        <v>357</v>
      </c>
      <c r="B362" s="145"/>
      <c r="C362" s="148"/>
      <c r="D362" s="145"/>
      <c r="E362" s="156"/>
      <c r="F362" s="145"/>
      <c r="G362" s="145"/>
      <c r="H362" s="146"/>
      <c r="I362" s="146"/>
      <c r="J362" s="148"/>
      <c r="K362" s="145"/>
      <c r="L362" s="148"/>
      <c r="M362" s="149"/>
      <c r="N362" s="148"/>
      <c r="O362" s="150"/>
      <c r="P3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2" s="43" t="str">
        <f>IF(テーブル22[[#This Row],[得点]]="","",IF(テーブル22[[#This Row],[年齢]]&gt;10,LOOKUP(P362,$BG$6:$BG$10,$BD$6:$BD$10),IF(テーブル22[[#This Row],[年齢]]&gt;9,LOOKUP(P362,$BF$6:$BF$10,$BD$6:$BD$10),IF(テーブル22[[#This Row],[年齢]]&gt;8,LOOKUP(P362,$BE$6:$BE$10,$BD$6:$BD$10),IF(テーブル22[[#This Row],[年齢]]&gt;7,LOOKUP(P362,$BC$6:$BC$10,$BD$6:$BD$10),IF(テーブル22[[#This Row],[年齢]]&gt;6,LOOKUP(P362,$BB$6:$BB$10,$BD$6:$BD$10),LOOKUP(P362,$BA$6:$BA$10,$BD$6:$BD$10)))))))</f>
        <v/>
      </c>
      <c r="R362" s="42">
        <f>IF(H362="",0,(IF(テーブル22[[#This Row],[性別]]="男",LOOKUP(テーブル22[[#This Row],[握力]],$AH$6:$AI$15),LOOKUP(テーブル22[[#This Row],[握力]],$AH$20:$AI$29))))</f>
        <v>0</v>
      </c>
      <c r="S362" s="42">
        <f>IF(テーブル22[[#This Row],[上体]]="",0,(IF(テーブル22[[#This Row],[性別]]="男",LOOKUP(テーブル22[[#This Row],[上体]],$AJ$6:$AK$15),LOOKUP(テーブル22[[#This Row],[上体]],$AJ$20:$AK$29))))</f>
        <v>0</v>
      </c>
      <c r="T362" s="42">
        <f>IF(テーブル22[[#This Row],[長座]]="",0,(IF(テーブル22[[#This Row],[性別]]="男",LOOKUP(テーブル22[[#This Row],[長座]],$AL$6:$AM$15),LOOKUP(テーブル22[[#This Row],[長座]],$AL$20:$AM$29))))</f>
        <v>0</v>
      </c>
      <c r="U362" s="42">
        <f>IF(テーブル22[[#This Row],[反復]]="",0,(IF(テーブル22[[#This Row],[性別]]="男",LOOKUP(テーブル22[[#This Row],[反復]],$AN$6:$AO$15),LOOKUP(テーブル22[[#This Row],[反復]],$AN$20:$AO$29))))</f>
        <v>0</v>
      </c>
      <c r="V362" s="42">
        <f>IF(テーブル22[[#This Row],[ｼｬﾄﾙﾗﾝ]]="",0,(IF(テーブル22[[#This Row],[性別]]="男",LOOKUP(テーブル22[[#This Row],[ｼｬﾄﾙﾗﾝ]],$AR$6:$AS$15),LOOKUP(テーブル22[[#This Row],[ｼｬﾄﾙﾗﾝ]],$AR$20:$AS$29))))</f>
        <v>0</v>
      </c>
      <c r="W362" s="42">
        <f>IF(テーブル22[[#This Row],[50m走]]="",0,(IF(テーブル22[[#This Row],[性別]]="男",LOOKUP(テーブル22[[#This Row],[50m走]],$AT$6:$AU$15),LOOKUP(テーブル22[[#This Row],[50m走]],$AT$20:$AU$29))))</f>
        <v>0</v>
      </c>
      <c r="X362" s="42">
        <f>IF(テーブル22[[#This Row],[立幅とび]]="",0,(IF(テーブル22[[#This Row],[性別]]="男",LOOKUP(テーブル22[[#This Row],[立幅とび]],$AV$6:$AW$15),LOOKUP(テーブル22[[#This Row],[立幅とび]],$AV$20:$AW$29))))</f>
        <v>0</v>
      </c>
      <c r="Y362" s="42">
        <f>IF(テーブル22[[#This Row],[ボール投げ]]="",0,(IF(テーブル22[[#This Row],[性別]]="男",LOOKUP(テーブル22[[#This Row],[ボール投げ]],$AX$6:$AY$15),LOOKUP(テーブル22[[#This Row],[ボール投げ]],$AX$20:$AY$29))))</f>
        <v>0</v>
      </c>
      <c r="Z362" s="19" t="str">
        <f>IF(テーブル22[[#This Row],[学年]]=1,6,IF(テーブル22[[#This Row],[学年]]=2,7,IF(テーブル22[[#This Row],[学年]]=3,8,IF(テーブル22[[#This Row],[学年]]=4,9,IF(テーブル22[[#This Row],[学年]]=5,10,IF(テーブル22[[#This Row],[学年]]=6,11," "))))))</f>
        <v xml:space="preserve"> </v>
      </c>
      <c r="AA362" s="125" t="str">
        <f>IF(テーブル22[[#This Row],[肥満度数値]]="","",LOOKUP(AC362,$AW$39:$AW$44,$AX$39:$AX$44))</f>
        <v/>
      </c>
      <c r="AB3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2" s="124" t="str">
        <f>IF(テーブル22[[#This Row],[体重]]="","",(テーブル22[[#This Row],[体重]]-テーブル22[[#This Row],[標準体重]])/テーブル22[[#This Row],[標準体重]]*100)</f>
        <v/>
      </c>
      <c r="AD362" s="1">
        <f>COUNTA(テーブル22[[#This Row],[握力]:[ボール投げ]])</f>
        <v>0</v>
      </c>
      <c r="AE362" s="1" t="str">
        <f>IF(テーブル22[[#This Row],[判定]]=$BD$10,"○","")</f>
        <v/>
      </c>
      <c r="AF362" s="1" t="str">
        <f>IF(AE362="","",COUNTIF($AE$6:AE362,"○"))</f>
        <v/>
      </c>
    </row>
    <row r="363" spans="1:32" x14ac:dyDescent="0.2">
      <c r="A363" s="40">
        <v>358</v>
      </c>
      <c r="B363" s="145"/>
      <c r="C363" s="148"/>
      <c r="D363" s="145"/>
      <c r="E363" s="156"/>
      <c r="F363" s="145"/>
      <c r="G363" s="145"/>
      <c r="H363" s="146"/>
      <c r="I363" s="146"/>
      <c r="J363" s="148"/>
      <c r="K363" s="145"/>
      <c r="L363" s="148"/>
      <c r="M363" s="149"/>
      <c r="N363" s="148"/>
      <c r="O363" s="150"/>
      <c r="P3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3" s="43" t="str">
        <f>IF(テーブル22[[#This Row],[得点]]="","",IF(テーブル22[[#This Row],[年齢]]&gt;10,LOOKUP(P363,$BG$6:$BG$10,$BD$6:$BD$10),IF(テーブル22[[#This Row],[年齢]]&gt;9,LOOKUP(P363,$BF$6:$BF$10,$BD$6:$BD$10),IF(テーブル22[[#This Row],[年齢]]&gt;8,LOOKUP(P363,$BE$6:$BE$10,$BD$6:$BD$10),IF(テーブル22[[#This Row],[年齢]]&gt;7,LOOKUP(P363,$BC$6:$BC$10,$BD$6:$BD$10),IF(テーブル22[[#This Row],[年齢]]&gt;6,LOOKUP(P363,$BB$6:$BB$10,$BD$6:$BD$10),LOOKUP(P363,$BA$6:$BA$10,$BD$6:$BD$10)))))))</f>
        <v/>
      </c>
      <c r="R363" s="42">
        <f>IF(H363="",0,(IF(テーブル22[[#This Row],[性別]]="男",LOOKUP(テーブル22[[#This Row],[握力]],$AH$6:$AI$15),LOOKUP(テーブル22[[#This Row],[握力]],$AH$20:$AI$29))))</f>
        <v>0</v>
      </c>
      <c r="S363" s="42">
        <f>IF(テーブル22[[#This Row],[上体]]="",0,(IF(テーブル22[[#This Row],[性別]]="男",LOOKUP(テーブル22[[#This Row],[上体]],$AJ$6:$AK$15),LOOKUP(テーブル22[[#This Row],[上体]],$AJ$20:$AK$29))))</f>
        <v>0</v>
      </c>
      <c r="T363" s="42">
        <f>IF(テーブル22[[#This Row],[長座]]="",0,(IF(テーブル22[[#This Row],[性別]]="男",LOOKUP(テーブル22[[#This Row],[長座]],$AL$6:$AM$15),LOOKUP(テーブル22[[#This Row],[長座]],$AL$20:$AM$29))))</f>
        <v>0</v>
      </c>
      <c r="U363" s="42">
        <f>IF(テーブル22[[#This Row],[反復]]="",0,(IF(テーブル22[[#This Row],[性別]]="男",LOOKUP(テーブル22[[#This Row],[反復]],$AN$6:$AO$15),LOOKUP(テーブル22[[#This Row],[反復]],$AN$20:$AO$29))))</f>
        <v>0</v>
      </c>
      <c r="V363" s="42">
        <f>IF(テーブル22[[#This Row],[ｼｬﾄﾙﾗﾝ]]="",0,(IF(テーブル22[[#This Row],[性別]]="男",LOOKUP(テーブル22[[#This Row],[ｼｬﾄﾙﾗﾝ]],$AR$6:$AS$15),LOOKUP(テーブル22[[#This Row],[ｼｬﾄﾙﾗﾝ]],$AR$20:$AS$29))))</f>
        <v>0</v>
      </c>
      <c r="W363" s="42">
        <f>IF(テーブル22[[#This Row],[50m走]]="",0,(IF(テーブル22[[#This Row],[性別]]="男",LOOKUP(テーブル22[[#This Row],[50m走]],$AT$6:$AU$15),LOOKUP(テーブル22[[#This Row],[50m走]],$AT$20:$AU$29))))</f>
        <v>0</v>
      </c>
      <c r="X363" s="42">
        <f>IF(テーブル22[[#This Row],[立幅とび]]="",0,(IF(テーブル22[[#This Row],[性別]]="男",LOOKUP(テーブル22[[#This Row],[立幅とび]],$AV$6:$AW$15),LOOKUP(テーブル22[[#This Row],[立幅とび]],$AV$20:$AW$29))))</f>
        <v>0</v>
      </c>
      <c r="Y363" s="42">
        <f>IF(テーブル22[[#This Row],[ボール投げ]]="",0,(IF(テーブル22[[#This Row],[性別]]="男",LOOKUP(テーブル22[[#This Row],[ボール投げ]],$AX$6:$AY$15),LOOKUP(テーブル22[[#This Row],[ボール投げ]],$AX$20:$AY$29))))</f>
        <v>0</v>
      </c>
      <c r="Z363" s="19" t="str">
        <f>IF(テーブル22[[#This Row],[学年]]=1,6,IF(テーブル22[[#This Row],[学年]]=2,7,IF(テーブル22[[#This Row],[学年]]=3,8,IF(テーブル22[[#This Row],[学年]]=4,9,IF(テーブル22[[#This Row],[学年]]=5,10,IF(テーブル22[[#This Row],[学年]]=6,11," "))))))</f>
        <v xml:space="preserve"> </v>
      </c>
      <c r="AA363" s="125" t="str">
        <f>IF(テーブル22[[#This Row],[肥満度数値]]="","",LOOKUP(AC363,$AW$39:$AW$44,$AX$39:$AX$44))</f>
        <v/>
      </c>
      <c r="AB3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3" s="124" t="str">
        <f>IF(テーブル22[[#This Row],[体重]]="","",(テーブル22[[#This Row],[体重]]-テーブル22[[#This Row],[標準体重]])/テーブル22[[#This Row],[標準体重]]*100)</f>
        <v/>
      </c>
      <c r="AD363" s="1">
        <f>COUNTA(テーブル22[[#This Row],[握力]:[ボール投げ]])</f>
        <v>0</v>
      </c>
      <c r="AE363" s="1" t="str">
        <f>IF(テーブル22[[#This Row],[判定]]=$BD$10,"○","")</f>
        <v/>
      </c>
      <c r="AF363" s="1" t="str">
        <f>IF(AE363="","",COUNTIF($AE$6:AE363,"○"))</f>
        <v/>
      </c>
    </row>
    <row r="364" spans="1:32" x14ac:dyDescent="0.2">
      <c r="A364" s="40">
        <v>359</v>
      </c>
      <c r="B364" s="145"/>
      <c r="C364" s="148"/>
      <c r="D364" s="145"/>
      <c r="E364" s="156"/>
      <c r="F364" s="145"/>
      <c r="G364" s="145"/>
      <c r="H364" s="146"/>
      <c r="I364" s="146"/>
      <c r="J364" s="148"/>
      <c r="K364" s="145"/>
      <c r="L364" s="148"/>
      <c r="M364" s="149"/>
      <c r="N364" s="148"/>
      <c r="O364" s="150"/>
      <c r="P3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4" s="43" t="str">
        <f>IF(テーブル22[[#This Row],[得点]]="","",IF(テーブル22[[#This Row],[年齢]]&gt;10,LOOKUP(P364,$BG$6:$BG$10,$BD$6:$BD$10),IF(テーブル22[[#This Row],[年齢]]&gt;9,LOOKUP(P364,$BF$6:$BF$10,$BD$6:$BD$10),IF(テーブル22[[#This Row],[年齢]]&gt;8,LOOKUP(P364,$BE$6:$BE$10,$BD$6:$BD$10),IF(テーブル22[[#This Row],[年齢]]&gt;7,LOOKUP(P364,$BC$6:$BC$10,$BD$6:$BD$10),IF(テーブル22[[#This Row],[年齢]]&gt;6,LOOKUP(P364,$BB$6:$BB$10,$BD$6:$BD$10),LOOKUP(P364,$BA$6:$BA$10,$BD$6:$BD$10)))))))</f>
        <v/>
      </c>
      <c r="R364" s="42">
        <f>IF(H364="",0,(IF(テーブル22[[#This Row],[性別]]="男",LOOKUP(テーブル22[[#This Row],[握力]],$AH$6:$AI$15),LOOKUP(テーブル22[[#This Row],[握力]],$AH$20:$AI$29))))</f>
        <v>0</v>
      </c>
      <c r="S364" s="42">
        <f>IF(テーブル22[[#This Row],[上体]]="",0,(IF(テーブル22[[#This Row],[性別]]="男",LOOKUP(テーブル22[[#This Row],[上体]],$AJ$6:$AK$15),LOOKUP(テーブル22[[#This Row],[上体]],$AJ$20:$AK$29))))</f>
        <v>0</v>
      </c>
      <c r="T364" s="42">
        <f>IF(テーブル22[[#This Row],[長座]]="",0,(IF(テーブル22[[#This Row],[性別]]="男",LOOKUP(テーブル22[[#This Row],[長座]],$AL$6:$AM$15),LOOKUP(テーブル22[[#This Row],[長座]],$AL$20:$AM$29))))</f>
        <v>0</v>
      </c>
      <c r="U364" s="42">
        <f>IF(テーブル22[[#This Row],[反復]]="",0,(IF(テーブル22[[#This Row],[性別]]="男",LOOKUP(テーブル22[[#This Row],[反復]],$AN$6:$AO$15),LOOKUP(テーブル22[[#This Row],[反復]],$AN$20:$AO$29))))</f>
        <v>0</v>
      </c>
      <c r="V364" s="42">
        <f>IF(テーブル22[[#This Row],[ｼｬﾄﾙﾗﾝ]]="",0,(IF(テーブル22[[#This Row],[性別]]="男",LOOKUP(テーブル22[[#This Row],[ｼｬﾄﾙﾗﾝ]],$AR$6:$AS$15),LOOKUP(テーブル22[[#This Row],[ｼｬﾄﾙﾗﾝ]],$AR$20:$AS$29))))</f>
        <v>0</v>
      </c>
      <c r="W364" s="42">
        <f>IF(テーブル22[[#This Row],[50m走]]="",0,(IF(テーブル22[[#This Row],[性別]]="男",LOOKUP(テーブル22[[#This Row],[50m走]],$AT$6:$AU$15),LOOKUP(テーブル22[[#This Row],[50m走]],$AT$20:$AU$29))))</f>
        <v>0</v>
      </c>
      <c r="X364" s="42">
        <f>IF(テーブル22[[#This Row],[立幅とび]]="",0,(IF(テーブル22[[#This Row],[性別]]="男",LOOKUP(テーブル22[[#This Row],[立幅とび]],$AV$6:$AW$15),LOOKUP(テーブル22[[#This Row],[立幅とび]],$AV$20:$AW$29))))</f>
        <v>0</v>
      </c>
      <c r="Y364" s="42">
        <f>IF(テーブル22[[#This Row],[ボール投げ]]="",0,(IF(テーブル22[[#This Row],[性別]]="男",LOOKUP(テーブル22[[#This Row],[ボール投げ]],$AX$6:$AY$15),LOOKUP(テーブル22[[#This Row],[ボール投げ]],$AX$20:$AY$29))))</f>
        <v>0</v>
      </c>
      <c r="Z364" s="19" t="str">
        <f>IF(テーブル22[[#This Row],[学年]]=1,6,IF(テーブル22[[#This Row],[学年]]=2,7,IF(テーブル22[[#This Row],[学年]]=3,8,IF(テーブル22[[#This Row],[学年]]=4,9,IF(テーブル22[[#This Row],[学年]]=5,10,IF(テーブル22[[#This Row],[学年]]=6,11," "))))))</f>
        <v xml:space="preserve"> </v>
      </c>
      <c r="AA364" s="125" t="str">
        <f>IF(テーブル22[[#This Row],[肥満度数値]]="","",LOOKUP(AC364,$AW$39:$AW$44,$AX$39:$AX$44))</f>
        <v/>
      </c>
      <c r="AB3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4" s="124" t="str">
        <f>IF(テーブル22[[#This Row],[体重]]="","",(テーブル22[[#This Row],[体重]]-テーブル22[[#This Row],[標準体重]])/テーブル22[[#This Row],[標準体重]]*100)</f>
        <v/>
      </c>
      <c r="AD364" s="1">
        <f>COUNTA(テーブル22[[#This Row],[握力]:[ボール投げ]])</f>
        <v>0</v>
      </c>
      <c r="AE364" s="1" t="str">
        <f>IF(テーブル22[[#This Row],[判定]]=$BD$10,"○","")</f>
        <v/>
      </c>
      <c r="AF364" s="1" t="str">
        <f>IF(AE364="","",COUNTIF($AE$6:AE364,"○"))</f>
        <v/>
      </c>
    </row>
    <row r="365" spans="1:32" x14ac:dyDescent="0.2">
      <c r="A365" s="40">
        <v>360</v>
      </c>
      <c r="B365" s="145"/>
      <c r="C365" s="148"/>
      <c r="D365" s="145"/>
      <c r="E365" s="156"/>
      <c r="F365" s="145"/>
      <c r="G365" s="145"/>
      <c r="H365" s="146"/>
      <c r="I365" s="146"/>
      <c r="J365" s="148"/>
      <c r="K365" s="145"/>
      <c r="L365" s="148"/>
      <c r="M365" s="149"/>
      <c r="N365" s="148"/>
      <c r="O365" s="150"/>
      <c r="P3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5" s="43" t="str">
        <f>IF(テーブル22[[#This Row],[得点]]="","",IF(テーブル22[[#This Row],[年齢]]&gt;10,LOOKUP(P365,$BG$6:$BG$10,$BD$6:$BD$10),IF(テーブル22[[#This Row],[年齢]]&gt;9,LOOKUP(P365,$BF$6:$BF$10,$BD$6:$BD$10),IF(テーブル22[[#This Row],[年齢]]&gt;8,LOOKUP(P365,$BE$6:$BE$10,$BD$6:$BD$10),IF(テーブル22[[#This Row],[年齢]]&gt;7,LOOKUP(P365,$BC$6:$BC$10,$BD$6:$BD$10),IF(テーブル22[[#This Row],[年齢]]&gt;6,LOOKUP(P365,$BB$6:$BB$10,$BD$6:$BD$10),LOOKUP(P365,$BA$6:$BA$10,$BD$6:$BD$10)))))))</f>
        <v/>
      </c>
      <c r="R365" s="42">
        <f>IF(H365="",0,(IF(テーブル22[[#This Row],[性別]]="男",LOOKUP(テーブル22[[#This Row],[握力]],$AH$6:$AI$15),LOOKUP(テーブル22[[#This Row],[握力]],$AH$20:$AI$29))))</f>
        <v>0</v>
      </c>
      <c r="S365" s="42">
        <f>IF(テーブル22[[#This Row],[上体]]="",0,(IF(テーブル22[[#This Row],[性別]]="男",LOOKUP(テーブル22[[#This Row],[上体]],$AJ$6:$AK$15),LOOKUP(テーブル22[[#This Row],[上体]],$AJ$20:$AK$29))))</f>
        <v>0</v>
      </c>
      <c r="T365" s="42">
        <f>IF(テーブル22[[#This Row],[長座]]="",0,(IF(テーブル22[[#This Row],[性別]]="男",LOOKUP(テーブル22[[#This Row],[長座]],$AL$6:$AM$15),LOOKUP(テーブル22[[#This Row],[長座]],$AL$20:$AM$29))))</f>
        <v>0</v>
      </c>
      <c r="U365" s="42">
        <f>IF(テーブル22[[#This Row],[反復]]="",0,(IF(テーブル22[[#This Row],[性別]]="男",LOOKUP(テーブル22[[#This Row],[反復]],$AN$6:$AO$15),LOOKUP(テーブル22[[#This Row],[反復]],$AN$20:$AO$29))))</f>
        <v>0</v>
      </c>
      <c r="V365" s="42">
        <f>IF(テーブル22[[#This Row],[ｼｬﾄﾙﾗﾝ]]="",0,(IF(テーブル22[[#This Row],[性別]]="男",LOOKUP(テーブル22[[#This Row],[ｼｬﾄﾙﾗﾝ]],$AR$6:$AS$15),LOOKUP(テーブル22[[#This Row],[ｼｬﾄﾙﾗﾝ]],$AR$20:$AS$29))))</f>
        <v>0</v>
      </c>
      <c r="W365" s="42">
        <f>IF(テーブル22[[#This Row],[50m走]]="",0,(IF(テーブル22[[#This Row],[性別]]="男",LOOKUP(テーブル22[[#This Row],[50m走]],$AT$6:$AU$15),LOOKUP(テーブル22[[#This Row],[50m走]],$AT$20:$AU$29))))</f>
        <v>0</v>
      </c>
      <c r="X365" s="42">
        <f>IF(テーブル22[[#This Row],[立幅とび]]="",0,(IF(テーブル22[[#This Row],[性別]]="男",LOOKUP(テーブル22[[#This Row],[立幅とび]],$AV$6:$AW$15),LOOKUP(テーブル22[[#This Row],[立幅とび]],$AV$20:$AW$29))))</f>
        <v>0</v>
      </c>
      <c r="Y365" s="42">
        <f>IF(テーブル22[[#This Row],[ボール投げ]]="",0,(IF(テーブル22[[#This Row],[性別]]="男",LOOKUP(テーブル22[[#This Row],[ボール投げ]],$AX$6:$AY$15),LOOKUP(テーブル22[[#This Row],[ボール投げ]],$AX$20:$AY$29))))</f>
        <v>0</v>
      </c>
      <c r="Z365" s="19" t="str">
        <f>IF(テーブル22[[#This Row],[学年]]=1,6,IF(テーブル22[[#This Row],[学年]]=2,7,IF(テーブル22[[#This Row],[学年]]=3,8,IF(テーブル22[[#This Row],[学年]]=4,9,IF(テーブル22[[#This Row],[学年]]=5,10,IF(テーブル22[[#This Row],[学年]]=6,11," "))))))</f>
        <v xml:space="preserve"> </v>
      </c>
      <c r="AA365" s="125" t="str">
        <f>IF(テーブル22[[#This Row],[肥満度数値]]="","",LOOKUP(AC365,$AW$39:$AW$44,$AX$39:$AX$44))</f>
        <v/>
      </c>
      <c r="AB3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5" s="124" t="str">
        <f>IF(テーブル22[[#This Row],[体重]]="","",(テーブル22[[#This Row],[体重]]-テーブル22[[#This Row],[標準体重]])/テーブル22[[#This Row],[標準体重]]*100)</f>
        <v/>
      </c>
      <c r="AD365" s="1">
        <f>COUNTA(テーブル22[[#This Row],[握力]:[ボール投げ]])</f>
        <v>0</v>
      </c>
      <c r="AE365" s="1" t="str">
        <f>IF(テーブル22[[#This Row],[判定]]=$BD$10,"○","")</f>
        <v/>
      </c>
      <c r="AF365" s="1" t="str">
        <f>IF(AE365="","",COUNTIF($AE$6:AE365,"○"))</f>
        <v/>
      </c>
    </row>
    <row r="366" spans="1:32" x14ac:dyDescent="0.2">
      <c r="A366" s="40">
        <v>361</v>
      </c>
      <c r="B366" s="145"/>
      <c r="C366" s="148"/>
      <c r="D366" s="145"/>
      <c r="E366" s="156"/>
      <c r="F366" s="145"/>
      <c r="G366" s="145"/>
      <c r="H366" s="146"/>
      <c r="I366" s="146"/>
      <c r="J366" s="148"/>
      <c r="K366" s="145"/>
      <c r="L366" s="148"/>
      <c r="M366" s="149"/>
      <c r="N366" s="148"/>
      <c r="O366" s="150"/>
      <c r="P3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6" s="43" t="str">
        <f>IF(テーブル22[[#This Row],[得点]]="","",IF(テーブル22[[#This Row],[年齢]]&gt;10,LOOKUP(P366,$BG$6:$BG$10,$BD$6:$BD$10),IF(テーブル22[[#This Row],[年齢]]&gt;9,LOOKUP(P366,$BF$6:$BF$10,$BD$6:$BD$10),IF(テーブル22[[#This Row],[年齢]]&gt;8,LOOKUP(P366,$BE$6:$BE$10,$BD$6:$BD$10),IF(テーブル22[[#This Row],[年齢]]&gt;7,LOOKUP(P366,$BC$6:$BC$10,$BD$6:$BD$10),IF(テーブル22[[#This Row],[年齢]]&gt;6,LOOKUP(P366,$BB$6:$BB$10,$BD$6:$BD$10),LOOKUP(P366,$BA$6:$BA$10,$BD$6:$BD$10)))))))</f>
        <v/>
      </c>
      <c r="R366" s="42">
        <f>IF(H366="",0,(IF(テーブル22[[#This Row],[性別]]="男",LOOKUP(テーブル22[[#This Row],[握力]],$AH$6:$AI$15),LOOKUP(テーブル22[[#This Row],[握力]],$AH$20:$AI$29))))</f>
        <v>0</v>
      </c>
      <c r="S366" s="42">
        <f>IF(テーブル22[[#This Row],[上体]]="",0,(IF(テーブル22[[#This Row],[性別]]="男",LOOKUP(テーブル22[[#This Row],[上体]],$AJ$6:$AK$15),LOOKUP(テーブル22[[#This Row],[上体]],$AJ$20:$AK$29))))</f>
        <v>0</v>
      </c>
      <c r="T366" s="42">
        <f>IF(テーブル22[[#This Row],[長座]]="",0,(IF(テーブル22[[#This Row],[性別]]="男",LOOKUP(テーブル22[[#This Row],[長座]],$AL$6:$AM$15),LOOKUP(テーブル22[[#This Row],[長座]],$AL$20:$AM$29))))</f>
        <v>0</v>
      </c>
      <c r="U366" s="42">
        <f>IF(テーブル22[[#This Row],[反復]]="",0,(IF(テーブル22[[#This Row],[性別]]="男",LOOKUP(テーブル22[[#This Row],[反復]],$AN$6:$AO$15),LOOKUP(テーブル22[[#This Row],[反復]],$AN$20:$AO$29))))</f>
        <v>0</v>
      </c>
      <c r="V366" s="42">
        <f>IF(テーブル22[[#This Row],[ｼｬﾄﾙﾗﾝ]]="",0,(IF(テーブル22[[#This Row],[性別]]="男",LOOKUP(テーブル22[[#This Row],[ｼｬﾄﾙﾗﾝ]],$AR$6:$AS$15),LOOKUP(テーブル22[[#This Row],[ｼｬﾄﾙﾗﾝ]],$AR$20:$AS$29))))</f>
        <v>0</v>
      </c>
      <c r="W366" s="42">
        <f>IF(テーブル22[[#This Row],[50m走]]="",0,(IF(テーブル22[[#This Row],[性別]]="男",LOOKUP(テーブル22[[#This Row],[50m走]],$AT$6:$AU$15),LOOKUP(テーブル22[[#This Row],[50m走]],$AT$20:$AU$29))))</f>
        <v>0</v>
      </c>
      <c r="X366" s="42">
        <f>IF(テーブル22[[#This Row],[立幅とび]]="",0,(IF(テーブル22[[#This Row],[性別]]="男",LOOKUP(テーブル22[[#This Row],[立幅とび]],$AV$6:$AW$15),LOOKUP(テーブル22[[#This Row],[立幅とび]],$AV$20:$AW$29))))</f>
        <v>0</v>
      </c>
      <c r="Y366" s="42">
        <f>IF(テーブル22[[#This Row],[ボール投げ]]="",0,(IF(テーブル22[[#This Row],[性別]]="男",LOOKUP(テーブル22[[#This Row],[ボール投げ]],$AX$6:$AY$15),LOOKUP(テーブル22[[#This Row],[ボール投げ]],$AX$20:$AY$29))))</f>
        <v>0</v>
      </c>
      <c r="Z366" s="19" t="str">
        <f>IF(テーブル22[[#This Row],[学年]]=1,6,IF(テーブル22[[#This Row],[学年]]=2,7,IF(テーブル22[[#This Row],[学年]]=3,8,IF(テーブル22[[#This Row],[学年]]=4,9,IF(テーブル22[[#This Row],[学年]]=5,10,IF(テーブル22[[#This Row],[学年]]=6,11," "))))))</f>
        <v xml:space="preserve"> </v>
      </c>
      <c r="AA366" s="125" t="str">
        <f>IF(テーブル22[[#This Row],[肥満度数値]]="","",LOOKUP(AC366,$AW$39:$AW$44,$AX$39:$AX$44))</f>
        <v/>
      </c>
      <c r="AB3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6" s="124" t="str">
        <f>IF(テーブル22[[#This Row],[体重]]="","",(テーブル22[[#This Row],[体重]]-テーブル22[[#This Row],[標準体重]])/テーブル22[[#This Row],[標準体重]]*100)</f>
        <v/>
      </c>
      <c r="AD366" s="1">
        <f>COUNTA(テーブル22[[#This Row],[握力]:[ボール投げ]])</f>
        <v>0</v>
      </c>
      <c r="AE366" s="1" t="str">
        <f>IF(テーブル22[[#This Row],[判定]]=$BD$10,"○","")</f>
        <v/>
      </c>
      <c r="AF366" s="1" t="str">
        <f>IF(AE366="","",COUNTIF($AE$6:AE366,"○"))</f>
        <v/>
      </c>
    </row>
    <row r="367" spans="1:32" x14ac:dyDescent="0.2">
      <c r="A367" s="40">
        <v>362</v>
      </c>
      <c r="B367" s="145"/>
      <c r="C367" s="148"/>
      <c r="D367" s="145"/>
      <c r="E367" s="156"/>
      <c r="F367" s="145"/>
      <c r="G367" s="145"/>
      <c r="H367" s="146"/>
      <c r="I367" s="146"/>
      <c r="J367" s="148"/>
      <c r="K367" s="145"/>
      <c r="L367" s="148"/>
      <c r="M367" s="149"/>
      <c r="N367" s="148"/>
      <c r="O367" s="150"/>
      <c r="P3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7" s="43" t="str">
        <f>IF(テーブル22[[#This Row],[得点]]="","",IF(テーブル22[[#This Row],[年齢]]&gt;10,LOOKUP(P367,$BG$6:$BG$10,$BD$6:$BD$10),IF(テーブル22[[#This Row],[年齢]]&gt;9,LOOKUP(P367,$BF$6:$BF$10,$BD$6:$BD$10),IF(テーブル22[[#This Row],[年齢]]&gt;8,LOOKUP(P367,$BE$6:$BE$10,$BD$6:$BD$10),IF(テーブル22[[#This Row],[年齢]]&gt;7,LOOKUP(P367,$BC$6:$BC$10,$BD$6:$BD$10),IF(テーブル22[[#This Row],[年齢]]&gt;6,LOOKUP(P367,$BB$6:$BB$10,$BD$6:$BD$10),LOOKUP(P367,$BA$6:$BA$10,$BD$6:$BD$10)))))))</f>
        <v/>
      </c>
      <c r="R367" s="42">
        <f>IF(H367="",0,(IF(テーブル22[[#This Row],[性別]]="男",LOOKUP(テーブル22[[#This Row],[握力]],$AH$6:$AI$15),LOOKUP(テーブル22[[#This Row],[握力]],$AH$20:$AI$29))))</f>
        <v>0</v>
      </c>
      <c r="S367" s="42">
        <f>IF(テーブル22[[#This Row],[上体]]="",0,(IF(テーブル22[[#This Row],[性別]]="男",LOOKUP(テーブル22[[#This Row],[上体]],$AJ$6:$AK$15),LOOKUP(テーブル22[[#This Row],[上体]],$AJ$20:$AK$29))))</f>
        <v>0</v>
      </c>
      <c r="T367" s="42">
        <f>IF(テーブル22[[#This Row],[長座]]="",0,(IF(テーブル22[[#This Row],[性別]]="男",LOOKUP(テーブル22[[#This Row],[長座]],$AL$6:$AM$15),LOOKUP(テーブル22[[#This Row],[長座]],$AL$20:$AM$29))))</f>
        <v>0</v>
      </c>
      <c r="U367" s="42">
        <f>IF(テーブル22[[#This Row],[反復]]="",0,(IF(テーブル22[[#This Row],[性別]]="男",LOOKUP(テーブル22[[#This Row],[反復]],$AN$6:$AO$15),LOOKUP(テーブル22[[#This Row],[反復]],$AN$20:$AO$29))))</f>
        <v>0</v>
      </c>
      <c r="V367" s="42">
        <f>IF(テーブル22[[#This Row],[ｼｬﾄﾙﾗﾝ]]="",0,(IF(テーブル22[[#This Row],[性別]]="男",LOOKUP(テーブル22[[#This Row],[ｼｬﾄﾙﾗﾝ]],$AR$6:$AS$15),LOOKUP(テーブル22[[#This Row],[ｼｬﾄﾙﾗﾝ]],$AR$20:$AS$29))))</f>
        <v>0</v>
      </c>
      <c r="W367" s="42">
        <f>IF(テーブル22[[#This Row],[50m走]]="",0,(IF(テーブル22[[#This Row],[性別]]="男",LOOKUP(テーブル22[[#This Row],[50m走]],$AT$6:$AU$15),LOOKUP(テーブル22[[#This Row],[50m走]],$AT$20:$AU$29))))</f>
        <v>0</v>
      </c>
      <c r="X367" s="42">
        <f>IF(テーブル22[[#This Row],[立幅とび]]="",0,(IF(テーブル22[[#This Row],[性別]]="男",LOOKUP(テーブル22[[#This Row],[立幅とび]],$AV$6:$AW$15),LOOKUP(テーブル22[[#This Row],[立幅とび]],$AV$20:$AW$29))))</f>
        <v>0</v>
      </c>
      <c r="Y367" s="42">
        <f>IF(テーブル22[[#This Row],[ボール投げ]]="",0,(IF(テーブル22[[#This Row],[性別]]="男",LOOKUP(テーブル22[[#This Row],[ボール投げ]],$AX$6:$AY$15),LOOKUP(テーブル22[[#This Row],[ボール投げ]],$AX$20:$AY$29))))</f>
        <v>0</v>
      </c>
      <c r="Z367" s="19" t="str">
        <f>IF(テーブル22[[#This Row],[学年]]=1,6,IF(テーブル22[[#This Row],[学年]]=2,7,IF(テーブル22[[#This Row],[学年]]=3,8,IF(テーブル22[[#This Row],[学年]]=4,9,IF(テーブル22[[#This Row],[学年]]=5,10,IF(テーブル22[[#This Row],[学年]]=6,11," "))))))</f>
        <v xml:space="preserve"> </v>
      </c>
      <c r="AA367" s="125" t="str">
        <f>IF(テーブル22[[#This Row],[肥満度数値]]="","",LOOKUP(AC367,$AW$39:$AW$44,$AX$39:$AX$44))</f>
        <v/>
      </c>
      <c r="AB3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7" s="124" t="str">
        <f>IF(テーブル22[[#This Row],[体重]]="","",(テーブル22[[#This Row],[体重]]-テーブル22[[#This Row],[標準体重]])/テーブル22[[#This Row],[標準体重]]*100)</f>
        <v/>
      </c>
      <c r="AD367" s="1">
        <f>COUNTA(テーブル22[[#This Row],[握力]:[ボール投げ]])</f>
        <v>0</v>
      </c>
      <c r="AE367" s="1" t="str">
        <f>IF(テーブル22[[#This Row],[判定]]=$BD$10,"○","")</f>
        <v/>
      </c>
      <c r="AF367" s="1" t="str">
        <f>IF(AE367="","",COUNTIF($AE$6:AE367,"○"))</f>
        <v/>
      </c>
    </row>
    <row r="368" spans="1:32" x14ac:dyDescent="0.2">
      <c r="A368" s="40">
        <v>363</v>
      </c>
      <c r="B368" s="145"/>
      <c r="C368" s="148"/>
      <c r="D368" s="145"/>
      <c r="E368" s="156"/>
      <c r="F368" s="145"/>
      <c r="G368" s="145"/>
      <c r="H368" s="146"/>
      <c r="I368" s="146"/>
      <c r="J368" s="148"/>
      <c r="K368" s="145"/>
      <c r="L368" s="148"/>
      <c r="M368" s="149"/>
      <c r="N368" s="148"/>
      <c r="O368" s="150"/>
      <c r="P3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8" s="43" t="str">
        <f>IF(テーブル22[[#This Row],[得点]]="","",IF(テーブル22[[#This Row],[年齢]]&gt;10,LOOKUP(P368,$BG$6:$BG$10,$BD$6:$BD$10),IF(テーブル22[[#This Row],[年齢]]&gt;9,LOOKUP(P368,$BF$6:$BF$10,$BD$6:$BD$10),IF(テーブル22[[#This Row],[年齢]]&gt;8,LOOKUP(P368,$BE$6:$BE$10,$BD$6:$BD$10),IF(テーブル22[[#This Row],[年齢]]&gt;7,LOOKUP(P368,$BC$6:$BC$10,$BD$6:$BD$10),IF(テーブル22[[#This Row],[年齢]]&gt;6,LOOKUP(P368,$BB$6:$BB$10,$BD$6:$BD$10),LOOKUP(P368,$BA$6:$BA$10,$BD$6:$BD$10)))))))</f>
        <v/>
      </c>
      <c r="R368" s="42">
        <f>IF(H368="",0,(IF(テーブル22[[#This Row],[性別]]="男",LOOKUP(テーブル22[[#This Row],[握力]],$AH$6:$AI$15),LOOKUP(テーブル22[[#This Row],[握力]],$AH$20:$AI$29))))</f>
        <v>0</v>
      </c>
      <c r="S368" s="42">
        <f>IF(テーブル22[[#This Row],[上体]]="",0,(IF(テーブル22[[#This Row],[性別]]="男",LOOKUP(テーブル22[[#This Row],[上体]],$AJ$6:$AK$15),LOOKUP(テーブル22[[#This Row],[上体]],$AJ$20:$AK$29))))</f>
        <v>0</v>
      </c>
      <c r="T368" s="42">
        <f>IF(テーブル22[[#This Row],[長座]]="",0,(IF(テーブル22[[#This Row],[性別]]="男",LOOKUP(テーブル22[[#This Row],[長座]],$AL$6:$AM$15),LOOKUP(テーブル22[[#This Row],[長座]],$AL$20:$AM$29))))</f>
        <v>0</v>
      </c>
      <c r="U368" s="42">
        <f>IF(テーブル22[[#This Row],[反復]]="",0,(IF(テーブル22[[#This Row],[性別]]="男",LOOKUP(テーブル22[[#This Row],[反復]],$AN$6:$AO$15),LOOKUP(テーブル22[[#This Row],[反復]],$AN$20:$AO$29))))</f>
        <v>0</v>
      </c>
      <c r="V368" s="42">
        <f>IF(テーブル22[[#This Row],[ｼｬﾄﾙﾗﾝ]]="",0,(IF(テーブル22[[#This Row],[性別]]="男",LOOKUP(テーブル22[[#This Row],[ｼｬﾄﾙﾗﾝ]],$AR$6:$AS$15),LOOKUP(テーブル22[[#This Row],[ｼｬﾄﾙﾗﾝ]],$AR$20:$AS$29))))</f>
        <v>0</v>
      </c>
      <c r="W368" s="42">
        <f>IF(テーブル22[[#This Row],[50m走]]="",0,(IF(テーブル22[[#This Row],[性別]]="男",LOOKUP(テーブル22[[#This Row],[50m走]],$AT$6:$AU$15),LOOKUP(テーブル22[[#This Row],[50m走]],$AT$20:$AU$29))))</f>
        <v>0</v>
      </c>
      <c r="X368" s="42">
        <f>IF(テーブル22[[#This Row],[立幅とび]]="",0,(IF(テーブル22[[#This Row],[性別]]="男",LOOKUP(テーブル22[[#This Row],[立幅とび]],$AV$6:$AW$15),LOOKUP(テーブル22[[#This Row],[立幅とび]],$AV$20:$AW$29))))</f>
        <v>0</v>
      </c>
      <c r="Y368" s="42">
        <f>IF(テーブル22[[#This Row],[ボール投げ]]="",0,(IF(テーブル22[[#This Row],[性別]]="男",LOOKUP(テーブル22[[#This Row],[ボール投げ]],$AX$6:$AY$15),LOOKUP(テーブル22[[#This Row],[ボール投げ]],$AX$20:$AY$29))))</f>
        <v>0</v>
      </c>
      <c r="Z368" s="19" t="str">
        <f>IF(テーブル22[[#This Row],[学年]]=1,6,IF(テーブル22[[#This Row],[学年]]=2,7,IF(テーブル22[[#This Row],[学年]]=3,8,IF(テーブル22[[#This Row],[学年]]=4,9,IF(テーブル22[[#This Row],[学年]]=5,10,IF(テーブル22[[#This Row],[学年]]=6,11," "))))))</f>
        <v xml:space="preserve"> </v>
      </c>
      <c r="AA368" s="125" t="str">
        <f>IF(テーブル22[[#This Row],[肥満度数値]]="","",LOOKUP(AC368,$AW$39:$AW$44,$AX$39:$AX$44))</f>
        <v/>
      </c>
      <c r="AB3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8" s="124" t="str">
        <f>IF(テーブル22[[#This Row],[体重]]="","",(テーブル22[[#This Row],[体重]]-テーブル22[[#This Row],[標準体重]])/テーブル22[[#This Row],[標準体重]]*100)</f>
        <v/>
      </c>
      <c r="AD368" s="1">
        <f>COUNTA(テーブル22[[#This Row],[握力]:[ボール投げ]])</f>
        <v>0</v>
      </c>
      <c r="AE368" s="1" t="str">
        <f>IF(テーブル22[[#This Row],[判定]]=$BD$10,"○","")</f>
        <v/>
      </c>
      <c r="AF368" s="1" t="str">
        <f>IF(AE368="","",COUNTIF($AE$6:AE368,"○"))</f>
        <v/>
      </c>
    </row>
    <row r="369" spans="1:32" x14ac:dyDescent="0.2">
      <c r="A369" s="40">
        <v>364</v>
      </c>
      <c r="B369" s="145"/>
      <c r="C369" s="148"/>
      <c r="D369" s="145"/>
      <c r="E369" s="156"/>
      <c r="F369" s="145"/>
      <c r="G369" s="145"/>
      <c r="H369" s="146"/>
      <c r="I369" s="146"/>
      <c r="J369" s="148"/>
      <c r="K369" s="145"/>
      <c r="L369" s="148"/>
      <c r="M369" s="149"/>
      <c r="N369" s="148"/>
      <c r="O369" s="150"/>
      <c r="P3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69" s="43" t="str">
        <f>IF(テーブル22[[#This Row],[得点]]="","",IF(テーブル22[[#This Row],[年齢]]&gt;10,LOOKUP(P369,$BG$6:$BG$10,$BD$6:$BD$10),IF(テーブル22[[#This Row],[年齢]]&gt;9,LOOKUP(P369,$BF$6:$BF$10,$BD$6:$BD$10),IF(テーブル22[[#This Row],[年齢]]&gt;8,LOOKUP(P369,$BE$6:$BE$10,$BD$6:$BD$10),IF(テーブル22[[#This Row],[年齢]]&gt;7,LOOKUP(P369,$BC$6:$BC$10,$BD$6:$BD$10),IF(テーブル22[[#This Row],[年齢]]&gt;6,LOOKUP(P369,$BB$6:$BB$10,$BD$6:$BD$10),LOOKUP(P369,$BA$6:$BA$10,$BD$6:$BD$10)))))))</f>
        <v/>
      </c>
      <c r="R369" s="42">
        <f>IF(H369="",0,(IF(テーブル22[[#This Row],[性別]]="男",LOOKUP(テーブル22[[#This Row],[握力]],$AH$6:$AI$15),LOOKUP(テーブル22[[#This Row],[握力]],$AH$20:$AI$29))))</f>
        <v>0</v>
      </c>
      <c r="S369" s="42">
        <f>IF(テーブル22[[#This Row],[上体]]="",0,(IF(テーブル22[[#This Row],[性別]]="男",LOOKUP(テーブル22[[#This Row],[上体]],$AJ$6:$AK$15),LOOKUP(テーブル22[[#This Row],[上体]],$AJ$20:$AK$29))))</f>
        <v>0</v>
      </c>
      <c r="T369" s="42">
        <f>IF(テーブル22[[#This Row],[長座]]="",0,(IF(テーブル22[[#This Row],[性別]]="男",LOOKUP(テーブル22[[#This Row],[長座]],$AL$6:$AM$15),LOOKUP(テーブル22[[#This Row],[長座]],$AL$20:$AM$29))))</f>
        <v>0</v>
      </c>
      <c r="U369" s="42">
        <f>IF(テーブル22[[#This Row],[反復]]="",0,(IF(テーブル22[[#This Row],[性別]]="男",LOOKUP(テーブル22[[#This Row],[反復]],$AN$6:$AO$15),LOOKUP(テーブル22[[#This Row],[反復]],$AN$20:$AO$29))))</f>
        <v>0</v>
      </c>
      <c r="V369" s="42">
        <f>IF(テーブル22[[#This Row],[ｼｬﾄﾙﾗﾝ]]="",0,(IF(テーブル22[[#This Row],[性別]]="男",LOOKUP(テーブル22[[#This Row],[ｼｬﾄﾙﾗﾝ]],$AR$6:$AS$15),LOOKUP(テーブル22[[#This Row],[ｼｬﾄﾙﾗﾝ]],$AR$20:$AS$29))))</f>
        <v>0</v>
      </c>
      <c r="W369" s="42">
        <f>IF(テーブル22[[#This Row],[50m走]]="",0,(IF(テーブル22[[#This Row],[性別]]="男",LOOKUP(テーブル22[[#This Row],[50m走]],$AT$6:$AU$15),LOOKUP(テーブル22[[#This Row],[50m走]],$AT$20:$AU$29))))</f>
        <v>0</v>
      </c>
      <c r="X369" s="42">
        <f>IF(テーブル22[[#This Row],[立幅とび]]="",0,(IF(テーブル22[[#This Row],[性別]]="男",LOOKUP(テーブル22[[#This Row],[立幅とび]],$AV$6:$AW$15),LOOKUP(テーブル22[[#This Row],[立幅とび]],$AV$20:$AW$29))))</f>
        <v>0</v>
      </c>
      <c r="Y369" s="42">
        <f>IF(テーブル22[[#This Row],[ボール投げ]]="",0,(IF(テーブル22[[#This Row],[性別]]="男",LOOKUP(テーブル22[[#This Row],[ボール投げ]],$AX$6:$AY$15),LOOKUP(テーブル22[[#This Row],[ボール投げ]],$AX$20:$AY$29))))</f>
        <v>0</v>
      </c>
      <c r="Z369" s="19" t="str">
        <f>IF(テーブル22[[#This Row],[学年]]=1,6,IF(テーブル22[[#This Row],[学年]]=2,7,IF(テーブル22[[#This Row],[学年]]=3,8,IF(テーブル22[[#This Row],[学年]]=4,9,IF(テーブル22[[#This Row],[学年]]=5,10,IF(テーブル22[[#This Row],[学年]]=6,11," "))))))</f>
        <v xml:space="preserve"> </v>
      </c>
      <c r="AA369" s="125" t="str">
        <f>IF(テーブル22[[#This Row],[肥満度数値]]="","",LOOKUP(AC369,$AW$39:$AW$44,$AX$39:$AX$44))</f>
        <v/>
      </c>
      <c r="AB3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69" s="124" t="str">
        <f>IF(テーブル22[[#This Row],[体重]]="","",(テーブル22[[#This Row],[体重]]-テーブル22[[#This Row],[標準体重]])/テーブル22[[#This Row],[標準体重]]*100)</f>
        <v/>
      </c>
      <c r="AD369" s="1">
        <f>COUNTA(テーブル22[[#This Row],[握力]:[ボール投げ]])</f>
        <v>0</v>
      </c>
      <c r="AE369" s="1" t="str">
        <f>IF(テーブル22[[#This Row],[判定]]=$BD$10,"○","")</f>
        <v/>
      </c>
      <c r="AF369" s="1" t="str">
        <f>IF(AE369="","",COUNTIF($AE$6:AE369,"○"))</f>
        <v/>
      </c>
    </row>
    <row r="370" spans="1:32" x14ac:dyDescent="0.2">
      <c r="A370" s="40">
        <v>365</v>
      </c>
      <c r="B370" s="145"/>
      <c r="C370" s="148"/>
      <c r="D370" s="145"/>
      <c r="E370" s="156"/>
      <c r="F370" s="145"/>
      <c r="G370" s="145"/>
      <c r="H370" s="146"/>
      <c r="I370" s="146"/>
      <c r="J370" s="148"/>
      <c r="K370" s="145"/>
      <c r="L370" s="148"/>
      <c r="M370" s="149"/>
      <c r="N370" s="148"/>
      <c r="O370" s="150"/>
      <c r="P3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0" s="43" t="str">
        <f>IF(テーブル22[[#This Row],[得点]]="","",IF(テーブル22[[#This Row],[年齢]]&gt;10,LOOKUP(P370,$BG$6:$BG$10,$BD$6:$BD$10),IF(テーブル22[[#This Row],[年齢]]&gt;9,LOOKUP(P370,$BF$6:$BF$10,$BD$6:$BD$10),IF(テーブル22[[#This Row],[年齢]]&gt;8,LOOKUP(P370,$BE$6:$BE$10,$BD$6:$BD$10),IF(テーブル22[[#This Row],[年齢]]&gt;7,LOOKUP(P370,$BC$6:$BC$10,$BD$6:$BD$10),IF(テーブル22[[#This Row],[年齢]]&gt;6,LOOKUP(P370,$BB$6:$BB$10,$BD$6:$BD$10),LOOKUP(P370,$BA$6:$BA$10,$BD$6:$BD$10)))))))</f>
        <v/>
      </c>
      <c r="R370" s="42">
        <f>IF(H370="",0,(IF(テーブル22[[#This Row],[性別]]="男",LOOKUP(テーブル22[[#This Row],[握力]],$AH$6:$AI$15),LOOKUP(テーブル22[[#This Row],[握力]],$AH$20:$AI$29))))</f>
        <v>0</v>
      </c>
      <c r="S370" s="42">
        <f>IF(テーブル22[[#This Row],[上体]]="",0,(IF(テーブル22[[#This Row],[性別]]="男",LOOKUP(テーブル22[[#This Row],[上体]],$AJ$6:$AK$15),LOOKUP(テーブル22[[#This Row],[上体]],$AJ$20:$AK$29))))</f>
        <v>0</v>
      </c>
      <c r="T370" s="42">
        <f>IF(テーブル22[[#This Row],[長座]]="",0,(IF(テーブル22[[#This Row],[性別]]="男",LOOKUP(テーブル22[[#This Row],[長座]],$AL$6:$AM$15),LOOKUP(テーブル22[[#This Row],[長座]],$AL$20:$AM$29))))</f>
        <v>0</v>
      </c>
      <c r="U370" s="42">
        <f>IF(テーブル22[[#This Row],[反復]]="",0,(IF(テーブル22[[#This Row],[性別]]="男",LOOKUP(テーブル22[[#This Row],[反復]],$AN$6:$AO$15),LOOKUP(テーブル22[[#This Row],[反復]],$AN$20:$AO$29))))</f>
        <v>0</v>
      </c>
      <c r="V370" s="42">
        <f>IF(テーブル22[[#This Row],[ｼｬﾄﾙﾗﾝ]]="",0,(IF(テーブル22[[#This Row],[性別]]="男",LOOKUP(テーブル22[[#This Row],[ｼｬﾄﾙﾗﾝ]],$AR$6:$AS$15),LOOKUP(テーブル22[[#This Row],[ｼｬﾄﾙﾗﾝ]],$AR$20:$AS$29))))</f>
        <v>0</v>
      </c>
      <c r="W370" s="42">
        <f>IF(テーブル22[[#This Row],[50m走]]="",0,(IF(テーブル22[[#This Row],[性別]]="男",LOOKUP(テーブル22[[#This Row],[50m走]],$AT$6:$AU$15),LOOKUP(テーブル22[[#This Row],[50m走]],$AT$20:$AU$29))))</f>
        <v>0</v>
      </c>
      <c r="X370" s="42">
        <f>IF(テーブル22[[#This Row],[立幅とび]]="",0,(IF(テーブル22[[#This Row],[性別]]="男",LOOKUP(テーブル22[[#This Row],[立幅とび]],$AV$6:$AW$15),LOOKUP(テーブル22[[#This Row],[立幅とび]],$AV$20:$AW$29))))</f>
        <v>0</v>
      </c>
      <c r="Y370" s="42">
        <f>IF(テーブル22[[#This Row],[ボール投げ]]="",0,(IF(テーブル22[[#This Row],[性別]]="男",LOOKUP(テーブル22[[#This Row],[ボール投げ]],$AX$6:$AY$15),LOOKUP(テーブル22[[#This Row],[ボール投げ]],$AX$20:$AY$29))))</f>
        <v>0</v>
      </c>
      <c r="Z370" s="19" t="str">
        <f>IF(テーブル22[[#This Row],[学年]]=1,6,IF(テーブル22[[#This Row],[学年]]=2,7,IF(テーブル22[[#This Row],[学年]]=3,8,IF(テーブル22[[#This Row],[学年]]=4,9,IF(テーブル22[[#This Row],[学年]]=5,10,IF(テーブル22[[#This Row],[学年]]=6,11," "))))))</f>
        <v xml:space="preserve"> </v>
      </c>
      <c r="AA370" s="125" t="str">
        <f>IF(テーブル22[[#This Row],[肥満度数値]]="","",LOOKUP(AC370,$AW$39:$AW$44,$AX$39:$AX$44))</f>
        <v/>
      </c>
      <c r="AB3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0" s="124" t="str">
        <f>IF(テーブル22[[#This Row],[体重]]="","",(テーブル22[[#This Row],[体重]]-テーブル22[[#This Row],[標準体重]])/テーブル22[[#This Row],[標準体重]]*100)</f>
        <v/>
      </c>
      <c r="AD370" s="1">
        <f>COUNTA(テーブル22[[#This Row],[握力]:[ボール投げ]])</f>
        <v>0</v>
      </c>
      <c r="AE370" s="1" t="str">
        <f>IF(テーブル22[[#This Row],[判定]]=$BD$10,"○","")</f>
        <v/>
      </c>
      <c r="AF370" s="1" t="str">
        <f>IF(AE370="","",COUNTIF($AE$6:AE370,"○"))</f>
        <v/>
      </c>
    </row>
    <row r="371" spans="1:32" x14ac:dyDescent="0.2">
      <c r="A371" s="40">
        <v>366</v>
      </c>
      <c r="B371" s="145"/>
      <c r="C371" s="148"/>
      <c r="D371" s="145"/>
      <c r="E371" s="156"/>
      <c r="F371" s="145"/>
      <c r="G371" s="145"/>
      <c r="H371" s="146"/>
      <c r="I371" s="146"/>
      <c r="J371" s="148"/>
      <c r="K371" s="145"/>
      <c r="L371" s="148"/>
      <c r="M371" s="149"/>
      <c r="N371" s="148"/>
      <c r="O371" s="150"/>
      <c r="P3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1" s="43" t="str">
        <f>IF(テーブル22[[#This Row],[得点]]="","",IF(テーブル22[[#This Row],[年齢]]&gt;10,LOOKUP(P371,$BG$6:$BG$10,$BD$6:$BD$10),IF(テーブル22[[#This Row],[年齢]]&gt;9,LOOKUP(P371,$BF$6:$BF$10,$BD$6:$BD$10),IF(テーブル22[[#This Row],[年齢]]&gt;8,LOOKUP(P371,$BE$6:$BE$10,$BD$6:$BD$10),IF(テーブル22[[#This Row],[年齢]]&gt;7,LOOKUP(P371,$BC$6:$BC$10,$BD$6:$BD$10),IF(テーブル22[[#This Row],[年齢]]&gt;6,LOOKUP(P371,$BB$6:$BB$10,$BD$6:$BD$10),LOOKUP(P371,$BA$6:$BA$10,$BD$6:$BD$10)))))))</f>
        <v/>
      </c>
      <c r="R371" s="42">
        <f>IF(H371="",0,(IF(テーブル22[[#This Row],[性別]]="男",LOOKUP(テーブル22[[#This Row],[握力]],$AH$6:$AI$15),LOOKUP(テーブル22[[#This Row],[握力]],$AH$20:$AI$29))))</f>
        <v>0</v>
      </c>
      <c r="S371" s="42">
        <f>IF(テーブル22[[#This Row],[上体]]="",0,(IF(テーブル22[[#This Row],[性別]]="男",LOOKUP(テーブル22[[#This Row],[上体]],$AJ$6:$AK$15),LOOKUP(テーブル22[[#This Row],[上体]],$AJ$20:$AK$29))))</f>
        <v>0</v>
      </c>
      <c r="T371" s="42">
        <f>IF(テーブル22[[#This Row],[長座]]="",0,(IF(テーブル22[[#This Row],[性別]]="男",LOOKUP(テーブル22[[#This Row],[長座]],$AL$6:$AM$15),LOOKUP(テーブル22[[#This Row],[長座]],$AL$20:$AM$29))))</f>
        <v>0</v>
      </c>
      <c r="U371" s="42">
        <f>IF(テーブル22[[#This Row],[反復]]="",0,(IF(テーブル22[[#This Row],[性別]]="男",LOOKUP(テーブル22[[#This Row],[反復]],$AN$6:$AO$15),LOOKUP(テーブル22[[#This Row],[反復]],$AN$20:$AO$29))))</f>
        <v>0</v>
      </c>
      <c r="V371" s="42">
        <f>IF(テーブル22[[#This Row],[ｼｬﾄﾙﾗﾝ]]="",0,(IF(テーブル22[[#This Row],[性別]]="男",LOOKUP(テーブル22[[#This Row],[ｼｬﾄﾙﾗﾝ]],$AR$6:$AS$15),LOOKUP(テーブル22[[#This Row],[ｼｬﾄﾙﾗﾝ]],$AR$20:$AS$29))))</f>
        <v>0</v>
      </c>
      <c r="W371" s="42">
        <f>IF(テーブル22[[#This Row],[50m走]]="",0,(IF(テーブル22[[#This Row],[性別]]="男",LOOKUP(テーブル22[[#This Row],[50m走]],$AT$6:$AU$15),LOOKUP(テーブル22[[#This Row],[50m走]],$AT$20:$AU$29))))</f>
        <v>0</v>
      </c>
      <c r="X371" s="42">
        <f>IF(テーブル22[[#This Row],[立幅とび]]="",0,(IF(テーブル22[[#This Row],[性別]]="男",LOOKUP(テーブル22[[#This Row],[立幅とび]],$AV$6:$AW$15),LOOKUP(テーブル22[[#This Row],[立幅とび]],$AV$20:$AW$29))))</f>
        <v>0</v>
      </c>
      <c r="Y371" s="42">
        <f>IF(テーブル22[[#This Row],[ボール投げ]]="",0,(IF(テーブル22[[#This Row],[性別]]="男",LOOKUP(テーブル22[[#This Row],[ボール投げ]],$AX$6:$AY$15),LOOKUP(テーブル22[[#This Row],[ボール投げ]],$AX$20:$AY$29))))</f>
        <v>0</v>
      </c>
      <c r="Z371" s="19" t="str">
        <f>IF(テーブル22[[#This Row],[学年]]=1,6,IF(テーブル22[[#This Row],[学年]]=2,7,IF(テーブル22[[#This Row],[学年]]=3,8,IF(テーブル22[[#This Row],[学年]]=4,9,IF(テーブル22[[#This Row],[学年]]=5,10,IF(テーブル22[[#This Row],[学年]]=6,11," "))))))</f>
        <v xml:space="preserve"> </v>
      </c>
      <c r="AA371" s="125" t="str">
        <f>IF(テーブル22[[#This Row],[肥満度数値]]="","",LOOKUP(AC371,$AW$39:$AW$44,$AX$39:$AX$44))</f>
        <v/>
      </c>
      <c r="AB3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1" s="124" t="str">
        <f>IF(テーブル22[[#This Row],[体重]]="","",(テーブル22[[#This Row],[体重]]-テーブル22[[#This Row],[標準体重]])/テーブル22[[#This Row],[標準体重]]*100)</f>
        <v/>
      </c>
      <c r="AD371" s="1">
        <f>COUNTA(テーブル22[[#This Row],[握力]:[ボール投げ]])</f>
        <v>0</v>
      </c>
      <c r="AE371" s="1" t="str">
        <f>IF(テーブル22[[#This Row],[判定]]=$BD$10,"○","")</f>
        <v/>
      </c>
      <c r="AF371" s="1" t="str">
        <f>IF(AE371="","",COUNTIF($AE$6:AE371,"○"))</f>
        <v/>
      </c>
    </row>
    <row r="372" spans="1:32" x14ac:dyDescent="0.2">
      <c r="A372" s="40">
        <v>367</v>
      </c>
      <c r="B372" s="145"/>
      <c r="C372" s="148"/>
      <c r="D372" s="145"/>
      <c r="E372" s="156"/>
      <c r="F372" s="145"/>
      <c r="G372" s="145"/>
      <c r="H372" s="146"/>
      <c r="I372" s="146"/>
      <c r="J372" s="148"/>
      <c r="K372" s="145"/>
      <c r="L372" s="148"/>
      <c r="M372" s="149"/>
      <c r="N372" s="148"/>
      <c r="O372" s="150"/>
      <c r="P3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2" s="43" t="str">
        <f>IF(テーブル22[[#This Row],[得点]]="","",IF(テーブル22[[#This Row],[年齢]]&gt;10,LOOKUP(P372,$BG$6:$BG$10,$BD$6:$BD$10),IF(テーブル22[[#This Row],[年齢]]&gt;9,LOOKUP(P372,$BF$6:$BF$10,$BD$6:$BD$10),IF(テーブル22[[#This Row],[年齢]]&gt;8,LOOKUP(P372,$BE$6:$BE$10,$BD$6:$BD$10),IF(テーブル22[[#This Row],[年齢]]&gt;7,LOOKUP(P372,$BC$6:$BC$10,$BD$6:$BD$10),IF(テーブル22[[#This Row],[年齢]]&gt;6,LOOKUP(P372,$BB$6:$BB$10,$BD$6:$BD$10),LOOKUP(P372,$BA$6:$BA$10,$BD$6:$BD$10)))))))</f>
        <v/>
      </c>
      <c r="R372" s="42">
        <f>IF(H372="",0,(IF(テーブル22[[#This Row],[性別]]="男",LOOKUP(テーブル22[[#This Row],[握力]],$AH$6:$AI$15),LOOKUP(テーブル22[[#This Row],[握力]],$AH$20:$AI$29))))</f>
        <v>0</v>
      </c>
      <c r="S372" s="42">
        <f>IF(テーブル22[[#This Row],[上体]]="",0,(IF(テーブル22[[#This Row],[性別]]="男",LOOKUP(テーブル22[[#This Row],[上体]],$AJ$6:$AK$15),LOOKUP(テーブル22[[#This Row],[上体]],$AJ$20:$AK$29))))</f>
        <v>0</v>
      </c>
      <c r="T372" s="42">
        <f>IF(テーブル22[[#This Row],[長座]]="",0,(IF(テーブル22[[#This Row],[性別]]="男",LOOKUP(テーブル22[[#This Row],[長座]],$AL$6:$AM$15),LOOKUP(テーブル22[[#This Row],[長座]],$AL$20:$AM$29))))</f>
        <v>0</v>
      </c>
      <c r="U372" s="42">
        <f>IF(テーブル22[[#This Row],[反復]]="",0,(IF(テーブル22[[#This Row],[性別]]="男",LOOKUP(テーブル22[[#This Row],[反復]],$AN$6:$AO$15),LOOKUP(テーブル22[[#This Row],[反復]],$AN$20:$AO$29))))</f>
        <v>0</v>
      </c>
      <c r="V372" s="42">
        <f>IF(テーブル22[[#This Row],[ｼｬﾄﾙﾗﾝ]]="",0,(IF(テーブル22[[#This Row],[性別]]="男",LOOKUP(テーブル22[[#This Row],[ｼｬﾄﾙﾗﾝ]],$AR$6:$AS$15),LOOKUP(テーブル22[[#This Row],[ｼｬﾄﾙﾗﾝ]],$AR$20:$AS$29))))</f>
        <v>0</v>
      </c>
      <c r="W372" s="42">
        <f>IF(テーブル22[[#This Row],[50m走]]="",0,(IF(テーブル22[[#This Row],[性別]]="男",LOOKUP(テーブル22[[#This Row],[50m走]],$AT$6:$AU$15),LOOKUP(テーブル22[[#This Row],[50m走]],$AT$20:$AU$29))))</f>
        <v>0</v>
      </c>
      <c r="X372" s="42">
        <f>IF(テーブル22[[#This Row],[立幅とび]]="",0,(IF(テーブル22[[#This Row],[性別]]="男",LOOKUP(テーブル22[[#This Row],[立幅とび]],$AV$6:$AW$15),LOOKUP(テーブル22[[#This Row],[立幅とび]],$AV$20:$AW$29))))</f>
        <v>0</v>
      </c>
      <c r="Y372" s="42">
        <f>IF(テーブル22[[#This Row],[ボール投げ]]="",0,(IF(テーブル22[[#This Row],[性別]]="男",LOOKUP(テーブル22[[#This Row],[ボール投げ]],$AX$6:$AY$15),LOOKUP(テーブル22[[#This Row],[ボール投げ]],$AX$20:$AY$29))))</f>
        <v>0</v>
      </c>
      <c r="Z372" s="19" t="str">
        <f>IF(テーブル22[[#This Row],[学年]]=1,6,IF(テーブル22[[#This Row],[学年]]=2,7,IF(テーブル22[[#This Row],[学年]]=3,8,IF(テーブル22[[#This Row],[学年]]=4,9,IF(テーブル22[[#This Row],[学年]]=5,10,IF(テーブル22[[#This Row],[学年]]=6,11," "))))))</f>
        <v xml:space="preserve"> </v>
      </c>
      <c r="AA372" s="125" t="str">
        <f>IF(テーブル22[[#This Row],[肥満度数値]]="","",LOOKUP(AC372,$AW$39:$AW$44,$AX$39:$AX$44))</f>
        <v/>
      </c>
      <c r="AB3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2" s="124" t="str">
        <f>IF(テーブル22[[#This Row],[体重]]="","",(テーブル22[[#This Row],[体重]]-テーブル22[[#This Row],[標準体重]])/テーブル22[[#This Row],[標準体重]]*100)</f>
        <v/>
      </c>
      <c r="AD372" s="1">
        <f>COUNTA(テーブル22[[#This Row],[握力]:[ボール投げ]])</f>
        <v>0</v>
      </c>
      <c r="AE372" s="1" t="str">
        <f>IF(テーブル22[[#This Row],[判定]]=$BD$10,"○","")</f>
        <v/>
      </c>
      <c r="AF372" s="1" t="str">
        <f>IF(AE372="","",COUNTIF($AE$6:AE372,"○"))</f>
        <v/>
      </c>
    </row>
    <row r="373" spans="1:32" x14ac:dyDescent="0.2">
      <c r="A373" s="40">
        <v>368</v>
      </c>
      <c r="B373" s="145"/>
      <c r="C373" s="148"/>
      <c r="D373" s="145"/>
      <c r="E373" s="156"/>
      <c r="F373" s="145"/>
      <c r="G373" s="145"/>
      <c r="H373" s="146"/>
      <c r="I373" s="146"/>
      <c r="J373" s="148"/>
      <c r="K373" s="145"/>
      <c r="L373" s="148"/>
      <c r="M373" s="149"/>
      <c r="N373" s="148"/>
      <c r="O373" s="150"/>
      <c r="P3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3" s="43" t="str">
        <f>IF(テーブル22[[#This Row],[得点]]="","",IF(テーブル22[[#This Row],[年齢]]&gt;10,LOOKUP(P373,$BG$6:$BG$10,$BD$6:$BD$10),IF(テーブル22[[#This Row],[年齢]]&gt;9,LOOKUP(P373,$BF$6:$BF$10,$BD$6:$BD$10),IF(テーブル22[[#This Row],[年齢]]&gt;8,LOOKUP(P373,$BE$6:$BE$10,$BD$6:$BD$10),IF(テーブル22[[#This Row],[年齢]]&gt;7,LOOKUP(P373,$BC$6:$BC$10,$BD$6:$BD$10),IF(テーブル22[[#This Row],[年齢]]&gt;6,LOOKUP(P373,$BB$6:$BB$10,$BD$6:$BD$10),LOOKUP(P373,$BA$6:$BA$10,$BD$6:$BD$10)))))))</f>
        <v/>
      </c>
      <c r="R373" s="42">
        <f>IF(H373="",0,(IF(テーブル22[[#This Row],[性別]]="男",LOOKUP(テーブル22[[#This Row],[握力]],$AH$6:$AI$15),LOOKUP(テーブル22[[#This Row],[握力]],$AH$20:$AI$29))))</f>
        <v>0</v>
      </c>
      <c r="S373" s="42">
        <f>IF(テーブル22[[#This Row],[上体]]="",0,(IF(テーブル22[[#This Row],[性別]]="男",LOOKUP(テーブル22[[#This Row],[上体]],$AJ$6:$AK$15),LOOKUP(テーブル22[[#This Row],[上体]],$AJ$20:$AK$29))))</f>
        <v>0</v>
      </c>
      <c r="T373" s="42">
        <f>IF(テーブル22[[#This Row],[長座]]="",0,(IF(テーブル22[[#This Row],[性別]]="男",LOOKUP(テーブル22[[#This Row],[長座]],$AL$6:$AM$15),LOOKUP(テーブル22[[#This Row],[長座]],$AL$20:$AM$29))))</f>
        <v>0</v>
      </c>
      <c r="U373" s="42">
        <f>IF(テーブル22[[#This Row],[反復]]="",0,(IF(テーブル22[[#This Row],[性別]]="男",LOOKUP(テーブル22[[#This Row],[反復]],$AN$6:$AO$15),LOOKUP(テーブル22[[#This Row],[反復]],$AN$20:$AO$29))))</f>
        <v>0</v>
      </c>
      <c r="V373" s="42">
        <f>IF(テーブル22[[#This Row],[ｼｬﾄﾙﾗﾝ]]="",0,(IF(テーブル22[[#This Row],[性別]]="男",LOOKUP(テーブル22[[#This Row],[ｼｬﾄﾙﾗﾝ]],$AR$6:$AS$15),LOOKUP(テーブル22[[#This Row],[ｼｬﾄﾙﾗﾝ]],$AR$20:$AS$29))))</f>
        <v>0</v>
      </c>
      <c r="W373" s="42">
        <f>IF(テーブル22[[#This Row],[50m走]]="",0,(IF(テーブル22[[#This Row],[性別]]="男",LOOKUP(テーブル22[[#This Row],[50m走]],$AT$6:$AU$15),LOOKUP(テーブル22[[#This Row],[50m走]],$AT$20:$AU$29))))</f>
        <v>0</v>
      </c>
      <c r="X373" s="42">
        <f>IF(テーブル22[[#This Row],[立幅とび]]="",0,(IF(テーブル22[[#This Row],[性別]]="男",LOOKUP(テーブル22[[#This Row],[立幅とび]],$AV$6:$AW$15),LOOKUP(テーブル22[[#This Row],[立幅とび]],$AV$20:$AW$29))))</f>
        <v>0</v>
      </c>
      <c r="Y373" s="42">
        <f>IF(テーブル22[[#This Row],[ボール投げ]]="",0,(IF(テーブル22[[#This Row],[性別]]="男",LOOKUP(テーブル22[[#This Row],[ボール投げ]],$AX$6:$AY$15),LOOKUP(テーブル22[[#This Row],[ボール投げ]],$AX$20:$AY$29))))</f>
        <v>0</v>
      </c>
      <c r="Z373" s="19" t="str">
        <f>IF(テーブル22[[#This Row],[学年]]=1,6,IF(テーブル22[[#This Row],[学年]]=2,7,IF(テーブル22[[#This Row],[学年]]=3,8,IF(テーブル22[[#This Row],[学年]]=4,9,IF(テーブル22[[#This Row],[学年]]=5,10,IF(テーブル22[[#This Row],[学年]]=6,11," "))))))</f>
        <v xml:space="preserve"> </v>
      </c>
      <c r="AA373" s="125" t="str">
        <f>IF(テーブル22[[#This Row],[肥満度数値]]="","",LOOKUP(AC373,$AW$39:$AW$44,$AX$39:$AX$44))</f>
        <v/>
      </c>
      <c r="AB3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3" s="124" t="str">
        <f>IF(テーブル22[[#This Row],[体重]]="","",(テーブル22[[#This Row],[体重]]-テーブル22[[#This Row],[標準体重]])/テーブル22[[#This Row],[標準体重]]*100)</f>
        <v/>
      </c>
      <c r="AD373" s="1">
        <f>COUNTA(テーブル22[[#This Row],[握力]:[ボール投げ]])</f>
        <v>0</v>
      </c>
      <c r="AE373" s="1" t="str">
        <f>IF(テーブル22[[#This Row],[判定]]=$BD$10,"○","")</f>
        <v/>
      </c>
      <c r="AF373" s="1" t="str">
        <f>IF(AE373="","",COUNTIF($AE$6:AE373,"○"))</f>
        <v/>
      </c>
    </row>
    <row r="374" spans="1:32" x14ac:dyDescent="0.2">
      <c r="A374" s="40">
        <v>369</v>
      </c>
      <c r="B374" s="145"/>
      <c r="C374" s="148"/>
      <c r="D374" s="145"/>
      <c r="E374" s="156"/>
      <c r="F374" s="145"/>
      <c r="G374" s="145"/>
      <c r="H374" s="146"/>
      <c r="I374" s="146"/>
      <c r="J374" s="148"/>
      <c r="K374" s="145"/>
      <c r="L374" s="148"/>
      <c r="M374" s="149"/>
      <c r="N374" s="148"/>
      <c r="O374" s="150"/>
      <c r="P3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4" s="43" t="str">
        <f>IF(テーブル22[[#This Row],[得点]]="","",IF(テーブル22[[#This Row],[年齢]]&gt;10,LOOKUP(P374,$BG$6:$BG$10,$BD$6:$BD$10),IF(テーブル22[[#This Row],[年齢]]&gt;9,LOOKUP(P374,$BF$6:$BF$10,$BD$6:$BD$10),IF(テーブル22[[#This Row],[年齢]]&gt;8,LOOKUP(P374,$BE$6:$BE$10,$BD$6:$BD$10),IF(テーブル22[[#This Row],[年齢]]&gt;7,LOOKUP(P374,$BC$6:$BC$10,$BD$6:$BD$10),IF(テーブル22[[#This Row],[年齢]]&gt;6,LOOKUP(P374,$BB$6:$BB$10,$BD$6:$BD$10),LOOKUP(P374,$BA$6:$BA$10,$BD$6:$BD$10)))))))</f>
        <v/>
      </c>
      <c r="R374" s="42">
        <f>IF(H374="",0,(IF(テーブル22[[#This Row],[性別]]="男",LOOKUP(テーブル22[[#This Row],[握力]],$AH$6:$AI$15),LOOKUP(テーブル22[[#This Row],[握力]],$AH$20:$AI$29))))</f>
        <v>0</v>
      </c>
      <c r="S374" s="42">
        <f>IF(テーブル22[[#This Row],[上体]]="",0,(IF(テーブル22[[#This Row],[性別]]="男",LOOKUP(テーブル22[[#This Row],[上体]],$AJ$6:$AK$15),LOOKUP(テーブル22[[#This Row],[上体]],$AJ$20:$AK$29))))</f>
        <v>0</v>
      </c>
      <c r="T374" s="42">
        <f>IF(テーブル22[[#This Row],[長座]]="",0,(IF(テーブル22[[#This Row],[性別]]="男",LOOKUP(テーブル22[[#This Row],[長座]],$AL$6:$AM$15),LOOKUP(テーブル22[[#This Row],[長座]],$AL$20:$AM$29))))</f>
        <v>0</v>
      </c>
      <c r="U374" s="42">
        <f>IF(テーブル22[[#This Row],[反復]]="",0,(IF(テーブル22[[#This Row],[性別]]="男",LOOKUP(テーブル22[[#This Row],[反復]],$AN$6:$AO$15),LOOKUP(テーブル22[[#This Row],[反復]],$AN$20:$AO$29))))</f>
        <v>0</v>
      </c>
      <c r="V374" s="42">
        <f>IF(テーブル22[[#This Row],[ｼｬﾄﾙﾗﾝ]]="",0,(IF(テーブル22[[#This Row],[性別]]="男",LOOKUP(テーブル22[[#This Row],[ｼｬﾄﾙﾗﾝ]],$AR$6:$AS$15),LOOKUP(テーブル22[[#This Row],[ｼｬﾄﾙﾗﾝ]],$AR$20:$AS$29))))</f>
        <v>0</v>
      </c>
      <c r="W374" s="42">
        <f>IF(テーブル22[[#This Row],[50m走]]="",0,(IF(テーブル22[[#This Row],[性別]]="男",LOOKUP(テーブル22[[#This Row],[50m走]],$AT$6:$AU$15),LOOKUP(テーブル22[[#This Row],[50m走]],$AT$20:$AU$29))))</f>
        <v>0</v>
      </c>
      <c r="X374" s="42">
        <f>IF(テーブル22[[#This Row],[立幅とび]]="",0,(IF(テーブル22[[#This Row],[性別]]="男",LOOKUP(テーブル22[[#This Row],[立幅とび]],$AV$6:$AW$15),LOOKUP(テーブル22[[#This Row],[立幅とび]],$AV$20:$AW$29))))</f>
        <v>0</v>
      </c>
      <c r="Y374" s="42">
        <f>IF(テーブル22[[#This Row],[ボール投げ]]="",0,(IF(テーブル22[[#This Row],[性別]]="男",LOOKUP(テーブル22[[#This Row],[ボール投げ]],$AX$6:$AY$15),LOOKUP(テーブル22[[#This Row],[ボール投げ]],$AX$20:$AY$29))))</f>
        <v>0</v>
      </c>
      <c r="Z374" s="19" t="str">
        <f>IF(テーブル22[[#This Row],[学年]]=1,6,IF(テーブル22[[#This Row],[学年]]=2,7,IF(テーブル22[[#This Row],[学年]]=3,8,IF(テーブル22[[#This Row],[学年]]=4,9,IF(テーブル22[[#This Row],[学年]]=5,10,IF(テーブル22[[#This Row],[学年]]=6,11," "))))))</f>
        <v xml:space="preserve"> </v>
      </c>
      <c r="AA374" s="125" t="str">
        <f>IF(テーブル22[[#This Row],[肥満度数値]]="","",LOOKUP(AC374,$AW$39:$AW$44,$AX$39:$AX$44))</f>
        <v/>
      </c>
      <c r="AB3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4" s="124" t="str">
        <f>IF(テーブル22[[#This Row],[体重]]="","",(テーブル22[[#This Row],[体重]]-テーブル22[[#This Row],[標準体重]])/テーブル22[[#This Row],[標準体重]]*100)</f>
        <v/>
      </c>
      <c r="AD374" s="1">
        <f>COUNTA(テーブル22[[#This Row],[握力]:[ボール投げ]])</f>
        <v>0</v>
      </c>
      <c r="AE374" s="1" t="str">
        <f>IF(テーブル22[[#This Row],[判定]]=$BD$10,"○","")</f>
        <v/>
      </c>
      <c r="AF374" s="1" t="str">
        <f>IF(AE374="","",COUNTIF($AE$6:AE374,"○"))</f>
        <v/>
      </c>
    </row>
    <row r="375" spans="1:32" x14ac:dyDescent="0.2">
      <c r="A375" s="40">
        <v>370</v>
      </c>
      <c r="B375" s="145"/>
      <c r="C375" s="148"/>
      <c r="D375" s="145"/>
      <c r="E375" s="156"/>
      <c r="F375" s="145"/>
      <c r="G375" s="145"/>
      <c r="H375" s="146"/>
      <c r="I375" s="146"/>
      <c r="J375" s="148"/>
      <c r="K375" s="145"/>
      <c r="L375" s="148"/>
      <c r="M375" s="149"/>
      <c r="N375" s="148"/>
      <c r="O375" s="150"/>
      <c r="P3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5" s="43" t="str">
        <f>IF(テーブル22[[#This Row],[得点]]="","",IF(テーブル22[[#This Row],[年齢]]&gt;10,LOOKUP(P375,$BG$6:$BG$10,$BD$6:$BD$10),IF(テーブル22[[#This Row],[年齢]]&gt;9,LOOKUP(P375,$BF$6:$BF$10,$BD$6:$BD$10),IF(テーブル22[[#This Row],[年齢]]&gt;8,LOOKUP(P375,$BE$6:$BE$10,$BD$6:$BD$10),IF(テーブル22[[#This Row],[年齢]]&gt;7,LOOKUP(P375,$BC$6:$BC$10,$BD$6:$BD$10),IF(テーブル22[[#This Row],[年齢]]&gt;6,LOOKUP(P375,$BB$6:$BB$10,$BD$6:$BD$10),LOOKUP(P375,$BA$6:$BA$10,$BD$6:$BD$10)))))))</f>
        <v/>
      </c>
      <c r="R375" s="42">
        <f>IF(H375="",0,(IF(テーブル22[[#This Row],[性別]]="男",LOOKUP(テーブル22[[#This Row],[握力]],$AH$6:$AI$15),LOOKUP(テーブル22[[#This Row],[握力]],$AH$20:$AI$29))))</f>
        <v>0</v>
      </c>
      <c r="S375" s="42">
        <f>IF(テーブル22[[#This Row],[上体]]="",0,(IF(テーブル22[[#This Row],[性別]]="男",LOOKUP(テーブル22[[#This Row],[上体]],$AJ$6:$AK$15),LOOKUP(テーブル22[[#This Row],[上体]],$AJ$20:$AK$29))))</f>
        <v>0</v>
      </c>
      <c r="T375" s="42">
        <f>IF(テーブル22[[#This Row],[長座]]="",0,(IF(テーブル22[[#This Row],[性別]]="男",LOOKUP(テーブル22[[#This Row],[長座]],$AL$6:$AM$15),LOOKUP(テーブル22[[#This Row],[長座]],$AL$20:$AM$29))))</f>
        <v>0</v>
      </c>
      <c r="U375" s="42">
        <f>IF(テーブル22[[#This Row],[反復]]="",0,(IF(テーブル22[[#This Row],[性別]]="男",LOOKUP(テーブル22[[#This Row],[反復]],$AN$6:$AO$15),LOOKUP(テーブル22[[#This Row],[反復]],$AN$20:$AO$29))))</f>
        <v>0</v>
      </c>
      <c r="V375" s="42">
        <f>IF(テーブル22[[#This Row],[ｼｬﾄﾙﾗﾝ]]="",0,(IF(テーブル22[[#This Row],[性別]]="男",LOOKUP(テーブル22[[#This Row],[ｼｬﾄﾙﾗﾝ]],$AR$6:$AS$15),LOOKUP(テーブル22[[#This Row],[ｼｬﾄﾙﾗﾝ]],$AR$20:$AS$29))))</f>
        <v>0</v>
      </c>
      <c r="W375" s="42">
        <f>IF(テーブル22[[#This Row],[50m走]]="",0,(IF(テーブル22[[#This Row],[性別]]="男",LOOKUP(テーブル22[[#This Row],[50m走]],$AT$6:$AU$15),LOOKUP(テーブル22[[#This Row],[50m走]],$AT$20:$AU$29))))</f>
        <v>0</v>
      </c>
      <c r="X375" s="42">
        <f>IF(テーブル22[[#This Row],[立幅とび]]="",0,(IF(テーブル22[[#This Row],[性別]]="男",LOOKUP(テーブル22[[#This Row],[立幅とび]],$AV$6:$AW$15),LOOKUP(テーブル22[[#This Row],[立幅とび]],$AV$20:$AW$29))))</f>
        <v>0</v>
      </c>
      <c r="Y375" s="42">
        <f>IF(テーブル22[[#This Row],[ボール投げ]]="",0,(IF(テーブル22[[#This Row],[性別]]="男",LOOKUP(テーブル22[[#This Row],[ボール投げ]],$AX$6:$AY$15),LOOKUP(テーブル22[[#This Row],[ボール投げ]],$AX$20:$AY$29))))</f>
        <v>0</v>
      </c>
      <c r="Z375" s="19" t="str">
        <f>IF(テーブル22[[#This Row],[学年]]=1,6,IF(テーブル22[[#This Row],[学年]]=2,7,IF(テーブル22[[#This Row],[学年]]=3,8,IF(テーブル22[[#This Row],[学年]]=4,9,IF(テーブル22[[#This Row],[学年]]=5,10,IF(テーブル22[[#This Row],[学年]]=6,11," "))))))</f>
        <v xml:space="preserve"> </v>
      </c>
      <c r="AA375" s="125" t="str">
        <f>IF(テーブル22[[#This Row],[肥満度数値]]="","",LOOKUP(AC375,$AW$39:$AW$44,$AX$39:$AX$44))</f>
        <v/>
      </c>
      <c r="AB3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5" s="124" t="str">
        <f>IF(テーブル22[[#This Row],[体重]]="","",(テーブル22[[#This Row],[体重]]-テーブル22[[#This Row],[標準体重]])/テーブル22[[#This Row],[標準体重]]*100)</f>
        <v/>
      </c>
      <c r="AD375" s="1">
        <f>COUNTA(テーブル22[[#This Row],[握力]:[ボール投げ]])</f>
        <v>0</v>
      </c>
      <c r="AE375" s="1" t="str">
        <f>IF(テーブル22[[#This Row],[判定]]=$BD$10,"○","")</f>
        <v/>
      </c>
      <c r="AF375" s="1" t="str">
        <f>IF(AE375="","",COUNTIF($AE$6:AE375,"○"))</f>
        <v/>
      </c>
    </row>
    <row r="376" spans="1:32" x14ac:dyDescent="0.2">
      <c r="A376" s="40">
        <v>371</v>
      </c>
      <c r="B376" s="145"/>
      <c r="C376" s="148"/>
      <c r="D376" s="145"/>
      <c r="E376" s="156"/>
      <c r="F376" s="145"/>
      <c r="G376" s="145"/>
      <c r="H376" s="146"/>
      <c r="I376" s="146"/>
      <c r="J376" s="148"/>
      <c r="K376" s="145"/>
      <c r="L376" s="148"/>
      <c r="M376" s="149"/>
      <c r="N376" s="148"/>
      <c r="O376" s="150"/>
      <c r="P3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6" s="43" t="str">
        <f>IF(テーブル22[[#This Row],[得点]]="","",IF(テーブル22[[#This Row],[年齢]]&gt;10,LOOKUP(P376,$BG$6:$BG$10,$BD$6:$BD$10),IF(テーブル22[[#This Row],[年齢]]&gt;9,LOOKUP(P376,$BF$6:$BF$10,$BD$6:$BD$10),IF(テーブル22[[#This Row],[年齢]]&gt;8,LOOKUP(P376,$BE$6:$BE$10,$BD$6:$BD$10),IF(テーブル22[[#This Row],[年齢]]&gt;7,LOOKUP(P376,$BC$6:$BC$10,$BD$6:$BD$10),IF(テーブル22[[#This Row],[年齢]]&gt;6,LOOKUP(P376,$BB$6:$BB$10,$BD$6:$BD$10),LOOKUP(P376,$BA$6:$BA$10,$BD$6:$BD$10)))))))</f>
        <v/>
      </c>
      <c r="R376" s="42">
        <f>IF(H376="",0,(IF(テーブル22[[#This Row],[性別]]="男",LOOKUP(テーブル22[[#This Row],[握力]],$AH$6:$AI$15),LOOKUP(テーブル22[[#This Row],[握力]],$AH$20:$AI$29))))</f>
        <v>0</v>
      </c>
      <c r="S376" s="42">
        <f>IF(テーブル22[[#This Row],[上体]]="",0,(IF(テーブル22[[#This Row],[性別]]="男",LOOKUP(テーブル22[[#This Row],[上体]],$AJ$6:$AK$15),LOOKUP(テーブル22[[#This Row],[上体]],$AJ$20:$AK$29))))</f>
        <v>0</v>
      </c>
      <c r="T376" s="42">
        <f>IF(テーブル22[[#This Row],[長座]]="",0,(IF(テーブル22[[#This Row],[性別]]="男",LOOKUP(テーブル22[[#This Row],[長座]],$AL$6:$AM$15),LOOKUP(テーブル22[[#This Row],[長座]],$AL$20:$AM$29))))</f>
        <v>0</v>
      </c>
      <c r="U376" s="42">
        <f>IF(テーブル22[[#This Row],[反復]]="",0,(IF(テーブル22[[#This Row],[性別]]="男",LOOKUP(テーブル22[[#This Row],[反復]],$AN$6:$AO$15),LOOKUP(テーブル22[[#This Row],[反復]],$AN$20:$AO$29))))</f>
        <v>0</v>
      </c>
      <c r="V376" s="42">
        <f>IF(テーブル22[[#This Row],[ｼｬﾄﾙﾗﾝ]]="",0,(IF(テーブル22[[#This Row],[性別]]="男",LOOKUP(テーブル22[[#This Row],[ｼｬﾄﾙﾗﾝ]],$AR$6:$AS$15),LOOKUP(テーブル22[[#This Row],[ｼｬﾄﾙﾗﾝ]],$AR$20:$AS$29))))</f>
        <v>0</v>
      </c>
      <c r="W376" s="42">
        <f>IF(テーブル22[[#This Row],[50m走]]="",0,(IF(テーブル22[[#This Row],[性別]]="男",LOOKUP(テーブル22[[#This Row],[50m走]],$AT$6:$AU$15),LOOKUP(テーブル22[[#This Row],[50m走]],$AT$20:$AU$29))))</f>
        <v>0</v>
      </c>
      <c r="X376" s="42">
        <f>IF(テーブル22[[#This Row],[立幅とび]]="",0,(IF(テーブル22[[#This Row],[性別]]="男",LOOKUP(テーブル22[[#This Row],[立幅とび]],$AV$6:$AW$15),LOOKUP(テーブル22[[#This Row],[立幅とび]],$AV$20:$AW$29))))</f>
        <v>0</v>
      </c>
      <c r="Y376" s="42">
        <f>IF(テーブル22[[#This Row],[ボール投げ]]="",0,(IF(テーブル22[[#This Row],[性別]]="男",LOOKUP(テーブル22[[#This Row],[ボール投げ]],$AX$6:$AY$15),LOOKUP(テーブル22[[#This Row],[ボール投げ]],$AX$20:$AY$29))))</f>
        <v>0</v>
      </c>
      <c r="Z376" s="19" t="str">
        <f>IF(テーブル22[[#This Row],[学年]]=1,6,IF(テーブル22[[#This Row],[学年]]=2,7,IF(テーブル22[[#This Row],[学年]]=3,8,IF(テーブル22[[#This Row],[学年]]=4,9,IF(テーブル22[[#This Row],[学年]]=5,10,IF(テーブル22[[#This Row],[学年]]=6,11," "))))))</f>
        <v xml:space="preserve"> </v>
      </c>
      <c r="AA376" s="125" t="str">
        <f>IF(テーブル22[[#This Row],[肥満度数値]]="","",LOOKUP(AC376,$AW$39:$AW$44,$AX$39:$AX$44))</f>
        <v/>
      </c>
      <c r="AB3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6" s="124" t="str">
        <f>IF(テーブル22[[#This Row],[体重]]="","",(テーブル22[[#This Row],[体重]]-テーブル22[[#This Row],[標準体重]])/テーブル22[[#This Row],[標準体重]]*100)</f>
        <v/>
      </c>
      <c r="AD376" s="1">
        <f>COUNTA(テーブル22[[#This Row],[握力]:[ボール投げ]])</f>
        <v>0</v>
      </c>
      <c r="AE376" s="1" t="str">
        <f>IF(テーブル22[[#This Row],[判定]]=$BD$10,"○","")</f>
        <v/>
      </c>
      <c r="AF376" s="1" t="str">
        <f>IF(AE376="","",COUNTIF($AE$6:AE376,"○"))</f>
        <v/>
      </c>
    </row>
    <row r="377" spans="1:32" x14ac:dyDescent="0.2">
      <c r="A377" s="40">
        <v>372</v>
      </c>
      <c r="B377" s="145"/>
      <c r="C377" s="148"/>
      <c r="D377" s="145"/>
      <c r="E377" s="156"/>
      <c r="F377" s="145"/>
      <c r="G377" s="145"/>
      <c r="H377" s="146"/>
      <c r="I377" s="146"/>
      <c r="J377" s="148"/>
      <c r="K377" s="145"/>
      <c r="L377" s="148"/>
      <c r="M377" s="149"/>
      <c r="N377" s="148"/>
      <c r="O377" s="150"/>
      <c r="P3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7" s="43" t="str">
        <f>IF(テーブル22[[#This Row],[得点]]="","",IF(テーブル22[[#This Row],[年齢]]&gt;10,LOOKUP(P377,$BG$6:$BG$10,$BD$6:$BD$10),IF(テーブル22[[#This Row],[年齢]]&gt;9,LOOKUP(P377,$BF$6:$BF$10,$BD$6:$BD$10),IF(テーブル22[[#This Row],[年齢]]&gt;8,LOOKUP(P377,$BE$6:$BE$10,$BD$6:$BD$10),IF(テーブル22[[#This Row],[年齢]]&gt;7,LOOKUP(P377,$BC$6:$BC$10,$BD$6:$BD$10),IF(テーブル22[[#This Row],[年齢]]&gt;6,LOOKUP(P377,$BB$6:$BB$10,$BD$6:$BD$10),LOOKUP(P377,$BA$6:$BA$10,$BD$6:$BD$10)))))))</f>
        <v/>
      </c>
      <c r="R377" s="42">
        <f>IF(H377="",0,(IF(テーブル22[[#This Row],[性別]]="男",LOOKUP(テーブル22[[#This Row],[握力]],$AH$6:$AI$15),LOOKUP(テーブル22[[#This Row],[握力]],$AH$20:$AI$29))))</f>
        <v>0</v>
      </c>
      <c r="S377" s="42">
        <f>IF(テーブル22[[#This Row],[上体]]="",0,(IF(テーブル22[[#This Row],[性別]]="男",LOOKUP(テーブル22[[#This Row],[上体]],$AJ$6:$AK$15),LOOKUP(テーブル22[[#This Row],[上体]],$AJ$20:$AK$29))))</f>
        <v>0</v>
      </c>
      <c r="T377" s="42">
        <f>IF(テーブル22[[#This Row],[長座]]="",0,(IF(テーブル22[[#This Row],[性別]]="男",LOOKUP(テーブル22[[#This Row],[長座]],$AL$6:$AM$15),LOOKUP(テーブル22[[#This Row],[長座]],$AL$20:$AM$29))))</f>
        <v>0</v>
      </c>
      <c r="U377" s="42">
        <f>IF(テーブル22[[#This Row],[反復]]="",0,(IF(テーブル22[[#This Row],[性別]]="男",LOOKUP(テーブル22[[#This Row],[反復]],$AN$6:$AO$15),LOOKUP(テーブル22[[#This Row],[反復]],$AN$20:$AO$29))))</f>
        <v>0</v>
      </c>
      <c r="V377" s="42">
        <f>IF(テーブル22[[#This Row],[ｼｬﾄﾙﾗﾝ]]="",0,(IF(テーブル22[[#This Row],[性別]]="男",LOOKUP(テーブル22[[#This Row],[ｼｬﾄﾙﾗﾝ]],$AR$6:$AS$15),LOOKUP(テーブル22[[#This Row],[ｼｬﾄﾙﾗﾝ]],$AR$20:$AS$29))))</f>
        <v>0</v>
      </c>
      <c r="W377" s="42">
        <f>IF(テーブル22[[#This Row],[50m走]]="",0,(IF(テーブル22[[#This Row],[性別]]="男",LOOKUP(テーブル22[[#This Row],[50m走]],$AT$6:$AU$15),LOOKUP(テーブル22[[#This Row],[50m走]],$AT$20:$AU$29))))</f>
        <v>0</v>
      </c>
      <c r="X377" s="42">
        <f>IF(テーブル22[[#This Row],[立幅とび]]="",0,(IF(テーブル22[[#This Row],[性別]]="男",LOOKUP(テーブル22[[#This Row],[立幅とび]],$AV$6:$AW$15),LOOKUP(テーブル22[[#This Row],[立幅とび]],$AV$20:$AW$29))))</f>
        <v>0</v>
      </c>
      <c r="Y377" s="42">
        <f>IF(テーブル22[[#This Row],[ボール投げ]]="",0,(IF(テーブル22[[#This Row],[性別]]="男",LOOKUP(テーブル22[[#This Row],[ボール投げ]],$AX$6:$AY$15),LOOKUP(テーブル22[[#This Row],[ボール投げ]],$AX$20:$AY$29))))</f>
        <v>0</v>
      </c>
      <c r="Z377" s="19" t="str">
        <f>IF(テーブル22[[#This Row],[学年]]=1,6,IF(テーブル22[[#This Row],[学年]]=2,7,IF(テーブル22[[#This Row],[学年]]=3,8,IF(テーブル22[[#This Row],[学年]]=4,9,IF(テーブル22[[#This Row],[学年]]=5,10,IF(テーブル22[[#This Row],[学年]]=6,11," "))))))</f>
        <v xml:space="preserve"> </v>
      </c>
      <c r="AA377" s="125" t="str">
        <f>IF(テーブル22[[#This Row],[肥満度数値]]="","",LOOKUP(AC377,$AW$39:$AW$44,$AX$39:$AX$44))</f>
        <v/>
      </c>
      <c r="AB3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7" s="124" t="str">
        <f>IF(テーブル22[[#This Row],[体重]]="","",(テーブル22[[#This Row],[体重]]-テーブル22[[#This Row],[標準体重]])/テーブル22[[#This Row],[標準体重]]*100)</f>
        <v/>
      </c>
      <c r="AD377" s="1">
        <f>COUNTA(テーブル22[[#This Row],[握力]:[ボール投げ]])</f>
        <v>0</v>
      </c>
      <c r="AE377" s="1" t="str">
        <f>IF(テーブル22[[#This Row],[判定]]=$BD$10,"○","")</f>
        <v/>
      </c>
      <c r="AF377" s="1" t="str">
        <f>IF(AE377="","",COUNTIF($AE$6:AE377,"○"))</f>
        <v/>
      </c>
    </row>
    <row r="378" spans="1:32" x14ac:dyDescent="0.2">
      <c r="A378" s="40">
        <v>373</v>
      </c>
      <c r="B378" s="145"/>
      <c r="C378" s="148"/>
      <c r="D378" s="145"/>
      <c r="E378" s="156"/>
      <c r="F378" s="145"/>
      <c r="G378" s="145"/>
      <c r="H378" s="146"/>
      <c r="I378" s="146"/>
      <c r="J378" s="148"/>
      <c r="K378" s="145"/>
      <c r="L378" s="148"/>
      <c r="M378" s="149"/>
      <c r="N378" s="148"/>
      <c r="O378" s="150"/>
      <c r="P3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8" s="43" t="str">
        <f>IF(テーブル22[[#This Row],[得点]]="","",IF(テーブル22[[#This Row],[年齢]]&gt;10,LOOKUP(P378,$BG$6:$BG$10,$BD$6:$BD$10),IF(テーブル22[[#This Row],[年齢]]&gt;9,LOOKUP(P378,$BF$6:$BF$10,$BD$6:$BD$10),IF(テーブル22[[#This Row],[年齢]]&gt;8,LOOKUP(P378,$BE$6:$BE$10,$BD$6:$BD$10),IF(テーブル22[[#This Row],[年齢]]&gt;7,LOOKUP(P378,$BC$6:$BC$10,$BD$6:$BD$10),IF(テーブル22[[#This Row],[年齢]]&gt;6,LOOKUP(P378,$BB$6:$BB$10,$BD$6:$BD$10),LOOKUP(P378,$BA$6:$BA$10,$BD$6:$BD$10)))))))</f>
        <v/>
      </c>
      <c r="R378" s="42">
        <f>IF(H378="",0,(IF(テーブル22[[#This Row],[性別]]="男",LOOKUP(テーブル22[[#This Row],[握力]],$AH$6:$AI$15),LOOKUP(テーブル22[[#This Row],[握力]],$AH$20:$AI$29))))</f>
        <v>0</v>
      </c>
      <c r="S378" s="42">
        <f>IF(テーブル22[[#This Row],[上体]]="",0,(IF(テーブル22[[#This Row],[性別]]="男",LOOKUP(テーブル22[[#This Row],[上体]],$AJ$6:$AK$15),LOOKUP(テーブル22[[#This Row],[上体]],$AJ$20:$AK$29))))</f>
        <v>0</v>
      </c>
      <c r="T378" s="42">
        <f>IF(テーブル22[[#This Row],[長座]]="",0,(IF(テーブル22[[#This Row],[性別]]="男",LOOKUP(テーブル22[[#This Row],[長座]],$AL$6:$AM$15),LOOKUP(テーブル22[[#This Row],[長座]],$AL$20:$AM$29))))</f>
        <v>0</v>
      </c>
      <c r="U378" s="42">
        <f>IF(テーブル22[[#This Row],[反復]]="",0,(IF(テーブル22[[#This Row],[性別]]="男",LOOKUP(テーブル22[[#This Row],[反復]],$AN$6:$AO$15),LOOKUP(テーブル22[[#This Row],[反復]],$AN$20:$AO$29))))</f>
        <v>0</v>
      </c>
      <c r="V378" s="42">
        <f>IF(テーブル22[[#This Row],[ｼｬﾄﾙﾗﾝ]]="",0,(IF(テーブル22[[#This Row],[性別]]="男",LOOKUP(テーブル22[[#This Row],[ｼｬﾄﾙﾗﾝ]],$AR$6:$AS$15),LOOKUP(テーブル22[[#This Row],[ｼｬﾄﾙﾗﾝ]],$AR$20:$AS$29))))</f>
        <v>0</v>
      </c>
      <c r="W378" s="42">
        <f>IF(テーブル22[[#This Row],[50m走]]="",0,(IF(テーブル22[[#This Row],[性別]]="男",LOOKUP(テーブル22[[#This Row],[50m走]],$AT$6:$AU$15),LOOKUP(テーブル22[[#This Row],[50m走]],$AT$20:$AU$29))))</f>
        <v>0</v>
      </c>
      <c r="X378" s="42">
        <f>IF(テーブル22[[#This Row],[立幅とび]]="",0,(IF(テーブル22[[#This Row],[性別]]="男",LOOKUP(テーブル22[[#This Row],[立幅とび]],$AV$6:$AW$15),LOOKUP(テーブル22[[#This Row],[立幅とび]],$AV$20:$AW$29))))</f>
        <v>0</v>
      </c>
      <c r="Y378" s="42">
        <f>IF(テーブル22[[#This Row],[ボール投げ]]="",0,(IF(テーブル22[[#This Row],[性別]]="男",LOOKUP(テーブル22[[#This Row],[ボール投げ]],$AX$6:$AY$15),LOOKUP(テーブル22[[#This Row],[ボール投げ]],$AX$20:$AY$29))))</f>
        <v>0</v>
      </c>
      <c r="Z378" s="19" t="str">
        <f>IF(テーブル22[[#This Row],[学年]]=1,6,IF(テーブル22[[#This Row],[学年]]=2,7,IF(テーブル22[[#This Row],[学年]]=3,8,IF(テーブル22[[#This Row],[学年]]=4,9,IF(テーブル22[[#This Row],[学年]]=5,10,IF(テーブル22[[#This Row],[学年]]=6,11," "))))))</f>
        <v xml:space="preserve"> </v>
      </c>
      <c r="AA378" s="125" t="str">
        <f>IF(テーブル22[[#This Row],[肥満度数値]]="","",LOOKUP(AC378,$AW$39:$AW$44,$AX$39:$AX$44))</f>
        <v/>
      </c>
      <c r="AB3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8" s="124" t="str">
        <f>IF(テーブル22[[#This Row],[体重]]="","",(テーブル22[[#This Row],[体重]]-テーブル22[[#This Row],[標準体重]])/テーブル22[[#This Row],[標準体重]]*100)</f>
        <v/>
      </c>
      <c r="AD378" s="1">
        <f>COUNTA(テーブル22[[#This Row],[握力]:[ボール投げ]])</f>
        <v>0</v>
      </c>
      <c r="AE378" s="1" t="str">
        <f>IF(テーブル22[[#This Row],[判定]]=$BD$10,"○","")</f>
        <v/>
      </c>
      <c r="AF378" s="1" t="str">
        <f>IF(AE378="","",COUNTIF($AE$6:AE378,"○"))</f>
        <v/>
      </c>
    </row>
    <row r="379" spans="1:32" x14ac:dyDescent="0.2">
      <c r="A379" s="40">
        <v>374</v>
      </c>
      <c r="B379" s="145"/>
      <c r="C379" s="148"/>
      <c r="D379" s="145"/>
      <c r="E379" s="156"/>
      <c r="F379" s="145"/>
      <c r="G379" s="145"/>
      <c r="H379" s="146"/>
      <c r="I379" s="146"/>
      <c r="J379" s="148"/>
      <c r="K379" s="145"/>
      <c r="L379" s="148"/>
      <c r="M379" s="149"/>
      <c r="N379" s="148"/>
      <c r="O379" s="150"/>
      <c r="P3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79" s="43" t="str">
        <f>IF(テーブル22[[#This Row],[得点]]="","",IF(テーブル22[[#This Row],[年齢]]&gt;10,LOOKUP(P379,$BG$6:$BG$10,$BD$6:$BD$10),IF(テーブル22[[#This Row],[年齢]]&gt;9,LOOKUP(P379,$BF$6:$BF$10,$BD$6:$BD$10),IF(テーブル22[[#This Row],[年齢]]&gt;8,LOOKUP(P379,$BE$6:$BE$10,$BD$6:$BD$10),IF(テーブル22[[#This Row],[年齢]]&gt;7,LOOKUP(P379,$BC$6:$BC$10,$BD$6:$BD$10),IF(テーブル22[[#This Row],[年齢]]&gt;6,LOOKUP(P379,$BB$6:$BB$10,$BD$6:$BD$10),LOOKUP(P379,$BA$6:$BA$10,$BD$6:$BD$10)))))))</f>
        <v/>
      </c>
      <c r="R379" s="42">
        <f>IF(H379="",0,(IF(テーブル22[[#This Row],[性別]]="男",LOOKUP(テーブル22[[#This Row],[握力]],$AH$6:$AI$15),LOOKUP(テーブル22[[#This Row],[握力]],$AH$20:$AI$29))))</f>
        <v>0</v>
      </c>
      <c r="S379" s="42">
        <f>IF(テーブル22[[#This Row],[上体]]="",0,(IF(テーブル22[[#This Row],[性別]]="男",LOOKUP(テーブル22[[#This Row],[上体]],$AJ$6:$AK$15),LOOKUP(テーブル22[[#This Row],[上体]],$AJ$20:$AK$29))))</f>
        <v>0</v>
      </c>
      <c r="T379" s="42">
        <f>IF(テーブル22[[#This Row],[長座]]="",0,(IF(テーブル22[[#This Row],[性別]]="男",LOOKUP(テーブル22[[#This Row],[長座]],$AL$6:$AM$15),LOOKUP(テーブル22[[#This Row],[長座]],$AL$20:$AM$29))))</f>
        <v>0</v>
      </c>
      <c r="U379" s="42">
        <f>IF(テーブル22[[#This Row],[反復]]="",0,(IF(テーブル22[[#This Row],[性別]]="男",LOOKUP(テーブル22[[#This Row],[反復]],$AN$6:$AO$15),LOOKUP(テーブル22[[#This Row],[反復]],$AN$20:$AO$29))))</f>
        <v>0</v>
      </c>
      <c r="V379" s="42">
        <f>IF(テーブル22[[#This Row],[ｼｬﾄﾙﾗﾝ]]="",0,(IF(テーブル22[[#This Row],[性別]]="男",LOOKUP(テーブル22[[#This Row],[ｼｬﾄﾙﾗﾝ]],$AR$6:$AS$15),LOOKUP(テーブル22[[#This Row],[ｼｬﾄﾙﾗﾝ]],$AR$20:$AS$29))))</f>
        <v>0</v>
      </c>
      <c r="W379" s="42">
        <f>IF(テーブル22[[#This Row],[50m走]]="",0,(IF(テーブル22[[#This Row],[性別]]="男",LOOKUP(テーブル22[[#This Row],[50m走]],$AT$6:$AU$15),LOOKUP(テーブル22[[#This Row],[50m走]],$AT$20:$AU$29))))</f>
        <v>0</v>
      </c>
      <c r="X379" s="42">
        <f>IF(テーブル22[[#This Row],[立幅とび]]="",0,(IF(テーブル22[[#This Row],[性別]]="男",LOOKUP(テーブル22[[#This Row],[立幅とび]],$AV$6:$AW$15),LOOKUP(テーブル22[[#This Row],[立幅とび]],$AV$20:$AW$29))))</f>
        <v>0</v>
      </c>
      <c r="Y379" s="42">
        <f>IF(テーブル22[[#This Row],[ボール投げ]]="",0,(IF(テーブル22[[#This Row],[性別]]="男",LOOKUP(テーブル22[[#This Row],[ボール投げ]],$AX$6:$AY$15),LOOKUP(テーブル22[[#This Row],[ボール投げ]],$AX$20:$AY$29))))</f>
        <v>0</v>
      </c>
      <c r="Z379" s="19" t="str">
        <f>IF(テーブル22[[#This Row],[学年]]=1,6,IF(テーブル22[[#This Row],[学年]]=2,7,IF(テーブル22[[#This Row],[学年]]=3,8,IF(テーブル22[[#This Row],[学年]]=4,9,IF(テーブル22[[#This Row],[学年]]=5,10,IF(テーブル22[[#This Row],[学年]]=6,11," "))))))</f>
        <v xml:space="preserve"> </v>
      </c>
      <c r="AA379" s="125" t="str">
        <f>IF(テーブル22[[#This Row],[肥満度数値]]="","",LOOKUP(AC379,$AW$39:$AW$44,$AX$39:$AX$44))</f>
        <v/>
      </c>
      <c r="AB3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79" s="124" t="str">
        <f>IF(テーブル22[[#This Row],[体重]]="","",(テーブル22[[#This Row],[体重]]-テーブル22[[#This Row],[標準体重]])/テーブル22[[#This Row],[標準体重]]*100)</f>
        <v/>
      </c>
      <c r="AD379" s="1">
        <f>COUNTA(テーブル22[[#This Row],[握力]:[ボール投げ]])</f>
        <v>0</v>
      </c>
      <c r="AE379" s="1" t="str">
        <f>IF(テーブル22[[#This Row],[判定]]=$BD$10,"○","")</f>
        <v/>
      </c>
      <c r="AF379" s="1" t="str">
        <f>IF(AE379="","",COUNTIF($AE$6:AE379,"○"))</f>
        <v/>
      </c>
    </row>
    <row r="380" spans="1:32" x14ac:dyDescent="0.2">
      <c r="A380" s="40">
        <v>375</v>
      </c>
      <c r="B380" s="145"/>
      <c r="C380" s="148"/>
      <c r="D380" s="145"/>
      <c r="E380" s="156"/>
      <c r="F380" s="145"/>
      <c r="G380" s="145"/>
      <c r="H380" s="146"/>
      <c r="I380" s="146"/>
      <c r="J380" s="148"/>
      <c r="K380" s="145"/>
      <c r="L380" s="148"/>
      <c r="M380" s="149"/>
      <c r="N380" s="148"/>
      <c r="O380" s="150"/>
      <c r="P3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0" s="43" t="str">
        <f>IF(テーブル22[[#This Row],[得点]]="","",IF(テーブル22[[#This Row],[年齢]]&gt;10,LOOKUP(P380,$BG$6:$BG$10,$BD$6:$BD$10),IF(テーブル22[[#This Row],[年齢]]&gt;9,LOOKUP(P380,$BF$6:$BF$10,$BD$6:$BD$10),IF(テーブル22[[#This Row],[年齢]]&gt;8,LOOKUP(P380,$BE$6:$BE$10,$BD$6:$BD$10),IF(テーブル22[[#This Row],[年齢]]&gt;7,LOOKUP(P380,$BC$6:$BC$10,$BD$6:$BD$10),IF(テーブル22[[#This Row],[年齢]]&gt;6,LOOKUP(P380,$BB$6:$BB$10,$BD$6:$BD$10),LOOKUP(P380,$BA$6:$BA$10,$BD$6:$BD$10)))))))</f>
        <v/>
      </c>
      <c r="R380" s="42">
        <f>IF(H380="",0,(IF(テーブル22[[#This Row],[性別]]="男",LOOKUP(テーブル22[[#This Row],[握力]],$AH$6:$AI$15),LOOKUP(テーブル22[[#This Row],[握力]],$AH$20:$AI$29))))</f>
        <v>0</v>
      </c>
      <c r="S380" s="42">
        <f>IF(テーブル22[[#This Row],[上体]]="",0,(IF(テーブル22[[#This Row],[性別]]="男",LOOKUP(テーブル22[[#This Row],[上体]],$AJ$6:$AK$15),LOOKUP(テーブル22[[#This Row],[上体]],$AJ$20:$AK$29))))</f>
        <v>0</v>
      </c>
      <c r="T380" s="42">
        <f>IF(テーブル22[[#This Row],[長座]]="",0,(IF(テーブル22[[#This Row],[性別]]="男",LOOKUP(テーブル22[[#This Row],[長座]],$AL$6:$AM$15),LOOKUP(テーブル22[[#This Row],[長座]],$AL$20:$AM$29))))</f>
        <v>0</v>
      </c>
      <c r="U380" s="42">
        <f>IF(テーブル22[[#This Row],[反復]]="",0,(IF(テーブル22[[#This Row],[性別]]="男",LOOKUP(テーブル22[[#This Row],[反復]],$AN$6:$AO$15),LOOKUP(テーブル22[[#This Row],[反復]],$AN$20:$AO$29))))</f>
        <v>0</v>
      </c>
      <c r="V380" s="42">
        <f>IF(テーブル22[[#This Row],[ｼｬﾄﾙﾗﾝ]]="",0,(IF(テーブル22[[#This Row],[性別]]="男",LOOKUP(テーブル22[[#This Row],[ｼｬﾄﾙﾗﾝ]],$AR$6:$AS$15),LOOKUP(テーブル22[[#This Row],[ｼｬﾄﾙﾗﾝ]],$AR$20:$AS$29))))</f>
        <v>0</v>
      </c>
      <c r="W380" s="42">
        <f>IF(テーブル22[[#This Row],[50m走]]="",0,(IF(テーブル22[[#This Row],[性別]]="男",LOOKUP(テーブル22[[#This Row],[50m走]],$AT$6:$AU$15),LOOKUP(テーブル22[[#This Row],[50m走]],$AT$20:$AU$29))))</f>
        <v>0</v>
      </c>
      <c r="X380" s="42">
        <f>IF(テーブル22[[#This Row],[立幅とび]]="",0,(IF(テーブル22[[#This Row],[性別]]="男",LOOKUP(テーブル22[[#This Row],[立幅とび]],$AV$6:$AW$15),LOOKUP(テーブル22[[#This Row],[立幅とび]],$AV$20:$AW$29))))</f>
        <v>0</v>
      </c>
      <c r="Y380" s="42">
        <f>IF(テーブル22[[#This Row],[ボール投げ]]="",0,(IF(テーブル22[[#This Row],[性別]]="男",LOOKUP(テーブル22[[#This Row],[ボール投げ]],$AX$6:$AY$15),LOOKUP(テーブル22[[#This Row],[ボール投げ]],$AX$20:$AY$29))))</f>
        <v>0</v>
      </c>
      <c r="Z380" s="19" t="str">
        <f>IF(テーブル22[[#This Row],[学年]]=1,6,IF(テーブル22[[#This Row],[学年]]=2,7,IF(テーブル22[[#This Row],[学年]]=3,8,IF(テーブル22[[#This Row],[学年]]=4,9,IF(テーブル22[[#This Row],[学年]]=5,10,IF(テーブル22[[#This Row],[学年]]=6,11," "))))))</f>
        <v xml:space="preserve"> </v>
      </c>
      <c r="AA380" s="125" t="str">
        <f>IF(テーブル22[[#This Row],[肥満度数値]]="","",LOOKUP(AC380,$AW$39:$AW$44,$AX$39:$AX$44))</f>
        <v/>
      </c>
      <c r="AB3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0" s="124" t="str">
        <f>IF(テーブル22[[#This Row],[体重]]="","",(テーブル22[[#This Row],[体重]]-テーブル22[[#This Row],[標準体重]])/テーブル22[[#This Row],[標準体重]]*100)</f>
        <v/>
      </c>
      <c r="AD380" s="1">
        <f>COUNTA(テーブル22[[#This Row],[握力]:[ボール投げ]])</f>
        <v>0</v>
      </c>
      <c r="AE380" s="1" t="str">
        <f>IF(テーブル22[[#This Row],[判定]]=$BD$10,"○","")</f>
        <v/>
      </c>
      <c r="AF380" s="1" t="str">
        <f>IF(AE380="","",COUNTIF($AE$6:AE380,"○"))</f>
        <v/>
      </c>
    </row>
    <row r="381" spans="1:32" x14ac:dyDescent="0.2">
      <c r="A381" s="40">
        <v>376</v>
      </c>
      <c r="B381" s="145"/>
      <c r="C381" s="148"/>
      <c r="D381" s="145"/>
      <c r="E381" s="156"/>
      <c r="F381" s="145"/>
      <c r="G381" s="145"/>
      <c r="H381" s="146"/>
      <c r="I381" s="146"/>
      <c r="J381" s="148"/>
      <c r="K381" s="145"/>
      <c r="L381" s="148"/>
      <c r="M381" s="149"/>
      <c r="N381" s="148"/>
      <c r="O381" s="150"/>
      <c r="P3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1" s="43" t="str">
        <f>IF(テーブル22[[#This Row],[得点]]="","",IF(テーブル22[[#This Row],[年齢]]&gt;10,LOOKUP(P381,$BG$6:$BG$10,$BD$6:$BD$10),IF(テーブル22[[#This Row],[年齢]]&gt;9,LOOKUP(P381,$BF$6:$BF$10,$BD$6:$BD$10),IF(テーブル22[[#This Row],[年齢]]&gt;8,LOOKUP(P381,$BE$6:$BE$10,$BD$6:$BD$10),IF(テーブル22[[#This Row],[年齢]]&gt;7,LOOKUP(P381,$BC$6:$BC$10,$BD$6:$BD$10),IF(テーブル22[[#This Row],[年齢]]&gt;6,LOOKUP(P381,$BB$6:$BB$10,$BD$6:$BD$10),LOOKUP(P381,$BA$6:$BA$10,$BD$6:$BD$10)))))))</f>
        <v/>
      </c>
      <c r="R381" s="42">
        <f>IF(H381="",0,(IF(テーブル22[[#This Row],[性別]]="男",LOOKUP(テーブル22[[#This Row],[握力]],$AH$6:$AI$15),LOOKUP(テーブル22[[#This Row],[握力]],$AH$20:$AI$29))))</f>
        <v>0</v>
      </c>
      <c r="S381" s="42">
        <f>IF(テーブル22[[#This Row],[上体]]="",0,(IF(テーブル22[[#This Row],[性別]]="男",LOOKUP(テーブル22[[#This Row],[上体]],$AJ$6:$AK$15),LOOKUP(テーブル22[[#This Row],[上体]],$AJ$20:$AK$29))))</f>
        <v>0</v>
      </c>
      <c r="T381" s="42">
        <f>IF(テーブル22[[#This Row],[長座]]="",0,(IF(テーブル22[[#This Row],[性別]]="男",LOOKUP(テーブル22[[#This Row],[長座]],$AL$6:$AM$15),LOOKUP(テーブル22[[#This Row],[長座]],$AL$20:$AM$29))))</f>
        <v>0</v>
      </c>
      <c r="U381" s="42">
        <f>IF(テーブル22[[#This Row],[反復]]="",0,(IF(テーブル22[[#This Row],[性別]]="男",LOOKUP(テーブル22[[#This Row],[反復]],$AN$6:$AO$15),LOOKUP(テーブル22[[#This Row],[反復]],$AN$20:$AO$29))))</f>
        <v>0</v>
      </c>
      <c r="V381" s="42">
        <f>IF(テーブル22[[#This Row],[ｼｬﾄﾙﾗﾝ]]="",0,(IF(テーブル22[[#This Row],[性別]]="男",LOOKUP(テーブル22[[#This Row],[ｼｬﾄﾙﾗﾝ]],$AR$6:$AS$15),LOOKUP(テーブル22[[#This Row],[ｼｬﾄﾙﾗﾝ]],$AR$20:$AS$29))))</f>
        <v>0</v>
      </c>
      <c r="W381" s="42">
        <f>IF(テーブル22[[#This Row],[50m走]]="",0,(IF(テーブル22[[#This Row],[性別]]="男",LOOKUP(テーブル22[[#This Row],[50m走]],$AT$6:$AU$15),LOOKUP(テーブル22[[#This Row],[50m走]],$AT$20:$AU$29))))</f>
        <v>0</v>
      </c>
      <c r="X381" s="42">
        <f>IF(テーブル22[[#This Row],[立幅とび]]="",0,(IF(テーブル22[[#This Row],[性別]]="男",LOOKUP(テーブル22[[#This Row],[立幅とび]],$AV$6:$AW$15),LOOKUP(テーブル22[[#This Row],[立幅とび]],$AV$20:$AW$29))))</f>
        <v>0</v>
      </c>
      <c r="Y381" s="42">
        <f>IF(テーブル22[[#This Row],[ボール投げ]]="",0,(IF(テーブル22[[#This Row],[性別]]="男",LOOKUP(テーブル22[[#This Row],[ボール投げ]],$AX$6:$AY$15),LOOKUP(テーブル22[[#This Row],[ボール投げ]],$AX$20:$AY$29))))</f>
        <v>0</v>
      </c>
      <c r="Z381" s="19" t="str">
        <f>IF(テーブル22[[#This Row],[学年]]=1,6,IF(テーブル22[[#This Row],[学年]]=2,7,IF(テーブル22[[#This Row],[学年]]=3,8,IF(テーブル22[[#This Row],[学年]]=4,9,IF(テーブル22[[#This Row],[学年]]=5,10,IF(テーブル22[[#This Row],[学年]]=6,11," "))))))</f>
        <v xml:space="preserve"> </v>
      </c>
      <c r="AA381" s="125" t="str">
        <f>IF(テーブル22[[#This Row],[肥満度数値]]="","",LOOKUP(AC381,$AW$39:$AW$44,$AX$39:$AX$44))</f>
        <v/>
      </c>
      <c r="AB3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1" s="124" t="str">
        <f>IF(テーブル22[[#This Row],[体重]]="","",(テーブル22[[#This Row],[体重]]-テーブル22[[#This Row],[標準体重]])/テーブル22[[#This Row],[標準体重]]*100)</f>
        <v/>
      </c>
      <c r="AD381" s="1">
        <f>COUNTA(テーブル22[[#This Row],[握力]:[ボール投げ]])</f>
        <v>0</v>
      </c>
      <c r="AE381" s="1" t="str">
        <f>IF(テーブル22[[#This Row],[判定]]=$BD$10,"○","")</f>
        <v/>
      </c>
      <c r="AF381" s="1" t="str">
        <f>IF(AE381="","",COUNTIF($AE$6:AE381,"○"))</f>
        <v/>
      </c>
    </row>
    <row r="382" spans="1:32" x14ac:dyDescent="0.2">
      <c r="A382" s="40">
        <v>377</v>
      </c>
      <c r="B382" s="145"/>
      <c r="C382" s="148"/>
      <c r="D382" s="145"/>
      <c r="E382" s="156"/>
      <c r="F382" s="145"/>
      <c r="G382" s="145"/>
      <c r="H382" s="146"/>
      <c r="I382" s="146"/>
      <c r="J382" s="148"/>
      <c r="K382" s="145"/>
      <c r="L382" s="148"/>
      <c r="M382" s="149"/>
      <c r="N382" s="148"/>
      <c r="O382" s="150"/>
      <c r="P3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2" s="43" t="str">
        <f>IF(テーブル22[[#This Row],[得点]]="","",IF(テーブル22[[#This Row],[年齢]]&gt;10,LOOKUP(P382,$BG$6:$BG$10,$BD$6:$BD$10),IF(テーブル22[[#This Row],[年齢]]&gt;9,LOOKUP(P382,$BF$6:$BF$10,$BD$6:$BD$10),IF(テーブル22[[#This Row],[年齢]]&gt;8,LOOKUP(P382,$BE$6:$BE$10,$BD$6:$BD$10),IF(テーブル22[[#This Row],[年齢]]&gt;7,LOOKUP(P382,$BC$6:$BC$10,$BD$6:$BD$10),IF(テーブル22[[#This Row],[年齢]]&gt;6,LOOKUP(P382,$BB$6:$BB$10,$BD$6:$BD$10),LOOKUP(P382,$BA$6:$BA$10,$BD$6:$BD$10)))))))</f>
        <v/>
      </c>
      <c r="R382" s="42">
        <f>IF(H382="",0,(IF(テーブル22[[#This Row],[性別]]="男",LOOKUP(テーブル22[[#This Row],[握力]],$AH$6:$AI$15),LOOKUP(テーブル22[[#This Row],[握力]],$AH$20:$AI$29))))</f>
        <v>0</v>
      </c>
      <c r="S382" s="42">
        <f>IF(テーブル22[[#This Row],[上体]]="",0,(IF(テーブル22[[#This Row],[性別]]="男",LOOKUP(テーブル22[[#This Row],[上体]],$AJ$6:$AK$15),LOOKUP(テーブル22[[#This Row],[上体]],$AJ$20:$AK$29))))</f>
        <v>0</v>
      </c>
      <c r="T382" s="42">
        <f>IF(テーブル22[[#This Row],[長座]]="",0,(IF(テーブル22[[#This Row],[性別]]="男",LOOKUP(テーブル22[[#This Row],[長座]],$AL$6:$AM$15),LOOKUP(テーブル22[[#This Row],[長座]],$AL$20:$AM$29))))</f>
        <v>0</v>
      </c>
      <c r="U382" s="42">
        <f>IF(テーブル22[[#This Row],[反復]]="",0,(IF(テーブル22[[#This Row],[性別]]="男",LOOKUP(テーブル22[[#This Row],[反復]],$AN$6:$AO$15),LOOKUP(テーブル22[[#This Row],[反復]],$AN$20:$AO$29))))</f>
        <v>0</v>
      </c>
      <c r="V382" s="42">
        <f>IF(テーブル22[[#This Row],[ｼｬﾄﾙﾗﾝ]]="",0,(IF(テーブル22[[#This Row],[性別]]="男",LOOKUP(テーブル22[[#This Row],[ｼｬﾄﾙﾗﾝ]],$AR$6:$AS$15),LOOKUP(テーブル22[[#This Row],[ｼｬﾄﾙﾗﾝ]],$AR$20:$AS$29))))</f>
        <v>0</v>
      </c>
      <c r="W382" s="42">
        <f>IF(テーブル22[[#This Row],[50m走]]="",0,(IF(テーブル22[[#This Row],[性別]]="男",LOOKUP(テーブル22[[#This Row],[50m走]],$AT$6:$AU$15),LOOKUP(テーブル22[[#This Row],[50m走]],$AT$20:$AU$29))))</f>
        <v>0</v>
      </c>
      <c r="X382" s="42">
        <f>IF(テーブル22[[#This Row],[立幅とび]]="",0,(IF(テーブル22[[#This Row],[性別]]="男",LOOKUP(テーブル22[[#This Row],[立幅とび]],$AV$6:$AW$15),LOOKUP(テーブル22[[#This Row],[立幅とび]],$AV$20:$AW$29))))</f>
        <v>0</v>
      </c>
      <c r="Y382" s="42">
        <f>IF(テーブル22[[#This Row],[ボール投げ]]="",0,(IF(テーブル22[[#This Row],[性別]]="男",LOOKUP(テーブル22[[#This Row],[ボール投げ]],$AX$6:$AY$15),LOOKUP(テーブル22[[#This Row],[ボール投げ]],$AX$20:$AY$29))))</f>
        <v>0</v>
      </c>
      <c r="Z382" s="19" t="str">
        <f>IF(テーブル22[[#This Row],[学年]]=1,6,IF(テーブル22[[#This Row],[学年]]=2,7,IF(テーブル22[[#This Row],[学年]]=3,8,IF(テーブル22[[#This Row],[学年]]=4,9,IF(テーブル22[[#This Row],[学年]]=5,10,IF(テーブル22[[#This Row],[学年]]=6,11," "))))))</f>
        <v xml:space="preserve"> </v>
      </c>
      <c r="AA382" s="125" t="str">
        <f>IF(テーブル22[[#This Row],[肥満度数値]]="","",LOOKUP(AC382,$AW$39:$AW$44,$AX$39:$AX$44))</f>
        <v/>
      </c>
      <c r="AB3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2" s="124" t="str">
        <f>IF(テーブル22[[#This Row],[体重]]="","",(テーブル22[[#This Row],[体重]]-テーブル22[[#This Row],[標準体重]])/テーブル22[[#This Row],[標準体重]]*100)</f>
        <v/>
      </c>
      <c r="AD382" s="1">
        <f>COUNTA(テーブル22[[#This Row],[握力]:[ボール投げ]])</f>
        <v>0</v>
      </c>
      <c r="AE382" s="1" t="str">
        <f>IF(テーブル22[[#This Row],[判定]]=$BD$10,"○","")</f>
        <v/>
      </c>
      <c r="AF382" s="1" t="str">
        <f>IF(AE382="","",COUNTIF($AE$6:AE382,"○"))</f>
        <v/>
      </c>
    </row>
    <row r="383" spans="1:32" x14ac:dyDescent="0.2">
      <c r="A383" s="40">
        <v>378</v>
      </c>
      <c r="B383" s="145"/>
      <c r="C383" s="148"/>
      <c r="D383" s="145"/>
      <c r="E383" s="156"/>
      <c r="F383" s="145"/>
      <c r="G383" s="145"/>
      <c r="H383" s="146"/>
      <c r="I383" s="146"/>
      <c r="J383" s="148"/>
      <c r="K383" s="145"/>
      <c r="L383" s="148"/>
      <c r="M383" s="149"/>
      <c r="N383" s="148"/>
      <c r="O383" s="150"/>
      <c r="P3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3" s="43" t="str">
        <f>IF(テーブル22[[#This Row],[得点]]="","",IF(テーブル22[[#This Row],[年齢]]&gt;10,LOOKUP(P383,$BG$6:$BG$10,$BD$6:$BD$10),IF(テーブル22[[#This Row],[年齢]]&gt;9,LOOKUP(P383,$BF$6:$BF$10,$BD$6:$BD$10),IF(テーブル22[[#This Row],[年齢]]&gt;8,LOOKUP(P383,$BE$6:$BE$10,$BD$6:$BD$10),IF(テーブル22[[#This Row],[年齢]]&gt;7,LOOKUP(P383,$BC$6:$BC$10,$BD$6:$BD$10),IF(テーブル22[[#This Row],[年齢]]&gt;6,LOOKUP(P383,$BB$6:$BB$10,$BD$6:$BD$10),LOOKUP(P383,$BA$6:$BA$10,$BD$6:$BD$10)))))))</f>
        <v/>
      </c>
      <c r="R383" s="42">
        <f>IF(H383="",0,(IF(テーブル22[[#This Row],[性別]]="男",LOOKUP(テーブル22[[#This Row],[握力]],$AH$6:$AI$15),LOOKUP(テーブル22[[#This Row],[握力]],$AH$20:$AI$29))))</f>
        <v>0</v>
      </c>
      <c r="S383" s="42">
        <f>IF(テーブル22[[#This Row],[上体]]="",0,(IF(テーブル22[[#This Row],[性別]]="男",LOOKUP(テーブル22[[#This Row],[上体]],$AJ$6:$AK$15),LOOKUP(テーブル22[[#This Row],[上体]],$AJ$20:$AK$29))))</f>
        <v>0</v>
      </c>
      <c r="T383" s="42">
        <f>IF(テーブル22[[#This Row],[長座]]="",0,(IF(テーブル22[[#This Row],[性別]]="男",LOOKUP(テーブル22[[#This Row],[長座]],$AL$6:$AM$15),LOOKUP(テーブル22[[#This Row],[長座]],$AL$20:$AM$29))))</f>
        <v>0</v>
      </c>
      <c r="U383" s="42">
        <f>IF(テーブル22[[#This Row],[反復]]="",0,(IF(テーブル22[[#This Row],[性別]]="男",LOOKUP(テーブル22[[#This Row],[反復]],$AN$6:$AO$15),LOOKUP(テーブル22[[#This Row],[反復]],$AN$20:$AO$29))))</f>
        <v>0</v>
      </c>
      <c r="V383" s="42">
        <f>IF(テーブル22[[#This Row],[ｼｬﾄﾙﾗﾝ]]="",0,(IF(テーブル22[[#This Row],[性別]]="男",LOOKUP(テーブル22[[#This Row],[ｼｬﾄﾙﾗﾝ]],$AR$6:$AS$15),LOOKUP(テーブル22[[#This Row],[ｼｬﾄﾙﾗﾝ]],$AR$20:$AS$29))))</f>
        <v>0</v>
      </c>
      <c r="W383" s="42">
        <f>IF(テーブル22[[#This Row],[50m走]]="",0,(IF(テーブル22[[#This Row],[性別]]="男",LOOKUP(テーブル22[[#This Row],[50m走]],$AT$6:$AU$15),LOOKUP(テーブル22[[#This Row],[50m走]],$AT$20:$AU$29))))</f>
        <v>0</v>
      </c>
      <c r="X383" s="42">
        <f>IF(テーブル22[[#This Row],[立幅とび]]="",0,(IF(テーブル22[[#This Row],[性別]]="男",LOOKUP(テーブル22[[#This Row],[立幅とび]],$AV$6:$AW$15),LOOKUP(テーブル22[[#This Row],[立幅とび]],$AV$20:$AW$29))))</f>
        <v>0</v>
      </c>
      <c r="Y383" s="42">
        <f>IF(テーブル22[[#This Row],[ボール投げ]]="",0,(IF(テーブル22[[#This Row],[性別]]="男",LOOKUP(テーブル22[[#This Row],[ボール投げ]],$AX$6:$AY$15),LOOKUP(テーブル22[[#This Row],[ボール投げ]],$AX$20:$AY$29))))</f>
        <v>0</v>
      </c>
      <c r="Z383" s="19" t="str">
        <f>IF(テーブル22[[#This Row],[学年]]=1,6,IF(テーブル22[[#This Row],[学年]]=2,7,IF(テーブル22[[#This Row],[学年]]=3,8,IF(テーブル22[[#This Row],[学年]]=4,9,IF(テーブル22[[#This Row],[学年]]=5,10,IF(テーブル22[[#This Row],[学年]]=6,11," "))))))</f>
        <v xml:space="preserve"> </v>
      </c>
      <c r="AA383" s="125" t="str">
        <f>IF(テーブル22[[#This Row],[肥満度数値]]="","",LOOKUP(AC383,$AW$39:$AW$44,$AX$39:$AX$44))</f>
        <v/>
      </c>
      <c r="AB3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3" s="124" t="str">
        <f>IF(テーブル22[[#This Row],[体重]]="","",(テーブル22[[#This Row],[体重]]-テーブル22[[#This Row],[標準体重]])/テーブル22[[#This Row],[標準体重]]*100)</f>
        <v/>
      </c>
      <c r="AD383" s="1">
        <f>COUNTA(テーブル22[[#This Row],[握力]:[ボール投げ]])</f>
        <v>0</v>
      </c>
      <c r="AE383" s="1" t="str">
        <f>IF(テーブル22[[#This Row],[判定]]=$BD$10,"○","")</f>
        <v/>
      </c>
      <c r="AF383" s="1" t="str">
        <f>IF(AE383="","",COUNTIF($AE$6:AE383,"○"))</f>
        <v/>
      </c>
    </row>
    <row r="384" spans="1:32" x14ac:dyDescent="0.2">
      <c r="A384" s="40">
        <v>379</v>
      </c>
      <c r="B384" s="145"/>
      <c r="C384" s="148"/>
      <c r="D384" s="145"/>
      <c r="E384" s="156"/>
      <c r="F384" s="145"/>
      <c r="G384" s="145"/>
      <c r="H384" s="146"/>
      <c r="I384" s="146"/>
      <c r="J384" s="148"/>
      <c r="K384" s="145"/>
      <c r="L384" s="148"/>
      <c r="M384" s="149"/>
      <c r="N384" s="148"/>
      <c r="O384" s="150"/>
      <c r="P3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4" s="43" t="str">
        <f>IF(テーブル22[[#This Row],[得点]]="","",IF(テーブル22[[#This Row],[年齢]]&gt;10,LOOKUP(P384,$BG$6:$BG$10,$BD$6:$BD$10),IF(テーブル22[[#This Row],[年齢]]&gt;9,LOOKUP(P384,$BF$6:$BF$10,$BD$6:$BD$10),IF(テーブル22[[#This Row],[年齢]]&gt;8,LOOKUP(P384,$BE$6:$BE$10,$BD$6:$BD$10),IF(テーブル22[[#This Row],[年齢]]&gt;7,LOOKUP(P384,$BC$6:$BC$10,$BD$6:$BD$10),IF(テーブル22[[#This Row],[年齢]]&gt;6,LOOKUP(P384,$BB$6:$BB$10,$BD$6:$BD$10),LOOKUP(P384,$BA$6:$BA$10,$BD$6:$BD$10)))))))</f>
        <v/>
      </c>
      <c r="R384" s="42">
        <f>IF(H384="",0,(IF(テーブル22[[#This Row],[性別]]="男",LOOKUP(テーブル22[[#This Row],[握力]],$AH$6:$AI$15),LOOKUP(テーブル22[[#This Row],[握力]],$AH$20:$AI$29))))</f>
        <v>0</v>
      </c>
      <c r="S384" s="42">
        <f>IF(テーブル22[[#This Row],[上体]]="",0,(IF(テーブル22[[#This Row],[性別]]="男",LOOKUP(テーブル22[[#This Row],[上体]],$AJ$6:$AK$15),LOOKUP(テーブル22[[#This Row],[上体]],$AJ$20:$AK$29))))</f>
        <v>0</v>
      </c>
      <c r="T384" s="42">
        <f>IF(テーブル22[[#This Row],[長座]]="",0,(IF(テーブル22[[#This Row],[性別]]="男",LOOKUP(テーブル22[[#This Row],[長座]],$AL$6:$AM$15),LOOKUP(テーブル22[[#This Row],[長座]],$AL$20:$AM$29))))</f>
        <v>0</v>
      </c>
      <c r="U384" s="42">
        <f>IF(テーブル22[[#This Row],[反復]]="",0,(IF(テーブル22[[#This Row],[性別]]="男",LOOKUP(テーブル22[[#This Row],[反復]],$AN$6:$AO$15),LOOKUP(テーブル22[[#This Row],[反復]],$AN$20:$AO$29))))</f>
        <v>0</v>
      </c>
      <c r="V384" s="42">
        <f>IF(テーブル22[[#This Row],[ｼｬﾄﾙﾗﾝ]]="",0,(IF(テーブル22[[#This Row],[性別]]="男",LOOKUP(テーブル22[[#This Row],[ｼｬﾄﾙﾗﾝ]],$AR$6:$AS$15),LOOKUP(テーブル22[[#This Row],[ｼｬﾄﾙﾗﾝ]],$AR$20:$AS$29))))</f>
        <v>0</v>
      </c>
      <c r="W384" s="42">
        <f>IF(テーブル22[[#This Row],[50m走]]="",0,(IF(テーブル22[[#This Row],[性別]]="男",LOOKUP(テーブル22[[#This Row],[50m走]],$AT$6:$AU$15),LOOKUP(テーブル22[[#This Row],[50m走]],$AT$20:$AU$29))))</f>
        <v>0</v>
      </c>
      <c r="X384" s="42">
        <f>IF(テーブル22[[#This Row],[立幅とび]]="",0,(IF(テーブル22[[#This Row],[性別]]="男",LOOKUP(テーブル22[[#This Row],[立幅とび]],$AV$6:$AW$15),LOOKUP(テーブル22[[#This Row],[立幅とび]],$AV$20:$AW$29))))</f>
        <v>0</v>
      </c>
      <c r="Y384" s="42">
        <f>IF(テーブル22[[#This Row],[ボール投げ]]="",0,(IF(テーブル22[[#This Row],[性別]]="男",LOOKUP(テーブル22[[#This Row],[ボール投げ]],$AX$6:$AY$15),LOOKUP(テーブル22[[#This Row],[ボール投げ]],$AX$20:$AY$29))))</f>
        <v>0</v>
      </c>
      <c r="Z384" s="19" t="str">
        <f>IF(テーブル22[[#This Row],[学年]]=1,6,IF(テーブル22[[#This Row],[学年]]=2,7,IF(テーブル22[[#This Row],[学年]]=3,8,IF(テーブル22[[#This Row],[学年]]=4,9,IF(テーブル22[[#This Row],[学年]]=5,10,IF(テーブル22[[#This Row],[学年]]=6,11," "))))))</f>
        <v xml:space="preserve"> </v>
      </c>
      <c r="AA384" s="125" t="str">
        <f>IF(テーブル22[[#This Row],[肥満度数値]]="","",LOOKUP(AC384,$AW$39:$AW$44,$AX$39:$AX$44))</f>
        <v/>
      </c>
      <c r="AB3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4" s="124" t="str">
        <f>IF(テーブル22[[#This Row],[体重]]="","",(テーブル22[[#This Row],[体重]]-テーブル22[[#This Row],[標準体重]])/テーブル22[[#This Row],[標準体重]]*100)</f>
        <v/>
      </c>
      <c r="AD384" s="1">
        <f>COUNTA(テーブル22[[#This Row],[握力]:[ボール投げ]])</f>
        <v>0</v>
      </c>
      <c r="AE384" s="1" t="str">
        <f>IF(テーブル22[[#This Row],[判定]]=$BD$10,"○","")</f>
        <v/>
      </c>
      <c r="AF384" s="1" t="str">
        <f>IF(AE384="","",COUNTIF($AE$6:AE384,"○"))</f>
        <v/>
      </c>
    </row>
    <row r="385" spans="1:32" x14ac:dyDescent="0.2">
      <c r="A385" s="40">
        <v>380</v>
      </c>
      <c r="B385" s="145"/>
      <c r="C385" s="148"/>
      <c r="D385" s="145"/>
      <c r="E385" s="156"/>
      <c r="F385" s="145"/>
      <c r="G385" s="145"/>
      <c r="H385" s="146"/>
      <c r="I385" s="146"/>
      <c r="J385" s="148"/>
      <c r="K385" s="145"/>
      <c r="L385" s="148"/>
      <c r="M385" s="149"/>
      <c r="N385" s="148"/>
      <c r="O385" s="150"/>
      <c r="P3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5" s="43" t="str">
        <f>IF(テーブル22[[#This Row],[得点]]="","",IF(テーブル22[[#This Row],[年齢]]&gt;10,LOOKUP(P385,$BG$6:$BG$10,$BD$6:$BD$10),IF(テーブル22[[#This Row],[年齢]]&gt;9,LOOKUP(P385,$BF$6:$BF$10,$BD$6:$BD$10),IF(テーブル22[[#This Row],[年齢]]&gt;8,LOOKUP(P385,$BE$6:$BE$10,$BD$6:$BD$10),IF(テーブル22[[#This Row],[年齢]]&gt;7,LOOKUP(P385,$BC$6:$BC$10,$BD$6:$BD$10),IF(テーブル22[[#This Row],[年齢]]&gt;6,LOOKUP(P385,$BB$6:$BB$10,$BD$6:$BD$10),LOOKUP(P385,$BA$6:$BA$10,$BD$6:$BD$10)))))))</f>
        <v/>
      </c>
      <c r="R385" s="42">
        <f>IF(H385="",0,(IF(テーブル22[[#This Row],[性別]]="男",LOOKUP(テーブル22[[#This Row],[握力]],$AH$6:$AI$15),LOOKUP(テーブル22[[#This Row],[握力]],$AH$20:$AI$29))))</f>
        <v>0</v>
      </c>
      <c r="S385" s="42">
        <f>IF(テーブル22[[#This Row],[上体]]="",0,(IF(テーブル22[[#This Row],[性別]]="男",LOOKUP(テーブル22[[#This Row],[上体]],$AJ$6:$AK$15),LOOKUP(テーブル22[[#This Row],[上体]],$AJ$20:$AK$29))))</f>
        <v>0</v>
      </c>
      <c r="T385" s="42">
        <f>IF(テーブル22[[#This Row],[長座]]="",0,(IF(テーブル22[[#This Row],[性別]]="男",LOOKUP(テーブル22[[#This Row],[長座]],$AL$6:$AM$15),LOOKUP(テーブル22[[#This Row],[長座]],$AL$20:$AM$29))))</f>
        <v>0</v>
      </c>
      <c r="U385" s="42">
        <f>IF(テーブル22[[#This Row],[反復]]="",0,(IF(テーブル22[[#This Row],[性別]]="男",LOOKUP(テーブル22[[#This Row],[反復]],$AN$6:$AO$15),LOOKUP(テーブル22[[#This Row],[反復]],$AN$20:$AO$29))))</f>
        <v>0</v>
      </c>
      <c r="V385" s="42">
        <f>IF(テーブル22[[#This Row],[ｼｬﾄﾙﾗﾝ]]="",0,(IF(テーブル22[[#This Row],[性別]]="男",LOOKUP(テーブル22[[#This Row],[ｼｬﾄﾙﾗﾝ]],$AR$6:$AS$15),LOOKUP(テーブル22[[#This Row],[ｼｬﾄﾙﾗﾝ]],$AR$20:$AS$29))))</f>
        <v>0</v>
      </c>
      <c r="W385" s="42">
        <f>IF(テーブル22[[#This Row],[50m走]]="",0,(IF(テーブル22[[#This Row],[性別]]="男",LOOKUP(テーブル22[[#This Row],[50m走]],$AT$6:$AU$15),LOOKUP(テーブル22[[#This Row],[50m走]],$AT$20:$AU$29))))</f>
        <v>0</v>
      </c>
      <c r="X385" s="42">
        <f>IF(テーブル22[[#This Row],[立幅とび]]="",0,(IF(テーブル22[[#This Row],[性別]]="男",LOOKUP(テーブル22[[#This Row],[立幅とび]],$AV$6:$AW$15),LOOKUP(テーブル22[[#This Row],[立幅とび]],$AV$20:$AW$29))))</f>
        <v>0</v>
      </c>
      <c r="Y385" s="42">
        <f>IF(テーブル22[[#This Row],[ボール投げ]]="",0,(IF(テーブル22[[#This Row],[性別]]="男",LOOKUP(テーブル22[[#This Row],[ボール投げ]],$AX$6:$AY$15),LOOKUP(テーブル22[[#This Row],[ボール投げ]],$AX$20:$AY$29))))</f>
        <v>0</v>
      </c>
      <c r="Z385" s="19" t="str">
        <f>IF(テーブル22[[#This Row],[学年]]=1,6,IF(テーブル22[[#This Row],[学年]]=2,7,IF(テーブル22[[#This Row],[学年]]=3,8,IF(テーブル22[[#This Row],[学年]]=4,9,IF(テーブル22[[#This Row],[学年]]=5,10,IF(テーブル22[[#This Row],[学年]]=6,11," "))))))</f>
        <v xml:space="preserve"> </v>
      </c>
      <c r="AA385" s="125" t="str">
        <f>IF(テーブル22[[#This Row],[肥満度数値]]="","",LOOKUP(AC385,$AW$39:$AW$44,$AX$39:$AX$44))</f>
        <v/>
      </c>
      <c r="AB3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5" s="124" t="str">
        <f>IF(テーブル22[[#This Row],[体重]]="","",(テーブル22[[#This Row],[体重]]-テーブル22[[#This Row],[標準体重]])/テーブル22[[#This Row],[標準体重]]*100)</f>
        <v/>
      </c>
      <c r="AD385" s="1">
        <f>COUNTA(テーブル22[[#This Row],[握力]:[ボール投げ]])</f>
        <v>0</v>
      </c>
      <c r="AE385" s="1" t="str">
        <f>IF(テーブル22[[#This Row],[判定]]=$BD$10,"○","")</f>
        <v/>
      </c>
      <c r="AF385" s="1" t="str">
        <f>IF(AE385="","",COUNTIF($AE$6:AE385,"○"))</f>
        <v/>
      </c>
    </row>
    <row r="386" spans="1:32" x14ac:dyDescent="0.2">
      <c r="A386" s="40">
        <v>381</v>
      </c>
      <c r="B386" s="145"/>
      <c r="C386" s="148"/>
      <c r="D386" s="145"/>
      <c r="E386" s="156"/>
      <c r="F386" s="145"/>
      <c r="G386" s="145"/>
      <c r="H386" s="146"/>
      <c r="I386" s="146"/>
      <c r="J386" s="148"/>
      <c r="K386" s="145"/>
      <c r="L386" s="148"/>
      <c r="M386" s="149"/>
      <c r="N386" s="148"/>
      <c r="O386" s="150"/>
      <c r="P3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6" s="43" t="str">
        <f>IF(テーブル22[[#This Row],[得点]]="","",IF(テーブル22[[#This Row],[年齢]]&gt;10,LOOKUP(P386,$BG$6:$BG$10,$BD$6:$BD$10),IF(テーブル22[[#This Row],[年齢]]&gt;9,LOOKUP(P386,$BF$6:$BF$10,$BD$6:$BD$10),IF(テーブル22[[#This Row],[年齢]]&gt;8,LOOKUP(P386,$BE$6:$BE$10,$BD$6:$BD$10),IF(テーブル22[[#This Row],[年齢]]&gt;7,LOOKUP(P386,$BC$6:$BC$10,$BD$6:$BD$10),IF(テーブル22[[#This Row],[年齢]]&gt;6,LOOKUP(P386,$BB$6:$BB$10,$BD$6:$BD$10),LOOKUP(P386,$BA$6:$BA$10,$BD$6:$BD$10)))))))</f>
        <v/>
      </c>
      <c r="R386" s="42">
        <f>IF(H386="",0,(IF(テーブル22[[#This Row],[性別]]="男",LOOKUP(テーブル22[[#This Row],[握力]],$AH$6:$AI$15),LOOKUP(テーブル22[[#This Row],[握力]],$AH$20:$AI$29))))</f>
        <v>0</v>
      </c>
      <c r="S386" s="42">
        <f>IF(テーブル22[[#This Row],[上体]]="",0,(IF(テーブル22[[#This Row],[性別]]="男",LOOKUP(テーブル22[[#This Row],[上体]],$AJ$6:$AK$15),LOOKUP(テーブル22[[#This Row],[上体]],$AJ$20:$AK$29))))</f>
        <v>0</v>
      </c>
      <c r="T386" s="42">
        <f>IF(テーブル22[[#This Row],[長座]]="",0,(IF(テーブル22[[#This Row],[性別]]="男",LOOKUP(テーブル22[[#This Row],[長座]],$AL$6:$AM$15),LOOKUP(テーブル22[[#This Row],[長座]],$AL$20:$AM$29))))</f>
        <v>0</v>
      </c>
      <c r="U386" s="42">
        <f>IF(テーブル22[[#This Row],[反復]]="",0,(IF(テーブル22[[#This Row],[性別]]="男",LOOKUP(テーブル22[[#This Row],[反復]],$AN$6:$AO$15),LOOKUP(テーブル22[[#This Row],[反復]],$AN$20:$AO$29))))</f>
        <v>0</v>
      </c>
      <c r="V386" s="42">
        <f>IF(テーブル22[[#This Row],[ｼｬﾄﾙﾗﾝ]]="",0,(IF(テーブル22[[#This Row],[性別]]="男",LOOKUP(テーブル22[[#This Row],[ｼｬﾄﾙﾗﾝ]],$AR$6:$AS$15),LOOKUP(テーブル22[[#This Row],[ｼｬﾄﾙﾗﾝ]],$AR$20:$AS$29))))</f>
        <v>0</v>
      </c>
      <c r="W386" s="42">
        <f>IF(テーブル22[[#This Row],[50m走]]="",0,(IF(テーブル22[[#This Row],[性別]]="男",LOOKUP(テーブル22[[#This Row],[50m走]],$AT$6:$AU$15),LOOKUP(テーブル22[[#This Row],[50m走]],$AT$20:$AU$29))))</f>
        <v>0</v>
      </c>
      <c r="X386" s="42">
        <f>IF(テーブル22[[#This Row],[立幅とび]]="",0,(IF(テーブル22[[#This Row],[性別]]="男",LOOKUP(テーブル22[[#This Row],[立幅とび]],$AV$6:$AW$15),LOOKUP(テーブル22[[#This Row],[立幅とび]],$AV$20:$AW$29))))</f>
        <v>0</v>
      </c>
      <c r="Y386" s="42">
        <f>IF(テーブル22[[#This Row],[ボール投げ]]="",0,(IF(テーブル22[[#This Row],[性別]]="男",LOOKUP(テーブル22[[#This Row],[ボール投げ]],$AX$6:$AY$15),LOOKUP(テーブル22[[#This Row],[ボール投げ]],$AX$20:$AY$29))))</f>
        <v>0</v>
      </c>
      <c r="Z386" s="19" t="str">
        <f>IF(テーブル22[[#This Row],[学年]]=1,6,IF(テーブル22[[#This Row],[学年]]=2,7,IF(テーブル22[[#This Row],[学年]]=3,8,IF(テーブル22[[#This Row],[学年]]=4,9,IF(テーブル22[[#This Row],[学年]]=5,10,IF(テーブル22[[#This Row],[学年]]=6,11," "))))))</f>
        <v xml:space="preserve"> </v>
      </c>
      <c r="AA386" s="125" t="str">
        <f>IF(テーブル22[[#This Row],[肥満度数値]]="","",LOOKUP(AC386,$AW$39:$AW$44,$AX$39:$AX$44))</f>
        <v/>
      </c>
      <c r="AB3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6" s="124" t="str">
        <f>IF(テーブル22[[#This Row],[体重]]="","",(テーブル22[[#This Row],[体重]]-テーブル22[[#This Row],[標準体重]])/テーブル22[[#This Row],[標準体重]]*100)</f>
        <v/>
      </c>
      <c r="AD386" s="1">
        <f>COUNTA(テーブル22[[#This Row],[握力]:[ボール投げ]])</f>
        <v>0</v>
      </c>
      <c r="AE386" s="1" t="str">
        <f>IF(テーブル22[[#This Row],[判定]]=$BD$10,"○","")</f>
        <v/>
      </c>
      <c r="AF386" s="1" t="str">
        <f>IF(AE386="","",COUNTIF($AE$6:AE386,"○"))</f>
        <v/>
      </c>
    </row>
    <row r="387" spans="1:32" x14ac:dyDescent="0.2">
      <c r="A387" s="40">
        <v>382</v>
      </c>
      <c r="B387" s="145"/>
      <c r="C387" s="148"/>
      <c r="D387" s="145"/>
      <c r="E387" s="156"/>
      <c r="F387" s="145"/>
      <c r="G387" s="145"/>
      <c r="H387" s="146"/>
      <c r="I387" s="146"/>
      <c r="J387" s="148"/>
      <c r="K387" s="145"/>
      <c r="L387" s="148"/>
      <c r="M387" s="149"/>
      <c r="N387" s="148"/>
      <c r="O387" s="150"/>
      <c r="P3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7" s="43" t="str">
        <f>IF(テーブル22[[#This Row],[得点]]="","",IF(テーブル22[[#This Row],[年齢]]&gt;10,LOOKUP(P387,$BG$6:$BG$10,$BD$6:$BD$10),IF(テーブル22[[#This Row],[年齢]]&gt;9,LOOKUP(P387,$BF$6:$BF$10,$BD$6:$BD$10),IF(テーブル22[[#This Row],[年齢]]&gt;8,LOOKUP(P387,$BE$6:$BE$10,$BD$6:$BD$10),IF(テーブル22[[#This Row],[年齢]]&gt;7,LOOKUP(P387,$BC$6:$BC$10,$BD$6:$BD$10),IF(テーブル22[[#This Row],[年齢]]&gt;6,LOOKUP(P387,$BB$6:$BB$10,$BD$6:$BD$10),LOOKUP(P387,$BA$6:$BA$10,$BD$6:$BD$10)))))))</f>
        <v/>
      </c>
      <c r="R387" s="42">
        <f>IF(H387="",0,(IF(テーブル22[[#This Row],[性別]]="男",LOOKUP(テーブル22[[#This Row],[握力]],$AH$6:$AI$15),LOOKUP(テーブル22[[#This Row],[握力]],$AH$20:$AI$29))))</f>
        <v>0</v>
      </c>
      <c r="S387" s="42">
        <f>IF(テーブル22[[#This Row],[上体]]="",0,(IF(テーブル22[[#This Row],[性別]]="男",LOOKUP(テーブル22[[#This Row],[上体]],$AJ$6:$AK$15),LOOKUP(テーブル22[[#This Row],[上体]],$AJ$20:$AK$29))))</f>
        <v>0</v>
      </c>
      <c r="T387" s="42">
        <f>IF(テーブル22[[#This Row],[長座]]="",0,(IF(テーブル22[[#This Row],[性別]]="男",LOOKUP(テーブル22[[#This Row],[長座]],$AL$6:$AM$15),LOOKUP(テーブル22[[#This Row],[長座]],$AL$20:$AM$29))))</f>
        <v>0</v>
      </c>
      <c r="U387" s="42">
        <f>IF(テーブル22[[#This Row],[反復]]="",0,(IF(テーブル22[[#This Row],[性別]]="男",LOOKUP(テーブル22[[#This Row],[反復]],$AN$6:$AO$15),LOOKUP(テーブル22[[#This Row],[反復]],$AN$20:$AO$29))))</f>
        <v>0</v>
      </c>
      <c r="V387" s="42">
        <f>IF(テーブル22[[#This Row],[ｼｬﾄﾙﾗﾝ]]="",0,(IF(テーブル22[[#This Row],[性別]]="男",LOOKUP(テーブル22[[#This Row],[ｼｬﾄﾙﾗﾝ]],$AR$6:$AS$15),LOOKUP(テーブル22[[#This Row],[ｼｬﾄﾙﾗﾝ]],$AR$20:$AS$29))))</f>
        <v>0</v>
      </c>
      <c r="W387" s="42">
        <f>IF(テーブル22[[#This Row],[50m走]]="",0,(IF(テーブル22[[#This Row],[性別]]="男",LOOKUP(テーブル22[[#This Row],[50m走]],$AT$6:$AU$15),LOOKUP(テーブル22[[#This Row],[50m走]],$AT$20:$AU$29))))</f>
        <v>0</v>
      </c>
      <c r="X387" s="42">
        <f>IF(テーブル22[[#This Row],[立幅とび]]="",0,(IF(テーブル22[[#This Row],[性別]]="男",LOOKUP(テーブル22[[#This Row],[立幅とび]],$AV$6:$AW$15),LOOKUP(テーブル22[[#This Row],[立幅とび]],$AV$20:$AW$29))))</f>
        <v>0</v>
      </c>
      <c r="Y387" s="42">
        <f>IF(テーブル22[[#This Row],[ボール投げ]]="",0,(IF(テーブル22[[#This Row],[性別]]="男",LOOKUP(テーブル22[[#This Row],[ボール投げ]],$AX$6:$AY$15),LOOKUP(テーブル22[[#This Row],[ボール投げ]],$AX$20:$AY$29))))</f>
        <v>0</v>
      </c>
      <c r="Z387" s="19" t="str">
        <f>IF(テーブル22[[#This Row],[学年]]=1,6,IF(テーブル22[[#This Row],[学年]]=2,7,IF(テーブル22[[#This Row],[学年]]=3,8,IF(テーブル22[[#This Row],[学年]]=4,9,IF(テーブル22[[#This Row],[学年]]=5,10,IF(テーブル22[[#This Row],[学年]]=6,11," "))))))</f>
        <v xml:space="preserve"> </v>
      </c>
      <c r="AA387" s="125" t="str">
        <f>IF(テーブル22[[#This Row],[肥満度数値]]="","",LOOKUP(AC387,$AW$39:$AW$44,$AX$39:$AX$44))</f>
        <v/>
      </c>
      <c r="AB3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7" s="124" t="str">
        <f>IF(テーブル22[[#This Row],[体重]]="","",(テーブル22[[#This Row],[体重]]-テーブル22[[#This Row],[標準体重]])/テーブル22[[#This Row],[標準体重]]*100)</f>
        <v/>
      </c>
      <c r="AD387" s="1">
        <f>COUNTA(テーブル22[[#This Row],[握力]:[ボール投げ]])</f>
        <v>0</v>
      </c>
      <c r="AE387" s="1" t="str">
        <f>IF(テーブル22[[#This Row],[判定]]=$BD$10,"○","")</f>
        <v/>
      </c>
      <c r="AF387" s="1" t="str">
        <f>IF(AE387="","",COUNTIF($AE$6:AE387,"○"))</f>
        <v/>
      </c>
    </row>
    <row r="388" spans="1:32" x14ac:dyDescent="0.2">
      <c r="A388" s="40">
        <v>383</v>
      </c>
      <c r="B388" s="145"/>
      <c r="C388" s="148"/>
      <c r="D388" s="145"/>
      <c r="E388" s="156"/>
      <c r="F388" s="145"/>
      <c r="G388" s="145"/>
      <c r="H388" s="146"/>
      <c r="I388" s="146"/>
      <c r="J388" s="148"/>
      <c r="K388" s="145"/>
      <c r="L388" s="148"/>
      <c r="M388" s="149"/>
      <c r="N388" s="148"/>
      <c r="O388" s="150"/>
      <c r="P3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8" s="43" t="str">
        <f>IF(テーブル22[[#This Row],[得点]]="","",IF(テーブル22[[#This Row],[年齢]]&gt;10,LOOKUP(P388,$BG$6:$BG$10,$BD$6:$BD$10),IF(テーブル22[[#This Row],[年齢]]&gt;9,LOOKUP(P388,$BF$6:$BF$10,$BD$6:$BD$10),IF(テーブル22[[#This Row],[年齢]]&gt;8,LOOKUP(P388,$BE$6:$BE$10,$BD$6:$BD$10),IF(テーブル22[[#This Row],[年齢]]&gt;7,LOOKUP(P388,$BC$6:$BC$10,$BD$6:$BD$10),IF(テーブル22[[#This Row],[年齢]]&gt;6,LOOKUP(P388,$BB$6:$BB$10,$BD$6:$BD$10),LOOKUP(P388,$BA$6:$BA$10,$BD$6:$BD$10)))))))</f>
        <v/>
      </c>
      <c r="R388" s="42">
        <f>IF(H388="",0,(IF(テーブル22[[#This Row],[性別]]="男",LOOKUP(テーブル22[[#This Row],[握力]],$AH$6:$AI$15),LOOKUP(テーブル22[[#This Row],[握力]],$AH$20:$AI$29))))</f>
        <v>0</v>
      </c>
      <c r="S388" s="42">
        <f>IF(テーブル22[[#This Row],[上体]]="",0,(IF(テーブル22[[#This Row],[性別]]="男",LOOKUP(テーブル22[[#This Row],[上体]],$AJ$6:$AK$15),LOOKUP(テーブル22[[#This Row],[上体]],$AJ$20:$AK$29))))</f>
        <v>0</v>
      </c>
      <c r="T388" s="42">
        <f>IF(テーブル22[[#This Row],[長座]]="",0,(IF(テーブル22[[#This Row],[性別]]="男",LOOKUP(テーブル22[[#This Row],[長座]],$AL$6:$AM$15),LOOKUP(テーブル22[[#This Row],[長座]],$AL$20:$AM$29))))</f>
        <v>0</v>
      </c>
      <c r="U388" s="42">
        <f>IF(テーブル22[[#This Row],[反復]]="",0,(IF(テーブル22[[#This Row],[性別]]="男",LOOKUP(テーブル22[[#This Row],[反復]],$AN$6:$AO$15),LOOKUP(テーブル22[[#This Row],[反復]],$AN$20:$AO$29))))</f>
        <v>0</v>
      </c>
      <c r="V388" s="42">
        <f>IF(テーブル22[[#This Row],[ｼｬﾄﾙﾗﾝ]]="",0,(IF(テーブル22[[#This Row],[性別]]="男",LOOKUP(テーブル22[[#This Row],[ｼｬﾄﾙﾗﾝ]],$AR$6:$AS$15),LOOKUP(テーブル22[[#This Row],[ｼｬﾄﾙﾗﾝ]],$AR$20:$AS$29))))</f>
        <v>0</v>
      </c>
      <c r="W388" s="42">
        <f>IF(テーブル22[[#This Row],[50m走]]="",0,(IF(テーブル22[[#This Row],[性別]]="男",LOOKUP(テーブル22[[#This Row],[50m走]],$AT$6:$AU$15),LOOKUP(テーブル22[[#This Row],[50m走]],$AT$20:$AU$29))))</f>
        <v>0</v>
      </c>
      <c r="X388" s="42">
        <f>IF(テーブル22[[#This Row],[立幅とび]]="",0,(IF(テーブル22[[#This Row],[性別]]="男",LOOKUP(テーブル22[[#This Row],[立幅とび]],$AV$6:$AW$15),LOOKUP(テーブル22[[#This Row],[立幅とび]],$AV$20:$AW$29))))</f>
        <v>0</v>
      </c>
      <c r="Y388" s="42">
        <f>IF(テーブル22[[#This Row],[ボール投げ]]="",0,(IF(テーブル22[[#This Row],[性別]]="男",LOOKUP(テーブル22[[#This Row],[ボール投げ]],$AX$6:$AY$15),LOOKUP(テーブル22[[#This Row],[ボール投げ]],$AX$20:$AY$29))))</f>
        <v>0</v>
      </c>
      <c r="Z388" s="19" t="str">
        <f>IF(テーブル22[[#This Row],[学年]]=1,6,IF(テーブル22[[#This Row],[学年]]=2,7,IF(テーブル22[[#This Row],[学年]]=3,8,IF(テーブル22[[#This Row],[学年]]=4,9,IF(テーブル22[[#This Row],[学年]]=5,10,IF(テーブル22[[#This Row],[学年]]=6,11," "))))))</f>
        <v xml:space="preserve"> </v>
      </c>
      <c r="AA388" s="125" t="str">
        <f>IF(テーブル22[[#This Row],[肥満度数値]]="","",LOOKUP(AC388,$AW$39:$AW$44,$AX$39:$AX$44))</f>
        <v/>
      </c>
      <c r="AB3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8" s="124" t="str">
        <f>IF(テーブル22[[#This Row],[体重]]="","",(テーブル22[[#This Row],[体重]]-テーブル22[[#This Row],[標準体重]])/テーブル22[[#This Row],[標準体重]]*100)</f>
        <v/>
      </c>
      <c r="AD388" s="1">
        <f>COUNTA(テーブル22[[#This Row],[握力]:[ボール投げ]])</f>
        <v>0</v>
      </c>
      <c r="AE388" s="1" t="str">
        <f>IF(テーブル22[[#This Row],[判定]]=$BD$10,"○","")</f>
        <v/>
      </c>
      <c r="AF388" s="1" t="str">
        <f>IF(AE388="","",COUNTIF($AE$6:AE388,"○"))</f>
        <v/>
      </c>
    </row>
    <row r="389" spans="1:32" x14ac:dyDescent="0.2">
      <c r="A389" s="40">
        <v>384</v>
      </c>
      <c r="B389" s="145"/>
      <c r="C389" s="148"/>
      <c r="D389" s="145"/>
      <c r="E389" s="156"/>
      <c r="F389" s="145"/>
      <c r="G389" s="145"/>
      <c r="H389" s="146"/>
      <c r="I389" s="146"/>
      <c r="J389" s="148"/>
      <c r="K389" s="145"/>
      <c r="L389" s="148"/>
      <c r="M389" s="149"/>
      <c r="N389" s="148"/>
      <c r="O389" s="150"/>
      <c r="P3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89" s="43" t="str">
        <f>IF(テーブル22[[#This Row],[得点]]="","",IF(テーブル22[[#This Row],[年齢]]&gt;10,LOOKUP(P389,$BG$6:$BG$10,$BD$6:$BD$10),IF(テーブル22[[#This Row],[年齢]]&gt;9,LOOKUP(P389,$BF$6:$BF$10,$BD$6:$BD$10),IF(テーブル22[[#This Row],[年齢]]&gt;8,LOOKUP(P389,$BE$6:$BE$10,$BD$6:$BD$10),IF(テーブル22[[#This Row],[年齢]]&gt;7,LOOKUP(P389,$BC$6:$BC$10,$BD$6:$BD$10),IF(テーブル22[[#This Row],[年齢]]&gt;6,LOOKUP(P389,$BB$6:$BB$10,$BD$6:$BD$10),LOOKUP(P389,$BA$6:$BA$10,$BD$6:$BD$10)))))))</f>
        <v/>
      </c>
      <c r="R389" s="42">
        <f>IF(H389="",0,(IF(テーブル22[[#This Row],[性別]]="男",LOOKUP(テーブル22[[#This Row],[握力]],$AH$6:$AI$15),LOOKUP(テーブル22[[#This Row],[握力]],$AH$20:$AI$29))))</f>
        <v>0</v>
      </c>
      <c r="S389" s="42">
        <f>IF(テーブル22[[#This Row],[上体]]="",0,(IF(テーブル22[[#This Row],[性別]]="男",LOOKUP(テーブル22[[#This Row],[上体]],$AJ$6:$AK$15),LOOKUP(テーブル22[[#This Row],[上体]],$AJ$20:$AK$29))))</f>
        <v>0</v>
      </c>
      <c r="T389" s="42">
        <f>IF(テーブル22[[#This Row],[長座]]="",0,(IF(テーブル22[[#This Row],[性別]]="男",LOOKUP(テーブル22[[#This Row],[長座]],$AL$6:$AM$15),LOOKUP(テーブル22[[#This Row],[長座]],$AL$20:$AM$29))))</f>
        <v>0</v>
      </c>
      <c r="U389" s="42">
        <f>IF(テーブル22[[#This Row],[反復]]="",0,(IF(テーブル22[[#This Row],[性別]]="男",LOOKUP(テーブル22[[#This Row],[反復]],$AN$6:$AO$15),LOOKUP(テーブル22[[#This Row],[反復]],$AN$20:$AO$29))))</f>
        <v>0</v>
      </c>
      <c r="V389" s="42">
        <f>IF(テーブル22[[#This Row],[ｼｬﾄﾙﾗﾝ]]="",0,(IF(テーブル22[[#This Row],[性別]]="男",LOOKUP(テーブル22[[#This Row],[ｼｬﾄﾙﾗﾝ]],$AR$6:$AS$15),LOOKUP(テーブル22[[#This Row],[ｼｬﾄﾙﾗﾝ]],$AR$20:$AS$29))))</f>
        <v>0</v>
      </c>
      <c r="W389" s="42">
        <f>IF(テーブル22[[#This Row],[50m走]]="",0,(IF(テーブル22[[#This Row],[性別]]="男",LOOKUP(テーブル22[[#This Row],[50m走]],$AT$6:$AU$15),LOOKUP(テーブル22[[#This Row],[50m走]],$AT$20:$AU$29))))</f>
        <v>0</v>
      </c>
      <c r="X389" s="42">
        <f>IF(テーブル22[[#This Row],[立幅とび]]="",0,(IF(テーブル22[[#This Row],[性別]]="男",LOOKUP(テーブル22[[#This Row],[立幅とび]],$AV$6:$AW$15),LOOKUP(テーブル22[[#This Row],[立幅とび]],$AV$20:$AW$29))))</f>
        <v>0</v>
      </c>
      <c r="Y389" s="42">
        <f>IF(テーブル22[[#This Row],[ボール投げ]]="",0,(IF(テーブル22[[#This Row],[性別]]="男",LOOKUP(テーブル22[[#This Row],[ボール投げ]],$AX$6:$AY$15),LOOKUP(テーブル22[[#This Row],[ボール投げ]],$AX$20:$AY$29))))</f>
        <v>0</v>
      </c>
      <c r="Z389" s="19" t="str">
        <f>IF(テーブル22[[#This Row],[学年]]=1,6,IF(テーブル22[[#This Row],[学年]]=2,7,IF(テーブル22[[#This Row],[学年]]=3,8,IF(テーブル22[[#This Row],[学年]]=4,9,IF(テーブル22[[#This Row],[学年]]=5,10,IF(テーブル22[[#This Row],[学年]]=6,11," "))))))</f>
        <v xml:space="preserve"> </v>
      </c>
      <c r="AA389" s="125" t="str">
        <f>IF(テーブル22[[#This Row],[肥満度数値]]="","",LOOKUP(AC389,$AW$39:$AW$44,$AX$39:$AX$44))</f>
        <v/>
      </c>
      <c r="AB3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89" s="124" t="str">
        <f>IF(テーブル22[[#This Row],[体重]]="","",(テーブル22[[#This Row],[体重]]-テーブル22[[#This Row],[標準体重]])/テーブル22[[#This Row],[標準体重]]*100)</f>
        <v/>
      </c>
      <c r="AD389" s="1">
        <f>COUNTA(テーブル22[[#This Row],[握力]:[ボール投げ]])</f>
        <v>0</v>
      </c>
      <c r="AE389" s="1" t="str">
        <f>IF(テーブル22[[#This Row],[判定]]=$BD$10,"○","")</f>
        <v/>
      </c>
      <c r="AF389" s="1" t="str">
        <f>IF(AE389="","",COUNTIF($AE$6:AE389,"○"))</f>
        <v/>
      </c>
    </row>
    <row r="390" spans="1:32" x14ac:dyDescent="0.2">
      <c r="A390" s="40">
        <v>385</v>
      </c>
      <c r="B390" s="145"/>
      <c r="C390" s="148"/>
      <c r="D390" s="145"/>
      <c r="E390" s="156"/>
      <c r="F390" s="145"/>
      <c r="G390" s="145"/>
      <c r="H390" s="146"/>
      <c r="I390" s="146"/>
      <c r="J390" s="148"/>
      <c r="K390" s="145"/>
      <c r="L390" s="148"/>
      <c r="M390" s="149"/>
      <c r="N390" s="148"/>
      <c r="O390" s="150"/>
      <c r="P3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0" s="43" t="str">
        <f>IF(テーブル22[[#This Row],[得点]]="","",IF(テーブル22[[#This Row],[年齢]]&gt;10,LOOKUP(P390,$BG$6:$BG$10,$BD$6:$BD$10),IF(テーブル22[[#This Row],[年齢]]&gt;9,LOOKUP(P390,$BF$6:$BF$10,$BD$6:$BD$10),IF(テーブル22[[#This Row],[年齢]]&gt;8,LOOKUP(P390,$BE$6:$BE$10,$BD$6:$BD$10),IF(テーブル22[[#This Row],[年齢]]&gt;7,LOOKUP(P390,$BC$6:$BC$10,$BD$6:$BD$10),IF(テーブル22[[#This Row],[年齢]]&gt;6,LOOKUP(P390,$BB$6:$BB$10,$BD$6:$BD$10),LOOKUP(P390,$BA$6:$BA$10,$BD$6:$BD$10)))))))</f>
        <v/>
      </c>
      <c r="R390" s="42">
        <f>IF(H390="",0,(IF(テーブル22[[#This Row],[性別]]="男",LOOKUP(テーブル22[[#This Row],[握力]],$AH$6:$AI$15),LOOKUP(テーブル22[[#This Row],[握力]],$AH$20:$AI$29))))</f>
        <v>0</v>
      </c>
      <c r="S390" s="42">
        <f>IF(テーブル22[[#This Row],[上体]]="",0,(IF(テーブル22[[#This Row],[性別]]="男",LOOKUP(テーブル22[[#This Row],[上体]],$AJ$6:$AK$15),LOOKUP(テーブル22[[#This Row],[上体]],$AJ$20:$AK$29))))</f>
        <v>0</v>
      </c>
      <c r="T390" s="42">
        <f>IF(テーブル22[[#This Row],[長座]]="",0,(IF(テーブル22[[#This Row],[性別]]="男",LOOKUP(テーブル22[[#This Row],[長座]],$AL$6:$AM$15),LOOKUP(テーブル22[[#This Row],[長座]],$AL$20:$AM$29))))</f>
        <v>0</v>
      </c>
      <c r="U390" s="42">
        <f>IF(テーブル22[[#This Row],[反復]]="",0,(IF(テーブル22[[#This Row],[性別]]="男",LOOKUP(テーブル22[[#This Row],[反復]],$AN$6:$AO$15),LOOKUP(テーブル22[[#This Row],[反復]],$AN$20:$AO$29))))</f>
        <v>0</v>
      </c>
      <c r="V390" s="42">
        <f>IF(テーブル22[[#This Row],[ｼｬﾄﾙﾗﾝ]]="",0,(IF(テーブル22[[#This Row],[性別]]="男",LOOKUP(テーブル22[[#This Row],[ｼｬﾄﾙﾗﾝ]],$AR$6:$AS$15),LOOKUP(テーブル22[[#This Row],[ｼｬﾄﾙﾗﾝ]],$AR$20:$AS$29))))</f>
        <v>0</v>
      </c>
      <c r="W390" s="42">
        <f>IF(テーブル22[[#This Row],[50m走]]="",0,(IF(テーブル22[[#This Row],[性別]]="男",LOOKUP(テーブル22[[#This Row],[50m走]],$AT$6:$AU$15),LOOKUP(テーブル22[[#This Row],[50m走]],$AT$20:$AU$29))))</f>
        <v>0</v>
      </c>
      <c r="X390" s="42">
        <f>IF(テーブル22[[#This Row],[立幅とび]]="",0,(IF(テーブル22[[#This Row],[性別]]="男",LOOKUP(テーブル22[[#This Row],[立幅とび]],$AV$6:$AW$15),LOOKUP(テーブル22[[#This Row],[立幅とび]],$AV$20:$AW$29))))</f>
        <v>0</v>
      </c>
      <c r="Y390" s="42">
        <f>IF(テーブル22[[#This Row],[ボール投げ]]="",0,(IF(テーブル22[[#This Row],[性別]]="男",LOOKUP(テーブル22[[#This Row],[ボール投げ]],$AX$6:$AY$15),LOOKUP(テーブル22[[#This Row],[ボール投げ]],$AX$20:$AY$29))))</f>
        <v>0</v>
      </c>
      <c r="Z390" s="19" t="str">
        <f>IF(テーブル22[[#This Row],[学年]]=1,6,IF(テーブル22[[#This Row],[学年]]=2,7,IF(テーブル22[[#This Row],[学年]]=3,8,IF(テーブル22[[#This Row],[学年]]=4,9,IF(テーブル22[[#This Row],[学年]]=5,10,IF(テーブル22[[#This Row],[学年]]=6,11," "))))))</f>
        <v xml:space="preserve"> </v>
      </c>
      <c r="AA390" s="125" t="str">
        <f>IF(テーブル22[[#This Row],[肥満度数値]]="","",LOOKUP(AC390,$AW$39:$AW$44,$AX$39:$AX$44))</f>
        <v/>
      </c>
      <c r="AB3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0" s="124" t="str">
        <f>IF(テーブル22[[#This Row],[体重]]="","",(テーブル22[[#This Row],[体重]]-テーブル22[[#This Row],[標準体重]])/テーブル22[[#This Row],[標準体重]]*100)</f>
        <v/>
      </c>
      <c r="AD390" s="1">
        <f>COUNTA(テーブル22[[#This Row],[握力]:[ボール投げ]])</f>
        <v>0</v>
      </c>
      <c r="AE390" s="1" t="str">
        <f>IF(テーブル22[[#This Row],[判定]]=$BD$10,"○","")</f>
        <v/>
      </c>
      <c r="AF390" s="1" t="str">
        <f>IF(AE390="","",COUNTIF($AE$6:AE390,"○"))</f>
        <v/>
      </c>
    </row>
    <row r="391" spans="1:32" x14ac:dyDescent="0.2">
      <c r="A391" s="40">
        <v>386</v>
      </c>
      <c r="B391" s="145"/>
      <c r="C391" s="148"/>
      <c r="D391" s="145"/>
      <c r="E391" s="156"/>
      <c r="F391" s="145"/>
      <c r="G391" s="145"/>
      <c r="H391" s="146"/>
      <c r="I391" s="146"/>
      <c r="J391" s="148"/>
      <c r="K391" s="145"/>
      <c r="L391" s="148"/>
      <c r="M391" s="149"/>
      <c r="N391" s="148"/>
      <c r="O391" s="150"/>
      <c r="P3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1" s="43" t="str">
        <f>IF(テーブル22[[#This Row],[得点]]="","",IF(テーブル22[[#This Row],[年齢]]&gt;10,LOOKUP(P391,$BG$6:$BG$10,$BD$6:$BD$10),IF(テーブル22[[#This Row],[年齢]]&gt;9,LOOKUP(P391,$BF$6:$BF$10,$BD$6:$BD$10),IF(テーブル22[[#This Row],[年齢]]&gt;8,LOOKUP(P391,$BE$6:$BE$10,$BD$6:$BD$10),IF(テーブル22[[#This Row],[年齢]]&gt;7,LOOKUP(P391,$BC$6:$BC$10,$BD$6:$BD$10),IF(テーブル22[[#This Row],[年齢]]&gt;6,LOOKUP(P391,$BB$6:$BB$10,$BD$6:$BD$10),LOOKUP(P391,$BA$6:$BA$10,$BD$6:$BD$10)))))))</f>
        <v/>
      </c>
      <c r="R391" s="42">
        <f>IF(H391="",0,(IF(テーブル22[[#This Row],[性別]]="男",LOOKUP(テーブル22[[#This Row],[握力]],$AH$6:$AI$15),LOOKUP(テーブル22[[#This Row],[握力]],$AH$20:$AI$29))))</f>
        <v>0</v>
      </c>
      <c r="S391" s="42">
        <f>IF(テーブル22[[#This Row],[上体]]="",0,(IF(テーブル22[[#This Row],[性別]]="男",LOOKUP(テーブル22[[#This Row],[上体]],$AJ$6:$AK$15),LOOKUP(テーブル22[[#This Row],[上体]],$AJ$20:$AK$29))))</f>
        <v>0</v>
      </c>
      <c r="T391" s="42">
        <f>IF(テーブル22[[#This Row],[長座]]="",0,(IF(テーブル22[[#This Row],[性別]]="男",LOOKUP(テーブル22[[#This Row],[長座]],$AL$6:$AM$15),LOOKUP(テーブル22[[#This Row],[長座]],$AL$20:$AM$29))))</f>
        <v>0</v>
      </c>
      <c r="U391" s="42">
        <f>IF(テーブル22[[#This Row],[反復]]="",0,(IF(テーブル22[[#This Row],[性別]]="男",LOOKUP(テーブル22[[#This Row],[反復]],$AN$6:$AO$15),LOOKUP(テーブル22[[#This Row],[反復]],$AN$20:$AO$29))))</f>
        <v>0</v>
      </c>
      <c r="V391" s="42">
        <f>IF(テーブル22[[#This Row],[ｼｬﾄﾙﾗﾝ]]="",0,(IF(テーブル22[[#This Row],[性別]]="男",LOOKUP(テーブル22[[#This Row],[ｼｬﾄﾙﾗﾝ]],$AR$6:$AS$15),LOOKUP(テーブル22[[#This Row],[ｼｬﾄﾙﾗﾝ]],$AR$20:$AS$29))))</f>
        <v>0</v>
      </c>
      <c r="W391" s="42">
        <f>IF(テーブル22[[#This Row],[50m走]]="",0,(IF(テーブル22[[#This Row],[性別]]="男",LOOKUP(テーブル22[[#This Row],[50m走]],$AT$6:$AU$15),LOOKUP(テーブル22[[#This Row],[50m走]],$AT$20:$AU$29))))</f>
        <v>0</v>
      </c>
      <c r="X391" s="42">
        <f>IF(テーブル22[[#This Row],[立幅とび]]="",0,(IF(テーブル22[[#This Row],[性別]]="男",LOOKUP(テーブル22[[#This Row],[立幅とび]],$AV$6:$AW$15),LOOKUP(テーブル22[[#This Row],[立幅とび]],$AV$20:$AW$29))))</f>
        <v>0</v>
      </c>
      <c r="Y391" s="42">
        <f>IF(テーブル22[[#This Row],[ボール投げ]]="",0,(IF(テーブル22[[#This Row],[性別]]="男",LOOKUP(テーブル22[[#This Row],[ボール投げ]],$AX$6:$AY$15),LOOKUP(テーブル22[[#This Row],[ボール投げ]],$AX$20:$AY$29))))</f>
        <v>0</v>
      </c>
      <c r="Z391" s="19" t="str">
        <f>IF(テーブル22[[#This Row],[学年]]=1,6,IF(テーブル22[[#This Row],[学年]]=2,7,IF(テーブル22[[#This Row],[学年]]=3,8,IF(テーブル22[[#This Row],[学年]]=4,9,IF(テーブル22[[#This Row],[学年]]=5,10,IF(テーブル22[[#This Row],[学年]]=6,11," "))))))</f>
        <v xml:space="preserve"> </v>
      </c>
      <c r="AA391" s="125" t="str">
        <f>IF(テーブル22[[#This Row],[肥満度数値]]="","",LOOKUP(AC391,$AW$39:$AW$44,$AX$39:$AX$44))</f>
        <v/>
      </c>
      <c r="AB3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1" s="124" t="str">
        <f>IF(テーブル22[[#This Row],[体重]]="","",(テーブル22[[#This Row],[体重]]-テーブル22[[#This Row],[標準体重]])/テーブル22[[#This Row],[標準体重]]*100)</f>
        <v/>
      </c>
      <c r="AD391" s="1">
        <f>COUNTA(テーブル22[[#This Row],[握力]:[ボール投げ]])</f>
        <v>0</v>
      </c>
      <c r="AE391" s="1" t="str">
        <f>IF(テーブル22[[#This Row],[判定]]=$BD$10,"○","")</f>
        <v/>
      </c>
      <c r="AF391" s="1" t="str">
        <f>IF(AE391="","",COUNTIF($AE$6:AE391,"○"))</f>
        <v/>
      </c>
    </row>
    <row r="392" spans="1:32" x14ac:dyDescent="0.2">
      <c r="A392" s="40">
        <v>387</v>
      </c>
      <c r="B392" s="145"/>
      <c r="C392" s="148"/>
      <c r="D392" s="145"/>
      <c r="E392" s="156"/>
      <c r="F392" s="145"/>
      <c r="G392" s="145"/>
      <c r="H392" s="146"/>
      <c r="I392" s="146"/>
      <c r="J392" s="148"/>
      <c r="K392" s="145"/>
      <c r="L392" s="148"/>
      <c r="M392" s="149"/>
      <c r="N392" s="148"/>
      <c r="O392" s="150"/>
      <c r="P3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2" s="43" t="str">
        <f>IF(テーブル22[[#This Row],[得点]]="","",IF(テーブル22[[#This Row],[年齢]]&gt;10,LOOKUP(P392,$BG$6:$BG$10,$BD$6:$BD$10),IF(テーブル22[[#This Row],[年齢]]&gt;9,LOOKUP(P392,$BF$6:$BF$10,$BD$6:$BD$10),IF(テーブル22[[#This Row],[年齢]]&gt;8,LOOKUP(P392,$BE$6:$BE$10,$BD$6:$BD$10),IF(テーブル22[[#This Row],[年齢]]&gt;7,LOOKUP(P392,$BC$6:$BC$10,$BD$6:$BD$10),IF(テーブル22[[#This Row],[年齢]]&gt;6,LOOKUP(P392,$BB$6:$BB$10,$BD$6:$BD$10),LOOKUP(P392,$BA$6:$BA$10,$BD$6:$BD$10)))))))</f>
        <v/>
      </c>
      <c r="R392" s="42">
        <f>IF(H392="",0,(IF(テーブル22[[#This Row],[性別]]="男",LOOKUP(テーブル22[[#This Row],[握力]],$AH$6:$AI$15),LOOKUP(テーブル22[[#This Row],[握力]],$AH$20:$AI$29))))</f>
        <v>0</v>
      </c>
      <c r="S392" s="42">
        <f>IF(テーブル22[[#This Row],[上体]]="",0,(IF(テーブル22[[#This Row],[性別]]="男",LOOKUP(テーブル22[[#This Row],[上体]],$AJ$6:$AK$15),LOOKUP(テーブル22[[#This Row],[上体]],$AJ$20:$AK$29))))</f>
        <v>0</v>
      </c>
      <c r="T392" s="42">
        <f>IF(テーブル22[[#This Row],[長座]]="",0,(IF(テーブル22[[#This Row],[性別]]="男",LOOKUP(テーブル22[[#This Row],[長座]],$AL$6:$AM$15),LOOKUP(テーブル22[[#This Row],[長座]],$AL$20:$AM$29))))</f>
        <v>0</v>
      </c>
      <c r="U392" s="42">
        <f>IF(テーブル22[[#This Row],[反復]]="",0,(IF(テーブル22[[#This Row],[性別]]="男",LOOKUP(テーブル22[[#This Row],[反復]],$AN$6:$AO$15),LOOKUP(テーブル22[[#This Row],[反復]],$AN$20:$AO$29))))</f>
        <v>0</v>
      </c>
      <c r="V392" s="42">
        <f>IF(テーブル22[[#This Row],[ｼｬﾄﾙﾗﾝ]]="",0,(IF(テーブル22[[#This Row],[性別]]="男",LOOKUP(テーブル22[[#This Row],[ｼｬﾄﾙﾗﾝ]],$AR$6:$AS$15),LOOKUP(テーブル22[[#This Row],[ｼｬﾄﾙﾗﾝ]],$AR$20:$AS$29))))</f>
        <v>0</v>
      </c>
      <c r="W392" s="42">
        <f>IF(テーブル22[[#This Row],[50m走]]="",0,(IF(テーブル22[[#This Row],[性別]]="男",LOOKUP(テーブル22[[#This Row],[50m走]],$AT$6:$AU$15),LOOKUP(テーブル22[[#This Row],[50m走]],$AT$20:$AU$29))))</f>
        <v>0</v>
      </c>
      <c r="X392" s="42">
        <f>IF(テーブル22[[#This Row],[立幅とび]]="",0,(IF(テーブル22[[#This Row],[性別]]="男",LOOKUP(テーブル22[[#This Row],[立幅とび]],$AV$6:$AW$15),LOOKUP(テーブル22[[#This Row],[立幅とび]],$AV$20:$AW$29))))</f>
        <v>0</v>
      </c>
      <c r="Y392" s="42">
        <f>IF(テーブル22[[#This Row],[ボール投げ]]="",0,(IF(テーブル22[[#This Row],[性別]]="男",LOOKUP(テーブル22[[#This Row],[ボール投げ]],$AX$6:$AY$15),LOOKUP(テーブル22[[#This Row],[ボール投げ]],$AX$20:$AY$29))))</f>
        <v>0</v>
      </c>
      <c r="Z392" s="19" t="str">
        <f>IF(テーブル22[[#This Row],[学年]]=1,6,IF(テーブル22[[#This Row],[学年]]=2,7,IF(テーブル22[[#This Row],[学年]]=3,8,IF(テーブル22[[#This Row],[学年]]=4,9,IF(テーブル22[[#This Row],[学年]]=5,10,IF(テーブル22[[#This Row],[学年]]=6,11," "))))))</f>
        <v xml:space="preserve"> </v>
      </c>
      <c r="AA392" s="125" t="str">
        <f>IF(テーブル22[[#This Row],[肥満度数値]]="","",LOOKUP(AC392,$AW$39:$AW$44,$AX$39:$AX$44))</f>
        <v/>
      </c>
      <c r="AB3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2" s="124" t="str">
        <f>IF(テーブル22[[#This Row],[体重]]="","",(テーブル22[[#This Row],[体重]]-テーブル22[[#This Row],[標準体重]])/テーブル22[[#This Row],[標準体重]]*100)</f>
        <v/>
      </c>
      <c r="AD392" s="1">
        <f>COUNTA(テーブル22[[#This Row],[握力]:[ボール投げ]])</f>
        <v>0</v>
      </c>
      <c r="AE392" s="1" t="str">
        <f>IF(テーブル22[[#This Row],[判定]]=$BD$10,"○","")</f>
        <v/>
      </c>
      <c r="AF392" s="1" t="str">
        <f>IF(AE392="","",COUNTIF($AE$6:AE392,"○"))</f>
        <v/>
      </c>
    </row>
    <row r="393" spans="1:32" x14ac:dyDescent="0.2">
      <c r="A393" s="40">
        <v>388</v>
      </c>
      <c r="B393" s="145"/>
      <c r="C393" s="148"/>
      <c r="D393" s="145"/>
      <c r="E393" s="156"/>
      <c r="F393" s="145"/>
      <c r="G393" s="145"/>
      <c r="H393" s="146"/>
      <c r="I393" s="146"/>
      <c r="J393" s="148"/>
      <c r="K393" s="145"/>
      <c r="L393" s="148"/>
      <c r="M393" s="149"/>
      <c r="N393" s="148"/>
      <c r="O393" s="150"/>
      <c r="P3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3" s="43" t="str">
        <f>IF(テーブル22[[#This Row],[得点]]="","",IF(テーブル22[[#This Row],[年齢]]&gt;10,LOOKUP(P393,$BG$6:$BG$10,$BD$6:$BD$10),IF(テーブル22[[#This Row],[年齢]]&gt;9,LOOKUP(P393,$BF$6:$BF$10,$BD$6:$BD$10),IF(テーブル22[[#This Row],[年齢]]&gt;8,LOOKUP(P393,$BE$6:$BE$10,$BD$6:$BD$10),IF(テーブル22[[#This Row],[年齢]]&gt;7,LOOKUP(P393,$BC$6:$BC$10,$BD$6:$BD$10),IF(テーブル22[[#This Row],[年齢]]&gt;6,LOOKUP(P393,$BB$6:$BB$10,$BD$6:$BD$10),LOOKUP(P393,$BA$6:$BA$10,$BD$6:$BD$10)))))))</f>
        <v/>
      </c>
      <c r="R393" s="42">
        <f>IF(H393="",0,(IF(テーブル22[[#This Row],[性別]]="男",LOOKUP(テーブル22[[#This Row],[握力]],$AH$6:$AI$15),LOOKUP(テーブル22[[#This Row],[握力]],$AH$20:$AI$29))))</f>
        <v>0</v>
      </c>
      <c r="S393" s="42">
        <f>IF(テーブル22[[#This Row],[上体]]="",0,(IF(テーブル22[[#This Row],[性別]]="男",LOOKUP(テーブル22[[#This Row],[上体]],$AJ$6:$AK$15),LOOKUP(テーブル22[[#This Row],[上体]],$AJ$20:$AK$29))))</f>
        <v>0</v>
      </c>
      <c r="T393" s="42">
        <f>IF(テーブル22[[#This Row],[長座]]="",0,(IF(テーブル22[[#This Row],[性別]]="男",LOOKUP(テーブル22[[#This Row],[長座]],$AL$6:$AM$15),LOOKUP(テーブル22[[#This Row],[長座]],$AL$20:$AM$29))))</f>
        <v>0</v>
      </c>
      <c r="U393" s="42">
        <f>IF(テーブル22[[#This Row],[反復]]="",0,(IF(テーブル22[[#This Row],[性別]]="男",LOOKUP(テーブル22[[#This Row],[反復]],$AN$6:$AO$15),LOOKUP(テーブル22[[#This Row],[反復]],$AN$20:$AO$29))))</f>
        <v>0</v>
      </c>
      <c r="V393" s="42">
        <f>IF(テーブル22[[#This Row],[ｼｬﾄﾙﾗﾝ]]="",0,(IF(テーブル22[[#This Row],[性別]]="男",LOOKUP(テーブル22[[#This Row],[ｼｬﾄﾙﾗﾝ]],$AR$6:$AS$15),LOOKUP(テーブル22[[#This Row],[ｼｬﾄﾙﾗﾝ]],$AR$20:$AS$29))))</f>
        <v>0</v>
      </c>
      <c r="W393" s="42">
        <f>IF(テーブル22[[#This Row],[50m走]]="",0,(IF(テーブル22[[#This Row],[性別]]="男",LOOKUP(テーブル22[[#This Row],[50m走]],$AT$6:$AU$15),LOOKUP(テーブル22[[#This Row],[50m走]],$AT$20:$AU$29))))</f>
        <v>0</v>
      </c>
      <c r="X393" s="42">
        <f>IF(テーブル22[[#This Row],[立幅とび]]="",0,(IF(テーブル22[[#This Row],[性別]]="男",LOOKUP(テーブル22[[#This Row],[立幅とび]],$AV$6:$AW$15),LOOKUP(テーブル22[[#This Row],[立幅とび]],$AV$20:$AW$29))))</f>
        <v>0</v>
      </c>
      <c r="Y393" s="42">
        <f>IF(テーブル22[[#This Row],[ボール投げ]]="",0,(IF(テーブル22[[#This Row],[性別]]="男",LOOKUP(テーブル22[[#This Row],[ボール投げ]],$AX$6:$AY$15),LOOKUP(テーブル22[[#This Row],[ボール投げ]],$AX$20:$AY$29))))</f>
        <v>0</v>
      </c>
      <c r="Z393" s="19" t="str">
        <f>IF(テーブル22[[#This Row],[学年]]=1,6,IF(テーブル22[[#This Row],[学年]]=2,7,IF(テーブル22[[#This Row],[学年]]=3,8,IF(テーブル22[[#This Row],[学年]]=4,9,IF(テーブル22[[#This Row],[学年]]=5,10,IF(テーブル22[[#This Row],[学年]]=6,11," "))))))</f>
        <v xml:space="preserve"> </v>
      </c>
      <c r="AA393" s="125" t="str">
        <f>IF(テーブル22[[#This Row],[肥満度数値]]="","",LOOKUP(AC393,$AW$39:$AW$44,$AX$39:$AX$44))</f>
        <v/>
      </c>
      <c r="AB3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3" s="124" t="str">
        <f>IF(テーブル22[[#This Row],[体重]]="","",(テーブル22[[#This Row],[体重]]-テーブル22[[#This Row],[標準体重]])/テーブル22[[#This Row],[標準体重]]*100)</f>
        <v/>
      </c>
      <c r="AD393" s="1">
        <f>COUNTA(テーブル22[[#This Row],[握力]:[ボール投げ]])</f>
        <v>0</v>
      </c>
      <c r="AE393" s="1" t="str">
        <f>IF(テーブル22[[#This Row],[判定]]=$BD$10,"○","")</f>
        <v/>
      </c>
      <c r="AF393" s="1" t="str">
        <f>IF(AE393="","",COUNTIF($AE$6:AE393,"○"))</f>
        <v/>
      </c>
    </row>
    <row r="394" spans="1:32" x14ac:dyDescent="0.2">
      <c r="A394" s="40">
        <v>389</v>
      </c>
      <c r="B394" s="145"/>
      <c r="C394" s="148"/>
      <c r="D394" s="145"/>
      <c r="E394" s="156"/>
      <c r="F394" s="145"/>
      <c r="G394" s="145"/>
      <c r="H394" s="146"/>
      <c r="I394" s="146"/>
      <c r="J394" s="148"/>
      <c r="K394" s="145"/>
      <c r="L394" s="148"/>
      <c r="M394" s="149"/>
      <c r="N394" s="148"/>
      <c r="O394" s="150"/>
      <c r="P3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4" s="43" t="str">
        <f>IF(テーブル22[[#This Row],[得点]]="","",IF(テーブル22[[#This Row],[年齢]]&gt;10,LOOKUP(P394,$BG$6:$BG$10,$BD$6:$BD$10),IF(テーブル22[[#This Row],[年齢]]&gt;9,LOOKUP(P394,$BF$6:$BF$10,$BD$6:$BD$10),IF(テーブル22[[#This Row],[年齢]]&gt;8,LOOKUP(P394,$BE$6:$BE$10,$BD$6:$BD$10),IF(テーブル22[[#This Row],[年齢]]&gt;7,LOOKUP(P394,$BC$6:$BC$10,$BD$6:$BD$10),IF(テーブル22[[#This Row],[年齢]]&gt;6,LOOKUP(P394,$BB$6:$BB$10,$BD$6:$BD$10),LOOKUP(P394,$BA$6:$BA$10,$BD$6:$BD$10)))))))</f>
        <v/>
      </c>
      <c r="R394" s="42">
        <f>IF(H394="",0,(IF(テーブル22[[#This Row],[性別]]="男",LOOKUP(テーブル22[[#This Row],[握力]],$AH$6:$AI$15),LOOKUP(テーブル22[[#This Row],[握力]],$AH$20:$AI$29))))</f>
        <v>0</v>
      </c>
      <c r="S394" s="42">
        <f>IF(テーブル22[[#This Row],[上体]]="",0,(IF(テーブル22[[#This Row],[性別]]="男",LOOKUP(テーブル22[[#This Row],[上体]],$AJ$6:$AK$15),LOOKUP(テーブル22[[#This Row],[上体]],$AJ$20:$AK$29))))</f>
        <v>0</v>
      </c>
      <c r="T394" s="42">
        <f>IF(テーブル22[[#This Row],[長座]]="",0,(IF(テーブル22[[#This Row],[性別]]="男",LOOKUP(テーブル22[[#This Row],[長座]],$AL$6:$AM$15),LOOKUP(テーブル22[[#This Row],[長座]],$AL$20:$AM$29))))</f>
        <v>0</v>
      </c>
      <c r="U394" s="42">
        <f>IF(テーブル22[[#This Row],[反復]]="",0,(IF(テーブル22[[#This Row],[性別]]="男",LOOKUP(テーブル22[[#This Row],[反復]],$AN$6:$AO$15),LOOKUP(テーブル22[[#This Row],[反復]],$AN$20:$AO$29))))</f>
        <v>0</v>
      </c>
      <c r="V394" s="42">
        <f>IF(テーブル22[[#This Row],[ｼｬﾄﾙﾗﾝ]]="",0,(IF(テーブル22[[#This Row],[性別]]="男",LOOKUP(テーブル22[[#This Row],[ｼｬﾄﾙﾗﾝ]],$AR$6:$AS$15),LOOKUP(テーブル22[[#This Row],[ｼｬﾄﾙﾗﾝ]],$AR$20:$AS$29))))</f>
        <v>0</v>
      </c>
      <c r="W394" s="42">
        <f>IF(テーブル22[[#This Row],[50m走]]="",0,(IF(テーブル22[[#This Row],[性別]]="男",LOOKUP(テーブル22[[#This Row],[50m走]],$AT$6:$AU$15),LOOKUP(テーブル22[[#This Row],[50m走]],$AT$20:$AU$29))))</f>
        <v>0</v>
      </c>
      <c r="X394" s="42">
        <f>IF(テーブル22[[#This Row],[立幅とび]]="",0,(IF(テーブル22[[#This Row],[性別]]="男",LOOKUP(テーブル22[[#This Row],[立幅とび]],$AV$6:$AW$15),LOOKUP(テーブル22[[#This Row],[立幅とび]],$AV$20:$AW$29))))</f>
        <v>0</v>
      </c>
      <c r="Y394" s="42">
        <f>IF(テーブル22[[#This Row],[ボール投げ]]="",0,(IF(テーブル22[[#This Row],[性別]]="男",LOOKUP(テーブル22[[#This Row],[ボール投げ]],$AX$6:$AY$15),LOOKUP(テーブル22[[#This Row],[ボール投げ]],$AX$20:$AY$29))))</f>
        <v>0</v>
      </c>
      <c r="Z394" s="19" t="str">
        <f>IF(テーブル22[[#This Row],[学年]]=1,6,IF(テーブル22[[#This Row],[学年]]=2,7,IF(テーブル22[[#This Row],[学年]]=3,8,IF(テーブル22[[#This Row],[学年]]=4,9,IF(テーブル22[[#This Row],[学年]]=5,10,IF(テーブル22[[#This Row],[学年]]=6,11," "))))))</f>
        <v xml:space="preserve"> </v>
      </c>
      <c r="AA394" s="125" t="str">
        <f>IF(テーブル22[[#This Row],[肥満度数値]]="","",LOOKUP(AC394,$AW$39:$AW$44,$AX$39:$AX$44))</f>
        <v/>
      </c>
      <c r="AB3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4" s="124" t="str">
        <f>IF(テーブル22[[#This Row],[体重]]="","",(テーブル22[[#This Row],[体重]]-テーブル22[[#This Row],[標準体重]])/テーブル22[[#This Row],[標準体重]]*100)</f>
        <v/>
      </c>
      <c r="AD394" s="1">
        <f>COUNTA(テーブル22[[#This Row],[握力]:[ボール投げ]])</f>
        <v>0</v>
      </c>
      <c r="AE394" s="1" t="str">
        <f>IF(テーブル22[[#This Row],[判定]]=$BD$10,"○","")</f>
        <v/>
      </c>
      <c r="AF394" s="1" t="str">
        <f>IF(AE394="","",COUNTIF($AE$6:AE394,"○"))</f>
        <v/>
      </c>
    </row>
    <row r="395" spans="1:32" x14ac:dyDescent="0.2">
      <c r="A395" s="40">
        <v>390</v>
      </c>
      <c r="B395" s="145"/>
      <c r="C395" s="148"/>
      <c r="D395" s="145"/>
      <c r="E395" s="156"/>
      <c r="F395" s="145"/>
      <c r="G395" s="145"/>
      <c r="H395" s="146"/>
      <c r="I395" s="146"/>
      <c r="J395" s="148"/>
      <c r="K395" s="145"/>
      <c r="L395" s="148"/>
      <c r="M395" s="149"/>
      <c r="N395" s="148"/>
      <c r="O395" s="150"/>
      <c r="P3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5" s="43" t="str">
        <f>IF(テーブル22[[#This Row],[得点]]="","",IF(テーブル22[[#This Row],[年齢]]&gt;10,LOOKUP(P395,$BG$6:$BG$10,$BD$6:$BD$10),IF(テーブル22[[#This Row],[年齢]]&gt;9,LOOKUP(P395,$BF$6:$BF$10,$BD$6:$BD$10),IF(テーブル22[[#This Row],[年齢]]&gt;8,LOOKUP(P395,$BE$6:$BE$10,$BD$6:$BD$10),IF(テーブル22[[#This Row],[年齢]]&gt;7,LOOKUP(P395,$BC$6:$BC$10,$BD$6:$BD$10),IF(テーブル22[[#This Row],[年齢]]&gt;6,LOOKUP(P395,$BB$6:$BB$10,$BD$6:$BD$10),LOOKUP(P395,$BA$6:$BA$10,$BD$6:$BD$10)))))))</f>
        <v/>
      </c>
      <c r="R395" s="42">
        <f>IF(H395="",0,(IF(テーブル22[[#This Row],[性別]]="男",LOOKUP(テーブル22[[#This Row],[握力]],$AH$6:$AI$15),LOOKUP(テーブル22[[#This Row],[握力]],$AH$20:$AI$29))))</f>
        <v>0</v>
      </c>
      <c r="S395" s="42">
        <f>IF(テーブル22[[#This Row],[上体]]="",0,(IF(テーブル22[[#This Row],[性別]]="男",LOOKUP(テーブル22[[#This Row],[上体]],$AJ$6:$AK$15),LOOKUP(テーブル22[[#This Row],[上体]],$AJ$20:$AK$29))))</f>
        <v>0</v>
      </c>
      <c r="T395" s="42">
        <f>IF(テーブル22[[#This Row],[長座]]="",0,(IF(テーブル22[[#This Row],[性別]]="男",LOOKUP(テーブル22[[#This Row],[長座]],$AL$6:$AM$15),LOOKUP(テーブル22[[#This Row],[長座]],$AL$20:$AM$29))))</f>
        <v>0</v>
      </c>
      <c r="U395" s="42">
        <f>IF(テーブル22[[#This Row],[反復]]="",0,(IF(テーブル22[[#This Row],[性別]]="男",LOOKUP(テーブル22[[#This Row],[反復]],$AN$6:$AO$15),LOOKUP(テーブル22[[#This Row],[反復]],$AN$20:$AO$29))))</f>
        <v>0</v>
      </c>
      <c r="V395" s="42">
        <f>IF(テーブル22[[#This Row],[ｼｬﾄﾙﾗﾝ]]="",0,(IF(テーブル22[[#This Row],[性別]]="男",LOOKUP(テーブル22[[#This Row],[ｼｬﾄﾙﾗﾝ]],$AR$6:$AS$15),LOOKUP(テーブル22[[#This Row],[ｼｬﾄﾙﾗﾝ]],$AR$20:$AS$29))))</f>
        <v>0</v>
      </c>
      <c r="W395" s="42">
        <f>IF(テーブル22[[#This Row],[50m走]]="",0,(IF(テーブル22[[#This Row],[性別]]="男",LOOKUP(テーブル22[[#This Row],[50m走]],$AT$6:$AU$15),LOOKUP(テーブル22[[#This Row],[50m走]],$AT$20:$AU$29))))</f>
        <v>0</v>
      </c>
      <c r="X395" s="42">
        <f>IF(テーブル22[[#This Row],[立幅とび]]="",0,(IF(テーブル22[[#This Row],[性別]]="男",LOOKUP(テーブル22[[#This Row],[立幅とび]],$AV$6:$AW$15),LOOKUP(テーブル22[[#This Row],[立幅とび]],$AV$20:$AW$29))))</f>
        <v>0</v>
      </c>
      <c r="Y395" s="42">
        <f>IF(テーブル22[[#This Row],[ボール投げ]]="",0,(IF(テーブル22[[#This Row],[性別]]="男",LOOKUP(テーブル22[[#This Row],[ボール投げ]],$AX$6:$AY$15),LOOKUP(テーブル22[[#This Row],[ボール投げ]],$AX$20:$AY$29))))</f>
        <v>0</v>
      </c>
      <c r="Z395" s="19" t="str">
        <f>IF(テーブル22[[#This Row],[学年]]=1,6,IF(テーブル22[[#This Row],[学年]]=2,7,IF(テーブル22[[#This Row],[学年]]=3,8,IF(テーブル22[[#This Row],[学年]]=4,9,IF(テーブル22[[#This Row],[学年]]=5,10,IF(テーブル22[[#This Row],[学年]]=6,11," "))))))</f>
        <v xml:space="preserve"> </v>
      </c>
      <c r="AA395" s="125" t="str">
        <f>IF(テーブル22[[#This Row],[肥満度数値]]="","",LOOKUP(AC395,$AW$39:$AW$44,$AX$39:$AX$44))</f>
        <v/>
      </c>
      <c r="AB3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5" s="124" t="str">
        <f>IF(テーブル22[[#This Row],[体重]]="","",(テーブル22[[#This Row],[体重]]-テーブル22[[#This Row],[標準体重]])/テーブル22[[#This Row],[標準体重]]*100)</f>
        <v/>
      </c>
      <c r="AD395" s="1">
        <f>COUNTA(テーブル22[[#This Row],[握力]:[ボール投げ]])</f>
        <v>0</v>
      </c>
      <c r="AE395" s="1" t="str">
        <f>IF(テーブル22[[#This Row],[判定]]=$BD$10,"○","")</f>
        <v/>
      </c>
      <c r="AF395" s="1" t="str">
        <f>IF(AE395="","",COUNTIF($AE$6:AE395,"○"))</f>
        <v/>
      </c>
    </row>
    <row r="396" spans="1:32" x14ac:dyDescent="0.2">
      <c r="A396" s="40">
        <v>391</v>
      </c>
      <c r="B396" s="145"/>
      <c r="C396" s="148"/>
      <c r="D396" s="145"/>
      <c r="E396" s="156"/>
      <c r="F396" s="145"/>
      <c r="G396" s="145"/>
      <c r="H396" s="146"/>
      <c r="I396" s="146"/>
      <c r="J396" s="148"/>
      <c r="K396" s="145"/>
      <c r="L396" s="148"/>
      <c r="M396" s="149"/>
      <c r="N396" s="148"/>
      <c r="O396" s="150"/>
      <c r="P3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6" s="43" t="str">
        <f>IF(テーブル22[[#This Row],[得点]]="","",IF(テーブル22[[#This Row],[年齢]]&gt;10,LOOKUP(P396,$BG$6:$BG$10,$BD$6:$BD$10),IF(テーブル22[[#This Row],[年齢]]&gt;9,LOOKUP(P396,$BF$6:$BF$10,$BD$6:$BD$10),IF(テーブル22[[#This Row],[年齢]]&gt;8,LOOKUP(P396,$BE$6:$BE$10,$BD$6:$BD$10),IF(テーブル22[[#This Row],[年齢]]&gt;7,LOOKUP(P396,$BC$6:$BC$10,$BD$6:$BD$10),IF(テーブル22[[#This Row],[年齢]]&gt;6,LOOKUP(P396,$BB$6:$BB$10,$BD$6:$BD$10),LOOKUP(P396,$BA$6:$BA$10,$BD$6:$BD$10)))))))</f>
        <v/>
      </c>
      <c r="R396" s="42">
        <f>IF(H396="",0,(IF(テーブル22[[#This Row],[性別]]="男",LOOKUP(テーブル22[[#This Row],[握力]],$AH$6:$AI$15),LOOKUP(テーブル22[[#This Row],[握力]],$AH$20:$AI$29))))</f>
        <v>0</v>
      </c>
      <c r="S396" s="42">
        <f>IF(テーブル22[[#This Row],[上体]]="",0,(IF(テーブル22[[#This Row],[性別]]="男",LOOKUP(テーブル22[[#This Row],[上体]],$AJ$6:$AK$15),LOOKUP(テーブル22[[#This Row],[上体]],$AJ$20:$AK$29))))</f>
        <v>0</v>
      </c>
      <c r="T396" s="42">
        <f>IF(テーブル22[[#This Row],[長座]]="",0,(IF(テーブル22[[#This Row],[性別]]="男",LOOKUP(テーブル22[[#This Row],[長座]],$AL$6:$AM$15),LOOKUP(テーブル22[[#This Row],[長座]],$AL$20:$AM$29))))</f>
        <v>0</v>
      </c>
      <c r="U396" s="42">
        <f>IF(テーブル22[[#This Row],[反復]]="",0,(IF(テーブル22[[#This Row],[性別]]="男",LOOKUP(テーブル22[[#This Row],[反復]],$AN$6:$AO$15),LOOKUP(テーブル22[[#This Row],[反復]],$AN$20:$AO$29))))</f>
        <v>0</v>
      </c>
      <c r="V396" s="42">
        <f>IF(テーブル22[[#This Row],[ｼｬﾄﾙﾗﾝ]]="",0,(IF(テーブル22[[#This Row],[性別]]="男",LOOKUP(テーブル22[[#This Row],[ｼｬﾄﾙﾗﾝ]],$AR$6:$AS$15),LOOKUP(テーブル22[[#This Row],[ｼｬﾄﾙﾗﾝ]],$AR$20:$AS$29))))</f>
        <v>0</v>
      </c>
      <c r="W396" s="42">
        <f>IF(テーブル22[[#This Row],[50m走]]="",0,(IF(テーブル22[[#This Row],[性別]]="男",LOOKUP(テーブル22[[#This Row],[50m走]],$AT$6:$AU$15),LOOKUP(テーブル22[[#This Row],[50m走]],$AT$20:$AU$29))))</f>
        <v>0</v>
      </c>
      <c r="X396" s="42">
        <f>IF(テーブル22[[#This Row],[立幅とび]]="",0,(IF(テーブル22[[#This Row],[性別]]="男",LOOKUP(テーブル22[[#This Row],[立幅とび]],$AV$6:$AW$15),LOOKUP(テーブル22[[#This Row],[立幅とび]],$AV$20:$AW$29))))</f>
        <v>0</v>
      </c>
      <c r="Y396" s="42">
        <f>IF(テーブル22[[#This Row],[ボール投げ]]="",0,(IF(テーブル22[[#This Row],[性別]]="男",LOOKUP(テーブル22[[#This Row],[ボール投げ]],$AX$6:$AY$15),LOOKUP(テーブル22[[#This Row],[ボール投げ]],$AX$20:$AY$29))))</f>
        <v>0</v>
      </c>
      <c r="Z396" s="19" t="str">
        <f>IF(テーブル22[[#This Row],[学年]]=1,6,IF(テーブル22[[#This Row],[学年]]=2,7,IF(テーブル22[[#This Row],[学年]]=3,8,IF(テーブル22[[#This Row],[学年]]=4,9,IF(テーブル22[[#This Row],[学年]]=5,10,IF(テーブル22[[#This Row],[学年]]=6,11," "))))))</f>
        <v xml:space="preserve"> </v>
      </c>
      <c r="AA396" s="125" t="str">
        <f>IF(テーブル22[[#This Row],[肥満度数値]]="","",LOOKUP(AC396,$AW$39:$AW$44,$AX$39:$AX$44))</f>
        <v/>
      </c>
      <c r="AB3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6" s="124" t="str">
        <f>IF(テーブル22[[#This Row],[体重]]="","",(テーブル22[[#This Row],[体重]]-テーブル22[[#This Row],[標準体重]])/テーブル22[[#This Row],[標準体重]]*100)</f>
        <v/>
      </c>
      <c r="AD396" s="1">
        <f>COUNTA(テーブル22[[#This Row],[握力]:[ボール投げ]])</f>
        <v>0</v>
      </c>
      <c r="AE396" s="1" t="str">
        <f>IF(テーブル22[[#This Row],[判定]]=$BD$10,"○","")</f>
        <v/>
      </c>
      <c r="AF396" s="1" t="str">
        <f>IF(AE396="","",COUNTIF($AE$6:AE396,"○"))</f>
        <v/>
      </c>
    </row>
    <row r="397" spans="1:32" x14ac:dyDescent="0.2">
      <c r="A397" s="40">
        <v>392</v>
      </c>
      <c r="B397" s="145"/>
      <c r="C397" s="148"/>
      <c r="D397" s="145"/>
      <c r="E397" s="156"/>
      <c r="F397" s="145"/>
      <c r="G397" s="145"/>
      <c r="H397" s="146"/>
      <c r="I397" s="146"/>
      <c r="J397" s="148"/>
      <c r="K397" s="145"/>
      <c r="L397" s="148"/>
      <c r="M397" s="149"/>
      <c r="N397" s="148"/>
      <c r="O397" s="150"/>
      <c r="P3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7" s="43" t="str">
        <f>IF(テーブル22[[#This Row],[得点]]="","",IF(テーブル22[[#This Row],[年齢]]&gt;10,LOOKUP(P397,$BG$6:$BG$10,$BD$6:$BD$10),IF(テーブル22[[#This Row],[年齢]]&gt;9,LOOKUP(P397,$BF$6:$BF$10,$BD$6:$BD$10),IF(テーブル22[[#This Row],[年齢]]&gt;8,LOOKUP(P397,$BE$6:$BE$10,$BD$6:$BD$10),IF(テーブル22[[#This Row],[年齢]]&gt;7,LOOKUP(P397,$BC$6:$BC$10,$BD$6:$BD$10),IF(テーブル22[[#This Row],[年齢]]&gt;6,LOOKUP(P397,$BB$6:$BB$10,$BD$6:$BD$10),LOOKUP(P397,$BA$6:$BA$10,$BD$6:$BD$10)))))))</f>
        <v/>
      </c>
      <c r="R397" s="42">
        <f>IF(H397="",0,(IF(テーブル22[[#This Row],[性別]]="男",LOOKUP(テーブル22[[#This Row],[握力]],$AH$6:$AI$15),LOOKUP(テーブル22[[#This Row],[握力]],$AH$20:$AI$29))))</f>
        <v>0</v>
      </c>
      <c r="S397" s="42">
        <f>IF(テーブル22[[#This Row],[上体]]="",0,(IF(テーブル22[[#This Row],[性別]]="男",LOOKUP(テーブル22[[#This Row],[上体]],$AJ$6:$AK$15),LOOKUP(テーブル22[[#This Row],[上体]],$AJ$20:$AK$29))))</f>
        <v>0</v>
      </c>
      <c r="T397" s="42">
        <f>IF(テーブル22[[#This Row],[長座]]="",0,(IF(テーブル22[[#This Row],[性別]]="男",LOOKUP(テーブル22[[#This Row],[長座]],$AL$6:$AM$15),LOOKUP(テーブル22[[#This Row],[長座]],$AL$20:$AM$29))))</f>
        <v>0</v>
      </c>
      <c r="U397" s="42">
        <f>IF(テーブル22[[#This Row],[反復]]="",0,(IF(テーブル22[[#This Row],[性別]]="男",LOOKUP(テーブル22[[#This Row],[反復]],$AN$6:$AO$15),LOOKUP(テーブル22[[#This Row],[反復]],$AN$20:$AO$29))))</f>
        <v>0</v>
      </c>
      <c r="V397" s="42">
        <f>IF(テーブル22[[#This Row],[ｼｬﾄﾙﾗﾝ]]="",0,(IF(テーブル22[[#This Row],[性別]]="男",LOOKUP(テーブル22[[#This Row],[ｼｬﾄﾙﾗﾝ]],$AR$6:$AS$15),LOOKUP(テーブル22[[#This Row],[ｼｬﾄﾙﾗﾝ]],$AR$20:$AS$29))))</f>
        <v>0</v>
      </c>
      <c r="W397" s="42">
        <f>IF(テーブル22[[#This Row],[50m走]]="",0,(IF(テーブル22[[#This Row],[性別]]="男",LOOKUP(テーブル22[[#This Row],[50m走]],$AT$6:$AU$15),LOOKUP(テーブル22[[#This Row],[50m走]],$AT$20:$AU$29))))</f>
        <v>0</v>
      </c>
      <c r="X397" s="42">
        <f>IF(テーブル22[[#This Row],[立幅とび]]="",0,(IF(テーブル22[[#This Row],[性別]]="男",LOOKUP(テーブル22[[#This Row],[立幅とび]],$AV$6:$AW$15),LOOKUP(テーブル22[[#This Row],[立幅とび]],$AV$20:$AW$29))))</f>
        <v>0</v>
      </c>
      <c r="Y397" s="42">
        <f>IF(テーブル22[[#This Row],[ボール投げ]]="",0,(IF(テーブル22[[#This Row],[性別]]="男",LOOKUP(テーブル22[[#This Row],[ボール投げ]],$AX$6:$AY$15),LOOKUP(テーブル22[[#This Row],[ボール投げ]],$AX$20:$AY$29))))</f>
        <v>0</v>
      </c>
      <c r="Z397" s="19" t="str">
        <f>IF(テーブル22[[#This Row],[学年]]=1,6,IF(テーブル22[[#This Row],[学年]]=2,7,IF(テーブル22[[#This Row],[学年]]=3,8,IF(テーブル22[[#This Row],[学年]]=4,9,IF(テーブル22[[#This Row],[学年]]=5,10,IF(テーブル22[[#This Row],[学年]]=6,11," "))))))</f>
        <v xml:space="preserve"> </v>
      </c>
      <c r="AA397" s="125" t="str">
        <f>IF(テーブル22[[#This Row],[肥満度数値]]="","",LOOKUP(AC397,$AW$39:$AW$44,$AX$39:$AX$44))</f>
        <v/>
      </c>
      <c r="AB3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7" s="124" t="str">
        <f>IF(テーブル22[[#This Row],[体重]]="","",(テーブル22[[#This Row],[体重]]-テーブル22[[#This Row],[標準体重]])/テーブル22[[#This Row],[標準体重]]*100)</f>
        <v/>
      </c>
      <c r="AD397" s="1">
        <f>COUNTA(テーブル22[[#This Row],[握力]:[ボール投げ]])</f>
        <v>0</v>
      </c>
      <c r="AE397" s="1" t="str">
        <f>IF(テーブル22[[#This Row],[判定]]=$BD$10,"○","")</f>
        <v/>
      </c>
      <c r="AF397" s="1" t="str">
        <f>IF(AE397="","",COUNTIF($AE$6:AE397,"○"))</f>
        <v/>
      </c>
    </row>
    <row r="398" spans="1:32" x14ac:dyDescent="0.2">
      <c r="A398" s="40">
        <v>393</v>
      </c>
      <c r="B398" s="145"/>
      <c r="C398" s="148"/>
      <c r="D398" s="145"/>
      <c r="E398" s="156"/>
      <c r="F398" s="145"/>
      <c r="G398" s="145"/>
      <c r="H398" s="146"/>
      <c r="I398" s="146"/>
      <c r="J398" s="148"/>
      <c r="K398" s="145"/>
      <c r="L398" s="148"/>
      <c r="M398" s="149"/>
      <c r="N398" s="148"/>
      <c r="O398" s="150"/>
      <c r="P3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8" s="43" t="str">
        <f>IF(テーブル22[[#This Row],[得点]]="","",IF(テーブル22[[#This Row],[年齢]]&gt;10,LOOKUP(P398,$BG$6:$BG$10,$BD$6:$BD$10),IF(テーブル22[[#This Row],[年齢]]&gt;9,LOOKUP(P398,$BF$6:$BF$10,$BD$6:$BD$10),IF(テーブル22[[#This Row],[年齢]]&gt;8,LOOKUP(P398,$BE$6:$BE$10,$BD$6:$BD$10),IF(テーブル22[[#This Row],[年齢]]&gt;7,LOOKUP(P398,$BC$6:$BC$10,$BD$6:$BD$10),IF(テーブル22[[#This Row],[年齢]]&gt;6,LOOKUP(P398,$BB$6:$BB$10,$BD$6:$BD$10),LOOKUP(P398,$BA$6:$BA$10,$BD$6:$BD$10)))))))</f>
        <v/>
      </c>
      <c r="R398" s="42">
        <f>IF(H398="",0,(IF(テーブル22[[#This Row],[性別]]="男",LOOKUP(テーブル22[[#This Row],[握力]],$AH$6:$AI$15),LOOKUP(テーブル22[[#This Row],[握力]],$AH$20:$AI$29))))</f>
        <v>0</v>
      </c>
      <c r="S398" s="42">
        <f>IF(テーブル22[[#This Row],[上体]]="",0,(IF(テーブル22[[#This Row],[性別]]="男",LOOKUP(テーブル22[[#This Row],[上体]],$AJ$6:$AK$15),LOOKUP(テーブル22[[#This Row],[上体]],$AJ$20:$AK$29))))</f>
        <v>0</v>
      </c>
      <c r="T398" s="42">
        <f>IF(テーブル22[[#This Row],[長座]]="",0,(IF(テーブル22[[#This Row],[性別]]="男",LOOKUP(テーブル22[[#This Row],[長座]],$AL$6:$AM$15),LOOKUP(テーブル22[[#This Row],[長座]],$AL$20:$AM$29))))</f>
        <v>0</v>
      </c>
      <c r="U398" s="42">
        <f>IF(テーブル22[[#This Row],[反復]]="",0,(IF(テーブル22[[#This Row],[性別]]="男",LOOKUP(テーブル22[[#This Row],[反復]],$AN$6:$AO$15),LOOKUP(テーブル22[[#This Row],[反復]],$AN$20:$AO$29))))</f>
        <v>0</v>
      </c>
      <c r="V398" s="42">
        <f>IF(テーブル22[[#This Row],[ｼｬﾄﾙﾗﾝ]]="",0,(IF(テーブル22[[#This Row],[性別]]="男",LOOKUP(テーブル22[[#This Row],[ｼｬﾄﾙﾗﾝ]],$AR$6:$AS$15),LOOKUP(テーブル22[[#This Row],[ｼｬﾄﾙﾗﾝ]],$AR$20:$AS$29))))</f>
        <v>0</v>
      </c>
      <c r="W398" s="42">
        <f>IF(テーブル22[[#This Row],[50m走]]="",0,(IF(テーブル22[[#This Row],[性別]]="男",LOOKUP(テーブル22[[#This Row],[50m走]],$AT$6:$AU$15),LOOKUP(テーブル22[[#This Row],[50m走]],$AT$20:$AU$29))))</f>
        <v>0</v>
      </c>
      <c r="X398" s="42">
        <f>IF(テーブル22[[#This Row],[立幅とび]]="",0,(IF(テーブル22[[#This Row],[性別]]="男",LOOKUP(テーブル22[[#This Row],[立幅とび]],$AV$6:$AW$15),LOOKUP(テーブル22[[#This Row],[立幅とび]],$AV$20:$AW$29))))</f>
        <v>0</v>
      </c>
      <c r="Y398" s="42">
        <f>IF(テーブル22[[#This Row],[ボール投げ]]="",0,(IF(テーブル22[[#This Row],[性別]]="男",LOOKUP(テーブル22[[#This Row],[ボール投げ]],$AX$6:$AY$15),LOOKUP(テーブル22[[#This Row],[ボール投げ]],$AX$20:$AY$29))))</f>
        <v>0</v>
      </c>
      <c r="Z398" s="19" t="str">
        <f>IF(テーブル22[[#This Row],[学年]]=1,6,IF(テーブル22[[#This Row],[学年]]=2,7,IF(テーブル22[[#This Row],[学年]]=3,8,IF(テーブル22[[#This Row],[学年]]=4,9,IF(テーブル22[[#This Row],[学年]]=5,10,IF(テーブル22[[#This Row],[学年]]=6,11," "))))))</f>
        <v xml:space="preserve"> </v>
      </c>
      <c r="AA398" s="125" t="str">
        <f>IF(テーブル22[[#This Row],[肥満度数値]]="","",LOOKUP(AC398,$AW$39:$AW$44,$AX$39:$AX$44))</f>
        <v/>
      </c>
      <c r="AB3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8" s="124" t="str">
        <f>IF(テーブル22[[#This Row],[体重]]="","",(テーブル22[[#This Row],[体重]]-テーブル22[[#This Row],[標準体重]])/テーブル22[[#This Row],[標準体重]]*100)</f>
        <v/>
      </c>
      <c r="AD398" s="1">
        <f>COUNTA(テーブル22[[#This Row],[握力]:[ボール投げ]])</f>
        <v>0</v>
      </c>
      <c r="AE398" s="1" t="str">
        <f>IF(テーブル22[[#This Row],[判定]]=$BD$10,"○","")</f>
        <v/>
      </c>
      <c r="AF398" s="1" t="str">
        <f>IF(AE398="","",COUNTIF($AE$6:AE398,"○"))</f>
        <v/>
      </c>
    </row>
    <row r="399" spans="1:32" x14ac:dyDescent="0.2">
      <c r="A399" s="40">
        <v>394</v>
      </c>
      <c r="B399" s="145"/>
      <c r="C399" s="148"/>
      <c r="D399" s="145"/>
      <c r="E399" s="156"/>
      <c r="F399" s="145"/>
      <c r="G399" s="145"/>
      <c r="H399" s="146"/>
      <c r="I399" s="146"/>
      <c r="J399" s="148"/>
      <c r="K399" s="145"/>
      <c r="L399" s="148"/>
      <c r="M399" s="149"/>
      <c r="N399" s="148"/>
      <c r="O399" s="150"/>
      <c r="P3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399" s="43" t="str">
        <f>IF(テーブル22[[#This Row],[得点]]="","",IF(テーブル22[[#This Row],[年齢]]&gt;10,LOOKUP(P399,$BG$6:$BG$10,$BD$6:$BD$10),IF(テーブル22[[#This Row],[年齢]]&gt;9,LOOKUP(P399,$BF$6:$BF$10,$BD$6:$BD$10),IF(テーブル22[[#This Row],[年齢]]&gt;8,LOOKUP(P399,$BE$6:$BE$10,$BD$6:$BD$10),IF(テーブル22[[#This Row],[年齢]]&gt;7,LOOKUP(P399,$BC$6:$BC$10,$BD$6:$BD$10),IF(テーブル22[[#This Row],[年齢]]&gt;6,LOOKUP(P399,$BB$6:$BB$10,$BD$6:$BD$10),LOOKUP(P399,$BA$6:$BA$10,$BD$6:$BD$10)))))))</f>
        <v/>
      </c>
      <c r="R399" s="42">
        <f>IF(H399="",0,(IF(テーブル22[[#This Row],[性別]]="男",LOOKUP(テーブル22[[#This Row],[握力]],$AH$6:$AI$15),LOOKUP(テーブル22[[#This Row],[握力]],$AH$20:$AI$29))))</f>
        <v>0</v>
      </c>
      <c r="S399" s="42">
        <f>IF(テーブル22[[#This Row],[上体]]="",0,(IF(テーブル22[[#This Row],[性別]]="男",LOOKUP(テーブル22[[#This Row],[上体]],$AJ$6:$AK$15),LOOKUP(テーブル22[[#This Row],[上体]],$AJ$20:$AK$29))))</f>
        <v>0</v>
      </c>
      <c r="T399" s="42">
        <f>IF(テーブル22[[#This Row],[長座]]="",0,(IF(テーブル22[[#This Row],[性別]]="男",LOOKUP(テーブル22[[#This Row],[長座]],$AL$6:$AM$15),LOOKUP(テーブル22[[#This Row],[長座]],$AL$20:$AM$29))))</f>
        <v>0</v>
      </c>
      <c r="U399" s="42">
        <f>IF(テーブル22[[#This Row],[反復]]="",0,(IF(テーブル22[[#This Row],[性別]]="男",LOOKUP(テーブル22[[#This Row],[反復]],$AN$6:$AO$15),LOOKUP(テーブル22[[#This Row],[反復]],$AN$20:$AO$29))))</f>
        <v>0</v>
      </c>
      <c r="V399" s="42">
        <f>IF(テーブル22[[#This Row],[ｼｬﾄﾙﾗﾝ]]="",0,(IF(テーブル22[[#This Row],[性別]]="男",LOOKUP(テーブル22[[#This Row],[ｼｬﾄﾙﾗﾝ]],$AR$6:$AS$15),LOOKUP(テーブル22[[#This Row],[ｼｬﾄﾙﾗﾝ]],$AR$20:$AS$29))))</f>
        <v>0</v>
      </c>
      <c r="W399" s="42">
        <f>IF(テーブル22[[#This Row],[50m走]]="",0,(IF(テーブル22[[#This Row],[性別]]="男",LOOKUP(テーブル22[[#This Row],[50m走]],$AT$6:$AU$15),LOOKUP(テーブル22[[#This Row],[50m走]],$AT$20:$AU$29))))</f>
        <v>0</v>
      </c>
      <c r="X399" s="42">
        <f>IF(テーブル22[[#This Row],[立幅とび]]="",0,(IF(テーブル22[[#This Row],[性別]]="男",LOOKUP(テーブル22[[#This Row],[立幅とび]],$AV$6:$AW$15),LOOKUP(テーブル22[[#This Row],[立幅とび]],$AV$20:$AW$29))))</f>
        <v>0</v>
      </c>
      <c r="Y399" s="42">
        <f>IF(テーブル22[[#This Row],[ボール投げ]]="",0,(IF(テーブル22[[#This Row],[性別]]="男",LOOKUP(テーブル22[[#This Row],[ボール投げ]],$AX$6:$AY$15),LOOKUP(テーブル22[[#This Row],[ボール投げ]],$AX$20:$AY$29))))</f>
        <v>0</v>
      </c>
      <c r="Z399" s="19" t="str">
        <f>IF(テーブル22[[#This Row],[学年]]=1,6,IF(テーブル22[[#This Row],[学年]]=2,7,IF(テーブル22[[#This Row],[学年]]=3,8,IF(テーブル22[[#This Row],[学年]]=4,9,IF(テーブル22[[#This Row],[学年]]=5,10,IF(テーブル22[[#This Row],[学年]]=6,11," "))))))</f>
        <v xml:space="preserve"> </v>
      </c>
      <c r="AA399" s="125" t="str">
        <f>IF(テーブル22[[#This Row],[肥満度数値]]="","",LOOKUP(AC399,$AW$39:$AW$44,$AX$39:$AX$44))</f>
        <v/>
      </c>
      <c r="AB3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399" s="124" t="str">
        <f>IF(テーブル22[[#This Row],[体重]]="","",(テーブル22[[#This Row],[体重]]-テーブル22[[#This Row],[標準体重]])/テーブル22[[#This Row],[標準体重]]*100)</f>
        <v/>
      </c>
      <c r="AD399" s="1">
        <f>COUNTA(テーブル22[[#This Row],[握力]:[ボール投げ]])</f>
        <v>0</v>
      </c>
      <c r="AE399" s="1" t="str">
        <f>IF(テーブル22[[#This Row],[判定]]=$BD$10,"○","")</f>
        <v/>
      </c>
      <c r="AF399" s="1" t="str">
        <f>IF(AE399="","",COUNTIF($AE$6:AE399,"○"))</f>
        <v/>
      </c>
    </row>
    <row r="400" spans="1:32" x14ac:dyDescent="0.2">
      <c r="A400" s="40">
        <v>395</v>
      </c>
      <c r="B400" s="145"/>
      <c r="C400" s="148"/>
      <c r="D400" s="145"/>
      <c r="E400" s="156"/>
      <c r="F400" s="145"/>
      <c r="G400" s="145"/>
      <c r="H400" s="146"/>
      <c r="I400" s="146"/>
      <c r="J400" s="148"/>
      <c r="K400" s="145"/>
      <c r="L400" s="148"/>
      <c r="M400" s="149"/>
      <c r="N400" s="148"/>
      <c r="O400" s="150"/>
      <c r="P4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0" s="43" t="str">
        <f>IF(テーブル22[[#This Row],[得点]]="","",IF(テーブル22[[#This Row],[年齢]]&gt;10,LOOKUP(P400,$BG$6:$BG$10,$BD$6:$BD$10),IF(テーブル22[[#This Row],[年齢]]&gt;9,LOOKUP(P400,$BF$6:$BF$10,$BD$6:$BD$10),IF(テーブル22[[#This Row],[年齢]]&gt;8,LOOKUP(P400,$BE$6:$BE$10,$BD$6:$BD$10),IF(テーブル22[[#This Row],[年齢]]&gt;7,LOOKUP(P400,$BC$6:$BC$10,$BD$6:$BD$10),IF(テーブル22[[#This Row],[年齢]]&gt;6,LOOKUP(P400,$BB$6:$BB$10,$BD$6:$BD$10),LOOKUP(P400,$BA$6:$BA$10,$BD$6:$BD$10)))))))</f>
        <v/>
      </c>
      <c r="R400" s="42">
        <f>IF(H400="",0,(IF(テーブル22[[#This Row],[性別]]="男",LOOKUP(テーブル22[[#This Row],[握力]],$AH$6:$AI$15),LOOKUP(テーブル22[[#This Row],[握力]],$AH$20:$AI$29))))</f>
        <v>0</v>
      </c>
      <c r="S400" s="42">
        <f>IF(テーブル22[[#This Row],[上体]]="",0,(IF(テーブル22[[#This Row],[性別]]="男",LOOKUP(テーブル22[[#This Row],[上体]],$AJ$6:$AK$15),LOOKUP(テーブル22[[#This Row],[上体]],$AJ$20:$AK$29))))</f>
        <v>0</v>
      </c>
      <c r="T400" s="42">
        <f>IF(テーブル22[[#This Row],[長座]]="",0,(IF(テーブル22[[#This Row],[性別]]="男",LOOKUP(テーブル22[[#This Row],[長座]],$AL$6:$AM$15),LOOKUP(テーブル22[[#This Row],[長座]],$AL$20:$AM$29))))</f>
        <v>0</v>
      </c>
      <c r="U400" s="42">
        <f>IF(テーブル22[[#This Row],[反復]]="",0,(IF(テーブル22[[#This Row],[性別]]="男",LOOKUP(テーブル22[[#This Row],[反復]],$AN$6:$AO$15),LOOKUP(テーブル22[[#This Row],[反復]],$AN$20:$AO$29))))</f>
        <v>0</v>
      </c>
      <c r="V400" s="42">
        <f>IF(テーブル22[[#This Row],[ｼｬﾄﾙﾗﾝ]]="",0,(IF(テーブル22[[#This Row],[性別]]="男",LOOKUP(テーブル22[[#This Row],[ｼｬﾄﾙﾗﾝ]],$AR$6:$AS$15),LOOKUP(テーブル22[[#This Row],[ｼｬﾄﾙﾗﾝ]],$AR$20:$AS$29))))</f>
        <v>0</v>
      </c>
      <c r="W400" s="42">
        <f>IF(テーブル22[[#This Row],[50m走]]="",0,(IF(テーブル22[[#This Row],[性別]]="男",LOOKUP(テーブル22[[#This Row],[50m走]],$AT$6:$AU$15),LOOKUP(テーブル22[[#This Row],[50m走]],$AT$20:$AU$29))))</f>
        <v>0</v>
      </c>
      <c r="X400" s="42">
        <f>IF(テーブル22[[#This Row],[立幅とび]]="",0,(IF(テーブル22[[#This Row],[性別]]="男",LOOKUP(テーブル22[[#This Row],[立幅とび]],$AV$6:$AW$15),LOOKUP(テーブル22[[#This Row],[立幅とび]],$AV$20:$AW$29))))</f>
        <v>0</v>
      </c>
      <c r="Y400" s="42">
        <f>IF(テーブル22[[#This Row],[ボール投げ]]="",0,(IF(テーブル22[[#This Row],[性別]]="男",LOOKUP(テーブル22[[#This Row],[ボール投げ]],$AX$6:$AY$15),LOOKUP(テーブル22[[#This Row],[ボール投げ]],$AX$20:$AY$29))))</f>
        <v>0</v>
      </c>
      <c r="Z400" s="19" t="str">
        <f>IF(テーブル22[[#This Row],[学年]]=1,6,IF(テーブル22[[#This Row],[学年]]=2,7,IF(テーブル22[[#This Row],[学年]]=3,8,IF(テーブル22[[#This Row],[学年]]=4,9,IF(テーブル22[[#This Row],[学年]]=5,10,IF(テーブル22[[#This Row],[学年]]=6,11," "))))))</f>
        <v xml:space="preserve"> </v>
      </c>
      <c r="AA400" s="125" t="str">
        <f>IF(テーブル22[[#This Row],[肥満度数値]]="","",LOOKUP(AC400,$AW$39:$AW$44,$AX$39:$AX$44))</f>
        <v/>
      </c>
      <c r="AB4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0" s="124" t="str">
        <f>IF(テーブル22[[#This Row],[体重]]="","",(テーブル22[[#This Row],[体重]]-テーブル22[[#This Row],[標準体重]])/テーブル22[[#This Row],[標準体重]]*100)</f>
        <v/>
      </c>
      <c r="AD400" s="1">
        <f>COUNTA(テーブル22[[#This Row],[握力]:[ボール投げ]])</f>
        <v>0</v>
      </c>
      <c r="AE400" s="1" t="str">
        <f>IF(テーブル22[[#This Row],[判定]]=$BD$10,"○","")</f>
        <v/>
      </c>
      <c r="AF400" s="1" t="str">
        <f>IF(AE400="","",COUNTIF($AE$6:AE400,"○"))</f>
        <v/>
      </c>
    </row>
    <row r="401" spans="1:32" x14ac:dyDescent="0.2">
      <c r="A401" s="40">
        <v>396</v>
      </c>
      <c r="B401" s="145"/>
      <c r="C401" s="148"/>
      <c r="D401" s="145"/>
      <c r="E401" s="156"/>
      <c r="F401" s="145"/>
      <c r="G401" s="145"/>
      <c r="H401" s="146"/>
      <c r="I401" s="146"/>
      <c r="J401" s="148"/>
      <c r="K401" s="145"/>
      <c r="L401" s="148"/>
      <c r="M401" s="149"/>
      <c r="N401" s="148"/>
      <c r="O401" s="150"/>
      <c r="P4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1" s="43" t="str">
        <f>IF(テーブル22[[#This Row],[得点]]="","",IF(テーブル22[[#This Row],[年齢]]&gt;10,LOOKUP(P401,$BG$6:$BG$10,$BD$6:$BD$10),IF(テーブル22[[#This Row],[年齢]]&gt;9,LOOKUP(P401,$BF$6:$BF$10,$BD$6:$BD$10),IF(テーブル22[[#This Row],[年齢]]&gt;8,LOOKUP(P401,$BE$6:$BE$10,$BD$6:$BD$10),IF(テーブル22[[#This Row],[年齢]]&gt;7,LOOKUP(P401,$BC$6:$BC$10,$BD$6:$BD$10),IF(テーブル22[[#This Row],[年齢]]&gt;6,LOOKUP(P401,$BB$6:$BB$10,$BD$6:$BD$10),LOOKUP(P401,$BA$6:$BA$10,$BD$6:$BD$10)))))))</f>
        <v/>
      </c>
      <c r="R401" s="42">
        <f>IF(H401="",0,(IF(テーブル22[[#This Row],[性別]]="男",LOOKUP(テーブル22[[#This Row],[握力]],$AH$6:$AI$15),LOOKUP(テーブル22[[#This Row],[握力]],$AH$20:$AI$29))))</f>
        <v>0</v>
      </c>
      <c r="S401" s="42">
        <f>IF(テーブル22[[#This Row],[上体]]="",0,(IF(テーブル22[[#This Row],[性別]]="男",LOOKUP(テーブル22[[#This Row],[上体]],$AJ$6:$AK$15),LOOKUP(テーブル22[[#This Row],[上体]],$AJ$20:$AK$29))))</f>
        <v>0</v>
      </c>
      <c r="T401" s="42">
        <f>IF(テーブル22[[#This Row],[長座]]="",0,(IF(テーブル22[[#This Row],[性別]]="男",LOOKUP(テーブル22[[#This Row],[長座]],$AL$6:$AM$15),LOOKUP(テーブル22[[#This Row],[長座]],$AL$20:$AM$29))))</f>
        <v>0</v>
      </c>
      <c r="U401" s="42">
        <f>IF(テーブル22[[#This Row],[反復]]="",0,(IF(テーブル22[[#This Row],[性別]]="男",LOOKUP(テーブル22[[#This Row],[反復]],$AN$6:$AO$15),LOOKUP(テーブル22[[#This Row],[反復]],$AN$20:$AO$29))))</f>
        <v>0</v>
      </c>
      <c r="V401" s="42">
        <f>IF(テーブル22[[#This Row],[ｼｬﾄﾙﾗﾝ]]="",0,(IF(テーブル22[[#This Row],[性別]]="男",LOOKUP(テーブル22[[#This Row],[ｼｬﾄﾙﾗﾝ]],$AR$6:$AS$15),LOOKUP(テーブル22[[#This Row],[ｼｬﾄﾙﾗﾝ]],$AR$20:$AS$29))))</f>
        <v>0</v>
      </c>
      <c r="W401" s="42">
        <f>IF(テーブル22[[#This Row],[50m走]]="",0,(IF(テーブル22[[#This Row],[性別]]="男",LOOKUP(テーブル22[[#This Row],[50m走]],$AT$6:$AU$15),LOOKUP(テーブル22[[#This Row],[50m走]],$AT$20:$AU$29))))</f>
        <v>0</v>
      </c>
      <c r="X401" s="42">
        <f>IF(テーブル22[[#This Row],[立幅とび]]="",0,(IF(テーブル22[[#This Row],[性別]]="男",LOOKUP(テーブル22[[#This Row],[立幅とび]],$AV$6:$AW$15),LOOKUP(テーブル22[[#This Row],[立幅とび]],$AV$20:$AW$29))))</f>
        <v>0</v>
      </c>
      <c r="Y401" s="42">
        <f>IF(テーブル22[[#This Row],[ボール投げ]]="",0,(IF(テーブル22[[#This Row],[性別]]="男",LOOKUP(テーブル22[[#This Row],[ボール投げ]],$AX$6:$AY$15),LOOKUP(テーブル22[[#This Row],[ボール投げ]],$AX$20:$AY$29))))</f>
        <v>0</v>
      </c>
      <c r="Z401" s="19" t="str">
        <f>IF(テーブル22[[#This Row],[学年]]=1,6,IF(テーブル22[[#This Row],[学年]]=2,7,IF(テーブル22[[#This Row],[学年]]=3,8,IF(テーブル22[[#This Row],[学年]]=4,9,IF(テーブル22[[#This Row],[学年]]=5,10,IF(テーブル22[[#This Row],[学年]]=6,11," "))))))</f>
        <v xml:space="preserve"> </v>
      </c>
      <c r="AA401" s="125" t="str">
        <f>IF(テーブル22[[#This Row],[肥満度数値]]="","",LOOKUP(AC401,$AW$39:$AW$44,$AX$39:$AX$44))</f>
        <v/>
      </c>
      <c r="AB4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1" s="124" t="str">
        <f>IF(テーブル22[[#This Row],[体重]]="","",(テーブル22[[#This Row],[体重]]-テーブル22[[#This Row],[標準体重]])/テーブル22[[#This Row],[標準体重]]*100)</f>
        <v/>
      </c>
      <c r="AD401" s="1">
        <f>COUNTA(テーブル22[[#This Row],[握力]:[ボール投げ]])</f>
        <v>0</v>
      </c>
      <c r="AE401" s="1" t="str">
        <f>IF(テーブル22[[#This Row],[判定]]=$BD$10,"○","")</f>
        <v/>
      </c>
      <c r="AF401" s="1" t="str">
        <f>IF(AE401="","",COUNTIF($AE$6:AE401,"○"))</f>
        <v/>
      </c>
    </row>
    <row r="402" spans="1:32" x14ac:dyDescent="0.2">
      <c r="A402" s="40">
        <v>397</v>
      </c>
      <c r="B402" s="145"/>
      <c r="C402" s="148"/>
      <c r="D402" s="145"/>
      <c r="E402" s="156"/>
      <c r="F402" s="145"/>
      <c r="G402" s="145"/>
      <c r="H402" s="146"/>
      <c r="I402" s="146"/>
      <c r="J402" s="148"/>
      <c r="K402" s="145"/>
      <c r="L402" s="148"/>
      <c r="M402" s="149"/>
      <c r="N402" s="148"/>
      <c r="O402" s="150"/>
      <c r="P4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2" s="43" t="str">
        <f>IF(テーブル22[[#This Row],[得点]]="","",IF(テーブル22[[#This Row],[年齢]]&gt;10,LOOKUP(P402,$BG$6:$BG$10,$BD$6:$BD$10),IF(テーブル22[[#This Row],[年齢]]&gt;9,LOOKUP(P402,$BF$6:$BF$10,$BD$6:$BD$10),IF(テーブル22[[#This Row],[年齢]]&gt;8,LOOKUP(P402,$BE$6:$BE$10,$BD$6:$BD$10),IF(テーブル22[[#This Row],[年齢]]&gt;7,LOOKUP(P402,$BC$6:$BC$10,$BD$6:$BD$10),IF(テーブル22[[#This Row],[年齢]]&gt;6,LOOKUP(P402,$BB$6:$BB$10,$BD$6:$BD$10),LOOKUP(P402,$BA$6:$BA$10,$BD$6:$BD$10)))))))</f>
        <v/>
      </c>
      <c r="R402" s="42">
        <f>IF(H402="",0,(IF(テーブル22[[#This Row],[性別]]="男",LOOKUP(テーブル22[[#This Row],[握力]],$AH$6:$AI$15),LOOKUP(テーブル22[[#This Row],[握力]],$AH$20:$AI$29))))</f>
        <v>0</v>
      </c>
      <c r="S402" s="42">
        <f>IF(テーブル22[[#This Row],[上体]]="",0,(IF(テーブル22[[#This Row],[性別]]="男",LOOKUP(テーブル22[[#This Row],[上体]],$AJ$6:$AK$15),LOOKUP(テーブル22[[#This Row],[上体]],$AJ$20:$AK$29))))</f>
        <v>0</v>
      </c>
      <c r="T402" s="42">
        <f>IF(テーブル22[[#This Row],[長座]]="",0,(IF(テーブル22[[#This Row],[性別]]="男",LOOKUP(テーブル22[[#This Row],[長座]],$AL$6:$AM$15),LOOKUP(テーブル22[[#This Row],[長座]],$AL$20:$AM$29))))</f>
        <v>0</v>
      </c>
      <c r="U402" s="42">
        <f>IF(テーブル22[[#This Row],[反復]]="",0,(IF(テーブル22[[#This Row],[性別]]="男",LOOKUP(テーブル22[[#This Row],[反復]],$AN$6:$AO$15),LOOKUP(テーブル22[[#This Row],[反復]],$AN$20:$AO$29))))</f>
        <v>0</v>
      </c>
      <c r="V402" s="42">
        <f>IF(テーブル22[[#This Row],[ｼｬﾄﾙﾗﾝ]]="",0,(IF(テーブル22[[#This Row],[性別]]="男",LOOKUP(テーブル22[[#This Row],[ｼｬﾄﾙﾗﾝ]],$AR$6:$AS$15),LOOKUP(テーブル22[[#This Row],[ｼｬﾄﾙﾗﾝ]],$AR$20:$AS$29))))</f>
        <v>0</v>
      </c>
      <c r="W402" s="42">
        <f>IF(テーブル22[[#This Row],[50m走]]="",0,(IF(テーブル22[[#This Row],[性別]]="男",LOOKUP(テーブル22[[#This Row],[50m走]],$AT$6:$AU$15),LOOKUP(テーブル22[[#This Row],[50m走]],$AT$20:$AU$29))))</f>
        <v>0</v>
      </c>
      <c r="X402" s="42">
        <f>IF(テーブル22[[#This Row],[立幅とび]]="",0,(IF(テーブル22[[#This Row],[性別]]="男",LOOKUP(テーブル22[[#This Row],[立幅とび]],$AV$6:$AW$15),LOOKUP(テーブル22[[#This Row],[立幅とび]],$AV$20:$AW$29))))</f>
        <v>0</v>
      </c>
      <c r="Y402" s="42">
        <f>IF(テーブル22[[#This Row],[ボール投げ]]="",0,(IF(テーブル22[[#This Row],[性別]]="男",LOOKUP(テーブル22[[#This Row],[ボール投げ]],$AX$6:$AY$15),LOOKUP(テーブル22[[#This Row],[ボール投げ]],$AX$20:$AY$29))))</f>
        <v>0</v>
      </c>
      <c r="Z402" s="19" t="str">
        <f>IF(テーブル22[[#This Row],[学年]]=1,6,IF(テーブル22[[#This Row],[学年]]=2,7,IF(テーブル22[[#This Row],[学年]]=3,8,IF(テーブル22[[#This Row],[学年]]=4,9,IF(テーブル22[[#This Row],[学年]]=5,10,IF(テーブル22[[#This Row],[学年]]=6,11," "))))))</f>
        <v xml:space="preserve"> </v>
      </c>
      <c r="AA402" s="125" t="str">
        <f>IF(テーブル22[[#This Row],[肥満度数値]]="","",LOOKUP(AC402,$AW$39:$AW$44,$AX$39:$AX$44))</f>
        <v/>
      </c>
      <c r="AB4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2" s="124" t="str">
        <f>IF(テーブル22[[#This Row],[体重]]="","",(テーブル22[[#This Row],[体重]]-テーブル22[[#This Row],[標準体重]])/テーブル22[[#This Row],[標準体重]]*100)</f>
        <v/>
      </c>
      <c r="AD402" s="1">
        <f>COUNTA(テーブル22[[#This Row],[握力]:[ボール投げ]])</f>
        <v>0</v>
      </c>
      <c r="AE402" s="1" t="str">
        <f>IF(テーブル22[[#This Row],[判定]]=$BD$10,"○","")</f>
        <v/>
      </c>
      <c r="AF402" s="1" t="str">
        <f>IF(AE402="","",COUNTIF($AE$6:AE402,"○"))</f>
        <v/>
      </c>
    </row>
    <row r="403" spans="1:32" x14ac:dyDescent="0.2">
      <c r="A403" s="40">
        <v>398</v>
      </c>
      <c r="B403" s="145"/>
      <c r="C403" s="148"/>
      <c r="D403" s="145"/>
      <c r="E403" s="156"/>
      <c r="F403" s="145"/>
      <c r="G403" s="145"/>
      <c r="H403" s="146"/>
      <c r="I403" s="146"/>
      <c r="J403" s="148"/>
      <c r="K403" s="145"/>
      <c r="L403" s="148"/>
      <c r="M403" s="149"/>
      <c r="N403" s="148"/>
      <c r="O403" s="150"/>
      <c r="P4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3" s="43" t="str">
        <f>IF(テーブル22[[#This Row],[得点]]="","",IF(テーブル22[[#This Row],[年齢]]&gt;10,LOOKUP(P403,$BG$6:$BG$10,$BD$6:$BD$10),IF(テーブル22[[#This Row],[年齢]]&gt;9,LOOKUP(P403,$BF$6:$BF$10,$BD$6:$BD$10),IF(テーブル22[[#This Row],[年齢]]&gt;8,LOOKUP(P403,$BE$6:$BE$10,$BD$6:$BD$10),IF(テーブル22[[#This Row],[年齢]]&gt;7,LOOKUP(P403,$BC$6:$BC$10,$BD$6:$BD$10),IF(テーブル22[[#This Row],[年齢]]&gt;6,LOOKUP(P403,$BB$6:$BB$10,$BD$6:$BD$10),LOOKUP(P403,$BA$6:$BA$10,$BD$6:$BD$10)))))))</f>
        <v/>
      </c>
      <c r="R403" s="42">
        <f>IF(H403="",0,(IF(テーブル22[[#This Row],[性別]]="男",LOOKUP(テーブル22[[#This Row],[握力]],$AH$6:$AI$15),LOOKUP(テーブル22[[#This Row],[握力]],$AH$20:$AI$29))))</f>
        <v>0</v>
      </c>
      <c r="S403" s="42">
        <f>IF(テーブル22[[#This Row],[上体]]="",0,(IF(テーブル22[[#This Row],[性別]]="男",LOOKUP(テーブル22[[#This Row],[上体]],$AJ$6:$AK$15),LOOKUP(テーブル22[[#This Row],[上体]],$AJ$20:$AK$29))))</f>
        <v>0</v>
      </c>
      <c r="T403" s="42">
        <f>IF(テーブル22[[#This Row],[長座]]="",0,(IF(テーブル22[[#This Row],[性別]]="男",LOOKUP(テーブル22[[#This Row],[長座]],$AL$6:$AM$15),LOOKUP(テーブル22[[#This Row],[長座]],$AL$20:$AM$29))))</f>
        <v>0</v>
      </c>
      <c r="U403" s="42">
        <f>IF(テーブル22[[#This Row],[反復]]="",0,(IF(テーブル22[[#This Row],[性別]]="男",LOOKUP(テーブル22[[#This Row],[反復]],$AN$6:$AO$15),LOOKUP(テーブル22[[#This Row],[反復]],$AN$20:$AO$29))))</f>
        <v>0</v>
      </c>
      <c r="V403" s="42">
        <f>IF(テーブル22[[#This Row],[ｼｬﾄﾙﾗﾝ]]="",0,(IF(テーブル22[[#This Row],[性別]]="男",LOOKUP(テーブル22[[#This Row],[ｼｬﾄﾙﾗﾝ]],$AR$6:$AS$15),LOOKUP(テーブル22[[#This Row],[ｼｬﾄﾙﾗﾝ]],$AR$20:$AS$29))))</f>
        <v>0</v>
      </c>
      <c r="W403" s="42">
        <f>IF(テーブル22[[#This Row],[50m走]]="",0,(IF(テーブル22[[#This Row],[性別]]="男",LOOKUP(テーブル22[[#This Row],[50m走]],$AT$6:$AU$15),LOOKUP(テーブル22[[#This Row],[50m走]],$AT$20:$AU$29))))</f>
        <v>0</v>
      </c>
      <c r="X403" s="42">
        <f>IF(テーブル22[[#This Row],[立幅とび]]="",0,(IF(テーブル22[[#This Row],[性別]]="男",LOOKUP(テーブル22[[#This Row],[立幅とび]],$AV$6:$AW$15),LOOKUP(テーブル22[[#This Row],[立幅とび]],$AV$20:$AW$29))))</f>
        <v>0</v>
      </c>
      <c r="Y403" s="42">
        <f>IF(テーブル22[[#This Row],[ボール投げ]]="",0,(IF(テーブル22[[#This Row],[性別]]="男",LOOKUP(テーブル22[[#This Row],[ボール投げ]],$AX$6:$AY$15),LOOKUP(テーブル22[[#This Row],[ボール投げ]],$AX$20:$AY$29))))</f>
        <v>0</v>
      </c>
      <c r="Z403" s="19" t="str">
        <f>IF(テーブル22[[#This Row],[学年]]=1,6,IF(テーブル22[[#This Row],[学年]]=2,7,IF(テーブル22[[#This Row],[学年]]=3,8,IF(テーブル22[[#This Row],[学年]]=4,9,IF(テーブル22[[#This Row],[学年]]=5,10,IF(テーブル22[[#This Row],[学年]]=6,11," "))))))</f>
        <v xml:space="preserve"> </v>
      </c>
      <c r="AA403" s="125" t="str">
        <f>IF(テーブル22[[#This Row],[肥満度数値]]="","",LOOKUP(AC403,$AW$39:$AW$44,$AX$39:$AX$44))</f>
        <v/>
      </c>
      <c r="AB4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3" s="124" t="str">
        <f>IF(テーブル22[[#This Row],[体重]]="","",(テーブル22[[#This Row],[体重]]-テーブル22[[#This Row],[標準体重]])/テーブル22[[#This Row],[標準体重]]*100)</f>
        <v/>
      </c>
      <c r="AD403" s="1">
        <f>COUNTA(テーブル22[[#This Row],[握力]:[ボール投げ]])</f>
        <v>0</v>
      </c>
      <c r="AE403" s="1" t="str">
        <f>IF(テーブル22[[#This Row],[判定]]=$BD$10,"○","")</f>
        <v/>
      </c>
      <c r="AF403" s="1" t="str">
        <f>IF(AE403="","",COUNTIF($AE$6:AE403,"○"))</f>
        <v/>
      </c>
    </row>
    <row r="404" spans="1:32" x14ac:dyDescent="0.2">
      <c r="A404" s="40">
        <v>399</v>
      </c>
      <c r="B404" s="145"/>
      <c r="C404" s="148"/>
      <c r="D404" s="145"/>
      <c r="E404" s="156"/>
      <c r="F404" s="145"/>
      <c r="G404" s="145"/>
      <c r="H404" s="146"/>
      <c r="I404" s="146"/>
      <c r="J404" s="148"/>
      <c r="K404" s="145"/>
      <c r="L404" s="148"/>
      <c r="M404" s="149"/>
      <c r="N404" s="148"/>
      <c r="O404" s="150"/>
      <c r="P4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4" s="43" t="str">
        <f>IF(テーブル22[[#This Row],[得点]]="","",IF(テーブル22[[#This Row],[年齢]]&gt;10,LOOKUP(P404,$BG$6:$BG$10,$BD$6:$BD$10),IF(テーブル22[[#This Row],[年齢]]&gt;9,LOOKUP(P404,$BF$6:$BF$10,$BD$6:$BD$10),IF(テーブル22[[#This Row],[年齢]]&gt;8,LOOKUP(P404,$BE$6:$BE$10,$BD$6:$BD$10),IF(テーブル22[[#This Row],[年齢]]&gt;7,LOOKUP(P404,$BC$6:$BC$10,$BD$6:$BD$10),IF(テーブル22[[#This Row],[年齢]]&gt;6,LOOKUP(P404,$BB$6:$BB$10,$BD$6:$BD$10),LOOKUP(P404,$BA$6:$BA$10,$BD$6:$BD$10)))))))</f>
        <v/>
      </c>
      <c r="R404" s="42">
        <f>IF(H404="",0,(IF(テーブル22[[#This Row],[性別]]="男",LOOKUP(テーブル22[[#This Row],[握力]],$AH$6:$AI$15),LOOKUP(テーブル22[[#This Row],[握力]],$AH$20:$AI$29))))</f>
        <v>0</v>
      </c>
      <c r="S404" s="42">
        <f>IF(テーブル22[[#This Row],[上体]]="",0,(IF(テーブル22[[#This Row],[性別]]="男",LOOKUP(テーブル22[[#This Row],[上体]],$AJ$6:$AK$15),LOOKUP(テーブル22[[#This Row],[上体]],$AJ$20:$AK$29))))</f>
        <v>0</v>
      </c>
      <c r="T404" s="42">
        <f>IF(テーブル22[[#This Row],[長座]]="",0,(IF(テーブル22[[#This Row],[性別]]="男",LOOKUP(テーブル22[[#This Row],[長座]],$AL$6:$AM$15),LOOKUP(テーブル22[[#This Row],[長座]],$AL$20:$AM$29))))</f>
        <v>0</v>
      </c>
      <c r="U404" s="42">
        <f>IF(テーブル22[[#This Row],[反復]]="",0,(IF(テーブル22[[#This Row],[性別]]="男",LOOKUP(テーブル22[[#This Row],[反復]],$AN$6:$AO$15),LOOKUP(テーブル22[[#This Row],[反復]],$AN$20:$AO$29))))</f>
        <v>0</v>
      </c>
      <c r="V404" s="42">
        <f>IF(テーブル22[[#This Row],[ｼｬﾄﾙﾗﾝ]]="",0,(IF(テーブル22[[#This Row],[性別]]="男",LOOKUP(テーブル22[[#This Row],[ｼｬﾄﾙﾗﾝ]],$AR$6:$AS$15),LOOKUP(テーブル22[[#This Row],[ｼｬﾄﾙﾗﾝ]],$AR$20:$AS$29))))</f>
        <v>0</v>
      </c>
      <c r="W404" s="42">
        <f>IF(テーブル22[[#This Row],[50m走]]="",0,(IF(テーブル22[[#This Row],[性別]]="男",LOOKUP(テーブル22[[#This Row],[50m走]],$AT$6:$AU$15),LOOKUP(テーブル22[[#This Row],[50m走]],$AT$20:$AU$29))))</f>
        <v>0</v>
      </c>
      <c r="X404" s="42">
        <f>IF(テーブル22[[#This Row],[立幅とび]]="",0,(IF(テーブル22[[#This Row],[性別]]="男",LOOKUP(テーブル22[[#This Row],[立幅とび]],$AV$6:$AW$15),LOOKUP(テーブル22[[#This Row],[立幅とび]],$AV$20:$AW$29))))</f>
        <v>0</v>
      </c>
      <c r="Y404" s="42">
        <f>IF(テーブル22[[#This Row],[ボール投げ]]="",0,(IF(テーブル22[[#This Row],[性別]]="男",LOOKUP(テーブル22[[#This Row],[ボール投げ]],$AX$6:$AY$15),LOOKUP(テーブル22[[#This Row],[ボール投げ]],$AX$20:$AY$29))))</f>
        <v>0</v>
      </c>
      <c r="Z404" s="19" t="str">
        <f>IF(テーブル22[[#This Row],[学年]]=1,6,IF(テーブル22[[#This Row],[学年]]=2,7,IF(テーブル22[[#This Row],[学年]]=3,8,IF(テーブル22[[#This Row],[学年]]=4,9,IF(テーブル22[[#This Row],[学年]]=5,10,IF(テーブル22[[#This Row],[学年]]=6,11," "))))))</f>
        <v xml:space="preserve"> </v>
      </c>
      <c r="AA404" s="125" t="str">
        <f>IF(テーブル22[[#This Row],[肥満度数値]]="","",LOOKUP(AC404,$AW$39:$AW$44,$AX$39:$AX$44))</f>
        <v/>
      </c>
      <c r="AB4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4" s="124" t="str">
        <f>IF(テーブル22[[#This Row],[体重]]="","",(テーブル22[[#This Row],[体重]]-テーブル22[[#This Row],[標準体重]])/テーブル22[[#This Row],[標準体重]]*100)</f>
        <v/>
      </c>
      <c r="AD404" s="1">
        <f>COUNTA(テーブル22[[#This Row],[握力]:[ボール投げ]])</f>
        <v>0</v>
      </c>
      <c r="AE404" s="1" t="str">
        <f>IF(テーブル22[[#This Row],[判定]]=$BD$10,"○","")</f>
        <v/>
      </c>
      <c r="AF404" s="1" t="str">
        <f>IF(AE404="","",COUNTIF($AE$6:AE404,"○"))</f>
        <v/>
      </c>
    </row>
    <row r="405" spans="1:32" x14ac:dyDescent="0.2">
      <c r="A405" s="40">
        <v>400</v>
      </c>
      <c r="B405" s="145"/>
      <c r="C405" s="148"/>
      <c r="D405" s="145"/>
      <c r="E405" s="156"/>
      <c r="F405" s="145"/>
      <c r="G405" s="145"/>
      <c r="H405" s="146"/>
      <c r="I405" s="146"/>
      <c r="J405" s="148"/>
      <c r="K405" s="145"/>
      <c r="L405" s="148"/>
      <c r="M405" s="149"/>
      <c r="N405" s="148"/>
      <c r="O405" s="150"/>
      <c r="P4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5" s="43" t="str">
        <f>IF(テーブル22[[#This Row],[得点]]="","",IF(テーブル22[[#This Row],[年齢]]&gt;10,LOOKUP(P405,$BG$6:$BG$10,$BD$6:$BD$10),IF(テーブル22[[#This Row],[年齢]]&gt;9,LOOKUP(P405,$BF$6:$BF$10,$BD$6:$BD$10),IF(テーブル22[[#This Row],[年齢]]&gt;8,LOOKUP(P405,$BE$6:$BE$10,$BD$6:$BD$10),IF(テーブル22[[#This Row],[年齢]]&gt;7,LOOKUP(P405,$BC$6:$BC$10,$BD$6:$BD$10),IF(テーブル22[[#This Row],[年齢]]&gt;6,LOOKUP(P405,$BB$6:$BB$10,$BD$6:$BD$10),LOOKUP(P405,$BA$6:$BA$10,$BD$6:$BD$10)))))))</f>
        <v/>
      </c>
      <c r="R405" s="42">
        <f>IF(H405="",0,(IF(テーブル22[[#This Row],[性別]]="男",LOOKUP(テーブル22[[#This Row],[握力]],$AH$6:$AI$15),LOOKUP(テーブル22[[#This Row],[握力]],$AH$20:$AI$29))))</f>
        <v>0</v>
      </c>
      <c r="S405" s="42">
        <f>IF(テーブル22[[#This Row],[上体]]="",0,(IF(テーブル22[[#This Row],[性別]]="男",LOOKUP(テーブル22[[#This Row],[上体]],$AJ$6:$AK$15),LOOKUP(テーブル22[[#This Row],[上体]],$AJ$20:$AK$29))))</f>
        <v>0</v>
      </c>
      <c r="T405" s="42">
        <f>IF(テーブル22[[#This Row],[長座]]="",0,(IF(テーブル22[[#This Row],[性別]]="男",LOOKUP(テーブル22[[#This Row],[長座]],$AL$6:$AM$15),LOOKUP(テーブル22[[#This Row],[長座]],$AL$20:$AM$29))))</f>
        <v>0</v>
      </c>
      <c r="U405" s="42">
        <f>IF(テーブル22[[#This Row],[反復]]="",0,(IF(テーブル22[[#This Row],[性別]]="男",LOOKUP(テーブル22[[#This Row],[反復]],$AN$6:$AO$15),LOOKUP(テーブル22[[#This Row],[反復]],$AN$20:$AO$29))))</f>
        <v>0</v>
      </c>
      <c r="V405" s="42">
        <f>IF(テーブル22[[#This Row],[ｼｬﾄﾙﾗﾝ]]="",0,(IF(テーブル22[[#This Row],[性別]]="男",LOOKUP(テーブル22[[#This Row],[ｼｬﾄﾙﾗﾝ]],$AR$6:$AS$15),LOOKUP(テーブル22[[#This Row],[ｼｬﾄﾙﾗﾝ]],$AR$20:$AS$29))))</f>
        <v>0</v>
      </c>
      <c r="W405" s="42">
        <f>IF(テーブル22[[#This Row],[50m走]]="",0,(IF(テーブル22[[#This Row],[性別]]="男",LOOKUP(テーブル22[[#This Row],[50m走]],$AT$6:$AU$15),LOOKUP(テーブル22[[#This Row],[50m走]],$AT$20:$AU$29))))</f>
        <v>0</v>
      </c>
      <c r="X405" s="42">
        <f>IF(テーブル22[[#This Row],[立幅とび]]="",0,(IF(テーブル22[[#This Row],[性別]]="男",LOOKUP(テーブル22[[#This Row],[立幅とび]],$AV$6:$AW$15),LOOKUP(テーブル22[[#This Row],[立幅とび]],$AV$20:$AW$29))))</f>
        <v>0</v>
      </c>
      <c r="Y405" s="42">
        <f>IF(テーブル22[[#This Row],[ボール投げ]]="",0,(IF(テーブル22[[#This Row],[性別]]="男",LOOKUP(テーブル22[[#This Row],[ボール投げ]],$AX$6:$AY$15),LOOKUP(テーブル22[[#This Row],[ボール投げ]],$AX$20:$AY$29))))</f>
        <v>0</v>
      </c>
      <c r="Z405" s="19" t="str">
        <f>IF(テーブル22[[#This Row],[学年]]=1,6,IF(テーブル22[[#This Row],[学年]]=2,7,IF(テーブル22[[#This Row],[学年]]=3,8,IF(テーブル22[[#This Row],[学年]]=4,9,IF(テーブル22[[#This Row],[学年]]=5,10,IF(テーブル22[[#This Row],[学年]]=6,11," "))))))</f>
        <v xml:space="preserve"> </v>
      </c>
      <c r="AA405" s="125" t="str">
        <f>IF(テーブル22[[#This Row],[肥満度数値]]="","",LOOKUP(AC405,$AW$39:$AW$44,$AX$39:$AX$44))</f>
        <v/>
      </c>
      <c r="AB4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5" s="124" t="str">
        <f>IF(テーブル22[[#This Row],[体重]]="","",(テーブル22[[#This Row],[体重]]-テーブル22[[#This Row],[標準体重]])/テーブル22[[#This Row],[標準体重]]*100)</f>
        <v/>
      </c>
      <c r="AD405" s="1">
        <f>COUNTA(テーブル22[[#This Row],[握力]:[ボール投げ]])</f>
        <v>0</v>
      </c>
      <c r="AE405" s="1" t="str">
        <f>IF(テーブル22[[#This Row],[判定]]=$BD$10,"○","")</f>
        <v/>
      </c>
      <c r="AF405" s="1" t="str">
        <f>IF(AE405="","",COUNTIF($AE$6:AE405,"○"))</f>
        <v/>
      </c>
    </row>
    <row r="406" spans="1:32" x14ac:dyDescent="0.2">
      <c r="A406" s="40">
        <v>401</v>
      </c>
      <c r="B406" s="145"/>
      <c r="C406" s="148"/>
      <c r="D406" s="145"/>
      <c r="E406" s="156"/>
      <c r="F406" s="145"/>
      <c r="G406" s="145"/>
      <c r="H406" s="146"/>
      <c r="I406" s="146"/>
      <c r="J406" s="148"/>
      <c r="K406" s="145"/>
      <c r="L406" s="148"/>
      <c r="M406" s="149"/>
      <c r="N406" s="148"/>
      <c r="O406" s="150"/>
      <c r="P40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6" s="43" t="str">
        <f>IF(テーブル22[[#This Row],[得点]]="","",IF(テーブル22[[#This Row],[年齢]]&gt;10,LOOKUP(P406,$BG$6:$BG$10,$BD$6:$BD$10),IF(テーブル22[[#This Row],[年齢]]&gt;9,LOOKUP(P406,$BF$6:$BF$10,$BD$6:$BD$10),IF(テーブル22[[#This Row],[年齢]]&gt;8,LOOKUP(P406,$BE$6:$BE$10,$BD$6:$BD$10),IF(テーブル22[[#This Row],[年齢]]&gt;7,LOOKUP(P406,$BC$6:$BC$10,$BD$6:$BD$10),IF(テーブル22[[#This Row],[年齢]]&gt;6,LOOKUP(P406,$BB$6:$BB$10,$BD$6:$BD$10),LOOKUP(P406,$BA$6:$BA$10,$BD$6:$BD$10)))))))</f>
        <v/>
      </c>
      <c r="R406" s="42">
        <f>IF(H406="",0,(IF(テーブル22[[#This Row],[性別]]="男",LOOKUP(テーブル22[[#This Row],[握力]],$AH$6:$AI$15),LOOKUP(テーブル22[[#This Row],[握力]],$AH$20:$AI$29))))</f>
        <v>0</v>
      </c>
      <c r="S406" s="42">
        <f>IF(テーブル22[[#This Row],[上体]]="",0,(IF(テーブル22[[#This Row],[性別]]="男",LOOKUP(テーブル22[[#This Row],[上体]],$AJ$6:$AK$15),LOOKUP(テーブル22[[#This Row],[上体]],$AJ$20:$AK$29))))</f>
        <v>0</v>
      </c>
      <c r="T406" s="42">
        <f>IF(テーブル22[[#This Row],[長座]]="",0,(IF(テーブル22[[#This Row],[性別]]="男",LOOKUP(テーブル22[[#This Row],[長座]],$AL$6:$AM$15),LOOKUP(テーブル22[[#This Row],[長座]],$AL$20:$AM$29))))</f>
        <v>0</v>
      </c>
      <c r="U406" s="42">
        <f>IF(テーブル22[[#This Row],[反復]]="",0,(IF(テーブル22[[#This Row],[性別]]="男",LOOKUP(テーブル22[[#This Row],[反復]],$AN$6:$AO$15),LOOKUP(テーブル22[[#This Row],[反復]],$AN$20:$AO$29))))</f>
        <v>0</v>
      </c>
      <c r="V406" s="42">
        <f>IF(テーブル22[[#This Row],[ｼｬﾄﾙﾗﾝ]]="",0,(IF(テーブル22[[#This Row],[性別]]="男",LOOKUP(テーブル22[[#This Row],[ｼｬﾄﾙﾗﾝ]],$AR$6:$AS$15),LOOKUP(テーブル22[[#This Row],[ｼｬﾄﾙﾗﾝ]],$AR$20:$AS$29))))</f>
        <v>0</v>
      </c>
      <c r="W406" s="42">
        <f>IF(テーブル22[[#This Row],[50m走]]="",0,(IF(テーブル22[[#This Row],[性別]]="男",LOOKUP(テーブル22[[#This Row],[50m走]],$AT$6:$AU$15),LOOKUP(テーブル22[[#This Row],[50m走]],$AT$20:$AU$29))))</f>
        <v>0</v>
      </c>
      <c r="X406" s="42">
        <f>IF(テーブル22[[#This Row],[立幅とび]]="",0,(IF(テーブル22[[#This Row],[性別]]="男",LOOKUP(テーブル22[[#This Row],[立幅とび]],$AV$6:$AW$15),LOOKUP(テーブル22[[#This Row],[立幅とび]],$AV$20:$AW$29))))</f>
        <v>0</v>
      </c>
      <c r="Y406" s="42">
        <f>IF(テーブル22[[#This Row],[ボール投げ]]="",0,(IF(テーブル22[[#This Row],[性別]]="男",LOOKUP(テーブル22[[#This Row],[ボール投げ]],$AX$6:$AY$15),LOOKUP(テーブル22[[#This Row],[ボール投げ]],$AX$20:$AY$29))))</f>
        <v>0</v>
      </c>
      <c r="Z406" s="19" t="str">
        <f>IF(テーブル22[[#This Row],[学年]]=1,6,IF(テーブル22[[#This Row],[学年]]=2,7,IF(テーブル22[[#This Row],[学年]]=3,8,IF(テーブル22[[#This Row],[学年]]=4,9,IF(テーブル22[[#This Row],[学年]]=5,10,IF(テーブル22[[#This Row],[学年]]=6,11," "))))))</f>
        <v xml:space="preserve"> </v>
      </c>
      <c r="AA406" s="125" t="str">
        <f>IF(テーブル22[[#This Row],[肥満度数値]]="","",LOOKUP(AC406,$AW$39:$AW$44,$AX$39:$AX$44))</f>
        <v/>
      </c>
      <c r="AB40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6" s="124" t="str">
        <f>IF(テーブル22[[#This Row],[体重]]="","",(テーブル22[[#This Row],[体重]]-テーブル22[[#This Row],[標準体重]])/テーブル22[[#This Row],[標準体重]]*100)</f>
        <v/>
      </c>
      <c r="AD406" s="1">
        <f>COUNTA(テーブル22[[#This Row],[握力]:[ボール投げ]])</f>
        <v>0</v>
      </c>
      <c r="AE406" s="1" t="str">
        <f>IF(テーブル22[[#This Row],[判定]]=$BD$10,"○","")</f>
        <v/>
      </c>
      <c r="AF406" s="1" t="str">
        <f>IF(AE406="","",COUNTIF($AE$6:AE406,"○"))</f>
        <v/>
      </c>
    </row>
    <row r="407" spans="1:32" x14ac:dyDescent="0.2">
      <c r="A407" s="40">
        <v>402</v>
      </c>
      <c r="B407" s="145"/>
      <c r="C407" s="148"/>
      <c r="D407" s="145"/>
      <c r="E407" s="156"/>
      <c r="F407" s="145"/>
      <c r="G407" s="145"/>
      <c r="H407" s="146"/>
      <c r="I407" s="146"/>
      <c r="J407" s="148"/>
      <c r="K407" s="145"/>
      <c r="L407" s="148"/>
      <c r="M407" s="149"/>
      <c r="N407" s="148"/>
      <c r="O407" s="150"/>
      <c r="P40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7" s="43" t="str">
        <f>IF(テーブル22[[#This Row],[得点]]="","",IF(テーブル22[[#This Row],[年齢]]&gt;10,LOOKUP(P407,$BG$6:$BG$10,$BD$6:$BD$10),IF(テーブル22[[#This Row],[年齢]]&gt;9,LOOKUP(P407,$BF$6:$BF$10,$BD$6:$BD$10),IF(テーブル22[[#This Row],[年齢]]&gt;8,LOOKUP(P407,$BE$6:$BE$10,$BD$6:$BD$10),IF(テーブル22[[#This Row],[年齢]]&gt;7,LOOKUP(P407,$BC$6:$BC$10,$BD$6:$BD$10),IF(テーブル22[[#This Row],[年齢]]&gt;6,LOOKUP(P407,$BB$6:$BB$10,$BD$6:$BD$10),LOOKUP(P407,$BA$6:$BA$10,$BD$6:$BD$10)))))))</f>
        <v/>
      </c>
      <c r="R407" s="42">
        <f>IF(H407="",0,(IF(テーブル22[[#This Row],[性別]]="男",LOOKUP(テーブル22[[#This Row],[握力]],$AH$6:$AI$15),LOOKUP(テーブル22[[#This Row],[握力]],$AH$20:$AI$29))))</f>
        <v>0</v>
      </c>
      <c r="S407" s="42">
        <f>IF(テーブル22[[#This Row],[上体]]="",0,(IF(テーブル22[[#This Row],[性別]]="男",LOOKUP(テーブル22[[#This Row],[上体]],$AJ$6:$AK$15),LOOKUP(テーブル22[[#This Row],[上体]],$AJ$20:$AK$29))))</f>
        <v>0</v>
      </c>
      <c r="T407" s="42">
        <f>IF(テーブル22[[#This Row],[長座]]="",0,(IF(テーブル22[[#This Row],[性別]]="男",LOOKUP(テーブル22[[#This Row],[長座]],$AL$6:$AM$15),LOOKUP(テーブル22[[#This Row],[長座]],$AL$20:$AM$29))))</f>
        <v>0</v>
      </c>
      <c r="U407" s="42">
        <f>IF(テーブル22[[#This Row],[反復]]="",0,(IF(テーブル22[[#This Row],[性別]]="男",LOOKUP(テーブル22[[#This Row],[反復]],$AN$6:$AO$15),LOOKUP(テーブル22[[#This Row],[反復]],$AN$20:$AO$29))))</f>
        <v>0</v>
      </c>
      <c r="V407" s="42">
        <f>IF(テーブル22[[#This Row],[ｼｬﾄﾙﾗﾝ]]="",0,(IF(テーブル22[[#This Row],[性別]]="男",LOOKUP(テーブル22[[#This Row],[ｼｬﾄﾙﾗﾝ]],$AR$6:$AS$15),LOOKUP(テーブル22[[#This Row],[ｼｬﾄﾙﾗﾝ]],$AR$20:$AS$29))))</f>
        <v>0</v>
      </c>
      <c r="W407" s="42">
        <f>IF(テーブル22[[#This Row],[50m走]]="",0,(IF(テーブル22[[#This Row],[性別]]="男",LOOKUP(テーブル22[[#This Row],[50m走]],$AT$6:$AU$15),LOOKUP(テーブル22[[#This Row],[50m走]],$AT$20:$AU$29))))</f>
        <v>0</v>
      </c>
      <c r="X407" s="42">
        <f>IF(テーブル22[[#This Row],[立幅とび]]="",0,(IF(テーブル22[[#This Row],[性別]]="男",LOOKUP(テーブル22[[#This Row],[立幅とび]],$AV$6:$AW$15),LOOKUP(テーブル22[[#This Row],[立幅とび]],$AV$20:$AW$29))))</f>
        <v>0</v>
      </c>
      <c r="Y407" s="42">
        <f>IF(テーブル22[[#This Row],[ボール投げ]]="",0,(IF(テーブル22[[#This Row],[性別]]="男",LOOKUP(テーブル22[[#This Row],[ボール投げ]],$AX$6:$AY$15),LOOKUP(テーブル22[[#This Row],[ボール投げ]],$AX$20:$AY$29))))</f>
        <v>0</v>
      </c>
      <c r="Z407" s="19" t="str">
        <f>IF(テーブル22[[#This Row],[学年]]=1,6,IF(テーブル22[[#This Row],[学年]]=2,7,IF(テーブル22[[#This Row],[学年]]=3,8,IF(テーブル22[[#This Row],[学年]]=4,9,IF(テーブル22[[#This Row],[学年]]=5,10,IF(テーブル22[[#This Row],[学年]]=6,11," "))))))</f>
        <v xml:space="preserve"> </v>
      </c>
      <c r="AA407" s="125" t="str">
        <f>IF(テーブル22[[#This Row],[肥満度数値]]="","",LOOKUP(AC407,$AW$39:$AW$44,$AX$39:$AX$44))</f>
        <v/>
      </c>
      <c r="AB40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7" s="124" t="str">
        <f>IF(テーブル22[[#This Row],[体重]]="","",(テーブル22[[#This Row],[体重]]-テーブル22[[#This Row],[標準体重]])/テーブル22[[#This Row],[標準体重]]*100)</f>
        <v/>
      </c>
      <c r="AD407" s="1">
        <f>COUNTA(テーブル22[[#This Row],[握力]:[ボール投げ]])</f>
        <v>0</v>
      </c>
      <c r="AE407" s="1" t="str">
        <f>IF(テーブル22[[#This Row],[判定]]=$BD$10,"○","")</f>
        <v/>
      </c>
      <c r="AF407" s="1" t="str">
        <f>IF(AE407="","",COUNTIF($AE$6:AE407,"○"))</f>
        <v/>
      </c>
    </row>
    <row r="408" spans="1:32" x14ac:dyDescent="0.2">
      <c r="A408" s="40">
        <v>403</v>
      </c>
      <c r="B408" s="145"/>
      <c r="C408" s="148"/>
      <c r="D408" s="145"/>
      <c r="E408" s="156"/>
      <c r="F408" s="145"/>
      <c r="G408" s="145"/>
      <c r="H408" s="146"/>
      <c r="I408" s="146"/>
      <c r="J408" s="148"/>
      <c r="K408" s="145"/>
      <c r="L408" s="148"/>
      <c r="M408" s="149"/>
      <c r="N408" s="148"/>
      <c r="O408" s="150"/>
      <c r="P40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8" s="43" t="str">
        <f>IF(テーブル22[[#This Row],[得点]]="","",IF(テーブル22[[#This Row],[年齢]]&gt;10,LOOKUP(P408,$BG$6:$BG$10,$BD$6:$BD$10),IF(テーブル22[[#This Row],[年齢]]&gt;9,LOOKUP(P408,$BF$6:$BF$10,$BD$6:$BD$10),IF(テーブル22[[#This Row],[年齢]]&gt;8,LOOKUP(P408,$BE$6:$BE$10,$BD$6:$BD$10),IF(テーブル22[[#This Row],[年齢]]&gt;7,LOOKUP(P408,$BC$6:$BC$10,$BD$6:$BD$10),IF(テーブル22[[#This Row],[年齢]]&gt;6,LOOKUP(P408,$BB$6:$BB$10,$BD$6:$BD$10),LOOKUP(P408,$BA$6:$BA$10,$BD$6:$BD$10)))))))</f>
        <v/>
      </c>
      <c r="R408" s="42">
        <f>IF(H408="",0,(IF(テーブル22[[#This Row],[性別]]="男",LOOKUP(テーブル22[[#This Row],[握力]],$AH$6:$AI$15),LOOKUP(テーブル22[[#This Row],[握力]],$AH$20:$AI$29))))</f>
        <v>0</v>
      </c>
      <c r="S408" s="42">
        <f>IF(テーブル22[[#This Row],[上体]]="",0,(IF(テーブル22[[#This Row],[性別]]="男",LOOKUP(テーブル22[[#This Row],[上体]],$AJ$6:$AK$15),LOOKUP(テーブル22[[#This Row],[上体]],$AJ$20:$AK$29))))</f>
        <v>0</v>
      </c>
      <c r="T408" s="42">
        <f>IF(テーブル22[[#This Row],[長座]]="",0,(IF(テーブル22[[#This Row],[性別]]="男",LOOKUP(テーブル22[[#This Row],[長座]],$AL$6:$AM$15),LOOKUP(テーブル22[[#This Row],[長座]],$AL$20:$AM$29))))</f>
        <v>0</v>
      </c>
      <c r="U408" s="42">
        <f>IF(テーブル22[[#This Row],[反復]]="",0,(IF(テーブル22[[#This Row],[性別]]="男",LOOKUP(テーブル22[[#This Row],[反復]],$AN$6:$AO$15),LOOKUP(テーブル22[[#This Row],[反復]],$AN$20:$AO$29))))</f>
        <v>0</v>
      </c>
      <c r="V408" s="42">
        <f>IF(テーブル22[[#This Row],[ｼｬﾄﾙﾗﾝ]]="",0,(IF(テーブル22[[#This Row],[性別]]="男",LOOKUP(テーブル22[[#This Row],[ｼｬﾄﾙﾗﾝ]],$AR$6:$AS$15),LOOKUP(テーブル22[[#This Row],[ｼｬﾄﾙﾗﾝ]],$AR$20:$AS$29))))</f>
        <v>0</v>
      </c>
      <c r="W408" s="42">
        <f>IF(テーブル22[[#This Row],[50m走]]="",0,(IF(テーブル22[[#This Row],[性別]]="男",LOOKUP(テーブル22[[#This Row],[50m走]],$AT$6:$AU$15),LOOKUP(テーブル22[[#This Row],[50m走]],$AT$20:$AU$29))))</f>
        <v>0</v>
      </c>
      <c r="X408" s="42">
        <f>IF(テーブル22[[#This Row],[立幅とび]]="",0,(IF(テーブル22[[#This Row],[性別]]="男",LOOKUP(テーブル22[[#This Row],[立幅とび]],$AV$6:$AW$15),LOOKUP(テーブル22[[#This Row],[立幅とび]],$AV$20:$AW$29))))</f>
        <v>0</v>
      </c>
      <c r="Y408" s="42">
        <f>IF(テーブル22[[#This Row],[ボール投げ]]="",0,(IF(テーブル22[[#This Row],[性別]]="男",LOOKUP(テーブル22[[#This Row],[ボール投げ]],$AX$6:$AY$15),LOOKUP(テーブル22[[#This Row],[ボール投げ]],$AX$20:$AY$29))))</f>
        <v>0</v>
      </c>
      <c r="Z408" s="19" t="str">
        <f>IF(テーブル22[[#This Row],[学年]]=1,6,IF(テーブル22[[#This Row],[学年]]=2,7,IF(テーブル22[[#This Row],[学年]]=3,8,IF(テーブル22[[#This Row],[学年]]=4,9,IF(テーブル22[[#This Row],[学年]]=5,10,IF(テーブル22[[#This Row],[学年]]=6,11," "))))))</f>
        <v xml:space="preserve"> </v>
      </c>
      <c r="AA408" s="125" t="str">
        <f>IF(テーブル22[[#This Row],[肥満度数値]]="","",LOOKUP(AC408,$AW$39:$AW$44,$AX$39:$AX$44))</f>
        <v/>
      </c>
      <c r="AB40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8" s="124" t="str">
        <f>IF(テーブル22[[#This Row],[体重]]="","",(テーブル22[[#This Row],[体重]]-テーブル22[[#This Row],[標準体重]])/テーブル22[[#This Row],[標準体重]]*100)</f>
        <v/>
      </c>
      <c r="AD408" s="1">
        <f>COUNTA(テーブル22[[#This Row],[握力]:[ボール投げ]])</f>
        <v>0</v>
      </c>
      <c r="AE408" s="1" t="str">
        <f>IF(テーブル22[[#This Row],[判定]]=$BD$10,"○","")</f>
        <v/>
      </c>
      <c r="AF408" s="1" t="str">
        <f>IF(AE408="","",COUNTIF($AE$6:AE408,"○"))</f>
        <v/>
      </c>
    </row>
    <row r="409" spans="1:32" x14ac:dyDescent="0.2">
      <c r="A409" s="40">
        <v>404</v>
      </c>
      <c r="B409" s="145"/>
      <c r="C409" s="148"/>
      <c r="D409" s="145"/>
      <c r="E409" s="156"/>
      <c r="F409" s="145"/>
      <c r="G409" s="145"/>
      <c r="H409" s="146"/>
      <c r="I409" s="146"/>
      <c r="J409" s="148"/>
      <c r="K409" s="145"/>
      <c r="L409" s="148"/>
      <c r="M409" s="149"/>
      <c r="N409" s="148"/>
      <c r="O409" s="150"/>
      <c r="P40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09" s="43" t="str">
        <f>IF(テーブル22[[#This Row],[得点]]="","",IF(テーブル22[[#This Row],[年齢]]&gt;10,LOOKUP(P409,$BG$6:$BG$10,$BD$6:$BD$10),IF(テーブル22[[#This Row],[年齢]]&gt;9,LOOKUP(P409,$BF$6:$BF$10,$BD$6:$BD$10),IF(テーブル22[[#This Row],[年齢]]&gt;8,LOOKUP(P409,$BE$6:$BE$10,$BD$6:$BD$10),IF(テーブル22[[#This Row],[年齢]]&gt;7,LOOKUP(P409,$BC$6:$BC$10,$BD$6:$BD$10),IF(テーブル22[[#This Row],[年齢]]&gt;6,LOOKUP(P409,$BB$6:$BB$10,$BD$6:$BD$10),LOOKUP(P409,$BA$6:$BA$10,$BD$6:$BD$10)))))))</f>
        <v/>
      </c>
      <c r="R409" s="42">
        <f>IF(H409="",0,(IF(テーブル22[[#This Row],[性別]]="男",LOOKUP(テーブル22[[#This Row],[握力]],$AH$6:$AI$15),LOOKUP(テーブル22[[#This Row],[握力]],$AH$20:$AI$29))))</f>
        <v>0</v>
      </c>
      <c r="S409" s="42">
        <f>IF(テーブル22[[#This Row],[上体]]="",0,(IF(テーブル22[[#This Row],[性別]]="男",LOOKUP(テーブル22[[#This Row],[上体]],$AJ$6:$AK$15),LOOKUP(テーブル22[[#This Row],[上体]],$AJ$20:$AK$29))))</f>
        <v>0</v>
      </c>
      <c r="T409" s="42">
        <f>IF(テーブル22[[#This Row],[長座]]="",0,(IF(テーブル22[[#This Row],[性別]]="男",LOOKUP(テーブル22[[#This Row],[長座]],$AL$6:$AM$15),LOOKUP(テーブル22[[#This Row],[長座]],$AL$20:$AM$29))))</f>
        <v>0</v>
      </c>
      <c r="U409" s="42">
        <f>IF(テーブル22[[#This Row],[反復]]="",0,(IF(テーブル22[[#This Row],[性別]]="男",LOOKUP(テーブル22[[#This Row],[反復]],$AN$6:$AO$15),LOOKUP(テーブル22[[#This Row],[反復]],$AN$20:$AO$29))))</f>
        <v>0</v>
      </c>
      <c r="V409" s="42">
        <f>IF(テーブル22[[#This Row],[ｼｬﾄﾙﾗﾝ]]="",0,(IF(テーブル22[[#This Row],[性別]]="男",LOOKUP(テーブル22[[#This Row],[ｼｬﾄﾙﾗﾝ]],$AR$6:$AS$15),LOOKUP(テーブル22[[#This Row],[ｼｬﾄﾙﾗﾝ]],$AR$20:$AS$29))))</f>
        <v>0</v>
      </c>
      <c r="W409" s="42">
        <f>IF(テーブル22[[#This Row],[50m走]]="",0,(IF(テーブル22[[#This Row],[性別]]="男",LOOKUP(テーブル22[[#This Row],[50m走]],$AT$6:$AU$15),LOOKUP(テーブル22[[#This Row],[50m走]],$AT$20:$AU$29))))</f>
        <v>0</v>
      </c>
      <c r="X409" s="42">
        <f>IF(テーブル22[[#This Row],[立幅とび]]="",0,(IF(テーブル22[[#This Row],[性別]]="男",LOOKUP(テーブル22[[#This Row],[立幅とび]],$AV$6:$AW$15),LOOKUP(テーブル22[[#This Row],[立幅とび]],$AV$20:$AW$29))))</f>
        <v>0</v>
      </c>
      <c r="Y409" s="42">
        <f>IF(テーブル22[[#This Row],[ボール投げ]]="",0,(IF(テーブル22[[#This Row],[性別]]="男",LOOKUP(テーブル22[[#This Row],[ボール投げ]],$AX$6:$AY$15),LOOKUP(テーブル22[[#This Row],[ボール投げ]],$AX$20:$AY$29))))</f>
        <v>0</v>
      </c>
      <c r="Z409" s="19" t="str">
        <f>IF(テーブル22[[#This Row],[学年]]=1,6,IF(テーブル22[[#This Row],[学年]]=2,7,IF(テーブル22[[#This Row],[学年]]=3,8,IF(テーブル22[[#This Row],[学年]]=4,9,IF(テーブル22[[#This Row],[学年]]=5,10,IF(テーブル22[[#This Row],[学年]]=6,11," "))))))</f>
        <v xml:space="preserve"> </v>
      </c>
      <c r="AA409" s="125" t="str">
        <f>IF(テーブル22[[#This Row],[肥満度数値]]="","",LOOKUP(AC409,$AW$39:$AW$44,$AX$39:$AX$44))</f>
        <v/>
      </c>
      <c r="AB40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09" s="124" t="str">
        <f>IF(テーブル22[[#This Row],[体重]]="","",(テーブル22[[#This Row],[体重]]-テーブル22[[#This Row],[標準体重]])/テーブル22[[#This Row],[標準体重]]*100)</f>
        <v/>
      </c>
      <c r="AD409" s="1">
        <f>COUNTA(テーブル22[[#This Row],[握力]:[ボール投げ]])</f>
        <v>0</v>
      </c>
      <c r="AE409" s="1" t="str">
        <f>IF(テーブル22[[#This Row],[判定]]=$BD$10,"○","")</f>
        <v/>
      </c>
      <c r="AF409" s="1" t="str">
        <f>IF(AE409="","",COUNTIF($AE$6:AE409,"○"))</f>
        <v/>
      </c>
    </row>
    <row r="410" spans="1:32" x14ac:dyDescent="0.2">
      <c r="A410" s="40">
        <v>405</v>
      </c>
      <c r="B410" s="145"/>
      <c r="C410" s="148"/>
      <c r="D410" s="145"/>
      <c r="E410" s="156"/>
      <c r="F410" s="145"/>
      <c r="G410" s="145"/>
      <c r="H410" s="146"/>
      <c r="I410" s="146"/>
      <c r="J410" s="148"/>
      <c r="K410" s="145"/>
      <c r="L410" s="148"/>
      <c r="M410" s="149"/>
      <c r="N410" s="148"/>
      <c r="O410" s="150"/>
      <c r="P41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0" s="43" t="str">
        <f>IF(テーブル22[[#This Row],[得点]]="","",IF(テーブル22[[#This Row],[年齢]]&gt;10,LOOKUP(P410,$BG$6:$BG$10,$BD$6:$BD$10),IF(テーブル22[[#This Row],[年齢]]&gt;9,LOOKUP(P410,$BF$6:$BF$10,$BD$6:$BD$10),IF(テーブル22[[#This Row],[年齢]]&gt;8,LOOKUP(P410,$BE$6:$BE$10,$BD$6:$BD$10),IF(テーブル22[[#This Row],[年齢]]&gt;7,LOOKUP(P410,$BC$6:$BC$10,$BD$6:$BD$10),IF(テーブル22[[#This Row],[年齢]]&gt;6,LOOKUP(P410,$BB$6:$BB$10,$BD$6:$BD$10),LOOKUP(P410,$BA$6:$BA$10,$BD$6:$BD$10)))))))</f>
        <v/>
      </c>
      <c r="R410" s="42">
        <f>IF(H410="",0,(IF(テーブル22[[#This Row],[性別]]="男",LOOKUP(テーブル22[[#This Row],[握力]],$AH$6:$AI$15),LOOKUP(テーブル22[[#This Row],[握力]],$AH$20:$AI$29))))</f>
        <v>0</v>
      </c>
      <c r="S410" s="42">
        <f>IF(テーブル22[[#This Row],[上体]]="",0,(IF(テーブル22[[#This Row],[性別]]="男",LOOKUP(テーブル22[[#This Row],[上体]],$AJ$6:$AK$15),LOOKUP(テーブル22[[#This Row],[上体]],$AJ$20:$AK$29))))</f>
        <v>0</v>
      </c>
      <c r="T410" s="42">
        <f>IF(テーブル22[[#This Row],[長座]]="",0,(IF(テーブル22[[#This Row],[性別]]="男",LOOKUP(テーブル22[[#This Row],[長座]],$AL$6:$AM$15),LOOKUP(テーブル22[[#This Row],[長座]],$AL$20:$AM$29))))</f>
        <v>0</v>
      </c>
      <c r="U410" s="42">
        <f>IF(テーブル22[[#This Row],[反復]]="",0,(IF(テーブル22[[#This Row],[性別]]="男",LOOKUP(テーブル22[[#This Row],[反復]],$AN$6:$AO$15),LOOKUP(テーブル22[[#This Row],[反復]],$AN$20:$AO$29))))</f>
        <v>0</v>
      </c>
      <c r="V410" s="42">
        <f>IF(テーブル22[[#This Row],[ｼｬﾄﾙﾗﾝ]]="",0,(IF(テーブル22[[#This Row],[性別]]="男",LOOKUP(テーブル22[[#This Row],[ｼｬﾄﾙﾗﾝ]],$AR$6:$AS$15),LOOKUP(テーブル22[[#This Row],[ｼｬﾄﾙﾗﾝ]],$AR$20:$AS$29))))</f>
        <v>0</v>
      </c>
      <c r="W410" s="42">
        <f>IF(テーブル22[[#This Row],[50m走]]="",0,(IF(テーブル22[[#This Row],[性別]]="男",LOOKUP(テーブル22[[#This Row],[50m走]],$AT$6:$AU$15),LOOKUP(テーブル22[[#This Row],[50m走]],$AT$20:$AU$29))))</f>
        <v>0</v>
      </c>
      <c r="X410" s="42">
        <f>IF(テーブル22[[#This Row],[立幅とび]]="",0,(IF(テーブル22[[#This Row],[性別]]="男",LOOKUP(テーブル22[[#This Row],[立幅とび]],$AV$6:$AW$15),LOOKUP(テーブル22[[#This Row],[立幅とび]],$AV$20:$AW$29))))</f>
        <v>0</v>
      </c>
      <c r="Y410" s="42">
        <f>IF(テーブル22[[#This Row],[ボール投げ]]="",0,(IF(テーブル22[[#This Row],[性別]]="男",LOOKUP(テーブル22[[#This Row],[ボール投げ]],$AX$6:$AY$15),LOOKUP(テーブル22[[#This Row],[ボール投げ]],$AX$20:$AY$29))))</f>
        <v>0</v>
      </c>
      <c r="Z410" s="19" t="str">
        <f>IF(テーブル22[[#This Row],[学年]]=1,6,IF(テーブル22[[#This Row],[学年]]=2,7,IF(テーブル22[[#This Row],[学年]]=3,8,IF(テーブル22[[#This Row],[学年]]=4,9,IF(テーブル22[[#This Row],[学年]]=5,10,IF(テーブル22[[#This Row],[学年]]=6,11," "))))))</f>
        <v xml:space="preserve"> </v>
      </c>
      <c r="AA410" s="125" t="str">
        <f>IF(テーブル22[[#This Row],[肥満度数値]]="","",LOOKUP(AC410,$AW$39:$AW$44,$AX$39:$AX$44))</f>
        <v/>
      </c>
      <c r="AB41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0" s="124" t="str">
        <f>IF(テーブル22[[#This Row],[体重]]="","",(テーブル22[[#This Row],[体重]]-テーブル22[[#This Row],[標準体重]])/テーブル22[[#This Row],[標準体重]]*100)</f>
        <v/>
      </c>
      <c r="AD410" s="1">
        <f>COUNTA(テーブル22[[#This Row],[握力]:[ボール投げ]])</f>
        <v>0</v>
      </c>
      <c r="AE410" s="1" t="str">
        <f>IF(テーブル22[[#This Row],[判定]]=$BD$10,"○","")</f>
        <v/>
      </c>
      <c r="AF410" s="1" t="str">
        <f>IF(AE410="","",COUNTIF($AE$6:AE410,"○"))</f>
        <v/>
      </c>
    </row>
    <row r="411" spans="1:32" x14ac:dyDescent="0.2">
      <c r="A411" s="40">
        <v>406</v>
      </c>
      <c r="B411" s="145"/>
      <c r="C411" s="148"/>
      <c r="D411" s="145"/>
      <c r="E411" s="156"/>
      <c r="F411" s="145"/>
      <c r="G411" s="145"/>
      <c r="H411" s="146"/>
      <c r="I411" s="146"/>
      <c r="J411" s="148"/>
      <c r="K411" s="145"/>
      <c r="L411" s="148"/>
      <c r="M411" s="149"/>
      <c r="N411" s="148"/>
      <c r="O411" s="150"/>
      <c r="P41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1" s="43" t="str">
        <f>IF(テーブル22[[#This Row],[得点]]="","",IF(テーブル22[[#This Row],[年齢]]&gt;10,LOOKUP(P411,$BG$6:$BG$10,$BD$6:$BD$10),IF(テーブル22[[#This Row],[年齢]]&gt;9,LOOKUP(P411,$BF$6:$BF$10,$BD$6:$BD$10),IF(テーブル22[[#This Row],[年齢]]&gt;8,LOOKUP(P411,$BE$6:$BE$10,$BD$6:$BD$10),IF(テーブル22[[#This Row],[年齢]]&gt;7,LOOKUP(P411,$BC$6:$BC$10,$BD$6:$BD$10),IF(テーブル22[[#This Row],[年齢]]&gt;6,LOOKUP(P411,$BB$6:$BB$10,$BD$6:$BD$10),LOOKUP(P411,$BA$6:$BA$10,$BD$6:$BD$10)))))))</f>
        <v/>
      </c>
      <c r="R411" s="42">
        <f>IF(H411="",0,(IF(テーブル22[[#This Row],[性別]]="男",LOOKUP(テーブル22[[#This Row],[握力]],$AH$6:$AI$15),LOOKUP(テーブル22[[#This Row],[握力]],$AH$20:$AI$29))))</f>
        <v>0</v>
      </c>
      <c r="S411" s="42">
        <f>IF(テーブル22[[#This Row],[上体]]="",0,(IF(テーブル22[[#This Row],[性別]]="男",LOOKUP(テーブル22[[#This Row],[上体]],$AJ$6:$AK$15),LOOKUP(テーブル22[[#This Row],[上体]],$AJ$20:$AK$29))))</f>
        <v>0</v>
      </c>
      <c r="T411" s="42">
        <f>IF(テーブル22[[#This Row],[長座]]="",0,(IF(テーブル22[[#This Row],[性別]]="男",LOOKUP(テーブル22[[#This Row],[長座]],$AL$6:$AM$15),LOOKUP(テーブル22[[#This Row],[長座]],$AL$20:$AM$29))))</f>
        <v>0</v>
      </c>
      <c r="U411" s="42">
        <f>IF(テーブル22[[#This Row],[反復]]="",0,(IF(テーブル22[[#This Row],[性別]]="男",LOOKUP(テーブル22[[#This Row],[反復]],$AN$6:$AO$15),LOOKUP(テーブル22[[#This Row],[反復]],$AN$20:$AO$29))))</f>
        <v>0</v>
      </c>
      <c r="V411" s="42">
        <f>IF(テーブル22[[#This Row],[ｼｬﾄﾙﾗﾝ]]="",0,(IF(テーブル22[[#This Row],[性別]]="男",LOOKUP(テーブル22[[#This Row],[ｼｬﾄﾙﾗﾝ]],$AR$6:$AS$15),LOOKUP(テーブル22[[#This Row],[ｼｬﾄﾙﾗﾝ]],$AR$20:$AS$29))))</f>
        <v>0</v>
      </c>
      <c r="W411" s="42">
        <f>IF(テーブル22[[#This Row],[50m走]]="",0,(IF(テーブル22[[#This Row],[性別]]="男",LOOKUP(テーブル22[[#This Row],[50m走]],$AT$6:$AU$15),LOOKUP(テーブル22[[#This Row],[50m走]],$AT$20:$AU$29))))</f>
        <v>0</v>
      </c>
      <c r="X411" s="42">
        <f>IF(テーブル22[[#This Row],[立幅とび]]="",0,(IF(テーブル22[[#This Row],[性別]]="男",LOOKUP(テーブル22[[#This Row],[立幅とび]],$AV$6:$AW$15),LOOKUP(テーブル22[[#This Row],[立幅とび]],$AV$20:$AW$29))))</f>
        <v>0</v>
      </c>
      <c r="Y411" s="42">
        <f>IF(テーブル22[[#This Row],[ボール投げ]]="",0,(IF(テーブル22[[#This Row],[性別]]="男",LOOKUP(テーブル22[[#This Row],[ボール投げ]],$AX$6:$AY$15),LOOKUP(テーブル22[[#This Row],[ボール投げ]],$AX$20:$AY$29))))</f>
        <v>0</v>
      </c>
      <c r="Z411" s="19" t="str">
        <f>IF(テーブル22[[#This Row],[学年]]=1,6,IF(テーブル22[[#This Row],[学年]]=2,7,IF(テーブル22[[#This Row],[学年]]=3,8,IF(テーブル22[[#This Row],[学年]]=4,9,IF(テーブル22[[#This Row],[学年]]=5,10,IF(テーブル22[[#This Row],[学年]]=6,11," "))))))</f>
        <v xml:space="preserve"> </v>
      </c>
      <c r="AA411" s="125" t="str">
        <f>IF(テーブル22[[#This Row],[肥満度数値]]="","",LOOKUP(AC411,$AW$39:$AW$44,$AX$39:$AX$44))</f>
        <v/>
      </c>
      <c r="AB41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1" s="124" t="str">
        <f>IF(テーブル22[[#This Row],[体重]]="","",(テーブル22[[#This Row],[体重]]-テーブル22[[#This Row],[標準体重]])/テーブル22[[#This Row],[標準体重]]*100)</f>
        <v/>
      </c>
      <c r="AD411" s="1">
        <f>COUNTA(テーブル22[[#This Row],[握力]:[ボール投げ]])</f>
        <v>0</v>
      </c>
      <c r="AE411" s="1" t="str">
        <f>IF(テーブル22[[#This Row],[判定]]=$BD$10,"○","")</f>
        <v/>
      </c>
      <c r="AF411" s="1" t="str">
        <f>IF(AE411="","",COUNTIF($AE$6:AE411,"○"))</f>
        <v/>
      </c>
    </row>
    <row r="412" spans="1:32" x14ac:dyDescent="0.2">
      <c r="A412" s="40">
        <v>407</v>
      </c>
      <c r="B412" s="145"/>
      <c r="C412" s="148"/>
      <c r="D412" s="145"/>
      <c r="E412" s="156"/>
      <c r="F412" s="145"/>
      <c r="G412" s="145"/>
      <c r="H412" s="146"/>
      <c r="I412" s="146"/>
      <c r="J412" s="148"/>
      <c r="K412" s="145"/>
      <c r="L412" s="148"/>
      <c r="M412" s="149"/>
      <c r="N412" s="148"/>
      <c r="O412" s="150"/>
      <c r="P41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2" s="43" t="str">
        <f>IF(テーブル22[[#This Row],[得点]]="","",IF(テーブル22[[#This Row],[年齢]]&gt;10,LOOKUP(P412,$BG$6:$BG$10,$BD$6:$BD$10),IF(テーブル22[[#This Row],[年齢]]&gt;9,LOOKUP(P412,$BF$6:$BF$10,$BD$6:$BD$10),IF(テーブル22[[#This Row],[年齢]]&gt;8,LOOKUP(P412,$BE$6:$BE$10,$BD$6:$BD$10),IF(テーブル22[[#This Row],[年齢]]&gt;7,LOOKUP(P412,$BC$6:$BC$10,$BD$6:$BD$10),IF(テーブル22[[#This Row],[年齢]]&gt;6,LOOKUP(P412,$BB$6:$BB$10,$BD$6:$BD$10),LOOKUP(P412,$BA$6:$BA$10,$BD$6:$BD$10)))))))</f>
        <v/>
      </c>
      <c r="R412" s="42">
        <f>IF(H412="",0,(IF(テーブル22[[#This Row],[性別]]="男",LOOKUP(テーブル22[[#This Row],[握力]],$AH$6:$AI$15),LOOKUP(テーブル22[[#This Row],[握力]],$AH$20:$AI$29))))</f>
        <v>0</v>
      </c>
      <c r="S412" s="42">
        <f>IF(テーブル22[[#This Row],[上体]]="",0,(IF(テーブル22[[#This Row],[性別]]="男",LOOKUP(テーブル22[[#This Row],[上体]],$AJ$6:$AK$15),LOOKUP(テーブル22[[#This Row],[上体]],$AJ$20:$AK$29))))</f>
        <v>0</v>
      </c>
      <c r="T412" s="42">
        <f>IF(テーブル22[[#This Row],[長座]]="",0,(IF(テーブル22[[#This Row],[性別]]="男",LOOKUP(テーブル22[[#This Row],[長座]],$AL$6:$AM$15),LOOKUP(テーブル22[[#This Row],[長座]],$AL$20:$AM$29))))</f>
        <v>0</v>
      </c>
      <c r="U412" s="42">
        <f>IF(テーブル22[[#This Row],[反復]]="",0,(IF(テーブル22[[#This Row],[性別]]="男",LOOKUP(テーブル22[[#This Row],[反復]],$AN$6:$AO$15),LOOKUP(テーブル22[[#This Row],[反復]],$AN$20:$AO$29))))</f>
        <v>0</v>
      </c>
      <c r="V412" s="42">
        <f>IF(テーブル22[[#This Row],[ｼｬﾄﾙﾗﾝ]]="",0,(IF(テーブル22[[#This Row],[性別]]="男",LOOKUP(テーブル22[[#This Row],[ｼｬﾄﾙﾗﾝ]],$AR$6:$AS$15),LOOKUP(テーブル22[[#This Row],[ｼｬﾄﾙﾗﾝ]],$AR$20:$AS$29))))</f>
        <v>0</v>
      </c>
      <c r="W412" s="42">
        <f>IF(テーブル22[[#This Row],[50m走]]="",0,(IF(テーブル22[[#This Row],[性別]]="男",LOOKUP(テーブル22[[#This Row],[50m走]],$AT$6:$AU$15),LOOKUP(テーブル22[[#This Row],[50m走]],$AT$20:$AU$29))))</f>
        <v>0</v>
      </c>
      <c r="X412" s="42">
        <f>IF(テーブル22[[#This Row],[立幅とび]]="",0,(IF(テーブル22[[#This Row],[性別]]="男",LOOKUP(テーブル22[[#This Row],[立幅とび]],$AV$6:$AW$15),LOOKUP(テーブル22[[#This Row],[立幅とび]],$AV$20:$AW$29))))</f>
        <v>0</v>
      </c>
      <c r="Y412" s="42">
        <f>IF(テーブル22[[#This Row],[ボール投げ]]="",0,(IF(テーブル22[[#This Row],[性別]]="男",LOOKUP(テーブル22[[#This Row],[ボール投げ]],$AX$6:$AY$15),LOOKUP(テーブル22[[#This Row],[ボール投げ]],$AX$20:$AY$29))))</f>
        <v>0</v>
      </c>
      <c r="Z412" s="19" t="str">
        <f>IF(テーブル22[[#This Row],[学年]]=1,6,IF(テーブル22[[#This Row],[学年]]=2,7,IF(テーブル22[[#This Row],[学年]]=3,8,IF(テーブル22[[#This Row],[学年]]=4,9,IF(テーブル22[[#This Row],[学年]]=5,10,IF(テーブル22[[#This Row],[学年]]=6,11," "))))))</f>
        <v xml:space="preserve"> </v>
      </c>
      <c r="AA412" s="125" t="str">
        <f>IF(テーブル22[[#This Row],[肥満度数値]]="","",LOOKUP(AC412,$AW$39:$AW$44,$AX$39:$AX$44))</f>
        <v/>
      </c>
      <c r="AB41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2" s="124" t="str">
        <f>IF(テーブル22[[#This Row],[体重]]="","",(テーブル22[[#This Row],[体重]]-テーブル22[[#This Row],[標準体重]])/テーブル22[[#This Row],[標準体重]]*100)</f>
        <v/>
      </c>
      <c r="AD412" s="1">
        <f>COUNTA(テーブル22[[#This Row],[握力]:[ボール投げ]])</f>
        <v>0</v>
      </c>
      <c r="AE412" s="1" t="str">
        <f>IF(テーブル22[[#This Row],[判定]]=$BD$10,"○","")</f>
        <v/>
      </c>
      <c r="AF412" s="1" t="str">
        <f>IF(AE412="","",COUNTIF($AE$6:AE412,"○"))</f>
        <v/>
      </c>
    </row>
    <row r="413" spans="1:32" x14ac:dyDescent="0.2">
      <c r="A413" s="40">
        <v>408</v>
      </c>
      <c r="B413" s="145"/>
      <c r="C413" s="148"/>
      <c r="D413" s="145"/>
      <c r="E413" s="156"/>
      <c r="F413" s="145"/>
      <c r="G413" s="145"/>
      <c r="H413" s="146"/>
      <c r="I413" s="146"/>
      <c r="J413" s="148"/>
      <c r="K413" s="145"/>
      <c r="L413" s="148"/>
      <c r="M413" s="149"/>
      <c r="N413" s="148"/>
      <c r="O413" s="150"/>
      <c r="P41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3" s="43" t="str">
        <f>IF(テーブル22[[#This Row],[得点]]="","",IF(テーブル22[[#This Row],[年齢]]&gt;10,LOOKUP(P413,$BG$6:$BG$10,$BD$6:$BD$10),IF(テーブル22[[#This Row],[年齢]]&gt;9,LOOKUP(P413,$BF$6:$BF$10,$BD$6:$BD$10),IF(テーブル22[[#This Row],[年齢]]&gt;8,LOOKUP(P413,$BE$6:$BE$10,$BD$6:$BD$10),IF(テーブル22[[#This Row],[年齢]]&gt;7,LOOKUP(P413,$BC$6:$BC$10,$BD$6:$BD$10),IF(テーブル22[[#This Row],[年齢]]&gt;6,LOOKUP(P413,$BB$6:$BB$10,$BD$6:$BD$10),LOOKUP(P413,$BA$6:$BA$10,$BD$6:$BD$10)))))))</f>
        <v/>
      </c>
      <c r="R413" s="42">
        <f>IF(H413="",0,(IF(テーブル22[[#This Row],[性別]]="男",LOOKUP(テーブル22[[#This Row],[握力]],$AH$6:$AI$15),LOOKUP(テーブル22[[#This Row],[握力]],$AH$20:$AI$29))))</f>
        <v>0</v>
      </c>
      <c r="S413" s="42">
        <f>IF(テーブル22[[#This Row],[上体]]="",0,(IF(テーブル22[[#This Row],[性別]]="男",LOOKUP(テーブル22[[#This Row],[上体]],$AJ$6:$AK$15),LOOKUP(テーブル22[[#This Row],[上体]],$AJ$20:$AK$29))))</f>
        <v>0</v>
      </c>
      <c r="T413" s="42">
        <f>IF(テーブル22[[#This Row],[長座]]="",0,(IF(テーブル22[[#This Row],[性別]]="男",LOOKUP(テーブル22[[#This Row],[長座]],$AL$6:$AM$15),LOOKUP(テーブル22[[#This Row],[長座]],$AL$20:$AM$29))))</f>
        <v>0</v>
      </c>
      <c r="U413" s="42">
        <f>IF(テーブル22[[#This Row],[反復]]="",0,(IF(テーブル22[[#This Row],[性別]]="男",LOOKUP(テーブル22[[#This Row],[反復]],$AN$6:$AO$15),LOOKUP(テーブル22[[#This Row],[反復]],$AN$20:$AO$29))))</f>
        <v>0</v>
      </c>
      <c r="V413" s="42">
        <f>IF(テーブル22[[#This Row],[ｼｬﾄﾙﾗﾝ]]="",0,(IF(テーブル22[[#This Row],[性別]]="男",LOOKUP(テーブル22[[#This Row],[ｼｬﾄﾙﾗﾝ]],$AR$6:$AS$15),LOOKUP(テーブル22[[#This Row],[ｼｬﾄﾙﾗﾝ]],$AR$20:$AS$29))))</f>
        <v>0</v>
      </c>
      <c r="W413" s="42">
        <f>IF(テーブル22[[#This Row],[50m走]]="",0,(IF(テーブル22[[#This Row],[性別]]="男",LOOKUP(テーブル22[[#This Row],[50m走]],$AT$6:$AU$15),LOOKUP(テーブル22[[#This Row],[50m走]],$AT$20:$AU$29))))</f>
        <v>0</v>
      </c>
      <c r="X413" s="42">
        <f>IF(テーブル22[[#This Row],[立幅とび]]="",0,(IF(テーブル22[[#This Row],[性別]]="男",LOOKUP(テーブル22[[#This Row],[立幅とび]],$AV$6:$AW$15),LOOKUP(テーブル22[[#This Row],[立幅とび]],$AV$20:$AW$29))))</f>
        <v>0</v>
      </c>
      <c r="Y413" s="42">
        <f>IF(テーブル22[[#This Row],[ボール投げ]]="",0,(IF(テーブル22[[#This Row],[性別]]="男",LOOKUP(テーブル22[[#This Row],[ボール投げ]],$AX$6:$AY$15),LOOKUP(テーブル22[[#This Row],[ボール投げ]],$AX$20:$AY$29))))</f>
        <v>0</v>
      </c>
      <c r="Z413" s="19" t="str">
        <f>IF(テーブル22[[#This Row],[学年]]=1,6,IF(テーブル22[[#This Row],[学年]]=2,7,IF(テーブル22[[#This Row],[学年]]=3,8,IF(テーブル22[[#This Row],[学年]]=4,9,IF(テーブル22[[#This Row],[学年]]=5,10,IF(テーブル22[[#This Row],[学年]]=6,11," "))))))</f>
        <v xml:space="preserve"> </v>
      </c>
      <c r="AA413" s="125" t="str">
        <f>IF(テーブル22[[#This Row],[肥満度数値]]="","",LOOKUP(AC413,$AW$39:$AW$44,$AX$39:$AX$44))</f>
        <v/>
      </c>
      <c r="AB41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3" s="124" t="str">
        <f>IF(テーブル22[[#This Row],[体重]]="","",(テーブル22[[#This Row],[体重]]-テーブル22[[#This Row],[標準体重]])/テーブル22[[#This Row],[標準体重]]*100)</f>
        <v/>
      </c>
      <c r="AD413" s="1">
        <f>COUNTA(テーブル22[[#This Row],[握力]:[ボール投げ]])</f>
        <v>0</v>
      </c>
      <c r="AE413" s="1" t="str">
        <f>IF(テーブル22[[#This Row],[判定]]=$BD$10,"○","")</f>
        <v/>
      </c>
      <c r="AF413" s="1" t="str">
        <f>IF(AE413="","",COUNTIF($AE$6:AE413,"○"))</f>
        <v/>
      </c>
    </row>
    <row r="414" spans="1:32" x14ac:dyDescent="0.2">
      <c r="A414" s="40">
        <v>409</v>
      </c>
      <c r="B414" s="145"/>
      <c r="C414" s="148"/>
      <c r="D414" s="145"/>
      <c r="E414" s="156"/>
      <c r="F414" s="145"/>
      <c r="G414" s="145"/>
      <c r="H414" s="146"/>
      <c r="I414" s="146"/>
      <c r="J414" s="148"/>
      <c r="K414" s="145"/>
      <c r="L414" s="148"/>
      <c r="M414" s="149"/>
      <c r="N414" s="148"/>
      <c r="O414" s="150"/>
      <c r="P41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4" s="43" t="str">
        <f>IF(テーブル22[[#This Row],[得点]]="","",IF(テーブル22[[#This Row],[年齢]]&gt;10,LOOKUP(P414,$BG$6:$BG$10,$BD$6:$BD$10),IF(テーブル22[[#This Row],[年齢]]&gt;9,LOOKUP(P414,$BF$6:$BF$10,$BD$6:$BD$10),IF(テーブル22[[#This Row],[年齢]]&gt;8,LOOKUP(P414,$BE$6:$BE$10,$BD$6:$BD$10),IF(テーブル22[[#This Row],[年齢]]&gt;7,LOOKUP(P414,$BC$6:$BC$10,$BD$6:$BD$10),IF(テーブル22[[#This Row],[年齢]]&gt;6,LOOKUP(P414,$BB$6:$BB$10,$BD$6:$BD$10),LOOKUP(P414,$BA$6:$BA$10,$BD$6:$BD$10)))))))</f>
        <v/>
      </c>
      <c r="R414" s="42">
        <f>IF(H414="",0,(IF(テーブル22[[#This Row],[性別]]="男",LOOKUP(テーブル22[[#This Row],[握力]],$AH$6:$AI$15),LOOKUP(テーブル22[[#This Row],[握力]],$AH$20:$AI$29))))</f>
        <v>0</v>
      </c>
      <c r="S414" s="42">
        <f>IF(テーブル22[[#This Row],[上体]]="",0,(IF(テーブル22[[#This Row],[性別]]="男",LOOKUP(テーブル22[[#This Row],[上体]],$AJ$6:$AK$15),LOOKUP(テーブル22[[#This Row],[上体]],$AJ$20:$AK$29))))</f>
        <v>0</v>
      </c>
      <c r="T414" s="42">
        <f>IF(テーブル22[[#This Row],[長座]]="",0,(IF(テーブル22[[#This Row],[性別]]="男",LOOKUP(テーブル22[[#This Row],[長座]],$AL$6:$AM$15),LOOKUP(テーブル22[[#This Row],[長座]],$AL$20:$AM$29))))</f>
        <v>0</v>
      </c>
      <c r="U414" s="42">
        <f>IF(テーブル22[[#This Row],[反復]]="",0,(IF(テーブル22[[#This Row],[性別]]="男",LOOKUP(テーブル22[[#This Row],[反復]],$AN$6:$AO$15),LOOKUP(テーブル22[[#This Row],[反復]],$AN$20:$AO$29))))</f>
        <v>0</v>
      </c>
      <c r="V414" s="42">
        <f>IF(テーブル22[[#This Row],[ｼｬﾄﾙﾗﾝ]]="",0,(IF(テーブル22[[#This Row],[性別]]="男",LOOKUP(テーブル22[[#This Row],[ｼｬﾄﾙﾗﾝ]],$AR$6:$AS$15),LOOKUP(テーブル22[[#This Row],[ｼｬﾄﾙﾗﾝ]],$AR$20:$AS$29))))</f>
        <v>0</v>
      </c>
      <c r="W414" s="42">
        <f>IF(テーブル22[[#This Row],[50m走]]="",0,(IF(テーブル22[[#This Row],[性別]]="男",LOOKUP(テーブル22[[#This Row],[50m走]],$AT$6:$AU$15),LOOKUP(テーブル22[[#This Row],[50m走]],$AT$20:$AU$29))))</f>
        <v>0</v>
      </c>
      <c r="X414" s="42">
        <f>IF(テーブル22[[#This Row],[立幅とび]]="",0,(IF(テーブル22[[#This Row],[性別]]="男",LOOKUP(テーブル22[[#This Row],[立幅とび]],$AV$6:$AW$15),LOOKUP(テーブル22[[#This Row],[立幅とび]],$AV$20:$AW$29))))</f>
        <v>0</v>
      </c>
      <c r="Y414" s="42">
        <f>IF(テーブル22[[#This Row],[ボール投げ]]="",0,(IF(テーブル22[[#This Row],[性別]]="男",LOOKUP(テーブル22[[#This Row],[ボール投げ]],$AX$6:$AY$15),LOOKUP(テーブル22[[#This Row],[ボール投げ]],$AX$20:$AY$29))))</f>
        <v>0</v>
      </c>
      <c r="Z414" s="19" t="str">
        <f>IF(テーブル22[[#This Row],[学年]]=1,6,IF(テーブル22[[#This Row],[学年]]=2,7,IF(テーブル22[[#This Row],[学年]]=3,8,IF(テーブル22[[#This Row],[学年]]=4,9,IF(テーブル22[[#This Row],[学年]]=5,10,IF(テーブル22[[#This Row],[学年]]=6,11," "))))))</f>
        <v xml:space="preserve"> </v>
      </c>
      <c r="AA414" s="125" t="str">
        <f>IF(テーブル22[[#This Row],[肥満度数値]]="","",LOOKUP(AC414,$AW$39:$AW$44,$AX$39:$AX$44))</f>
        <v/>
      </c>
      <c r="AB41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4" s="124" t="str">
        <f>IF(テーブル22[[#This Row],[体重]]="","",(テーブル22[[#This Row],[体重]]-テーブル22[[#This Row],[標準体重]])/テーブル22[[#This Row],[標準体重]]*100)</f>
        <v/>
      </c>
      <c r="AD414" s="1">
        <f>COUNTA(テーブル22[[#This Row],[握力]:[ボール投げ]])</f>
        <v>0</v>
      </c>
      <c r="AE414" s="1" t="str">
        <f>IF(テーブル22[[#This Row],[判定]]=$BD$10,"○","")</f>
        <v/>
      </c>
      <c r="AF414" s="1" t="str">
        <f>IF(AE414="","",COUNTIF($AE$6:AE414,"○"))</f>
        <v/>
      </c>
    </row>
    <row r="415" spans="1:32" x14ac:dyDescent="0.2">
      <c r="A415" s="40">
        <v>410</v>
      </c>
      <c r="B415" s="145"/>
      <c r="C415" s="148"/>
      <c r="D415" s="145"/>
      <c r="E415" s="156"/>
      <c r="F415" s="145"/>
      <c r="G415" s="145"/>
      <c r="H415" s="146"/>
      <c r="I415" s="146"/>
      <c r="J415" s="148"/>
      <c r="K415" s="145"/>
      <c r="L415" s="148"/>
      <c r="M415" s="149"/>
      <c r="N415" s="148"/>
      <c r="O415" s="150"/>
      <c r="P41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5" s="43" t="str">
        <f>IF(テーブル22[[#This Row],[得点]]="","",IF(テーブル22[[#This Row],[年齢]]&gt;10,LOOKUP(P415,$BG$6:$BG$10,$BD$6:$BD$10),IF(テーブル22[[#This Row],[年齢]]&gt;9,LOOKUP(P415,$BF$6:$BF$10,$BD$6:$BD$10),IF(テーブル22[[#This Row],[年齢]]&gt;8,LOOKUP(P415,$BE$6:$BE$10,$BD$6:$BD$10),IF(テーブル22[[#This Row],[年齢]]&gt;7,LOOKUP(P415,$BC$6:$BC$10,$BD$6:$BD$10),IF(テーブル22[[#This Row],[年齢]]&gt;6,LOOKUP(P415,$BB$6:$BB$10,$BD$6:$BD$10),LOOKUP(P415,$BA$6:$BA$10,$BD$6:$BD$10)))))))</f>
        <v/>
      </c>
      <c r="R415" s="42">
        <f>IF(H415="",0,(IF(テーブル22[[#This Row],[性別]]="男",LOOKUP(テーブル22[[#This Row],[握力]],$AH$6:$AI$15),LOOKUP(テーブル22[[#This Row],[握力]],$AH$20:$AI$29))))</f>
        <v>0</v>
      </c>
      <c r="S415" s="42">
        <f>IF(テーブル22[[#This Row],[上体]]="",0,(IF(テーブル22[[#This Row],[性別]]="男",LOOKUP(テーブル22[[#This Row],[上体]],$AJ$6:$AK$15),LOOKUP(テーブル22[[#This Row],[上体]],$AJ$20:$AK$29))))</f>
        <v>0</v>
      </c>
      <c r="T415" s="42">
        <f>IF(テーブル22[[#This Row],[長座]]="",0,(IF(テーブル22[[#This Row],[性別]]="男",LOOKUP(テーブル22[[#This Row],[長座]],$AL$6:$AM$15),LOOKUP(テーブル22[[#This Row],[長座]],$AL$20:$AM$29))))</f>
        <v>0</v>
      </c>
      <c r="U415" s="42">
        <f>IF(テーブル22[[#This Row],[反復]]="",0,(IF(テーブル22[[#This Row],[性別]]="男",LOOKUP(テーブル22[[#This Row],[反復]],$AN$6:$AO$15),LOOKUP(テーブル22[[#This Row],[反復]],$AN$20:$AO$29))))</f>
        <v>0</v>
      </c>
      <c r="V415" s="42">
        <f>IF(テーブル22[[#This Row],[ｼｬﾄﾙﾗﾝ]]="",0,(IF(テーブル22[[#This Row],[性別]]="男",LOOKUP(テーブル22[[#This Row],[ｼｬﾄﾙﾗﾝ]],$AR$6:$AS$15),LOOKUP(テーブル22[[#This Row],[ｼｬﾄﾙﾗﾝ]],$AR$20:$AS$29))))</f>
        <v>0</v>
      </c>
      <c r="W415" s="42">
        <f>IF(テーブル22[[#This Row],[50m走]]="",0,(IF(テーブル22[[#This Row],[性別]]="男",LOOKUP(テーブル22[[#This Row],[50m走]],$AT$6:$AU$15),LOOKUP(テーブル22[[#This Row],[50m走]],$AT$20:$AU$29))))</f>
        <v>0</v>
      </c>
      <c r="X415" s="42">
        <f>IF(テーブル22[[#This Row],[立幅とび]]="",0,(IF(テーブル22[[#This Row],[性別]]="男",LOOKUP(テーブル22[[#This Row],[立幅とび]],$AV$6:$AW$15),LOOKUP(テーブル22[[#This Row],[立幅とび]],$AV$20:$AW$29))))</f>
        <v>0</v>
      </c>
      <c r="Y415" s="42">
        <f>IF(テーブル22[[#This Row],[ボール投げ]]="",0,(IF(テーブル22[[#This Row],[性別]]="男",LOOKUP(テーブル22[[#This Row],[ボール投げ]],$AX$6:$AY$15),LOOKUP(テーブル22[[#This Row],[ボール投げ]],$AX$20:$AY$29))))</f>
        <v>0</v>
      </c>
      <c r="Z415" s="19" t="str">
        <f>IF(テーブル22[[#This Row],[学年]]=1,6,IF(テーブル22[[#This Row],[学年]]=2,7,IF(テーブル22[[#This Row],[学年]]=3,8,IF(テーブル22[[#This Row],[学年]]=4,9,IF(テーブル22[[#This Row],[学年]]=5,10,IF(テーブル22[[#This Row],[学年]]=6,11," "))))))</f>
        <v xml:space="preserve"> </v>
      </c>
      <c r="AA415" s="125" t="str">
        <f>IF(テーブル22[[#This Row],[肥満度数値]]="","",LOOKUP(AC415,$AW$39:$AW$44,$AX$39:$AX$44))</f>
        <v/>
      </c>
      <c r="AB41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5" s="124" t="str">
        <f>IF(テーブル22[[#This Row],[体重]]="","",(テーブル22[[#This Row],[体重]]-テーブル22[[#This Row],[標準体重]])/テーブル22[[#This Row],[標準体重]]*100)</f>
        <v/>
      </c>
      <c r="AD415" s="1">
        <f>COUNTA(テーブル22[[#This Row],[握力]:[ボール投げ]])</f>
        <v>0</v>
      </c>
      <c r="AE415" s="1" t="str">
        <f>IF(テーブル22[[#This Row],[判定]]=$BD$10,"○","")</f>
        <v/>
      </c>
      <c r="AF415" s="1" t="str">
        <f>IF(AE415="","",COUNTIF($AE$6:AE415,"○"))</f>
        <v/>
      </c>
    </row>
    <row r="416" spans="1:32" x14ac:dyDescent="0.2">
      <c r="A416" s="40">
        <v>411</v>
      </c>
      <c r="B416" s="145"/>
      <c r="C416" s="148"/>
      <c r="D416" s="145"/>
      <c r="E416" s="156"/>
      <c r="F416" s="145"/>
      <c r="G416" s="145"/>
      <c r="H416" s="146"/>
      <c r="I416" s="146"/>
      <c r="J416" s="148"/>
      <c r="K416" s="145"/>
      <c r="L416" s="148"/>
      <c r="M416" s="149"/>
      <c r="N416" s="148"/>
      <c r="O416" s="150"/>
      <c r="P41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6" s="43" t="str">
        <f>IF(テーブル22[[#This Row],[得点]]="","",IF(テーブル22[[#This Row],[年齢]]&gt;10,LOOKUP(P416,$BG$6:$BG$10,$BD$6:$BD$10),IF(テーブル22[[#This Row],[年齢]]&gt;9,LOOKUP(P416,$BF$6:$BF$10,$BD$6:$BD$10),IF(テーブル22[[#This Row],[年齢]]&gt;8,LOOKUP(P416,$BE$6:$BE$10,$BD$6:$BD$10),IF(テーブル22[[#This Row],[年齢]]&gt;7,LOOKUP(P416,$BC$6:$BC$10,$BD$6:$BD$10),IF(テーブル22[[#This Row],[年齢]]&gt;6,LOOKUP(P416,$BB$6:$BB$10,$BD$6:$BD$10),LOOKUP(P416,$BA$6:$BA$10,$BD$6:$BD$10)))))))</f>
        <v/>
      </c>
      <c r="R416" s="42">
        <f>IF(H416="",0,(IF(テーブル22[[#This Row],[性別]]="男",LOOKUP(テーブル22[[#This Row],[握力]],$AH$6:$AI$15),LOOKUP(テーブル22[[#This Row],[握力]],$AH$20:$AI$29))))</f>
        <v>0</v>
      </c>
      <c r="S416" s="42">
        <f>IF(テーブル22[[#This Row],[上体]]="",0,(IF(テーブル22[[#This Row],[性別]]="男",LOOKUP(テーブル22[[#This Row],[上体]],$AJ$6:$AK$15),LOOKUP(テーブル22[[#This Row],[上体]],$AJ$20:$AK$29))))</f>
        <v>0</v>
      </c>
      <c r="T416" s="42">
        <f>IF(テーブル22[[#This Row],[長座]]="",0,(IF(テーブル22[[#This Row],[性別]]="男",LOOKUP(テーブル22[[#This Row],[長座]],$AL$6:$AM$15),LOOKUP(テーブル22[[#This Row],[長座]],$AL$20:$AM$29))))</f>
        <v>0</v>
      </c>
      <c r="U416" s="42">
        <f>IF(テーブル22[[#This Row],[反復]]="",0,(IF(テーブル22[[#This Row],[性別]]="男",LOOKUP(テーブル22[[#This Row],[反復]],$AN$6:$AO$15),LOOKUP(テーブル22[[#This Row],[反復]],$AN$20:$AO$29))))</f>
        <v>0</v>
      </c>
      <c r="V416" s="42">
        <f>IF(テーブル22[[#This Row],[ｼｬﾄﾙﾗﾝ]]="",0,(IF(テーブル22[[#This Row],[性別]]="男",LOOKUP(テーブル22[[#This Row],[ｼｬﾄﾙﾗﾝ]],$AR$6:$AS$15),LOOKUP(テーブル22[[#This Row],[ｼｬﾄﾙﾗﾝ]],$AR$20:$AS$29))))</f>
        <v>0</v>
      </c>
      <c r="W416" s="42">
        <f>IF(テーブル22[[#This Row],[50m走]]="",0,(IF(テーブル22[[#This Row],[性別]]="男",LOOKUP(テーブル22[[#This Row],[50m走]],$AT$6:$AU$15),LOOKUP(テーブル22[[#This Row],[50m走]],$AT$20:$AU$29))))</f>
        <v>0</v>
      </c>
      <c r="X416" s="42">
        <f>IF(テーブル22[[#This Row],[立幅とび]]="",0,(IF(テーブル22[[#This Row],[性別]]="男",LOOKUP(テーブル22[[#This Row],[立幅とび]],$AV$6:$AW$15),LOOKUP(テーブル22[[#This Row],[立幅とび]],$AV$20:$AW$29))))</f>
        <v>0</v>
      </c>
      <c r="Y416" s="42">
        <f>IF(テーブル22[[#This Row],[ボール投げ]]="",0,(IF(テーブル22[[#This Row],[性別]]="男",LOOKUP(テーブル22[[#This Row],[ボール投げ]],$AX$6:$AY$15),LOOKUP(テーブル22[[#This Row],[ボール投げ]],$AX$20:$AY$29))))</f>
        <v>0</v>
      </c>
      <c r="Z416" s="19" t="str">
        <f>IF(テーブル22[[#This Row],[学年]]=1,6,IF(テーブル22[[#This Row],[学年]]=2,7,IF(テーブル22[[#This Row],[学年]]=3,8,IF(テーブル22[[#This Row],[学年]]=4,9,IF(テーブル22[[#This Row],[学年]]=5,10,IF(テーブル22[[#This Row],[学年]]=6,11," "))))))</f>
        <v xml:space="preserve"> </v>
      </c>
      <c r="AA416" s="125" t="str">
        <f>IF(テーブル22[[#This Row],[肥満度数値]]="","",LOOKUP(AC416,$AW$39:$AW$44,$AX$39:$AX$44))</f>
        <v/>
      </c>
      <c r="AB41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6" s="124" t="str">
        <f>IF(テーブル22[[#This Row],[体重]]="","",(テーブル22[[#This Row],[体重]]-テーブル22[[#This Row],[標準体重]])/テーブル22[[#This Row],[標準体重]]*100)</f>
        <v/>
      </c>
      <c r="AD416" s="1">
        <f>COUNTA(テーブル22[[#This Row],[握力]:[ボール投げ]])</f>
        <v>0</v>
      </c>
      <c r="AE416" s="1" t="str">
        <f>IF(テーブル22[[#This Row],[判定]]=$BD$10,"○","")</f>
        <v/>
      </c>
      <c r="AF416" s="1" t="str">
        <f>IF(AE416="","",COUNTIF($AE$6:AE416,"○"))</f>
        <v/>
      </c>
    </row>
    <row r="417" spans="1:32" x14ac:dyDescent="0.2">
      <c r="A417" s="40">
        <v>412</v>
      </c>
      <c r="B417" s="145"/>
      <c r="C417" s="148"/>
      <c r="D417" s="145"/>
      <c r="E417" s="156"/>
      <c r="F417" s="145"/>
      <c r="G417" s="145"/>
      <c r="H417" s="146"/>
      <c r="I417" s="146"/>
      <c r="J417" s="148"/>
      <c r="K417" s="145"/>
      <c r="L417" s="148"/>
      <c r="M417" s="149"/>
      <c r="N417" s="148"/>
      <c r="O417" s="150"/>
      <c r="P41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7" s="43" t="str">
        <f>IF(テーブル22[[#This Row],[得点]]="","",IF(テーブル22[[#This Row],[年齢]]&gt;10,LOOKUP(P417,$BG$6:$BG$10,$BD$6:$BD$10),IF(テーブル22[[#This Row],[年齢]]&gt;9,LOOKUP(P417,$BF$6:$BF$10,$BD$6:$BD$10),IF(テーブル22[[#This Row],[年齢]]&gt;8,LOOKUP(P417,$BE$6:$BE$10,$BD$6:$BD$10),IF(テーブル22[[#This Row],[年齢]]&gt;7,LOOKUP(P417,$BC$6:$BC$10,$BD$6:$BD$10),IF(テーブル22[[#This Row],[年齢]]&gt;6,LOOKUP(P417,$BB$6:$BB$10,$BD$6:$BD$10),LOOKUP(P417,$BA$6:$BA$10,$BD$6:$BD$10)))))))</f>
        <v/>
      </c>
      <c r="R417" s="42">
        <f>IF(H417="",0,(IF(テーブル22[[#This Row],[性別]]="男",LOOKUP(テーブル22[[#This Row],[握力]],$AH$6:$AI$15),LOOKUP(テーブル22[[#This Row],[握力]],$AH$20:$AI$29))))</f>
        <v>0</v>
      </c>
      <c r="S417" s="42">
        <f>IF(テーブル22[[#This Row],[上体]]="",0,(IF(テーブル22[[#This Row],[性別]]="男",LOOKUP(テーブル22[[#This Row],[上体]],$AJ$6:$AK$15),LOOKUP(テーブル22[[#This Row],[上体]],$AJ$20:$AK$29))))</f>
        <v>0</v>
      </c>
      <c r="T417" s="42">
        <f>IF(テーブル22[[#This Row],[長座]]="",0,(IF(テーブル22[[#This Row],[性別]]="男",LOOKUP(テーブル22[[#This Row],[長座]],$AL$6:$AM$15),LOOKUP(テーブル22[[#This Row],[長座]],$AL$20:$AM$29))))</f>
        <v>0</v>
      </c>
      <c r="U417" s="42">
        <f>IF(テーブル22[[#This Row],[反復]]="",0,(IF(テーブル22[[#This Row],[性別]]="男",LOOKUP(テーブル22[[#This Row],[反復]],$AN$6:$AO$15),LOOKUP(テーブル22[[#This Row],[反復]],$AN$20:$AO$29))))</f>
        <v>0</v>
      </c>
      <c r="V417" s="42">
        <f>IF(テーブル22[[#This Row],[ｼｬﾄﾙﾗﾝ]]="",0,(IF(テーブル22[[#This Row],[性別]]="男",LOOKUP(テーブル22[[#This Row],[ｼｬﾄﾙﾗﾝ]],$AR$6:$AS$15),LOOKUP(テーブル22[[#This Row],[ｼｬﾄﾙﾗﾝ]],$AR$20:$AS$29))))</f>
        <v>0</v>
      </c>
      <c r="W417" s="42">
        <f>IF(テーブル22[[#This Row],[50m走]]="",0,(IF(テーブル22[[#This Row],[性別]]="男",LOOKUP(テーブル22[[#This Row],[50m走]],$AT$6:$AU$15),LOOKUP(テーブル22[[#This Row],[50m走]],$AT$20:$AU$29))))</f>
        <v>0</v>
      </c>
      <c r="X417" s="42">
        <f>IF(テーブル22[[#This Row],[立幅とび]]="",0,(IF(テーブル22[[#This Row],[性別]]="男",LOOKUP(テーブル22[[#This Row],[立幅とび]],$AV$6:$AW$15),LOOKUP(テーブル22[[#This Row],[立幅とび]],$AV$20:$AW$29))))</f>
        <v>0</v>
      </c>
      <c r="Y417" s="42">
        <f>IF(テーブル22[[#This Row],[ボール投げ]]="",0,(IF(テーブル22[[#This Row],[性別]]="男",LOOKUP(テーブル22[[#This Row],[ボール投げ]],$AX$6:$AY$15),LOOKUP(テーブル22[[#This Row],[ボール投げ]],$AX$20:$AY$29))))</f>
        <v>0</v>
      </c>
      <c r="Z417" s="19" t="str">
        <f>IF(テーブル22[[#This Row],[学年]]=1,6,IF(テーブル22[[#This Row],[学年]]=2,7,IF(テーブル22[[#This Row],[学年]]=3,8,IF(テーブル22[[#This Row],[学年]]=4,9,IF(テーブル22[[#This Row],[学年]]=5,10,IF(テーブル22[[#This Row],[学年]]=6,11," "))))))</f>
        <v xml:space="preserve"> </v>
      </c>
      <c r="AA417" s="125" t="str">
        <f>IF(テーブル22[[#This Row],[肥満度数値]]="","",LOOKUP(AC417,$AW$39:$AW$44,$AX$39:$AX$44))</f>
        <v/>
      </c>
      <c r="AB41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7" s="124" t="str">
        <f>IF(テーブル22[[#This Row],[体重]]="","",(テーブル22[[#This Row],[体重]]-テーブル22[[#This Row],[標準体重]])/テーブル22[[#This Row],[標準体重]]*100)</f>
        <v/>
      </c>
      <c r="AD417" s="1">
        <f>COUNTA(テーブル22[[#This Row],[握力]:[ボール投げ]])</f>
        <v>0</v>
      </c>
      <c r="AE417" s="1" t="str">
        <f>IF(テーブル22[[#This Row],[判定]]=$BD$10,"○","")</f>
        <v/>
      </c>
      <c r="AF417" s="1" t="str">
        <f>IF(AE417="","",COUNTIF($AE$6:AE417,"○"))</f>
        <v/>
      </c>
    </row>
    <row r="418" spans="1:32" x14ac:dyDescent="0.2">
      <c r="A418" s="40">
        <v>413</v>
      </c>
      <c r="B418" s="145"/>
      <c r="C418" s="148"/>
      <c r="D418" s="145"/>
      <c r="E418" s="156"/>
      <c r="F418" s="145"/>
      <c r="G418" s="145"/>
      <c r="H418" s="146"/>
      <c r="I418" s="146"/>
      <c r="J418" s="148"/>
      <c r="K418" s="145"/>
      <c r="L418" s="148"/>
      <c r="M418" s="149"/>
      <c r="N418" s="148"/>
      <c r="O418" s="150"/>
      <c r="P41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8" s="43" t="str">
        <f>IF(テーブル22[[#This Row],[得点]]="","",IF(テーブル22[[#This Row],[年齢]]&gt;10,LOOKUP(P418,$BG$6:$BG$10,$BD$6:$BD$10),IF(テーブル22[[#This Row],[年齢]]&gt;9,LOOKUP(P418,$BF$6:$BF$10,$BD$6:$BD$10),IF(テーブル22[[#This Row],[年齢]]&gt;8,LOOKUP(P418,$BE$6:$BE$10,$BD$6:$BD$10),IF(テーブル22[[#This Row],[年齢]]&gt;7,LOOKUP(P418,$BC$6:$BC$10,$BD$6:$BD$10),IF(テーブル22[[#This Row],[年齢]]&gt;6,LOOKUP(P418,$BB$6:$BB$10,$BD$6:$BD$10),LOOKUP(P418,$BA$6:$BA$10,$BD$6:$BD$10)))))))</f>
        <v/>
      </c>
      <c r="R418" s="42">
        <f>IF(H418="",0,(IF(テーブル22[[#This Row],[性別]]="男",LOOKUP(テーブル22[[#This Row],[握力]],$AH$6:$AI$15),LOOKUP(テーブル22[[#This Row],[握力]],$AH$20:$AI$29))))</f>
        <v>0</v>
      </c>
      <c r="S418" s="42">
        <f>IF(テーブル22[[#This Row],[上体]]="",0,(IF(テーブル22[[#This Row],[性別]]="男",LOOKUP(テーブル22[[#This Row],[上体]],$AJ$6:$AK$15),LOOKUP(テーブル22[[#This Row],[上体]],$AJ$20:$AK$29))))</f>
        <v>0</v>
      </c>
      <c r="T418" s="42">
        <f>IF(テーブル22[[#This Row],[長座]]="",0,(IF(テーブル22[[#This Row],[性別]]="男",LOOKUP(テーブル22[[#This Row],[長座]],$AL$6:$AM$15),LOOKUP(テーブル22[[#This Row],[長座]],$AL$20:$AM$29))))</f>
        <v>0</v>
      </c>
      <c r="U418" s="42">
        <f>IF(テーブル22[[#This Row],[反復]]="",0,(IF(テーブル22[[#This Row],[性別]]="男",LOOKUP(テーブル22[[#This Row],[反復]],$AN$6:$AO$15),LOOKUP(テーブル22[[#This Row],[反復]],$AN$20:$AO$29))))</f>
        <v>0</v>
      </c>
      <c r="V418" s="42">
        <f>IF(テーブル22[[#This Row],[ｼｬﾄﾙﾗﾝ]]="",0,(IF(テーブル22[[#This Row],[性別]]="男",LOOKUP(テーブル22[[#This Row],[ｼｬﾄﾙﾗﾝ]],$AR$6:$AS$15),LOOKUP(テーブル22[[#This Row],[ｼｬﾄﾙﾗﾝ]],$AR$20:$AS$29))))</f>
        <v>0</v>
      </c>
      <c r="W418" s="42">
        <f>IF(テーブル22[[#This Row],[50m走]]="",0,(IF(テーブル22[[#This Row],[性別]]="男",LOOKUP(テーブル22[[#This Row],[50m走]],$AT$6:$AU$15),LOOKUP(テーブル22[[#This Row],[50m走]],$AT$20:$AU$29))))</f>
        <v>0</v>
      </c>
      <c r="X418" s="42">
        <f>IF(テーブル22[[#This Row],[立幅とび]]="",0,(IF(テーブル22[[#This Row],[性別]]="男",LOOKUP(テーブル22[[#This Row],[立幅とび]],$AV$6:$AW$15),LOOKUP(テーブル22[[#This Row],[立幅とび]],$AV$20:$AW$29))))</f>
        <v>0</v>
      </c>
      <c r="Y418" s="42">
        <f>IF(テーブル22[[#This Row],[ボール投げ]]="",0,(IF(テーブル22[[#This Row],[性別]]="男",LOOKUP(テーブル22[[#This Row],[ボール投げ]],$AX$6:$AY$15),LOOKUP(テーブル22[[#This Row],[ボール投げ]],$AX$20:$AY$29))))</f>
        <v>0</v>
      </c>
      <c r="Z418" s="19" t="str">
        <f>IF(テーブル22[[#This Row],[学年]]=1,6,IF(テーブル22[[#This Row],[学年]]=2,7,IF(テーブル22[[#This Row],[学年]]=3,8,IF(テーブル22[[#This Row],[学年]]=4,9,IF(テーブル22[[#This Row],[学年]]=5,10,IF(テーブル22[[#This Row],[学年]]=6,11," "))))))</f>
        <v xml:space="preserve"> </v>
      </c>
      <c r="AA418" s="125" t="str">
        <f>IF(テーブル22[[#This Row],[肥満度数値]]="","",LOOKUP(AC418,$AW$39:$AW$44,$AX$39:$AX$44))</f>
        <v/>
      </c>
      <c r="AB41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8" s="124" t="str">
        <f>IF(テーブル22[[#This Row],[体重]]="","",(テーブル22[[#This Row],[体重]]-テーブル22[[#This Row],[標準体重]])/テーブル22[[#This Row],[標準体重]]*100)</f>
        <v/>
      </c>
      <c r="AD418" s="1">
        <f>COUNTA(テーブル22[[#This Row],[握力]:[ボール投げ]])</f>
        <v>0</v>
      </c>
      <c r="AE418" s="1" t="str">
        <f>IF(テーブル22[[#This Row],[判定]]=$BD$10,"○","")</f>
        <v/>
      </c>
      <c r="AF418" s="1" t="str">
        <f>IF(AE418="","",COUNTIF($AE$6:AE418,"○"))</f>
        <v/>
      </c>
    </row>
    <row r="419" spans="1:32" x14ac:dyDescent="0.2">
      <c r="A419" s="40">
        <v>414</v>
      </c>
      <c r="B419" s="145"/>
      <c r="C419" s="148"/>
      <c r="D419" s="145"/>
      <c r="E419" s="156"/>
      <c r="F419" s="145"/>
      <c r="G419" s="145"/>
      <c r="H419" s="146"/>
      <c r="I419" s="146"/>
      <c r="J419" s="148"/>
      <c r="K419" s="145"/>
      <c r="L419" s="148"/>
      <c r="M419" s="149"/>
      <c r="N419" s="148"/>
      <c r="O419" s="150"/>
      <c r="P41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19" s="43" t="str">
        <f>IF(テーブル22[[#This Row],[得点]]="","",IF(テーブル22[[#This Row],[年齢]]&gt;10,LOOKUP(P419,$BG$6:$BG$10,$BD$6:$BD$10),IF(テーブル22[[#This Row],[年齢]]&gt;9,LOOKUP(P419,$BF$6:$BF$10,$BD$6:$BD$10),IF(テーブル22[[#This Row],[年齢]]&gt;8,LOOKUP(P419,$BE$6:$BE$10,$BD$6:$BD$10),IF(テーブル22[[#This Row],[年齢]]&gt;7,LOOKUP(P419,$BC$6:$BC$10,$BD$6:$BD$10),IF(テーブル22[[#This Row],[年齢]]&gt;6,LOOKUP(P419,$BB$6:$BB$10,$BD$6:$BD$10),LOOKUP(P419,$BA$6:$BA$10,$BD$6:$BD$10)))))))</f>
        <v/>
      </c>
      <c r="R419" s="42">
        <f>IF(H419="",0,(IF(テーブル22[[#This Row],[性別]]="男",LOOKUP(テーブル22[[#This Row],[握力]],$AH$6:$AI$15),LOOKUP(テーブル22[[#This Row],[握力]],$AH$20:$AI$29))))</f>
        <v>0</v>
      </c>
      <c r="S419" s="42">
        <f>IF(テーブル22[[#This Row],[上体]]="",0,(IF(テーブル22[[#This Row],[性別]]="男",LOOKUP(テーブル22[[#This Row],[上体]],$AJ$6:$AK$15),LOOKUP(テーブル22[[#This Row],[上体]],$AJ$20:$AK$29))))</f>
        <v>0</v>
      </c>
      <c r="T419" s="42">
        <f>IF(テーブル22[[#This Row],[長座]]="",0,(IF(テーブル22[[#This Row],[性別]]="男",LOOKUP(テーブル22[[#This Row],[長座]],$AL$6:$AM$15),LOOKUP(テーブル22[[#This Row],[長座]],$AL$20:$AM$29))))</f>
        <v>0</v>
      </c>
      <c r="U419" s="42">
        <f>IF(テーブル22[[#This Row],[反復]]="",0,(IF(テーブル22[[#This Row],[性別]]="男",LOOKUP(テーブル22[[#This Row],[反復]],$AN$6:$AO$15),LOOKUP(テーブル22[[#This Row],[反復]],$AN$20:$AO$29))))</f>
        <v>0</v>
      </c>
      <c r="V419" s="42">
        <f>IF(テーブル22[[#This Row],[ｼｬﾄﾙﾗﾝ]]="",0,(IF(テーブル22[[#This Row],[性別]]="男",LOOKUP(テーブル22[[#This Row],[ｼｬﾄﾙﾗﾝ]],$AR$6:$AS$15),LOOKUP(テーブル22[[#This Row],[ｼｬﾄﾙﾗﾝ]],$AR$20:$AS$29))))</f>
        <v>0</v>
      </c>
      <c r="W419" s="42">
        <f>IF(テーブル22[[#This Row],[50m走]]="",0,(IF(テーブル22[[#This Row],[性別]]="男",LOOKUP(テーブル22[[#This Row],[50m走]],$AT$6:$AU$15),LOOKUP(テーブル22[[#This Row],[50m走]],$AT$20:$AU$29))))</f>
        <v>0</v>
      </c>
      <c r="X419" s="42">
        <f>IF(テーブル22[[#This Row],[立幅とび]]="",0,(IF(テーブル22[[#This Row],[性別]]="男",LOOKUP(テーブル22[[#This Row],[立幅とび]],$AV$6:$AW$15),LOOKUP(テーブル22[[#This Row],[立幅とび]],$AV$20:$AW$29))))</f>
        <v>0</v>
      </c>
      <c r="Y419" s="42">
        <f>IF(テーブル22[[#This Row],[ボール投げ]]="",0,(IF(テーブル22[[#This Row],[性別]]="男",LOOKUP(テーブル22[[#This Row],[ボール投げ]],$AX$6:$AY$15),LOOKUP(テーブル22[[#This Row],[ボール投げ]],$AX$20:$AY$29))))</f>
        <v>0</v>
      </c>
      <c r="Z419" s="19" t="str">
        <f>IF(テーブル22[[#This Row],[学年]]=1,6,IF(テーブル22[[#This Row],[学年]]=2,7,IF(テーブル22[[#This Row],[学年]]=3,8,IF(テーブル22[[#This Row],[学年]]=4,9,IF(テーブル22[[#This Row],[学年]]=5,10,IF(テーブル22[[#This Row],[学年]]=6,11," "))))))</f>
        <v xml:space="preserve"> </v>
      </c>
      <c r="AA419" s="125" t="str">
        <f>IF(テーブル22[[#This Row],[肥満度数値]]="","",LOOKUP(AC419,$AW$39:$AW$44,$AX$39:$AX$44))</f>
        <v/>
      </c>
      <c r="AB41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19" s="124" t="str">
        <f>IF(テーブル22[[#This Row],[体重]]="","",(テーブル22[[#This Row],[体重]]-テーブル22[[#This Row],[標準体重]])/テーブル22[[#This Row],[標準体重]]*100)</f>
        <v/>
      </c>
      <c r="AD419" s="1">
        <f>COUNTA(テーブル22[[#This Row],[握力]:[ボール投げ]])</f>
        <v>0</v>
      </c>
      <c r="AE419" s="1" t="str">
        <f>IF(テーブル22[[#This Row],[判定]]=$BD$10,"○","")</f>
        <v/>
      </c>
      <c r="AF419" s="1" t="str">
        <f>IF(AE419="","",COUNTIF($AE$6:AE419,"○"))</f>
        <v/>
      </c>
    </row>
    <row r="420" spans="1:32" x14ac:dyDescent="0.2">
      <c r="A420" s="40">
        <v>415</v>
      </c>
      <c r="B420" s="145"/>
      <c r="C420" s="148"/>
      <c r="D420" s="145"/>
      <c r="E420" s="156"/>
      <c r="F420" s="145"/>
      <c r="G420" s="145"/>
      <c r="H420" s="146"/>
      <c r="I420" s="146"/>
      <c r="J420" s="148"/>
      <c r="K420" s="145"/>
      <c r="L420" s="148"/>
      <c r="M420" s="149"/>
      <c r="N420" s="148"/>
      <c r="O420" s="150"/>
      <c r="P42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0" s="43" t="str">
        <f>IF(テーブル22[[#This Row],[得点]]="","",IF(テーブル22[[#This Row],[年齢]]&gt;10,LOOKUP(P420,$BG$6:$BG$10,$BD$6:$BD$10),IF(テーブル22[[#This Row],[年齢]]&gt;9,LOOKUP(P420,$BF$6:$BF$10,$BD$6:$BD$10),IF(テーブル22[[#This Row],[年齢]]&gt;8,LOOKUP(P420,$BE$6:$BE$10,$BD$6:$BD$10),IF(テーブル22[[#This Row],[年齢]]&gt;7,LOOKUP(P420,$BC$6:$BC$10,$BD$6:$BD$10),IF(テーブル22[[#This Row],[年齢]]&gt;6,LOOKUP(P420,$BB$6:$BB$10,$BD$6:$BD$10),LOOKUP(P420,$BA$6:$BA$10,$BD$6:$BD$10)))))))</f>
        <v/>
      </c>
      <c r="R420" s="42">
        <f>IF(H420="",0,(IF(テーブル22[[#This Row],[性別]]="男",LOOKUP(テーブル22[[#This Row],[握力]],$AH$6:$AI$15),LOOKUP(テーブル22[[#This Row],[握力]],$AH$20:$AI$29))))</f>
        <v>0</v>
      </c>
      <c r="S420" s="42">
        <f>IF(テーブル22[[#This Row],[上体]]="",0,(IF(テーブル22[[#This Row],[性別]]="男",LOOKUP(テーブル22[[#This Row],[上体]],$AJ$6:$AK$15),LOOKUP(テーブル22[[#This Row],[上体]],$AJ$20:$AK$29))))</f>
        <v>0</v>
      </c>
      <c r="T420" s="42">
        <f>IF(テーブル22[[#This Row],[長座]]="",0,(IF(テーブル22[[#This Row],[性別]]="男",LOOKUP(テーブル22[[#This Row],[長座]],$AL$6:$AM$15),LOOKUP(テーブル22[[#This Row],[長座]],$AL$20:$AM$29))))</f>
        <v>0</v>
      </c>
      <c r="U420" s="42">
        <f>IF(テーブル22[[#This Row],[反復]]="",0,(IF(テーブル22[[#This Row],[性別]]="男",LOOKUP(テーブル22[[#This Row],[反復]],$AN$6:$AO$15),LOOKUP(テーブル22[[#This Row],[反復]],$AN$20:$AO$29))))</f>
        <v>0</v>
      </c>
      <c r="V420" s="42">
        <f>IF(テーブル22[[#This Row],[ｼｬﾄﾙﾗﾝ]]="",0,(IF(テーブル22[[#This Row],[性別]]="男",LOOKUP(テーブル22[[#This Row],[ｼｬﾄﾙﾗﾝ]],$AR$6:$AS$15),LOOKUP(テーブル22[[#This Row],[ｼｬﾄﾙﾗﾝ]],$AR$20:$AS$29))))</f>
        <v>0</v>
      </c>
      <c r="W420" s="42">
        <f>IF(テーブル22[[#This Row],[50m走]]="",0,(IF(テーブル22[[#This Row],[性別]]="男",LOOKUP(テーブル22[[#This Row],[50m走]],$AT$6:$AU$15),LOOKUP(テーブル22[[#This Row],[50m走]],$AT$20:$AU$29))))</f>
        <v>0</v>
      </c>
      <c r="X420" s="42">
        <f>IF(テーブル22[[#This Row],[立幅とび]]="",0,(IF(テーブル22[[#This Row],[性別]]="男",LOOKUP(テーブル22[[#This Row],[立幅とび]],$AV$6:$AW$15),LOOKUP(テーブル22[[#This Row],[立幅とび]],$AV$20:$AW$29))))</f>
        <v>0</v>
      </c>
      <c r="Y420" s="42">
        <f>IF(テーブル22[[#This Row],[ボール投げ]]="",0,(IF(テーブル22[[#This Row],[性別]]="男",LOOKUP(テーブル22[[#This Row],[ボール投げ]],$AX$6:$AY$15),LOOKUP(テーブル22[[#This Row],[ボール投げ]],$AX$20:$AY$29))))</f>
        <v>0</v>
      </c>
      <c r="Z420" s="19" t="str">
        <f>IF(テーブル22[[#This Row],[学年]]=1,6,IF(テーブル22[[#This Row],[学年]]=2,7,IF(テーブル22[[#This Row],[学年]]=3,8,IF(テーブル22[[#This Row],[学年]]=4,9,IF(テーブル22[[#This Row],[学年]]=5,10,IF(テーブル22[[#This Row],[学年]]=6,11," "))))))</f>
        <v xml:space="preserve"> </v>
      </c>
      <c r="AA420" s="125" t="str">
        <f>IF(テーブル22[[#This Row],[肥満度数値]]="","",LOOKUP(AC420,$AW$39:$AW$44,$AX$39:$AX$44))</f>
        <v/>
      </c>
      <c r="AB42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0" s="124" t="str">
        <f>IF(テーブル22[[#This Row],[体重]]="","",(テーブル22[[#This Row],[体重]]-テーブル22[[#This Row],[標準体重]])/テーブル22[[#This Row],[標準体重]]*100)</f>
        <v/>
      </c>
      <c r="AD420" s="1">
        <f>COUNTA(テーブル22[[#This Row],[握力]:[ボール投げ]])</f>
        <v>0</v>
      </c>
      <c r="AE420" s="1" t="str">
        <f>IF(テーブル22[[#This Row],[判定]]=$BD$10,"○","")</f>
        <v/>
      </c>
      <c r="AF420" s="1" t="str">
        <f>IF(AE420="","",COUNTIF($AE$6:AE420,"○"))</f>
        <v/>
      </c>
    </row>
    <row r="421" spans="1:32" x14ac:dyDescent="0.2">
      <c r="A421" s="40">
        <v>416</v>
      </c>
      <c r="B421" s="145"/>
      <c r="C421" s="148"/>
      <c r="D421" s="145"/>
      <c r="E421" s="156"/>
      <c r="F421" s="145"/>
      <c r="G421" s="145"/>
      <c r="H421" s="146"/>
      <c r="I421" s="146"/>
      <c r="J421" s="148"/>
      <c r="K421" s="145"/>
      <c r="L421" s="148"/>
      <c r="M421" s="149"/>
      <c r="N421" s="148"/>
      <c r="O421" s="150"/>
      <c r="P42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1" s="43" t="str">
        <f>IF(テーブル22[[#This Row],[得点]]="","",IF(テーブル22[[#This Row],[年齢]]&gt;10,LOOKUP(P421,$BG$6:$BG$10,$BD$6:$BD$10),IF(テーブル22[[#This Row],[年齢]]&gt;9,LOOKUP(P421,$BF$6:$BF$10,$BD$6:$BD$10),IF(テーブル22[[#This Row],[年齢]]&gt;8,LOOKUP(P421,$BE$6:$BE$10,$BD$6:$BD$10),IF(テーブル22[[#This Row],[年齢]]&gt;7,LOOKUP(P421,$BC$6:$BC$10,$BD$6:$BD$10),IF(テーブル22[[#This Row],[年齢]]&gt;6,LOOKUP(P421,$BB$6:$BB$10,$BD$6:$BD$10),LOOKUP(P421,$BA$6:$BA$10,$BD$6:$BD$10)))))))</f>
        <v/>
      </c>
      <c r="R421" s="42">
        <f>IF(H421="",0,(IF(テーブル22[[#This Row],[性別]]="男",LOOKUP(テーブル22[[#This Row],[握力]],$AH$6:$AI$15),LOOKUP(テーブル22[[#This Row],[握力]],$AH$20:$AI$29))))</f>
        <v>0</v>
      </c>
      <c r="S421" s="42">
        <f>IF(テーブル22[[#This Row],[上体]]="",0,(IF(テーブル22[[#This Row],[性別]]="男",LOOKUP(テーブル22[[#This Row],[上体]],$AJ$6:$AK$15),LOOKUP(テーブル22[[#This Row],[上体]],$AJ$20:$AK$29))))</f>
        <v>0</v>
      </c>
      <c r="T421" s="42">
        <f>IF(テーブル22[[#This Row],[長座]]="",0,(IF(テーブル22[[#This Row],[性別]]="男",LOOKUP(テーブル22[[#This Row],[長座]],$AL$6:$AM$15),LOOKUP(テーブル22[[#This Row],[長座]],$AL$20:$AM$29))))</f>
        <v>0</v>
      </c>
      <c r="U421" s="42">
        <f>IF(テーブル22[[#This Row],[反復]]="",0,(IF(テーブル22[[#This Row],[性別]]="男",LOOKUP(テーブル22[[#This Row],[反復]],$AN$6:$AO$15),LOOKUP(テーブル22[[#This Row],[反復]],$AN$20:$AO$29))))</f>
        <v>0</v>
      </c>
      <c r="V421" s="42">
        <f>IF(テーブル22[[#This Row],[ｼｬﾄﾙﾗﾝ]]="",0,(IF(テーブル22[[#This Row],[性別]]="男",LOOKUP(テーブル22[[#This Row],[ｼｬﾄﾙﾗﾝ]],$AR$6:$AS$15),LOOKUP(テーブル22[[#This Row],[ｼｬﾄﾙﾗﾝ]],$AR$20:$AS$29))))</f>
        <v>0</v>
      </c>
      <c r="W421" s="42">
        <f>IF(テーブル22[[#This Row],[50m走]]="",0,(IF(テーブル22[[#This Row],[性別]]="男",LOOKUP(テーブル22[[#This Row],[50m走]],$AT$6:$AU$15),LOOKUP(テーブル22[[#This Row],[50m走]],$AT$20:$AU$29))))</f>
        <v>0</v>
      </c>
      <c r="X421" s="42">
        <f>IF(テーブル22[[#This Row],[立幅とび]]="",0,(IF(テーブル22[[#This Row],[性別]]="男",LOOKUP(テーブル22[[#This Row],[立幅とび]],$AV$6:$AW$15),LOOKUP(テーブル22[[#This Row],[立幅とび]],$AV$20:$AW$29))))</f>
        <v>0</v>
      </c>
      <c r="Y421" s="42">
        <f>IF(テーブル22[[#This Row],[ボール投げ]]="",0,(IF(テーブル22[[#This Row],[性別]]="男",LOOKUP(テーブル22[[#This Row],[ボール投げ]],$AX$6:$AY$15),LOOKUP(テーブル22[[#This Row],[ボール投げ]],$AX$20:$AY$29))))</f>
        <v>0</v>
      </c>
      <c r="Z421" s="19" t="str">
        <f>IF(テーブル22[[#This Row],[学年]]=1,6,IF(テーブル22[[#This Row],[学年]]=2,7,IF(テーブル22[[#This Row],[学年]]=3,8,IF(テーブル22[[#This Row],[学年]]=4,9,IF(テーブル22[[#This Row],[学年]]=5,10,IF(テーブル22[[#This Row],[学年]]=6,11," "))))))</f>
        <v xml:space="preserve"> </v>
      </c>
      <c r="AA421" s="125" t="str">
        <f>IF(テーブル22[[#This Row],[肥満度数値]]="","",LOOKUP(AC421,$AW$39:$AW$44,$AX$39:$AX$44))</f>
        <v/>
      </c>
      <c r="AB42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1" s="124" t="str">
        <f>IF(テーブル22[[#This Row],[体重]]="","",(テーブル22[[#This Row],[体重]]-テーブル22[[#This Row],[標準体重]])/テーブル22[[#This Row],[標準体重]]*100)</f>
        <v/>
      </c>
      <c r="AD421" s="1">
        <f>COUNTA(テーブル22[[#This Row],[握力]:[ボール投げ]])</f>
        <v>0</v>
      </c>
      <c r="AE421" s="1" t="str">
        <f>IF(テーブル22[[#This Row],[判定]]=$BD$10,"○","")</f>
        <v/>
      </c>
      <c r="AF421" s="1" t="str">
        <f>IF(AE421="","",COUNTIF($AE$6:AE421,"○"))</f>
        <v/>
      </c>
    </row>
    <row r="422" spans="1:32" x14ac:dyDescent="0.2">
      <c r="A422" s="40">
        <v>417</v>
      </c>
      <c r="B422" s="145"/>
      <c r="C422" s="148"/>
      <c r="D422" s="145"/>
      <c r="E422" s="156"/>
      <c r="F422" s="145"/>
      <c r="G422" s="145"/>
      <c r="H422" s="146"/>
      <c r="I422" s="146"/>
      <c r="J422" s="148"/>
      <c r="K422" s="145"/>
      <c r="L422" s="148"/>
      <c r="M422" s="149"/>
      <c r="N422" s="148"/>
      <c r="O422" s="150"/>
      <c r="P42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2" s="43" t="str">
        <f>IF(テーブル22[[#This Row],[得点]]="","",IF(テーブル22[[#This Row],[年齢]]&gt;10,LOOKUP(P422,$BG$6:$BG$10,$BD$6:$BD$10),IF(テーブル22[[#This Row],[年齢]]&gt;9,LOOKUP(P422,$BF$6:$BF$10,$BD$6:$BD$10),IF(テーブル22[[#This Row],[年齢]]&gt;8,LOOKUP(P422,$BE$6:$BE$10,$BD$6:$BD$10),IF(テーブル22[[#This Row],[年齢]]&gt;7,LOOKUP(P422,$BC$6:$BC$10,$BD$6:$BD$10),IF(テーブル22[[#This Row],[年齢]]&gt;6,LOOKUP(P422,$BB$6:$BB$10,$BD$6:$BD$10),LOOKUP(P422,$BA$6:$BA$10,$BD$6:$BD$10)))))))</f>
        <v/>
      </c>
      <c r="R422" s="42">
        <f>IF(H422="",0,(IF(テーブル22[[#This Row],[性別]]="男",LOOKUP(テーブル22[[#This Row],[握力]],$AH$6:$AI$15),LOOKUP(テーブル22[[#This Row],[握力]],$AH$20:$AI$29))))</f>
        <v>0</v>
      </c>
      <c r="S422" s="42">
        <f>IF(テーブル22[[#This Row],[上体]]="",0,(IF(テーブル22[[#This Row],[性別]]="男",LOOKUP(テーブル22[[#This Row],[上体]],$AJ$6:$AK$15),LOOKUP(テーブル22[[#This Row],[上体]],$AJ$20:$AK$29))))</f>
        <v>0</v>
      </c>
      <c r="T422" s="42">
        <f>IF(テーブル22[[#This Row],[長座]]="",0,(IF(テーブル22[[#This Row],[性別]]="男",LOOKUP(テーブル22[[#This Row],[長座]],$AL$6:$AM$15),LOOKUP(テーブル22[[#This Row],[長座]],$AL$20:$AM$29))))</f>
        <v>0</v>
      </c>
      <c r="U422" s="42">
        <f>IF(テーブル22[[#This Row],[反復]]="",0,(IF(テーブル22[[#This Row],[性別]]="男",LOOKUP(テーブル22[[#This Row],[反復]],$AN$6:$AO$15),LOOKUP(テーブル22[[#This Row],[反復]],$AN$20:$AO$29))))</f>
        <v>0</v>
      </c>
      <c r="V422" s="42">
        <f>IF(テーブル22[[#This Row],[ｼｬﾄﾙﾗﾝ]]="",0,(IF(テーブル22[[#This Row],[性別]]="男",LOOKUP(テーブル22[[#This Row],[ｼｬﾄﾙﾗﾝ]],$AR$6:$AS$15),LOOKUP(テーブル22[[#This Row],[ｼｬﾄﾙﾗﾝ]],$AR$20:$AS$29))))</f>
        <v>0</v>
      </c>
      <c r="W422" s="42">
        <f>IF(テーブル22[[#This Row],[50m走]]="",0,(IF(テーブル22[[#This Row],[性別]]="男",LOOKUP(テーブル22[[#This Row],[50m走]],$AT$6:$AU$15),LOOKUP(テーブル22[[#This Row],[50m走]],$AT$20:$AU$29))))</f>
        <v>0</v>
      </c>
      <c r="X422" s="42">
        <f>IF(テーブル22[[#This Row],[立幅とび]]="",0,(IF(テーブル22[[#This Row],[性別]]="男",LOOKUP(テーブル22[[#This Row],[立幅とび]],$AV$6:$AW$15),LOOKUP(テーブル22[[#This Row],[立幅とび]],$AV$20:$AW$29))))</f>
        <v>0</v>
      </c>
      <c r="Y422" s="42">
        <f>IF(テーブル22[[#This Row],[ボール投げ]]="",0,(IF(テーブル22[[#This Row],[性別]]="男",LOOKUP(テーブル22[[#This Row],[ボール投げ]],$AX$6:$AY$15),LOOKUP(テーブル22[[#This Row],[ボール投げ]],$AX$20:$AY$29))))</f>
        <v>0</v>
      </c>
      <c r="Z422" s="19" t="str">
        <f>IF(テーブル22[[#This Row],[学年]]=1,6,IF(テーブル22[[#This Row],[学年]]=2,7,IF(テーブル22[[#This Row],[学年]]=3,8,IF(テーブル22[[#This Row],[学年]]=4,9,IF(テーブル22[[#This Row],[学年]]=5,10,IF(テーブル22[[#This Row],[学年]]=6,11," "))))))</f>
        <v xml:space="preserve"> </v>
      </c>
      <c r="AA422" s="125" t="str">
        <f>IF(テーブル22[[#This Row],[肥満度数値]]="","",LOOKUP(AC422,$AW$39:$AW$44,$AX$39:$AX$44))</f>
        <v/>
      </c>
      <c r="AB42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2" s="124" t="str">
        <f>IF(テーブル22[[#This Row],[体重]]="","",(テーブル22[[#This Row],[体重]]-テーブル22[[#This Row],[標準体重]])/テーブル22[[#This Row],[標準体重]]*100)</f>
        <v/>
      </c>
      <c r="AD422" s="1">
        <f>COUNTA(テーブル22[[#This Row],[握力]:[ボール投げ]])</f>
        <v>0</v>
      </c>
      <c r="AE422" s="1" t="str">
        <f>IF(テーブル22[[#This Row],[判定]]=$BD$10,"○","")</f>
        <v/>
      </c>
      <c r="AF422" s="1" t="str">
        <f>IF(AE422="","",COUNTIF($AE$6:AE422,"○"))</f>
        <v/>
      </c>
    </row>
    <row r="423" spans="1:32" x14ac:dyDescent="0.2">
      <c r="A423" s="40">
        <v>418</v>
      </c>
      <c r="B423" s="145"/>
      <c r="C423" s="148"/>
      <c r="D423" s="145"/>
      <c r="E423" s="156"/>
      <c r="F423" s="145"/>
      <c r="G423" s="145"/>
      <c r="H423" s="146"/>
      <c r="I423" s="146"/>
      <c r="J423" s="148"/>
      <c r="K423" s="145"/>
      <c r="L423" s="148"/>
      <c r="M423" s="149"/>
      <c r="N423" s="148"/>
      <c r="O423" s="150"/>
      <c r="P42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3" s="43" t="str">
        <f>IF(テーブル22[[#This Row],[得点]]="","",IF(テーブル22[[#This Row],[年齢]]&gt;10,LOOKUP(P423,$BG$6:$BG$10,$BD$6:$BD$10),IF(テーブル22[[#This Row],[年齢]]&gt;9,LOOKUP(P423,$BF$6:$BF$10,$BD$6:$BD$10),IF(テーブル22[[#This Row],[年齢]]&gt;8,LOOKUP(P423,$BE$6:$BE$10,$BD$6:$BD$10),IF(テーブル22[[#This Row],[年齢]]&gt;7,LOOKUP(P423,$BC$6:$BC$10,$BD$6:$BD$10),IF(テーブル22[[#This Row],[年齢]]&gt;6,LOOKUP(P423,$BB$6:$BB$10,$BD$6:$BD$10),LOOKUP(P423,$BA$6:$BA$10,$BD$6:$BD$10)))))))</f>
        <v/>
      </c>
      <c r="R423" s="42">
        <f>IF(H423="",0,(IF(テーブル22[[#This Row],[性別]]="男",LOOKUP(テーブル22[[#This Row],[握力]],$AH$6:$AI$15),LOOKUP(テーブル22[[#This Row],[握力]],$AH$20:$AI$29))))</f>
        <v>0</v>
      </c>
      <c r="S423" s="42">
        <f>IF(テーブル22[[#This Row],[上体]]="",0,(IF(テーブル22[[#This Row],[性別]]="男",LOOKUP(テーブル22[[#This Row],[上体]],$AJ$6:$AK$15),LOOKUP(テーブル22[[#This Row],[上体]],$AJ$20:$AK$29))))</f>
        <v>0</v>
      </c>
      <c r="T423" s="42">
        <f>IF(テーブル22[[#This Row],[長座]]="",0,(IF(テーブル22[[#This Row],[性別]]="男",LOOKUP(テーブル22[[#This Row],[長座]],$AL$6:$AM$15),LOOKUP(テーブル22[[#This Row],[長座]],$AL$20:$AM$29))))</f>
        <v>0</v>
      </c>
      <c r="U423" s="42">
        <f>IF(テーブル22[[#This Row],[反復]]="",0,(IF(テーブル22[[#This Row],[性別]]="男",LOOKUP(テーブル22[[#This Row],[反復]],$AN$6:$AO$15),LOOKUP(テーブル22[[#This Row],[反復]],$AN$20:$AO$29))))</f>
        <v>0</v>
      </c>
      <c r="V423" s="42">
        <f>IF(テーブル22[[#This Row],[ｼｬﾄﾙﾗﾝ]]="",0,(IF(テーブル22[[#This Row],[性別]]="男",LOOKUP(テーブル22[[#This Row],[ｼｬﾄﾙﾗﾝ]],$AR$6:$AS$15),LOOKUP(テーブル22[[#This Row],[ｼｬﾄﾙﾗﾝ]],$AR$20:$AS$29))))</f>
        <v>0</v>
      </c>
      <c r="W423" s="42">
        <f>IF(テーブル22[[#This Row],[50m走]]="",0,(IF(テーブル22[[#This Row],[性別]]="男",LOOKUP(テーブル22[[#This Row],[50m走]],$AT$6:$AU$15),LOOKUP(テーブル22[[#This Row],[50m走]],$AT$20:$AU$29))))</f>
        <v>0</v>
      </c>
      <c r="X423" s="42">
        <f>IF(テーブル22[[#This Row],[立幅とび]]="",0,(IF(テーブル22[[#This Row],[性別]]="男",LOOKUP(テーブル22[[#This Row],[立幅とび]],$AV$6:$AW$15),LOOKUP(テーブル22[[#This Row],[立幅とび]],$AV$20:$AW$29))))</f>
        <v>0</v>
      </c>
      <c r="Y423" s="42">
        <f>IF(テーブル22[[#This Row],[ボール投げ]]="",0,(IF(テーブル22[[#This Row],[性別]]="男",LOOKUP(テーブル22[[#This Row],[ボール投げ]],$AX$6:$AY$15),LOOKUP(テーブル22[[#This Row],[ボール投げ]],$AX$20:$AY$29))))</f>
        <v>0</v>
      </c>
      <c r="Z423" s="19" t="str">
        <f>IF(テーブル22[[#This Row],[学年]]=1,6,IF(テーブル22[[#This Row],[学年]]=2,7,IF(テーブル22[[#This Row],[学年]]=3,8,IF(テーブル22[[#This Row],[学年]]=4,9,IF(テーブル22[[#This Row],[学年]]=5,10,IF(テーブル22[[#This Row],[学年]]=6,11," "))))))</f>
        <v xml:space="preserve"> </v>
      </c>
      <c r="AA423" s="125" t="str">
        <f>IF(テーブル22[[#This Row],[肥満度数値]]="","",LOOKUP(AC423,$AW$39:$AW$44,$AX$39:$AX$44))</f>
        <v/>
      </c>
      <c r="AB42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3" s="124" t="str">
        <f>IF(テーブル22[[#This Row],[体重]]="","",(テーブル22[[#This Row],[体重]]-テーブル22[[#This Row],[標準体重]])/テーブル22[[#This Row],[標準体重]]*100)</f>
        <v/>
      </c>
      <c r="AD423" s="1">
        <f>COUNTA(テーブル22[[#This Row],[握力]:[ボール投げ]])</f>
        <v>0</v>
      </c>
      <c r="AE423" s="1" t="str">
        <f>IF(テーブル22[[#This Row],[判定]]=$BD$10,"○","")</f>
        <v/>
      </c>
      <c r="AF423" s="1" t="str">
        <f>IF(AE423="","",COUNTIF($AE$6:AE423,"○"))</f>
        <v/>
      </c>
    </row>
    <row r="424" spans="1:32" x14ac:dyDescent="0.2">
      <c r="A424" s="40">
        <v>419</v>
      </c>
      <c r="B424" s="145"/>
      <c r="C424" s="148"/>
      <c r="D424" s="145"/>
      <c r="E424" s="156"/>
      <c r="F424" s="145"/>
      <c r="G424" s="145"/>
      <c r="H424" s="146"/>
      <c r="I424" s="146"/>
      <c r="J424" s="148"/>
      <c r="K424" s="145"/>
      <c r="L424" s="148"/>
      <c r="M424" s="149"/>
      <c r="N424" s="148"/>
      <c r="O424" s="150"/>
      <c r="P42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4" s="43" t="str">
        <f>IF(テーブル22[[#This Row],[得点]]="","",IF(テーブル22[[#This Row],[年齢]]&gt;10,LOOKUP(P424,$BG$6:$BG$10,$BD$6:$BD$10),IF(テーブル22[[#This Row],[年齢]]&gt;9,LOOKUP(P424,$BF$6:$BF$10,$BD$6:$BD$10),IF(テーブル22[[#This Row],[年齢]]&gt;8,LOOKUP(P424,$BE$6:$BE$10,$BD$6:$BD$10),IF(テーブル22[[#This Row],[年齢]]&gt;7,LOOKUP(P424,$BC$6:$BC$10,$BD$6:$BD$10),IF(テーブル22[[#This Row],[年齢]]&gt;6,LOOKUP(P424,$BB$6:$BB$10,$BD$6:$BD$10),LOOKUP(P424,$BA$6:$BA$10,$BD$6:$BD$10)))))))</f>
        <v/>
      </c>
      <c r="R424" s="42">
        <f>IF(H424="",0,(IF(テーブル22[[#This Row],[性別]]="男",LOOKUP(テーブル22[[#This Row],[握力]],$AH$6:$AI$15),LOOKUP(テーブル22[[#This Row],[握力]],$AH$20:$AI$29))))</f>
        <v>0</v>
      </c>
      <c r="S424" s="42">
        <f>IF(テーブル22[[#This Row],[上体]]="",0,(IF(テーブル22[[#This Row],[性別]]="男",LOOKUP(テーブル22[[#This Row],[上体]],$AJ$6:$AK$15),LOOKUP(テーブル22[[#This Row],[上体]],$AJ$20:$AK$29))))</f>
        <v>0</v>
      </c>
      <c r="T424" s="42">
        <f>IF(テーブル22[[#This Row],[長座]]="",0,(IF(テーブル22[[#This Row],[性別]]="男",LOOKUP(テーブル22[[#This Row],[長座]],$AL$6:$AM$15),LOOKUP(テーブル22[[#This Row],[長座]],$AL$20:$AM$29))))</f>
        <v>0</v>
      </c>
      <c r="U424" s="42">
        <f>IF(テーブル22[[#This Row],[反復]]="",0,(IF(テーブル22[[#This Row],[性別]]="男",LOOKUP(テーブル22[[#This Row],[反復]],$AN$6:$AO$15),LOOKUP(テーブル22[[#This Row],[反復]],$AN$20:$AO$29))))</f>
        <v>0</v>
      </c>
      <c r="V424" s="42">
        <f>IF(テーブル22[[#This Row],[ｼｬﾄﾙﾗﾝ]]="",0,(IF(テーブル22[[#This Row],[性別]]="男",LOOKUP(テーブル22[[#This Row],[ｼｬﾄﾙﾗﾝ]],$AR$6:$AS$15),LOOKUP(テーブル22[[#This Row],[ｼｬﾄﾙﾗﾝ]],$AR$20:$AS$29))))</f>
        <v>0</v>
      </c>
      <c r="W424" s="42">
        <f>IF(テーブル22[[#This Row],[50m走]]="",0,(IF(テーブル22[[#This Row],[性別]]="男",LOOKUP(テーブル22[[#This Row],[50m走]],$AT$6:$AU$15),LOOKUP(テーブル22[[#This Row],[50m走]],$AT$20:$AU$29))))</f>
        <v>0</v>
      </c>
      <c r="X424" s="42">
        <f>IF(テーブル22[[#This Row],[立幅とび]]="",0,(IF(テーブル22[[#This Row],[性別]]="男",LOOKUP(テーブル22[[#This Row],[立幅とび]],$AV$6:$AW$15),LOOKUP(テーブル22[[#This Row],[立幅とび]],$AV$20:$AW$29))))</f>
        <v>0</v>
      </c>
      <c r="Y424" s="42">
        <f>IF(テーブル22[[#This Row],[ボール投げ]]="",0,(IF(テーブル22[[#This Row],[性別]]="男",LOOKUP(テーブル22[[#This Row],[ボール投げ]],$AX$6:$AY$15),LOOKUP(テーブル22[[#This Row],[ボール投げ]],$AX$20:$AY$29))))</f>
        <v>0</v>
      </c>
      <c r="Z424" s="19" t="str">
        <f>IF(テーブル22[[#This Row],[学年]]=1,6,IF(テーブル22[[#This Row],[学年]]=2,7,IF(テーブル22[[#This Row],[学年]]=3,8,IF(テーブル22[[#This Row],[学年]]=4,9,IF(テーブル22[[#This Row],[学年]]=5,10,IF(テーブル22[[#This Row],[学年]]=6,11," "))))))</f>
        <v xml:space="preserve"> </v>
      </c>
      <c r="AA424" s="125" t="str">
        <f>IF(テーブル22[[#This Row],[肥満度数値]]="","",LOOKUP(AC424,$AW$39:$AW$44,$AX$39:$AX$44))</f>
        <v/>
      </c>
      <c r="AB42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4" s="124" t="str">
        <f>IF(テーブル22[[#This Row],[体重]]="","",(テーブル22[[#This Row],[体重]]-テーブル22[[#This Row],[標準体重]])/テーブル22[[#This Row],[標準体重]]*100)</f>
        <v/>
      </c>
      <c r="AD424" s="1">
        <f>COUNTA(テーブル22[[#This Row],[握力]:[ボール投げ]])</f>
        <v>0</v>
      </c>
      <c r="AE424" s="1" t="str">
        <f>IF(テーブル22[[#This Row],[判定]]=$BD$10,"○","")</f>
        <v/>
      </c>
      <c r="AF424" s="1" t="str">
        <f>IF(AE424="","",COUNTIF($AE$6:AE424,"○"))</f>
        <v/>
      </c>
    </row>
    <row r="425" spans="1:32" x14ac:dyDescent="0.2">
      <c r="A425" s="40">
        <v>420</v>
      </c>
      <c r="B425" s="145"/>
      <c r="C425" s="148"/>
      <c r="D425" s="145"/>
      <c r="E425" s="156"/>
      <c r="F425" s="145"/>
      <c r="G425" s="145"/>
      <c r="H425" s="146"/>
      <c r="I425" s="146"/>
      <c r="J425" s="148"/>
      <c r="K425" s="145"/>
      <c r="L425" s="148"/>
      <c r="M425" s="149"/>
      <c r="N425" s="148"/>
      <c r="O425" s="150"/>
      <c r="P42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5" s="43" t="str">
        <f>IF(テーブル22[[#This Row],[得点]]="","",IF(テーブル22[[#This Row],[年齢]]&gt;10,LOOKUP(P425,$BG$6:$BG$10,$BD$6:$BD$10),IF(テーブル22[[#This Row],[年齢]]&gt;9,LOOKUP(P425,$BF$6:$BF$10,$BD$6:$BD$10),IF(テーブル22[[#This Row],[年齢]]&gt;8,LOOKUP(P425,$BE$6:$BE$10,$BD$6:$BD$10),IF(テーブル22[[#This Row],[年齢]]&gt;7,LOOKUP(P425,$BC$6:$BC$10,$BD$6:$BD$10),IF(テーブル22[[#This Row],[年齢]]&gt;6,LOOKUP(P425,$BB$6:$BB$10,$BD$6:$BD$10),LOOKUP(P425,$BA$6:$BA$10,$BD$6:$BD$10)))))))</f>
        <v/>
      </c>
      <c r="R425" s="42">
        <f>IF(H425="",0,(IF(テーブル22[[#This Row],[性別]]="男",LOOKUP(テーブル22[[#This Row],[握力]],$AH$6:$AI$15),LOOKUP(テーブル22[[#This Row],[握力]],$AH$20:$AI$29))))</f>
        <v>0</v>
      </c>
      <c r="S425" s="42">
        <f>IF(テーブル22[[#This Row],[上体]]="",0,(IF(テーブル22[[#This Row],[性別]]="男",LOOKUP(テーブル22[[#This Row],[上体]],$AJ$6:$AK$15),LOOKUP(テーブル22[[#This Row],[上体]],$AJ$20:$AK$29))))</f>
        <v>0</v>
      </c>
      <c r="T425" s="42">
        <f>IF(テーブル22[[#This Row],[長座]]="",0,(IF(テーブル22[[#This Row],[性別]]="男",LOOKUP(テーブル22[[#This Row],[長座]],$AL$6:$AM$15),LOOKUP(テーブル22[[#This Row],[長座]],$AL$20:$AM$29))))</f>
        <v>0</v>
      </c>
      <c r="U425" s="42">
        <f>IF(テーブル22[[#This Row],[反復]]="",0,(IF(テーブル22[[#This Row],[性別]]="男",LOOKUP(テーブル22[[#This Row],[反復]],$AN$6:$AO$15),LOOKUP(テーブル22[[#This Row],[反復]],$AN$20:$AO$29))))</f>
        <v>0</v>
      </c>
      <c r="V425" s="42">
        <f>IF(テーブル22[[#This Row],[ｼｬﾄﾙﾗﾝ]]="",0,(IF(テーブル22[[#This Row],[性別]]="男",LOOKUP(テーブル22[[#This Row],[ｼｬﾄﾙﾗﾝ]],$AR$6:$AS$15),LOOKUP(テーブル22[[#This Row],[ｼｬﾄﾙﾗﾝ]],$AR$20:$AS$29))))</f>
        <v>0</v>
      </c>
      <c r="W425" s="42">
        <f>IF(テーブル22[[#This Row],[50m走]]="",0,(IF(テーブル22[[#This Row],[性別]]="男",LOOKUP(テーブル22[[#This Row],[50m走]],$AT$6:$AU$15),LOOKUP(テーブル22[[#This Row],[50m走]],$AT$20:$AU$29))))</f>
        <v>0</v>
      </c>
      <c r="X425" s="42">
        <f>IF(テーブル22[[#This Row],[立幅とび]]="",0,(IF(テーブル22[[#This Row],[性別]]="男",LOOKUP(テーブル22[[#This Row],[立幅とび]],$AV$6:$AW$15),LOOKUP(テーブル22[[#This Row],[立幅とび]],$AV$20:$AW$29))))</f>
        <v>0</v>
      </c>
      <c r="Y425" s="42">
        <f>IF(テーブル22[[#This Row],[ボール投げ]]="",0,(IF(テーブル22[[#This Row],[性別]]="男",LOOKUP(テーブル22[[#This Row],[ボール投げ]],$AX$6:$AY$15),LOOKUP(テーブル22[[#This Row],[ボール投げ]],$AX$20:$AY$29))))</f>
        <v>0</v>
      </c>
      <c r="Z425" s="19" t="str">
        <f>IF(テーブル22[[#This Row],[学年]]=1,6,IF(テーブル22[[#This Row],[学年]]=2,7,IF(テーブル22[[#This Row],[学年]]=3,8,IF(テーブル22[[#This Row],[学年]]=4,9,IF(テーブル22[[#This Row],[学年]]=5,10,IF(テーブル22[[#This Row],[学年]]=6,11," "))))))</f>
        <v xml:space="preserve"> </v>
      </c>
      <c r="AA425" s="125" t="str">
        <f>IF(テーブル22[[#This Row],[肥満度数値]]="","",LOOKUP(AC425,$AW$39:$AW$44,$AX$39:$AX$44))</f>
        <v/>
      </c>
      <c r="AB42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5" s="124" t="str">
        <f>IF(テーブル22[[#This Row],[体重]]="","",(テーブル22[[#This Row],[体重]]-テーブル22[[#This Row],[標準体重]])/テーブル22[[#This Row],[標準体重]]*100)</f>
        <v/>
      </c>
      <c r="AD425" s="1">
        <f>COUNTA(テーブル22[[#This Row],[握力]:[ボール投げ]])</f>
        <v>0</v>
      </c>
      <c r="AE425" s="1" t="str">
        <f>IF(テーブル22[[#This Row],[判定]]=$BD$10,"○","")</f>
        <v/>
      </c>
      <c r="AF425" s="1" t="str">
        <f>IF(AE425="","",COUNTIF($AE$6:AE425,"○"))</f>
        <v/>
      </c>
    </row>
    <row r="426" spans="1:32" x14ac:dyDescent="0.2">
      <c r="A426" s="40">
        <v>421</v>
      </c>
      <c r="B426" s="145"/>
      <c r="C426" s="148"/>
      <c r="D426" s="145"/>
      <c r="E426" s="156"/>
      <c r="F426" s="145"/>
      <c r="G426" s="145"/>
      <c r="H426" s="146"/>
      <c r="I426" s="146"/>
      <c r="J426" s="148"/>
      <c r="K426" s="145"/>
      <c r="L426" s="148"/>
      <c r="M426" s="149"/>
      <c r="N426" s="148"/>
      <c r="O426" s="150"/>
      <c r="P42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6" s="43" t="str">
        <f>IF(テーブル22[[#This Row],[得点]]="","",IF(テーブル22[[#This Row],[年齢]]&gt;10,LOOKUP(P426,$BG$6:$BG$10,$BD$6:$BD$10),IF(テーブル22[[#This Row],[年齢]]&gt;9,LOOKUP(P426,$BF$6:$BF$10,$BD$6:$BD$10),IF(テーブル22[[#This Row],[年齢]]&gt;8,LOOKUP(P426,$BE$6:$BE$10,$BD$6:$BD$10),IF(テーブル22[[#This Row],[年齢]]&gt;7,LOOKUP(P426,$BC$6:$BC$10,$BD$6:$BD$10),IF(テーブル22[[#This Row],[年齢]]&gt;6,LOOKUP(P426,$BB$6:$BB$10,$BD$6:$BD$10),LOOKUP(P426,$BA$6:$BA$10,$BD$6:$BD$10)))))))</f>
        <v/>
      </c>
      <c r="R426" s="42">
        <f>IF(H426="",0,(IF(テーブル22[[#This Row],[性別]]="男",LOOKUP(テーブル22[[#This Row],[握力]],$AH$6:$AI$15),LOOKUP(テーブル22[[#This Row],[握力]],$AH$20:$AI$29))))</f>
        <v>0</v>
      </c>
      <c r="S426" s="42">
        <f>IF(テーブル22[[#This Row],[上体]]="",0,(IF(テーブル22[[#This Row],[性別]]="男",LOOKUP(テーブル22[[#This Row],[上体]],$AJ$6:$AK$15),LOOKUP(テーブル22[[#This Row],[上体]],$AJ$20:$AK$29))))</f>
        <v>0</v>
      </c>
      <c r="T426" s="42">
        <f>IF(テーブル22[[#This Row],[長座]]="",0,(IF(テーブル22[[#This Row],[性別]]="男",LOOKUP(テーブル22[[#This Row],[長座]],$AL$6:$AM$15),LOOKUP(テーブル22[[#This Row],[長座]],$AL$20:$AM$29))))</f>
        <v>0</v>
      </c>
      <c r="U426" s="42">
        <f>IF(テーブル22[[#This Row],[反復]]="",0,(IF(テーブル22[[#This Row],[性別]]="男",LOOKUP(テーブル22[[#This Row],[反復]],$AN$6:$AO$15),LOOKUP(テーブル22[[#This Row],[反復]],$AN$20:$AO$29))))</f>
        <v>0</v>
      </c>
      <c r="V426" s="42">
        <f>IF(テーブル22[[#This Row],[ｼｬﾄﾙﾗﾝ]]="",0,(IF(テーブル22[[#This Row],[性別]]="男",LOOKUP(テーブル22[[#This Row],[ｼｬﾄﾙﾗﾝ]],$AR$6:$AS$15),LOOKUP(テーブル22[[#This Row],[ｼｬﾄﾙﾗﾝ]],$AR$20:$AS$29))))</f>
        <v>0</v>
      </c>
      <c r="W426" s="42">
        <f>IF(テーブル22[[#This Row],[50m走]]="",0,(IF(テーブル22[[#This Row],[性別]]="男",LOOKUP(テーブル22[[#This Row],[50m走]],$AT$6:$AU$15),LOOKUP(テーブル22[[#This Row],[50m走]],$AT$20:$AU$29))))</f>
        <v>0</v>
      </c>
      <c r="X426" s="42">
        <f>IF(テーブル22[[#This Row],[立幅とび]]="",0,(IF(テーブル22[[#This Row],[性別]]="男",LOOKUP(テーブル22[[#This Row],[立幅とび]],$AV$6:$AW$15),LOOKUP(テーブル22[[#This Row],[立幅とび]],$AV$20:$AW$29))))</f>
        <v>0</v>
      </c>
      <c r="Y426" s="42">
        <f>IF(テーブル22[[#This Row],[ボール投げ]]="",0,(IF(テーブル22[[#This Row],[性別]]="男",LOOKUP(テーブル22[[#This Row],[ボール投げ]],$AX$6:$AY$15),LOOKUP(テーブル22[[#This Row],[ボール投げ]],$AX$20:$AY$29))))</f>
        <v>0</v>
      </c>
      <c r="Z426" s="19" t="str">
        <f>IF(テーブル22[[#This Row],[学年]]=1,6,IF(テーブル22[[#This Row],[学年]]=2,7,IF(テーブル22[[#This Row],[学年]]=3,8,IF(テーブル22[[#This Row],[学年]]=4,9,IF(テーブル22[[#This Row],[学年]]=5,10,IF(テーブル22[[#This Row],[学年]]=6,11," "))))))</f>
        <v xml:space="preserve"> </v>
      </c>
      <c r="AA426" s="125" t="str">
        <f>IF(テーブル22[[#This Row],[肥満度数値]]="","",LOOKUP(AC426,$AW$39:$AW$44,$AX$39:$AX$44))</f>
        <v/>
      </c>
      <c r="AB42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6" s="124" t="str">
        <f>IF(テーブル22[[#This Row],[体重]]="","",(テーブル22[[#This Row],[体重]]-テーブル22[[#This Row],[標準体重]])/テーブル22[[#This Row],[標準体重]]*100)</f>
        <v/>
      </c>
      <c r="AD426" s="1">
        <f>COUNTA(テーブル22[[#This Row],[握力]:[ボール投げ]])</f>
        <v>0</v>
      </c>
      <c r="AE426" s="1" t="str">
        <f>IF(テーブル22[[#This Row],[判定]]=$BD$10,"○","")</f>
        <v/>
      </c>
      <c r="AF426" s="1" t="str">
        <f>IF(AE426="","",COUNTIF($AE$6:AE426,"○"))</f>
        <v/>
      </c>
    </row>
    <row r="427" spans="1:32" x14ac:dyDescent="0.2">
      <c r="A427" s="40">
        <v>422</v>
      </c>
      <c r="B427" s="145"/>
      <c r="C427" s="148"/>
      <c r="D427" s="145"/>
      <c r="E427" s="156"/>
      <c r="F427" s="145"/>
      <c r="G427" s="145"/>
      <c r="H427" s="146"/>
      <c r="I427" s="146"/>
      <c r="J427" s="148"/>
      <c r="K427" s="145"/>
      <c r="L427" s="148"/>
      <c r="M427" s="149"/>
      <c r="N427" s="148"/>
      <c r="O427" s="150"/>
      <c r="P42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7" s="43" t="str">
        <f>IF(テーブル22[[#This Row],[得点]]="","",IF(テーブル22[[#This Row],[年齢]]&gt;10,LOOKUP(P427,$BG$6:$BG$10,$BD$6:$BD$10),IF(テーブル22[[#This Row],[年齢]]&gt;9,LOOKUP(P427,$BF$6:$BF$10,$BD$6:$BD$10),IF(テーブル22[[#This Row],[年齢]]&gt;8,LOOKUP(P427,$BE$6:$BE$10,$BD$6:$BD$10),IF(テーブル22[[#This Row],[年齢]]&gt;7,LOOKUP(P427,$BC$6:$BC$10,$BD$6:$BD$10),IF(テーブル22[[#This Row],[年齢]]&gt;6,LOOKUP(P427,$BB$6:$BB$10,$BD$6:$BD$10),LOOKUP(P427,$BA$6:$BA$10,$BD$6:$BD$10)))))))</f>
        <v/>
      </c>
      <c r="R427" s="42">
        <f>IF(H427="",0,(IF(テーブル22[[#This Row],[性別]]="男",LOOKUP(テーブル22[[#This Row],[握力]],$AH$6:$AI$15),LOOKUP(テーブル22[[#This Row],[握力]],$AH$20:$AI$29))))</f>
        <v>0</v>
      </c>
      <c r="S427" s="42">
        <f>IF(テーブル22[[#This Row],[上体]]="",0,(IF(テーブル22[[#This Row],[性別]]="男",LOOKUP(テーブル22[[#This Row],[上体]],$AJ$6:$AK$15),LOOKUP(テーブル22[[#This Row],[上体]],$AJ$20:$AK$29))))</f>
        <v>0</v>
      </c>
      <c r="T427" s="42">
        <f>IF(テーブル22[[#This Row],[長座]]="",0,(IF(テーブル22[[#This Row],[性別]]="男",LOOKUP(テーブル22[[#This Row],[長座]],$AL$6:$AM$15),LOOKUP(テーブル22[[#This Row],[長座]],$AL$20:$AM$29))))</f>
        <v>0</v>
      </c>
      <c r="U427" s="42">
        <f>IF(テーブル22[[#This Row],[反復]]="",0,(IF(テーブル22[[#This Row],[性別]]="男",LOOKUP(テーブル22[[#This Row],[反復]],$AN$6:$AO$15),LOOKUP(テーブル22[[#This Row],[反復]],$AN$20:$AO$29))))</f>
        <v>0</v>
      </c>
      <c r="V427" s="42">
        <f>IF(テーブル22[[#This Row],[ｼｬﾄﾙﾗﾝ]]="",0,(IF(テーブル22[[#This Row],[性別]]="男",LOOKUP(テーブル22[[#This Row],[ｼｬﾄﾙﾗﾝ]],$AR$6:$AS$15),LOOKUP(テーブル22[[#This Row],[ｼｬﾄﾙﾗﾝ]],$AR$20:$AS$29))))</f>
        <v>0</v>
      </c>
      <c r="W427" s="42">
        <f>IF(テーブル22[[#This Row],[50m走]]="",0,(IF(テーブル22[[#This Row],[性別]]="男",LOOKUP(テーブル22[[#This Row],[50m走]],$AT$6:$AU$15),LOOKUP(テーブル22[[#This Row],[50m走]],$AT$20:$AU$29))))</f>
        <v>0</v>
      </c>
      <c r="X427" s="42">
        <f>IF(テーブル22[[#This Row],[立幅とび]]="",0,(IF(テーブル22[[#This Row],[性別]]="男",LOOKUP(テーブル22[[#This Row],[立幅とび]],$AV$6:$AW$15),LOOKUP(テーブル22[[#This Row],[立幅とび]],$AV$20:$AW$29))))</f>
        <v>0</v>
      </c>
      <c r="Y427" s="42">
        <f>IF(テーブル22[[#This Row],[ボール投げ]]="",0,(IF(テーブル22[[#This Row],[性別]]="男",LOOKUP(テーブル22[[#This Row],[ボール投げ]],$AX$6:$AY$15),LOOKUP(テーブル22[[#This Row],[ボール投げ]],$AX$20:$AY$29))))</f>
        <v>0</v>
      </c>
      <c r="Z427" s="19" t="str">
        <f>IF(テーブル22[[#This Row],[学年]]=1,6,IF(テーブル22[[#This Row],[学年]]=2,7,IF(テーブル22[[#This Row],[学年]]=3,8,IF(テーブル22[[#This Row],[学年]]=4,9,IF(テーブル22[[#This Row],[学年]]=5,10,IF(テーブル22[[#This Row],[学年]]=6,11," "))))))</f>
        <v xml:space="preserve"> </v>
      </c>
      <c r="AA427" s="125" t="str">
        <f>IF(テーブル22[[#This Row],[肥満度数値]]="","",LOOKUP(AC427,$AW$39:$AW$44,$AX$39:$AX$44))</f>
        <v/>
      </c>
      <c r="AB42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7" s="124" t="str">
        <f>IF(テーブル22[[#This Row],[体重]]="","",(テーブル22[[#This Row],[体重]]-テーブル22[[#This Row],[標準体重]])/テーブル22[[#This Row],[標準体重]]*100)</f>
        <v/>
      </c>
      <c r="AD427" s="1">
        <f>COUNTA(テーブル22[[#This Row],[握力]:[ボール投げ]])</f>
        <v>0</v>
      </c>
      <c r="AE427" s="1" t="str">
        <f>IF(テーブル22[[#This Row],[判定]]=$BD$10,"○","")</f>
        <v/>
      </c>
      <c r="AF427" s="1" t="str">
        <f>IF(AE427="","",COUNTIF($AE$6:AE427,"○"))</f>
        <v/>
      </c>
    </row>
    <row r="428" spans="1:32" x14ac:dyDescent="0.2">
      <c r="A428" s="40">
        <v>423</v>
      </c>
      <c r="B428" s="145"/>
      <c r="C428" s="148"/>
      <c r="D428" s="145"/>
      <c r="E428" s="156"/>
      <c r="F428" s="145"/>
      <c r="G428" s="145"/>
      <c r="H428" s="146"/>
      <c r="I428" s="146"/>
      <c r="J428" s="148"/>
      <c r="K428" s="145"/>
      <c r="L428" s="148"/>
      <c r="M428" s="149"/>
      <c r="N428" s="148"/>
      <c r="O428" s="150"/>
      <c r="P42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8" s="43" t="str">
        <f>IF(テーブル22[[#This Row],[得点]]="","",IF(テーブル22[[#This Row],[年齢]]&gt;10,LOOKUP(P428,$BG$6:$BG$10,$BD$6:$BD$10),IF(テーブル22[[#This Row],[年齢]]&gt;9,LOOKUP(P428,$BF$6:$BF$10,$BD$6:$BD$10),IF(テーブル22[[#This Row],[年齢]]&gt;8,LOOKUP(P428,$BE$6:$BE$10,$BD$6:$BD$10),IF(テーブル22[[#This Row],[年齢]]&gt;7,LOOKUP(P428,$BC$6:$BC$10,$BD$6:$BD$10),IF(テーブル22[[#This Row],[年齢]]&gt;6,LOOKUP(P428,$BB$6:$BB$10,$BD$6:$BD$10),LOOKUP(P428,$BA$6:$BA$10,$BD$6:$BD$10)))))))</f>
        <v/>
      </c>
      <c r="R428" s="42">
        <f>IF(H428="",0,(IF(テーブル22[[#This Row],[性別]]="男",LOOKUP(テーブル22[[#This Row],[握力]],$AH$6:$AI$15),LOOKUP(テーブル22[[#This Row],[握力]],$AH$20:$AI$29))))</f>
        <v>0</v>
      </c>
      <c r="S428" s="42">
        <f>IF(テーブル22[[#This Row],[上体]]="",0,(IF(テーブル22[[#This Row],[性別]]="男",LOOKUP(テーブル22[[#This Row],[上体]],$AJ$6:$AK$15),LOOKUP(テーブル22[[#This Row],[上体]],$AJ$20:$AK$29))))</f>
        <v>0</v>
      </c>
      <c r="T428" s="42">
        <f>IF(テーブル22[[#This Row],[長座]]="",0,(IF(テーブル22[[#This Row],[性別]]="男",LOOKUP(テーブル22[[#This Row],[長座]],$AL$6:$AM$15),LOOKUP(テーブル22[[#This Row],[長座]],$AL$20:$AM$29))))</f>
        <v>0</v>
      </c>
      <c r="U428" s="42">
        <f>IF(テーブル22[[#This Row],[反復]]="",0,(IF(テーブル22[[#This Row],[性別]]="男",LOOKUP(テーブル22[[#This Row],[反復]],$AN$6:$AO$15),LOOKUP(テーブル22[[#This Row],[反復]],$AN$20:$AO$29))))</f>
        <v>0</v>
      </c>
      <c r="V428" s="42">
        <f>IF(テーブル22[[#This Row],[ｼｬﾄﾙﾗﾝ]]="",0,(IF(テーブル22[[#This Row],[性別]]="男",LOOKUP(テーブル22[[#This Row],[ｼｬﾄﾙﾗﾝ]],$AR$6:$AS$15),LOOKUP(テーブル22[[#This Row],[ｼｬﾄﾙﾗﾝ]],$AR$20:$AS$29))))</f>
        <v>0</v>
      </c>
      <c r="W428" s="42">
        <f>IF(テーブル22[[#This Row],[50m走]]="",0,(IF(テーブル22[[#This Row],[性別]]="男",LOOKUP(テーブル22[[#This Row],[50m走]],$AT$6:$AU$15),LOOKUP(テーブル22[[#This Row],[50m走]],$AT$20:$AU$29))))</f>
        <v>0</v>
      </c>
      <c r="X428" s="42">
        <f>IF(テーブル22[[#This Row],[立幅とび]]="",0,(IF(テーブル22[[#This Row],[性別]]="男",LOOKUP(テーブル22[[#This Row],[立幅とび]],$AV$6:$AW$15),LOOKUP(テーブル22[[#This Row],[立幅とび]],$AV$20:$AW$29))))</f>
        <v>0</v>
      </c>
      <c r="Y428" s="42">
        <f>IF(テーブル22[[#This Row],[ボール投げ]]="",0,(IF(テーブル22[[#This Row],[性別]]="男",LOOKUP(テーブル22[[#This Row],[ボール投げ]],$AX$6:$AY$15),LOOKUP(テーブル22[[#This Row],[ボール投げ]],$AX$20:$AY$29))))</f>
        <v>0</v>
      </c>
      <c r="Z428" s="19" t="str">
        <f>IF(テーブル22[[#This Row],[学年]]=1,6,IF(テーブル22[[#This Row],[学年]]=2,7,IF(テーブル22[[#This Row],[学年]]=3,8,IF(テーブル22[[#This Row],[学年]]=4,9,IF(テーブル22[[#This Row],[学年]]=5,10,IF(テーブル22[[#This Row],[学年]]=6,11," "))))))</f>
        <v xml:space="preserve"> </v>
      </c>
      <c r="AA428" s="125" t="str">
        <f>IF(テーブル22[[#This Row],[肥満度数値]]="","",LOOKUP(AC428,$AW$39:$AW$44,$AX$39:$AX$44))</f>
        <v/>
      </c>
      <c r="AB42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8" s="124" t="str">
        <f>IF(テーブル22[[#This Row],[体重]]="","",(テーブル22[[#This Row],[体重]]-テーブル22[[#This Row],[標準体重]])/テーブル22[[#This Row],[標準体重]]*100)</f>
        <v/>
      </c>
      <c r="AD428" s="1">
        <f>COUNTA(テーブル22[[#This Row],[握力]:[ボール投げ]])</f>
        <v>0</v>
      </c>
      <c r="AE428" s="1" t="str">
        <f>IF(テーブル22[[#This Row],[判定]]=$BD$10,"○","")</f>
        <v/>
      </c>
      <c r="AF428" s="1" t="str">
        <f>IF(AE428="","",COUNTIF($AE$6:AE428,"○"))</f>
        <v/>
      </c>
    </row>
    <row r="429" spans="1:32" x14ac:dyDescent="0.2">
      <c r="A429" s="40">
        <v>424</v>
      </c>
      <c r="B429" s="145"/>
      <c r="C429" s="148"/>
      <c r="D429" s="145"/>
      <c r="E429" s="156"/>
      <c r="F429" s="145"/>
      <c r="G429" s="145"/>
      <c r="H429" s="146"/>
      <c r="I429" s="146"/>
      <c r="J429" s="148"/>
      <c r="K429" s="145"/>
      <c r="L429" s="148"/>
      <c r="M429" s="149"/>
      <c r="N429" s="148"/>
      <c r="O429" s="150"/>
      <c r="P42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29" s="43" t="str">
        <f>IF(テーブル22[[#This Row],[得点]]="","",IF(テーブル22[[#This Row],[年齢]]&gt;10,LOOKUP(P429,$BG$6:$BG$10,$BD$6:$BD$10),IF(テーブル22[[#This Row],[年齢]]&gt;9,LOOKUP(P429,$BF$6:$BF$10,$BD$6:$BD$10),IF(テーブル22[[#This Row],[年齢]]&gt;8,LOOKUP(P429,$BE$6:$BE$10,$BD$6:$BD$10),IF(テーブル22[[#This Row],[年齢]]&gt;7,LOOKUP(P429,$BC$6:$BC$10,$BD$6:$BD$10),IF(テーブル22[[#This Row],[年齢]]&gt;6,LOOKUP(P429,$BB$6:$BB$10,$BD$6:$BD$10),LOOKUP(P429,$BA$6:$BA$10,$BD$6:$BD$10)))))))</f>
        <v/>
      </c>
      <c r="R429" s="42">
        <f>IF(H429="",0,(IF(テーブル22[[#This Row],[性別]]="男",LOOKUP(テーブル22[[#This Row],[握力]],$AH$6:$AI$15),LOOKUP(テーブル22[[#This Row],[握力]],$AH$20:$AI$29))))</f>
        <v>0</v>
      </c>
      <c r="S429" s="42">
        <f>IF(テーブル22[[#This Row],[上体]]="",0,(IF(テーブル22[[#This Row],[性別]]="男",LOOKUP(テーブル22[[#This Row],[上体]],$AJ$6:$AK$15),LOOKUP(テーブル22[[#This Row],[上体]],$AJ$20:$AK$29))))</f>
        <v>0</v>
      </c>
      <c r="T429" s="42">
        <f>IF(テーブル22[[#This Row],[長座]]="",0,(IF(テーブル22[[#This Row],[性別]]="男",LOOKUP(テーブル22[[#This Row],[長座]],$AL$6:$AM$15),LOOKUP(テーブル22[[#This Row],[長座]],$AL$20:$AM$29))))</f>
        <v>0</v>
      </c>
      <c r="U429" s="42">
        <f>IF(テーブル22[[#This Row],[反復]]="",0,(IF(テーブル22[[#This Row],[性別]]="男",LOOKUP(テーブル22[[#This Row],[反復]],$AN$6:$AO$15),LOOKUP(テーブル22[[#This Row],[反復]],$AN$20:$AO$29))))</f>
        <v>0</v>
      </c>
      <c r="V429" s="42">
        <f>IF(テーブル22[[#This Row],[ｼｬﾄﾙﾗﾝ]]="",0,(IF(テーブル22[[#This Row],[性別]]="男",LOOKUP(テーブル22[[#This Row],[ｼｬﾄﾙﾗﾝ]],$AR$6:$AS$15),LOOKUP(テーブル22[[#This Row],[ｼｬﾄﾙﾗﾝ]],$AR$20:$AS$29))))</f>
        <v>0</v>
      </c>
      <c r="W429" s="42">
        <f>IF(テーブル22[[#This Row],[50m走]]="",0,(IF(テーブル22[[#This Row],[性別]]="男",LOOKUP(テーブル22[[#This Row],[50m走]],$AT$6:$AU$15),LOOKUP(テーブル22[[#This Row],[50m走]],$AT$20:$AU$29))))</f>
        <v>0</v>
      </c>
      <c r="X429" s="42">
        <f>IF(テーブル22[[#This Row],[立幅とび]]="",0,(IF(テーブル22[[#This Row],[性別]]="男",LOOKUP(テーブル22[[#This Row],[立幅とび]],$AV$6:$AW$15),LOOKUP(テーブル22[[#This Row],[立幅とび]],$AV$20:$AW$29))))</f>
        <v>0</v>
      </c>
      <c r="Y429" s="42">
        <f>IF(テーブル22[[#This Row],[ボール投げ]]="",0,(IF(テーブル22[[#This Row],[性別]]="男",LOOKUP(テーブル22[[#This Row],[ボール投げ]],$AX$6:$AY$15),LOOKUP(テーブル22[[#This Row],[ボール投げ]],$AX$20:$AY$29))))</f>
        <v>0</v>
      </c>
      <c r="Z429" s="19" t="str">
        <f>IF(テーブル22[[#This Row],[学年]]=1,6,IF(テーブル22[[#This Row],[学年]]=2,7,IF(テーブル22[[#This Row],[学年]]=3,8,IF(テーブル22[[#This Row],[学年]]=4,9,IF(テーブル22[[#This Row],[学年]]=5,10,IF(テーブル22[[#This Row],[学年]]=6,11," "))))))</f>
        <v xml:space="preserve"> </v>
      </c>
      <c r="AA429" s="125" t="str">
        <f>IF(テーブル22[[#This Row],[肥満度数値]]="","",LOOKUP(AC429,$AW$39:$AW$44,$AX$39:$AX$44))</f>
        <v/>
      </c>
      <c r="AB42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29" s="124" t="str">
        <f>IF(テーブル22[[#This Row],[体重]]="","",(テーブル22[[#This Row],[体重]]-テーブル22[[#This Row],[標準体重]])/テーブル22[[#This Row],[標準体重]]*100)</f>
        <v/>
      </c>
      <c r="AD429" s="1">
        <f>COUNTA(テーブル22[[#This Row],[握力]:[ボール投げ]])</f>
        <v>0</v>
      </c>
      <c r="AE429" s="1" t="str">
        <f>IF(テーブル22[[#This Row],[判定]]=$BD$10,"○","")</f>
        <v/>
      </c>
      <c r="AF429" s="1" t="str">
        <f>IF(AE429="","",COUNTIF($AE$6:AE429,"○"))</f>
        <v/>
      </c>
    </row>
    <row r="430" spans="1:32" x14ac:dyDescent="0.2">
      <c r="A430" s="40">
        <v>425</v>
      </c>
      <c r="B430" s="145"/>
      <c r="C430" s="148"/>
      <c r="D430" s="145"/>
      <c r="E430" s="156"/>
      <c r="F430" s="145"/>
      <c r="G430" s="145"/>
      <c r="H430" s="146"/>
      <c r="I430" s="146"/>
      <c r="J430" s="148"/>
      <c r="K430" s="145"/>
      <c r="L430" s="148"/>
      <c r="M430" s="149"/>
      <c r="N430" s="148"/>
      <c r="O430" s="150"/>
      <c r="P43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0" s="43" t="str">
        <f>IF(テーブル22[[#This Row],[得点]]="","",IF(テーブル22[[#This Row],[年齢]]&gt;10,LOOKUP(P430,$BG$6:$BG$10,$BD$6:$BD$10),IF(テーブル22[[#This Row],[年齢]]&gt;9,LOOKUP(P430,$BF$6:$BF$10,$BD$6:$BD$10),IF(テーブル22[[#This Row],[年齢]]&gt;8,LOOKUP(P430,$BE$6:$BE$10,$BD$6:$BD$10),IF(テーブル22[[#This Row],[年齢]]&gt;7,LOOKUP(P430,$BC$6:$BC$10,$BD$6:$BD$10),IF(テーブル22[[#This Row],[年齢]]&gt;6,LOOKUP(P430,$BB$6:$BB$10,$BD$6:$BD$10),LOOKUP(P430,$BA$6:$BA$10,$BD$6:$BD$10)))))))</f>
        <v/>
      </c>
      <c r="R430" s="42">
        <f>IF(H430="",0,(IF(テーブル22[[#This Row],[性別]]="男",LOOKUP(テーブル22[[#This Row],[握力]],$AH$6:$AI$15),LOOKUP(テーブル22[[#This Row],[握力]],$AH$20:$AI$29))))</f>
        <v>0</v>
      </c>
      <c r="S430" s="42">
        <f>IF(テーブル22[[#This Row],[上体]]="",0,(IF(テーブル22[[#This Row],[性別]]="男",LOOKUP(テーブル22[[#This Row],[上体]],$AJ$6:$AK$15),LOOKUP(テーブル22[[#This Row],[上体]],$AJ$20:$AK$29))))</f>
        <v>0</v>
      </c>
      <c r="T430" s="42">
        <f>IF(テーブル22[[#This Row],[長座]]="",0,(IF(テーブル22[[#This Row],[性別]]="男",LOOKUP(テーブル22[[#This Row],[長座]],$AL$6:$AM$15),LOOKUP(テーブル22[[#This Row],[長座]],$AL$20:$AM$29))))</f>
        <v>0</v>
      </c>
      <c r="U430" s="42">
        <f>IF(テーブル22[[#This Row],[反復]]="",0,(IF(テーブル22[[#This Row],[性別]]="男",LOOKUP(テーブル22[[#This Row],[反復]],$AN$6:$AO$15),LOOKUP(テーブル22[[#This Row],[反復]],$AN$20:$AO$29))))</f>
        <v>0</v>
      </c>
      <c r="V430" s="42">
        <f>IF(テーブル22[[#This Row],[ｼｬﾄﾙﾗﾝ]]="",0,(IF(テーブル22[[#This Row],[性別]]="男",LOOKUP(テーブル22[[#This Row],[ｼｬﾄﾙﾗﾝ]],$AR$6:$AS$15),LOOKUP(テーブル22[[#This Row],[ｼｬﾄﾙﾗﾝ]],$AR$20:$AS$29))))</f>
        <v>0</v>
      </c>
      <c r="W430" s="42">
        <f>IF(テーブル22[[#This Row],[50m走]]="",0,(IF(テーブル22[[#This Row],[性別]]="男",LOOKUP(テーブル22[[#This Row],[50m走]],$AT$6:$AU$15),LOOKUP(テーブル22[[#This Row],[50m走]],$AT$20:$AU$29))))</f>
        <v>0</v>
      </c>
      <c r="X430" s="42">
        <f>IF(テーブル22[[#This Row],[立幅とび]]="",0,(IF(テーブル22[[#This Row],[性別]]="男",LOOKUP(テーブル22[[#This Row],[立幅とび]],$AV$6:$AW$15),LOOKUP(テーブル22[[#This Row],[立幅とび]],$AV$20:$AW$29))))</f>
        <v>0</v>
      </c>
      <c r="Y430" s="42">
        <f>IF(テーブル22[[#This Row],[ボール投げ]]="",0,(IF(テーブル22[[#This Row],[性別]]="男",LOOKUP(テーブル22[[#This Row],[ボール投げ]],$AX$6:$AY$15),LOOKUP(テーブル22[[#This Row],[ボール投げ]],$AX$20:$AY$29))))</f>
        <v>0</v>
      </c>
      <c r="Z430" s="19" t="str">
        <f>IF(テーブル22[[#This Row],[学年]]=1,6,IF(テーブル22[[#This Row],[学年]]=2,7,IF(テーブル22[[#This Row],[学年]]=3,8,IF(テーブル22[[#This Row],[学年]]=4,9,IF(テーブル22[[#This Row],[学年]]=5,10,IF(テーブル22[[#This Row],[学年]]=6,11," "))))))</f>
        <v xml:space="preserve"> </v>
      </c>
      <c r="AA430" s="125" t="str">
        <f>IF(テーブル22[[#This Row],[肥満度数値]]="","",LOOKUP(AC430,$AW$39:$AW$44,$AX$39:$AX$44))</f>
        <v/>
      </c>
      <c r="AB43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0" s="124" t="str">
        <f>IF(テーブル22[[#This Row],[体重]]="","",(テーブル22[[#This Row],[体重]]-テーブル22[[#This Row],[標準体重]])/テーブル22[[#This Row],[標準体重]]*100)</f>
        <v/>
      </c>
      <c r="AD430" s="1">
        <f>COUNTA(テーブル22[[#This Row],[握力]:[ボール投げ]])</f>
        <v>0</v>
      </c>
      <c r="AE430" s="1" t="str">
        <f>IF(テーブル22[[#This Row],[判定]]=$BD$10,"○","")</f>
        <v/>
      </c>
      <c r="AF430" s="1" t="str">
        <f>IF(AE430="","",COUNTIF($AE$6:AE430,"○"))</f>
        <v/>
      </c>
    </row>
    <row r="431" spans="1:32" x14ac:dyDescent="0.2">
      <c r="A431" s="40">
        <v>426</v>
      </c>
      <c r="B431" s="145"/>
      <c r="C431" s="148"/>
      <c r="D431" s="145"/>
      <c r="E431" s="156"/>
      <c r="F431" s="145"/>
      <c r="G431" s="145"/>
      <c r="H431" s="146"/>
      <c r="I431" s="146"/>
      <c r="J431" s="148"/>
      <c r="K431" s="145"/>
      <c r="L431" s="148"/>
      <c r="M431" s="149"/>
      <c r="N431" s="148"/>
      <c r="O431" s="150"/>
      <c r="P43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1" s="43" t="str">
        <f>IF(テーブル22[[#This Row],[得点]]="","",IF(テーブル22[[#This Row],[年齢]]&gt;10,LOOKUP(P431,$BG$6:$BG$10,$BD$6:$BD$10),IF(テーブル22[[#This Row],[年齢]]&gt;9,LOOKUP(P431,$BF$6:$BF$10,$BD$6:$BD$10),IF(テーブル22[[#This Row],[年齢]]&gt;8,LOOKUP(P431,$BE$6:$BE$10,$BD$6:$BD$10),IF(テーブル22[[#This Row],[年齢]]&gt;7,LOOKUP(P431,$BC$6:$BC$10,$BD$6:$BD$10),IF(テーブル22[[#This Row],[年齢]]&gt;6,LOOKUP(P431,$BB$6:$BB$10,$BD$6:$BD$10),LOOKUP(P431,$BA$6:$BA$10,$BD$6:$BD$10)))))))</f>
        <v/>
      </c>
      <c r="R431" s="42">
        <f>IF(H431="",0,(IF(テーブル22[[#This Row],[性別]]="男",LOOKUP(テーブル22[[#This Row],[握力]],$AH$6:$AI$15),LOOKUP(テーブル22[[#This Row],[握力]],$AH$20:$AI$29))))</f>
        <v>0</v>
      </c>
      <c r="S431" s="42">
        <f>IF(テーブル22[[#This Row],[上体]]="",0,(IF(テーブル22[[#This Row],[性別]]="男",LOOKUP(テーブル22[[#This Row],[上体]],$AJ$6:$AK$15),LOOKUP(テーブル22[[#This Row],[上体]],$AJ$20:$AK$29))))</f>
        <v>0</v>
      </c>
      <c r="T431" s="42">
        <f>IF(テーブル22[[#This Row],[長座]]="",0,(IF(テーブル22[[#This Row],[性別]]="男",LOOKUP(テーブル22[[#This Row],[長座]],$AL$6:$AM$15),LOOKUP(テーブル22[[#This Row],[長座]],$AL$20:$AM$29))))</f>
        <v>0</v>
      </c>
      <c r="U431" s="42">
        <f>IF(テーブル22[[#This Row],[反復]]="",0,(IF(テーブル22[[#This Row],[性別]]="男",LOOKUP(テーブル22[[#This Row],[反復]],$AN$6:$AO$15),LOOKUP(テーブル22[[#This Row],[反復]],$AN$20:$AO$29))))</f>
        <v>0</v>
      </c>
      <c r="V431" s="42">
        <f>IF(テーブル22[[#This Row],[ｼｬﾄﾙﾗﾝ]]="",0,(IF(テーブル22[[#This Row],[性別]]="男",LOOKUP(テーブル22[[#This Row],[ｼｬﾄﾙﾗﾝ]],$AR$6:$AS$15),LOOKUP(テーブル22[[#This Row],[ｼｬﾄﾙﾗﾝ]],$AR$20:$AS$29))))</f>
        <v>0</v>
      </c>
      <c r="W431" s="42">
        <f>IF(テーブル22[[#This Row],[50m走]]="",0,(IF(テーブル22[[#This Row],[性別]]="男",LOOKUP(テーブル22[[#This Row],[50m走]],$AT$6:$AU$15),LOOKUP(テーブル22[[#This Row],[50m走]],$AT$20:$AU$29))))</f>
        <v>0</v>
      </c>
      <c r="X431" s="42">
        <f>IF(テーブル22[[#This Row],[立幅とび]]="",0,(IF(テーブル22[[#This Row],[性別]]="男",LOOKUP(テーブル22[[#This Row],[立幅とび]],$AV$6:$AW$15),LOOKUP(テーブル22[[#This Row],[立幅とび]],$AV$20:$AW$29))))</f>
        <v>0</v>
      </c>
      <c r="Y431" s="42">
        <f>IF(テーブル22[[#This Row],[ボール投げ]]="",0,(IF(テーブル22[[#This Row],[性別]]="男",LOOKUP(テーブル22[[#This Row],[ボール投げ]],$AX$6:$AY$15),LOOKUP(テーブル22[[#This Row],[ボール投げ]],$AX$20:$AY$29))))</f>
        <v>0</v>
      </c>
      <c r="Z431" s="19" t="str">
        <f>IF(テーブル22[[#This Row],[学年]]=1,6,IF(テーブル22[[#This Row],[学年]]=2,7,IF(テーブル22[[#This Row],[学年]]=3,8,IF(テーブル22[[#This Row],[学年]]=4,9,IF(テーブル22[[#This Row],[学年]]=5,10,IF(テーブル22[[#This Row],[学年]]=6,11," "))))))</f>
        <v xml:space="preserve"> </v>
      </c>
      <c r="AA431" s="125" t="str">
        <f>IF(テーブル22[[#This Row],[肥満度数値]]="","",LOOKUP(AC431,$AW$39:$AW$44,$AX$39:$AX$44))</f>
        <v/>
      </c>
      <c r="AB43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1" s="124" t="str">
        <f>IF(テーブル22[[#This Row],[体重]]="","",(テーブル22[[#This Row],[体重]]-テーブル22[[#This Row],[標準体重]])/テーブル22[[#This Row],[標準体重]]*100)</f>
        <v/>
      </c>
      <c r="AD431" s="1">
        <f>COUNTA(テーブル22[[#This Row],[握力]:[ボール投げ]])</f>
        <v>0</v>
      </c>
      <c r="AE431" s="1" t="str">
        <f>IF(テーブル22[[#This Row],[判定]]=$BD$10,"○","")</f>
        <v/>
      </c>
      <c r="AF431" s="1" t="str">
        <f>IF(AE431="","",COUNTIF($AE$6:AE431,"○"))</f>
        <v/>
      </c>
    </row>
    <row r="432" spans="1:32" x14ac:dyDescent="0.2">
      <c r="A432" s="40">
        <v>427</v>
      </c>
      <c r="B432" s="145"/>
      <c r="C432" s="148"/>
      <c r="D432" s="145"/>
      <c r="E432" s="156"/>
      <c r="F432" s="145"/>
      <c r="G432" s="145"/>
      <c r="H432" s="146"/>
      <c r="I432" s="146"/>
      <c r="J432" s="148"/>
      <c r="K432" s="145"/>
      <c r="L432" s="148"/>
      <c r="M432" s="149"/>
      <c r="N432" s="148"/>
      <c r="O432" s="150"/>
      <c r="P43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2" s="43" t="str">
        <f>IF(テーブル22[[#This Row],[得点]]="","",IF(テーブル22[[#This Row],[年齢]]&gt;10,LOOKUP(P432,$BG$6:$BG$10,$BD$6:$BD$10),IF(テーブル22[[#This Row],[年齢]]&gt;9,LOOKUP(P432,$BF$6:$BF$10,$BD$6:$BD$10),IF(テーブル22[[#This Row],[年齢]]&gt;8,LOOKUP(P432,$BE$6:$BE$10,$BD$6:$BD$10),IF(テーブル22[[#This Row],[年齢]]&gt;7,LOOKUP(P432,$BC$6:$BC$10,$BD$6:$BD$10),IF(テーブル22[[#This Row],[年齢]]&gt;6,LOOKUP(P432,$BB$6:$BB$10,$BD$6:$BD$10),LOOKUP(P432,$BA$6:$BA$10,$BD$6:$BD$10)))))))</f>
        <v/>
      </c>
      <c r="R432" s="42">
        <f>IF(H432="",0,(IF(テーブル22[[#This Row],[性別]]="男",LOOKUP(テーブル22[[#This Row],[握力]],$AH$6:$AI$15),LOOKUP(テーブル22[[#This Row],[握力]],$AH$20:$AI$29))))</f>
        <v>0</v>
      </c>
      <c r="S432" s="42">
        <f>IF(テーブル22[[#This Row],[上体]]="",0,(IF(テーブル22[[#This Row],[性別]]="男",LOOKUP(テーブル22[[#This Row],[上体]],$AJ$6:$AK$15),LOOKUP(テーブル22[[#This Row],[上体]],$AJ$20:$AK$29))))</f>
        <v>0</v>
      </c>
      <c r="T432" s="42">
        <f>IF(テーブル22[[#This Row],[長座]]="",0,(IF(テーブル22[[#This Row],[性別]]="男",LOOKUP(テーブル22[[#This Row],[長座]],$AL$6:$AM$15),LOOKUP(テーブル22[[#This Row],[長座]],$AL$20:$AM$29))))</f>
        <v>0</v>
      </c>
      <c r="U432" s="42">
        <f>IF(テーブル22[[#This Row],[反復]]="",0,(IF(テーブル22[[#This Row],[性別]]="男",LOOKUP(テーブル22[[#This Row],[反復]],$AN$6:$AO$15),LOOKUP(テーブル22[[#This Row],[反復]],$AN$20:$AO$29))))</f>
        <v>0</v>
      </c>
      <c r="V432" s="42">
        <f>IF(テーブル22[[#This Row],[ｼｬﾄﾙﾗﾝ]]="",0,(IF(テーブル22[[#This Row],[性別]]="男",LOOKUP(テーブル22[[#This Row],[ｼｬﾄﾙﾗﾝ]],$AR$6:$AS$15),LOOKUP(テーブル22[[#This Row],[ｼｬﾄﾙﾗﾝ]],$AR$20:$AS$29))))</f>
        <v>0</v>
      </c>
      <c r="W432" s="42">
        <f>IF(テーブル22[[#This Row],[50m走]]="",0,(IF(テーブル22[[#This Row],[性別]]="男",LOOKUP(テーブル22[[#This Row],[50m走]],$AT$6:$AU$15),LOOKUP(テーブル22[[#This Row],[50m走]],$AT$20:$AU$29))))</f>
        <v>0</v>
      </c>
      <c r="X432" s="42">
        <f>IF(テーブル22[[#This Row],[立幅とび]]="",0,(IF(テーブル22[[#This Row],[性別]]="男",LOOKUP(テーブル22[[#This Row],[立幅とび]],$AV$6:$AW$15),LOOKUP(テーブル22[[#This Row],[立幅とび]],$AV$20:$AW$29))))</f>
        <v>0</v>
      </c>
      <c r="Y432" s="42">
        <f>IF(テーブル22[[#This Row],[ボール投げ]]="",0,(IF(テーブル22[[#This Row],[性別]]="男",LOOKUP(テーブル22[[#This Row],[ボール投げ]],$AX$6:$AY$15),LOOKUP(テーブル22[[#This Row],[ボール投げ]],$AX$20:$AY$29))))</f>
        <v>0</v>
      </c>
      <c r="Z432" s="19" t="str">
        <f>IF(テーブル22[[#This Row],[学年]]=1,6,IF(テーブル22[[#This Row],[学年]]=2,7,IF(テーブル22[[#This Row],[学年]]=3,8,IF(テーブル22[[#This Row],[学年]]=4,9,IF(テーブル22[[#This Row],[学年]]=5,10,IF(テーブル22[[#This Row],[学年]]=6,11," "))))))</f>
        <v xml:space="preserve"> </v>
      </c>
      <c r="AA432" s="125" t="str">
        <f>IF(テーブル22[[#This Row],[肥満度数値]]="","",LOOKUP(AC432,$AW$39:$AW$44,$AX$39:$AX$44))</f>
        <v/>
      </c>
      <c r="AB43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2" s="124" t="str">
        <f>IF(テーブル22[[#This Row],[体重]]="","",(テーブル22[[#This Row],[体重]]-テーブル22[[#This Row],[標準体重]])/テーブル22[[#This Row],[標準体重]]*100)</f>
        <v/>
      </c>
      <c r="AD432" s="1">
        <f>COUNTA(テーブル22[[#This Row],[握力]:[ボール投げ]])</f>
        <v>0</v>
      </c>
      <c r="AE432" s="1" t="str">
        <f>IF(テーブル22[[#This Row],[判定]]=$BD$10,"○","")</f>
        <v/>
      </c>
      <c r="AF432" s="1" t="str">
        <f>IF(AE432="","",COUNTIF($AE$6:AE432,"○"))</f>
        <v/>
      </c>
    </row>
    <row r="433" spans="1:32" x14ac:dyDescent="0.2">
      <c r="A433" s="40">
        <v>428</v>
      </c>
      <c r="B433" s="145"/>
      <c r="C433" s="148"/>
      <c r="D433" s="145"/>
      <c r="E433" s="156"/>
      <c r="F433" s="145"/>
      <c r="G433" s="145"/>
      <c r="H433" s="146"/>
      <c r="I433" s="146"/>
      <c r="J433" s="148"/>
      <c r="K433" s="145"/>
      <c r="L433" s="148"/>
      <c r="M433" s="149"/>
      <c r="N433" s="148"/>
      <c r="O433" s="150"/>
      <c r="P43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3" s="43" t="str">
        <f>IF(テーブル22[[#This Row],[得点]]="","",IF(テーブル22[[#This Row],[年齢]]&gt;10,LOOKUP(P433,$BG$6:$BG$10,$BD$6:$BD$10),IF(テーブル22[[#This Row],[年齢]]&gt;9,LOOKUP(P433,$BF$6:$BF$10,$BD$6:$BD$10),IF(テーブル22[[#This Row],[年齢]]&gt;8,LOOKUP(P433,$BE$6:$BE$10,$BD$6:$BD$10),IF(テーブル22[[#This Row],[年齢]]&gt;7,LOOKUP(P433,$BC$6:$BC$10,$BD$6:$BD$10),IF(テーブル22[[#This Row],[年齢]]&gt;6,LOOKUP(P433,$BB$6:$BB$10,$BD$6:$BD$10),LOOKUP(P433,$BA$6:$BA$10,$BD$6:$BD$10)))))))</f>
        <v/>
      </c>
      <c r="R433" s="42">
        <f>IF(H433="",0,(IF(テーブル22[[#This Row],[性別]]="男",LOOKUP(テーブル22[[#This Row],[握力]],$AH$6:$AI$15),LOOKUP(テーブル22[[#This Row],[握力]],$AH$20:$AI$29))))</f>
        <v>0</v>
      </c>
      <c r="S433" s="42">
        <f>IF(テーブル22[[#This Row],[上体]]="",0,(IF(テーブル22[[#This Row],[性別]]="男",LOOKUP(テーブル22[[#This Row],[上体]],$AJ$6:$AK$15),LOOKUP(テーブル22[[#This Row],[上体]],$AJ$20:$AK$29))))</f>
        <v>0</v>
      </c>
      <c r="T433" s="42">
        <f>IF(テーブル22[[#This Row],[長座]]="",0,(IF(テーブル22[[#This Row],[性別]]="男",LOOKUP(テーブル22[[#This Row],[長座]],$AL$6:$AM$15),LOOKUP(テーブル22[[#This Row],[長座]],$AL$20:$AM$29))))</f>
        <v>0</v>
      </c>
      <c r="U433" s="42">
        <f>IF(テーブル22[[#This Row],[反復]]="",0,(IF(テーブル22[[#This Row],[性別]]="男",LOOKUP(テーブル22[[#This Row],[反復]],$AN$6:$AO$15),LOOKUP(テーブル22[[#This Row],[反復]],$AN$20:$AO$29))))</f>
        <v>0</v>
      </c>
      <c r="V433" s="42">
        <f>IF(テーブル22[[#This Row],[ｼｬﾄﾙﾗﾝ]]="",0,(IF(テーブル22[[#This Row],[性別]]="男",LOOKUP(テーブル22[[#This Row],[ｼｬﾄﾙﾗﾝ]],$AR$6:$AS$15),LOOKUP(テーブル22[[#This Row],[ｼｬﾄﾙﾗﾝ]],$AR$20:$AS$29))))</f>
        <v>0</v>
      </c>
      <c r="W433" s="42">
        <f>IF(テーブル22[[#This Row],[50m走]]="",0,(IF(テーブル22[[#This Row],[性別]]="男",LOOKUP(テーブル22[[#This Row],[50m走]],$AT$6:$AU$15),LOOKUP(テーブル22[[#This Row],[50m走]],$AT$20:$AU$29))))</f>
        <v>0</v>
      </c>
      <c r="X433" s="42">
        <f>IF(テーブル22[[#This Row],[立幅とび]]="",0,(IF(テーブル22[[#This Row],[性別]]="男",LOOKUP(テーブル22[[#This Row],[立幅とび]],$AV$6:$AW$15),LOOKUP(テーブル22[[#This Row],[立幅とび]],$AV$20:$AW$29))))</f>
        <v>0</v>
      </c>
      <c r="Y433" s="42">
        <f>IF(テーブル22[[#This Row],[ボール投げ]]="",0,(IF(テーブル22[[#This Row],[性別]]="男",LOOKUP(テーブル22[[#This Row],[ボール投げ]],$AX$6:$AY$15),LOOKUP(テーブル22[[#This Row],[ボール投げ]],$AX$20:$AY$29))))</f>
        <v>0</v>
      </c>
      <c r="Z433" s="19" t="str">
        <f>IF(テーブル22[[#This Row],[学年]]=1,6,IF(テーブル22[[#This Row],[学年]]=2,7,IF(テーブル22[[#This Row],[学年]]=3,8,IF(テーブル22[[#This Row],[学年]]=4,9,IF(テーブル22[[#This Row],[学年]]=5,10,IF(テーブル22[[#This Row],[学年]]=6,11," "))))))</f>
        <v xml:space="preserve"> </v>
      </c>
      <c r="AA433" s="125" t="str">
        <f>IF(テーブル22[[#This Row],[肥満度数値]]="","",LOOKUP(AC433,$AW$39:$AW$44,$AX$39:$AX$44))</f>
        <v/>
      </c>
      <c r="AB43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3" s="124" t="str">
        <f>IF(テーブル22[[#This Row],[体重]]="","",(テーブル22[[#This Row],[体重]]-テーブル22[[#This Row],[標準体重]])/テーブル22[[#This Row],[標準体重]]*100)</f>
        <v/>
      </c>
      <c r="AD433" s="1">
        <f>COUNTA(テーブル22[[#This Row],[握力]:[ボール投げ]])</f>
        <v>0</v>
      </c>
      <c r="AE433" s="1" t="str">
        <f>IF(テーブル22[[#This Row],[判定]]=$BD$10,"○","")</f>
        <v/>
      </c>
      <c r="AF433" s="1" t="str">
        <f>IF(AE433="","",COUNTIF($AE$6:AE433,"○"))</f>
        <v/>
      </c>
    </row>
    <row r="434" spans="1:32" x14ac:dyDescent="0.2">
      <c r="A434" s="40">
        <v>429</v>
      </c>
      <c r="B434" s="145"/>
      <c r="C434" s="148"/>
      <c r="D434" s="145"/>
      <c r="E434" s="156"/>
      <c r="F434" s="145"/>
      <c r="G434" s="145"/>
      <c r="H434" s="146"/>
      <c r="I434" s="146"/>
      <c r="J434" s="148"/>
      <c r="K434" s="145"/>
      <c r="L434" s="148"/>
      <c r="M434" s="149"/>
      <c r="N434" s="148"/>
      <c r="O434" s="150"/>
      <c r="P43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4" s="43" t="str">
        <f>IF(テーブル22[[#This Row],[得点]]="","",IF(テーブル22[[#This Row],[年齢]]&gt;10,LOOKUP(P434,$BG$6:$BG$10,$BD$6:$BD$10),IF(テーブル22[[#This Row],[年齢]]&gt;9,LOOKUP(P434,$BF$6:$BF$10,$BD$6:$BD$10),IF(テーブル22[[#This Row],[年齢]]&gt;8,LOOKUP(P434,$BE$6:$BE$10,$BD$6:$BD$10),IF(テーブル22[[#This Row],[年齢]]&gt;7,LOOKUP(P434,$BC$6:$BC$10,$BD$6:$BD$10),IF(テーブル22[[#This Row],[年齢]]&gt;6,LOOKUP(P434,$BB$6:$BB$10,$BD$6:$BD$10),LOOKUP(P434,$BA$6:$BA$10,$BD$6:$BD$10)))))))</f>
        <v/>
      </c>
      <c r="R434" s="42">
        <f>IF(H434="",0,(IF(テーブル22[[#This Row],[性別]]="男",LOOKUP(テーブル22[[#This Row],[握力]],$AH$6:$AI$15),LOOKUP(テーブル22[[#This Row],[握力]],$AH$20:$AI$29))))</f>
        <v>0</v>
      </c>
      <c r="S434" s="42">
        <f>IF(テーブル22[[#This Row],[上体]]="",0,(IF(テーブル22[[#This Row],[性別]]="男",LOOKUP(テーブル22[[#This Row],[上体]],$AJ$6:$AK$15),LOOKUP(テーブル22[[#This Row],[上体]],$AJ$20:$AK$29))))</f>
        <v>0</v>
      </c>
      <c r="T434" s="42">
        <f>IF(テーブル22[[#This Row],[長座]]="",0,(IF(テーブル22[[#This Row],[性別]]="男",LOOKUP(テーブル22[[#This Row],[長座]],$AL$6:$AM$15),LOOKUP(テーブル22[[#This Row],[長座]],$AL$20:$AM$29))))</f>
        <v>0</v>
      </c>
      <c r="U434" s="42">
        <f>IF(テーブル22[[#This Row],[反復]]="",0,(IF(テーブル22[[#This Row],[性別]]="男",LOOKUP(テーブル22[[#This Row],[反復]],$AN$6:$AO$15),LOOKUP(テーブル22[[#This Row],[反復]],$AN$20:$AO$29))))</f>
        <v>0</v>
      </c>
      <c r="V434" s="42">
        <f>IF(テーブル22[[#This Row],[ｼｬﾄﾙﾗﾝ]]="",0,(IF(テーブル22[[#This Row],[性別]]="男",LOOKUP(テーブル22[[#This Row],[ｼｬﾄﾙﾗﾝ]],$AR$6:$AS$15),LOOKUP(テーブル22[[#This Row],[ｼｬﾄﾙﾗﾝ]],$AR$20:$AS$29))))</f>
        <v>0</v>
      </c>
      <c r="W434" s="42">
        <f>IF(テーブル22[[#This Row],[50m走]]="",0,(IF(テーブル22[[#This Row],[性別]]="男",LOOKUP(テーブル22[[#This Row],[50m走]],$AT$6:$AU$15),LOOKUP(テーブル22[[#This Row],[50m走]],$AT$20:$AU$29))))</f>
        <v>0</v>
      </c>
      <c r="X434" s="42">
        <f>IF(テーブル22[[#This Row],[立幅とび]]="",0,(IF(テーブル22[[#This Row],[性別]]="男",LOOKUP(テーブル22[[#This Row],[立幅とび]],$AV$6:$AW$15),LOOKUP(テーブル22[[#This Row],[立幅とび]],$AV$20:$AW$29))))</f>
        <v>0</v>
      </c>
      <c r="Y434" s="42">
        <f>IF(テーブル22[[#This Row],[ボール投げ]]="",0,(IF(テーブル22[[#This Row],[性別]]="男",LOOKUP(テーブル22[[#This Row],[ボール投げ]],$AX$6:$AY$15),LOOKUP(テーブル22[[#This Row],[ボール投げ]],$AX$20:$AY$29))))</f>
        <v>0</v>
      </c>
      <c r="Z434" s="19" t="str">
        <f>IF(テーブル22[[#This Row],[学年]]=1,6,IF(テーブル22[[#This Row],[学年]]=2,7,IF(テーブル22[[#This Row],[学年]]=3,8,IF(テーブル22[[#This Row],[学年]]=4,9,IF(テーブル22[[#This Row],[学年]]=5,10,IF(テーブル22[[#This Row],[学年]]=6,11," "))))))</f>
        <v xml:space="preserve"> </v>
      </c>
      <c r="AA434" s="125" t="str">
        <f>IF(テーブル22[[#This Row],[肥満度数値]]="","",LOOKUP(AC434,$AW$39:$AW$44,$AX$39:$AX$44))</f>
        <v/>
      </c>
      <c r="AB43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4" s="124" t="str">
        <f>IF(テーブル22[[#This Row],[体重]]="","",(テーブル22[[#This Row],[体重]]-テーブル22[[#This Row],[標準体重]])/テーブル22[[#This Row],[標準体重]]*100)</f>
        <v/>
      </c>
      <c r="AD434" s="1">
        <f>COUNTA(テーブル22[[#This Row],[握力]:[ボール投げ]])</f>
        <v>0</v>
      </c>
      <c r="AE434" s="1" t="str">
        <f>IF(テーブル22[[#This Row],[判定]]=$BD$10,"○","")</f>
        <v/>
      </c>
      <c r="AF434" s="1" t="str">
        <f>IF(AE434="","",COUNTIF($AE$6:AE434,"○"))</f>
        <v/>
      </c>
    </row>
    <row r="435" spans="1:32" x14ac:dyDescent="0.2">
      <c r="A435" s="40">
        <v>430</v>
      </c>
      <c r="B435" s="145"/>
      <c r="C435" s="148"/>
      <c r="D435" s="145"/>
      <c r="E435" s="156"/>
      <c r="F435" s="145"/>
      <c r="G435" s="145"/>
      <c r="H435" s="146"/>
      <c r="I435" s="146"/>
      <c r="J435" s="148"/>
      <c r="K435" s="145"/>
      <c r="L435" s="148"/>
      <c r="M435" s="149"/>
      <c r="N435" s="148"/>
      <c r="O435" s="150"/>
      <c r="P43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5" s="43" t="str">
        <f>IF(テーブル22[[#This Row],[得点]]="","",IF(テーブル22[[#This Row],[年齢]]&gt;10,LOOKUP(P435,$BG$6:$BG$10,$BD$6:$BD$10),IF(テーブル22[[#This Row],[年齢]]&gt;9,LOOKUP(P435,$BF$6:$BF$10,$BD$6:$BD$10),IF(テーブル22[[#This Row],[年齢]]&gt;8,LOOKUP(P435,$BE$6:$BE$10,$BD$6:$BD$10),IF(テーブル22[[#This Row],[年齢]]&gt;7,LOOKUP(P435,$BC$6:$BC$10,$BD$6:$BD$10),IF(テーブル22[[#This Row],[年齢]]&gt;6,LOOKUP(P435,$BB$6:$BB$10,$BD$6:$BD$10),LOOKUP(P435,$BA$6:$BA$10,$BD$6:$BD$10)))))))</f>
        <v/>
      </c>
      <c r="R435" s="42">
        <f>IF(H435="",0,(IF(テーブル22[[#This Row],[性別]]="男",LOOKUP(テーブル22[[#This Row],[握力]],$AH$6:$AI$15),LOOKUP(テーブル22[[#This Row],[握力]],$AH$20:$AI$29))))</f>
        <v>0</v>
      </c>
      <c r="S435" s="42">
        <f>IF(テーブル22[[#This Row],[上体]]="",0,(IF(テーブル22[[#This Row],[性別]]="男",LOOKUP(テーブル22[[#This Row],[上体]],$AJ$6:$AK$15),LOOKUP(テーブル22[[#This Row],[上体]],$AJ$20:$AK$29))))</f>
        <v>0</v>
      </c>
      <c r="T435" s="42">
        <f>IF(テーブル22[[#This Row],[長座]]="",0,(IF(テーブル22[[#This Row],[性別]]="男",LOOKUP(テーブル22[[#This Row],[長座]],$AL$6:$AM$15),LOOKUP(テーブル22[[#This Row],[長座]],$AL$20:$AM$29))))</f>
        <v>0</v>
      </c>
      <c r="U435" s="42">
        <f>IF(テーブル22[[#This Row],[反復]]="",0,(IF(テーブル22[[#This Row],[性別]]="男",LOOKUP(テーブル22[[#This Row],[反復]],$AN$6:$AO$15),LOOKUP(テーブル22[[#This Row],[反復]],$AN$20:$AO$29))))</f>
        <v>0</v>
      </c>
      <c r="V435" s="42">
        <f>IF(テーブル22[[#This Row],[ｼｬﾄﾙﾗﾝ]]="",0,(IF(テーブル22[[#This Row],[性別]]="男",LOOKUP(テーブル22[[#This Row],[ｼｬﾄﾙﾗﾝ]],$AR$6:$AS$15),LOOKUP(テーブル22[[#This Row],[ｼｬﾄﾙﾗﾝ]],$AR$20:$AS$29))))</f>
        <v>0</v>
      </c>
      <c r="W435" s="42">
        <f>IF(テーブル22[[#This Row],[50m走]]="",0,(IF(テーブル22[[#This Row],[性別]]="男",LOOKUP(テーブル22[[#This Row],[50m走]],$AT$6:$AU$15),LOOKUP(テーブル22[[#This Row],[50m走]],$AT$20:$AU$29))))</f>
        <v>0</v>
      </c>
      <c r="X435" s="42">
        <f>IF(テーブル22[[#This Row],[立幅とび]]="",0,(IF(テーブル22[[#This Row],[性別]]="男",LOOKUP(テーブル22[[#This Row],[立幅とび]],$AV$6:$AW$15),LOOKUP(テーブル22[[#This Row],[立幅とび]],$AV$20:$AW$29))))</f>
        <v>0</v>
      </c>
      <c r="Y435" s="42">
        <f>IF(テーブル22[[#This Row],[ボール投げ]]="",0,(IF(テーブル22[[#This Row],[性別]]="男",LOOKUP(テーブル22[[#This Row],[ボール投げ]],$AX$6:$AY$15),LOOKUP(テーブル22[[#This Row],[ボール投げ]],$AX$20:$AY$29))))</f>
        <v>0</v>
      </c>
      <c r="Z435" s="19" t="str">
        <f>IF(テーブル22[[#This Row],[学年]]=1,6,IF(テーブル22[[#This Row],[学年]]=2,7,IF(テーブル22[[#This Row],[学年]]=3,8,IF(テーブル22[[#This Row],[学年]]=4,9,IF(テーブル22[[#This Row],[学年]]=5,10,IF(テーブル22[[#This Row],[学年]]=6,11," "))))))</f>
        <v xml:space="preserve"> </v>
      </c>
      <c r="AA435" s="125" t="str">
        <f>IF(テーブル22[[#This Row],[肥満度数値]]="","",LOOKUP(AC435,$AW$39:$AW$44,$AX$39:$AX$44))</f>
        <v/>
      </c>
      <c r="AB43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5" s="124" t="str">
        <f>IF(テーブル22[[#This Row],[体重]]="","",(テーブル22[[#This Row],[体重]]-テーブル22[[#This Row],[標準体重]])/テーブル22[[#This Row],[標準体重]]*100)</f>
        <v/>
      </c>
      <c r="AD435" s="1">
        <f>COUNTA(テーブル22[[#This Row],[握力]:[ボール投げ]])</f>
        <v>0</v>
      </c>
      <c r="AE435" s="1" t="str">
        <f>IF(テーブル22[[#This Row],[判定]]=$BD$10,"○","")</f>
        <v/>
      </c>
      <c r="AF435" s="1" t="str">
        <f>IF(AE435="","",COUNTIF($AE$6:AE435,"○"))</f>
        <v/>
      </c>
    </row>
    <row r="436" spans="1:32" x14ac:dyDescent="0.2">
      <c r="A436" s="40">
        <v>431</v>
      </c>
      <c r="B436" s="145"/>
      <c r="C436" s="148"/>
      <c r="D436" s="145"/>
      <c r="E436" s="156"/>
      <c r="F436" s="145"/>
      <c r="G436" s="145"/>
      <c r="H436" s="146"/>
      <c r="I436" s="146"/>
      <c r="J436" s="148"/>
      <c r="K436" s="145"/>
      <c r="L436" s="148"/>
      <c r="M436" s="149"/>
      <c r="N436" s="148"/>
      <c r="O436" s="150"/>
      <c r="P43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6" s="43" t="str">
        <f>IF(テーブル22[[#This Row],[得点]]="","",IF(テーブル22[[#This Row],[年齢]]&gt;10,LOOKUP(P436,$BG$6:$BG$10,$BD$6:$BD$10),IF(テーブル22[[#This Row],[年齢]]&gt;9,LOOKUP(P436,$BF$6:$BF$10,$BD$6:$BD$10),IF(テーブル22[[#This Row],[年齢]]&gt;8,LOOKUP(P436,$BE$6:$BE$10,$BD$6:$BD$10),IF(テーブル22[[#This Row],[年齢]]&gt;7,LOOKUP(P436,$BC$6:$BC$10,$BD$6:$BD$10),IF(テーブル22[[#This Row],[年齢]]&gt;6,LOOKUP(P436,$BB$6:$BB$10,$BD$6:$BD$10),LOOKUP(P436,$BA$6:$BA$10,$BD$6:$BD$10)))))))</f>
        <v/>
      </c>
      <c r="R436" s="42">
        <f>IF(H436="",0,(IF(テーブル22[[#This Row],[性別]]="男",LOOKUP(テーブル22[[#This Row],[握力]],$AH$6:$AI$15),LOOKUP(テーブル22[[#This Row],[握力]],$AH$20:$AI$29))))</f>
        <v>0</v>
      </c>
      <c r="S436" s="42">
        <f>IF(テーブル22[[#This Row],[上体]]="",0,(IF(テーブル22[[#This Row],[性別]]="男",LOOKUP(テーブル22[[#This Row],[上体]],$AJ$6:$AK$15),LOOKUP(テーブル22[[#This Row],[上体]],$AJ$20:$AK$29))))</f>
        <v>0</v>
      </c>
      <c r="T436" s="42">
        <f>IF(テーブル22[[#This Row],[長座]]="",0,(IF(テーブル22[[#This Row],[性別]]="男",LOOKUP(テーブル22[[#This Row],[長座]],$AL$6:$AM$15),LOOKUP(テーブル22[[#This Row],[長座]],$AL$20:$AM$29))))</f>
        <v>0</v>
      </c>
      <c r="U436" s="42">
        <f>IF(テーブル22[[#This Row],[反復]]="",0,(IF(テーブル22[[#This Row],[性別]]="男",LOOKUP(テーブル22[[#This Row],[反復]],$AN$6:$AO$15),LOOKUP(テーブル22[[#This Row],[反復]],$AN$20:$AO$29))))</f>
        <v>0</v>
      </c>
      <c r="V436" s="42">
        <f>IF(テーブル22[[#This Row],[ｼｬﾄﾙﾗﾝ]]="",0,(IF(テーブル22[[#This Row],[性別]]="男",LOOKUP(テーブル22[[#This Row],[ｼｬﾄﾙﾗﾝ]],$AR$6:$AS$15),LOOKUP(テーブル22[[#This Row],[ｼｬﾄﾙﾗﾝ]],$AR$20:$AS$29))))</f>
        <v>0</v>
      </c>
      <c r="W436" s="42">
        <f>IF(テーブル22[[#This Row],[50m走]]="",0,(IF(テーブル22[[#This Row],[性別]]="男",LOOKUP(テーブル22[[#This Row],[50m走]],$AT$6:$AU$15),LOOKUP(テーブル22[[#This Row],[50m走]],$AT$20:$AU$29))))</f>
        <v>0</v>
      </c>
      <c r="X436" s="42">
        <f>IF(テーブル22[[#This Row],[立幅とび]]="",0,(IF(テーブル22[[#This Row],[性別]]="男",LOOKUP(テーブル22[[#This Row],[立幅とび]],$AV$6:$AW$15),LOOKUP(テーブル22[[#This Row],[立幅とび]],$AV$20:$AW$29))))</f>
        <v>0</v>
      </c>
      <c r="Y436" s="42">
        <f>IF(テーブル22[[#This Row],[ボール投げ]]="",0,(IF(テーブル22[[#This Row],[性別]]="男",LOOKUP(テーブル22[[#This Row],[ボール投げ]],$AX$6:$AY$15),LOOKUP(テーブル22[[#This Row],[ボール投げ]],$AX$20:$AY$29))))</f>
        <v>0</v>
      </c>
      <c r="Z436" s="19" t="str">
        <f>IF(テーブル22[[#This Row],[学年]]=1,6,IF(テーブル22[[#This Row],[学年]]=2,7,IF(テーブル22[[#This Row],[学年]]=3,8,IF(テーブル22[[#This Row],[学年]]=4,9,IF(テーブル22[[#This Row],[学年]]=5,10,IF(テーブル22[[#This Row],[学年]]=6,11," "))))))</f>
        <v xml:space="preserve"> </v>
      </c>
      <c r="AA436" s="125" t="str">
        <f>IF(テーブル22[[#This Row],[肥満度数値]]="","",LOOKUP(AC436,$AW$39:$AW$44,$AX$39:$AX$44))</f>
        <v/>
      </c>
      <c r="AB43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6" s="124" t="str">
        <f>IF(テーブル22[[#This Row],[体重]]="","",(テーブル22[[#This Row],[体重]]-テーブル22[[#This Row],[標準体重]])/テーブル22[[#This Row],[標準体重]]*100)</f>
        <v/>
      </c>
      <c r="AD436" s="1">
        <f>COUNTA(テーブル22[[#This Row],[握力]:[ボール投げ]])</f>
        <v>0</v>
      </c>
      <c r="AE436" s="1" t="str">
        <f>IF(テーブル22[[#This Row],[判定]]=$BD$10,"○","")</f>
        <v/>
      </c>
      <c r="AF436" s="1" t="str">
        <f>IF(AE436="","",COUNTIF($AE$6:AE436,"○"))</f>
        <v/>
      </c>
    </row>
    <row r="437" spans="1:32" x14ac:dyDescent="0.2">
      <c r="A437" s="40">
        <v>432</v>
      </c>
      <c r="B437" s="145"/>
      <c r="C437" s="148"/>
      <c r="D437" s="145"/>
      <c r="E437" s="156"/>
      <c r="F437" s="145"/>
      <c r="G437" s="145"/>
      <c r="H437" s="146"/>
      <c r="I437" s="146"/>
      <c r="J437" s="148"/>
      <c r="K437" s="145"/>
      <c r="L437" s="148"/>
      <c r="M437" s="149"/>
      <c r="N437" s="148"/>
      <c r="O437" s="150"/>
      <c r="P43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7" s="43" t="str">
        <f>IF(テーブル22[[#This Row],[得点]]="","",IF(テーブル22[[#This Row],[年齢]]&gt;10,LOOKUP(P437,$BG$6:$BG$10,$BD$6:$BD$10),IF(テーブル22[[#This Row],[年齢]]&gt;9,LOOKUP(P437,$BF$6:$BF$10,$BD$6:$BD$10),IF(テーブル22[[#This Row],[年齢]]&gt;8,LOOKUP(P437,$BE$6:$BE$10,$BD$6:$BD$10),IF(テーブル22[[#This Row],[年齢]]&gt;7,LOOKUP(P437,$BC$6:$BC$10,$BD$6:$BD$10),IF(テーブル22[[#This Row],[年齢]]&gt;6,LOOKUP(P437,$BB$6:$BB$10,$BD$6:$BD$10),LOOKUP(P437,$BA$6:$BA$10,$BD$6:$BD$10)))))))</f>
        <v/>
      </c>
      <c r="R437" s="42">
        <f>IF(H437="",0,(IF(テーブル22[[#This Row],[性別]]="男",LOOKUP(テーブル22[[#This Row],[握力]],$AH$6:$AI$15),LOOKUP(テーブル22[[#This Row],[握力]],$AH$20:$AI$29))))</f>
        <v>0</v>
      </c>
      <c r="S437" s="42">
        <f>IF(テーブル22[[#This Row],[上体]]="",0,(IF(テーブル22[[#This Row],[性別]]="男",LOOKUP(テーブル22[[#This Row],[上体]],$AJ$6:$AK$15),LOOKUP(テーブル22[[#This Row],[上体]],$AJ$20:$AK$29))))</f>
        <v>0</v>
      </c>
      <c r="T437" s="42">
        <f>IF(テーブル22[[#This Row],[長座]]="",0,(IF(テーブル22[[#This Row],[性別]]="男",LOOKUP(テーブル22[[#This Row],[長座]],$AL$6:$AM$15),LOOKUP(テーブル22[[#This Row],[長座]],$AL$20:$AM$29))))</f>
        <v>0</v>
      </c>
      <c r="U437" s="42">
        <f>IF(テーブル22[[#This Row],[反復]]="",0,(IF(テーブル22[[#This Row],[性別]]="男",LOOKUP(テーブル22[[#This Row],[反復]],$AN$6:$AO$15),LOOKUP(テーブル22[[#This Row],[反復]],$AN$20:$AO$29))))</f>
        <v>0</v>
      </c>
      <c r="V437" s="42">
        <f>IF(テーブル22[[#This Row],[ｼｬﾄﾙﾗﾝ]]="",0,(IF(テーブル22[[#This Row],[性別]]="男",LOOKUP(テーブル22[[#This Row],[ｼｬﾄﾙﾗﾝ]],$AR$6:$AS$15),LOOKUP(テーブル22[[#This Row],[ｼｬﾄﾙﾗﾝ]],$AR$20:$AS$29))))</f>
        <v>0</v>
      </c>
      <c r="W437" s="42">
        <f>IF(テーブル22[[#This Row],[50m走]]="",0,(IF(テーブル22[[#This Row],[性別]]="男",LOOKUP(テーブル22[[#This Row],[50m走]],$AT$6:$AU$15),LOOKUP(テーブル22[[#This Row],[50m走]],$AT$20:$AU$29))))</f>
        <v>0</v>
      </c>
      <c r="X437" s="42">
        <f>IF(テーブル22[[#This Row],[立幅とび]]="",0,(IF(テーブル22[[#This Row],[性別]]="男",LOOKUP(テーブル22[[#This Row],[立幅とび]],$AV$6:$AW$15),LOOKUP(テーブル22[[#This Row],[立幅とび]],$AV$20:$AW$29))))</f>
        <v>0</v>
      </c>
      <c r="Y437" s="42">
        <f>IF(テーブル22[[#This Row],[ボール投げ]]="",0,(IF(テーブル22[[#This Row],[性別]]="男",LOOKUP(テーブル22[[#This Row],[ボール投げ]],$AX$6:$AY$15),LOOKUP(テーブル22[[#This Row],[ボール投げ]],$AX$20:$AY$29))))</f>
        <v>0</v>
      </c>
      <c r="Z437" s="19" t="str">
        <f>IF(テーブル22[[#This Row],[学年]]=1,6,IF(テーブル22[[#This Row],[学年]]=2,7,IF(テーブル22[[#This Row],[学年]]=3,8,IF(テーブル22[[#This Row],[学年]]=4,9,IF(テーブル22[[#This Row],[学年]]=5,10,IF(テーブル22[[#This Row],[学年]]=6,11," "))))))</f>
        <v xml:space="preserve"> </v>
      </c>
      <c r="AA437" s="125" t="str">
        <f>IF(テーブル22[[#This Row],[肥満度数値]]="","",LOOKUP(AC437,$AW$39:$AW$44,$AX$39:$AX$44))</f>
        <v/>
      </c>
      <c r="AB43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7" s="124" t="str">
        <f>IF(テーブル22[[#This Row],[体重]]="","",(テーブル22[[#This Row],[体重]]-テーブル22[[#This Row],[標準体重]])/テーブル22[[#This Row],[標準体重]]*100)</f>
        <v/>
      </c>
      <c r="AD437" s="1">
        <f>COUNTA(テーブル22[[#This Row],[握力]:[ボール投げ]])</f>
        <v>0</v>
      </c>
      <c r="AE437" s="1" t="str">
        <f>IF(テーブル22[[#This Row],[判定]]=$BD$10,"○","")</f>
        <v/>
      </c>
      <c r="AF437" s="1" t="str">
        <f>IF(AE437="","",COUNTIF($AE$6:AE437,"○"))</f>
        <v/>
      </c>
    </row>
    <row r="438" spans="1:32" x14ac:dyDescent="0.2">
      <c r="A438" s="40">
        <v>433</v>
      </c>
      <c r="B438" s="145"/>
      <c r="C438" s="148"/>
      <c r="D438" s="145"/>
      <c r="E438" s="156"/>
      <c r="F438" s="145"/>
      <c r="G438" s="145"/>
      <c r="H438" s="146"/>
      <c r="I438" s="146"/>
      <c r="J438" s="148"/>
      <c r="K438" s="145"/>
      <c r="L438" s="148"/>
      <c r="M438" s="149"/>
      <c r="N438" s="148"/>
      <c r="O438" s="150"/>
      <c r="P43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8" s="43" t="str">
        <f>IF(テーブル22[[#This Row],[得点]]="","",IF(テーブル22[[#This Row],[年齢]]&gt;10,LOOKUP(P438,$BG$6:$BG$10,$BD$6:$BD$10),IF(テーブル22[[#This Row],[年齢]]&gt;9,LOOKUP(P438,$BF$6:$BF$10,$BD$6:$BD$10),IF(テーブル22[[#This Row],[年齢]]&gt;8,LOOKUP(P438,$BE$6:$BE$10,$BD$6:$BD$10),IF(テーブル22[[#This Row],[年齢]]&gt;7,LOOKUP(P438,$BC$6:$BC$10,$BD$6:$BD$10),IF(テーブル22[[#This Row],[年齢]]&gt;6,LOOKUP(P438,$BB$6:$BB$10,$BD$6:$BD$10),LOOKUP(P438,$BA$6:$BA$10,$BD$6:$BD$10)))))))</f>
        <v/>
      </c>
      <c r="R438" s="42">
        <f>IF(H438="",0,(IF(テーブル22[[#This Row],[性別]]="男",LOOKUP(テーブル22[[#This Row],[握力]],$AH$6:$AI$15),LOOKUP(テーブル22[[#This Row],[握力]],$AH$20:$AI$29))))</f>
        <v>0</v>
      </c>
      <c r="S438" s="42">
        <f>IF(テーブル22[[#This Row],[上体]]="",0,(IF(テーブル22[[#This Row],[性別]]="男",LOOKUP(テーブル22[[#This Row],[上体]],$AJ$6:$AK$15),LOOKUP(テーブル22[[#This Row],[上体]],$AJ$20:$AK$29))))</f>
        <v>0</v>
      </c>
      <c r="T438" s="42">
        <f>IF(テーブル22[[#This Row],[長座]]="",0,(IF(テーブル22[[#This Row],[性別]]="男",LOOKUP(テーブル22[[#This Row],[長座]],$AL$6:$AM$15),LOOKUP(テーブル22[[#This Row],[長座]],$AL$20:$AM$29))))</f>
        <v>0</v>
      </c>
      <c r="U438" s="42">
        <f>IF(テーブル22[[#This Row],[反復]]="",0,(IF(テーブル22[[#This Row],[性別]]="男",LOOKUP(テーブル22[[#This Row],[反復]],$AN$6:$AO$15),LOOKUP(テーブル22[[#This Row],[反復]],$AN$20:$AO$29))))</f>
        <v>0</v>
      </c>
      <c r="V438" s="42">
        <f>IF(テーブル22[[#This Row],[ｼｬﾄﾙﾗﾝ]]="",0,(IF(テーブル22[[#This Row],[性別]]="男",LOOKUP(テーブル22[[#This Row],[ｼｬﾄﾙﾗﾝ]],$AR$6:$AS$15),LOOKUP(テーブル22[[#This Row],[ｼｬﾄﾙﾗﾝ]],$AR$20:$AS$29))))</f>
        <v>0</v>
      </c>
      <c r="W438" s="42">
        <f>IF(テーブル22[[#This Row],[50m走]]="",0,(IF(テーブル22[[#This Row],[性別]]="男",LOOKUP(テーブル22[[#This Row],[50m走]],$AT$6:$AU$15),LOOKUP(テーブル22[[#This Row],[50m走]],$AT$20:$AU$29))))</f>
        <v>0</v>
      </c>
      <c r="X438" s="42">
        <f>IF(テーブル22[[#This Row],[立幅とび]]="",0,(IF(テーブル22[[#This Row],[性別]]="男",LOOKUP(テーブル22[[#This Row],[立幅とび]],$AV$6:$AW$15),LOOKUP(テーブル22[[#This Row],[立幅とび]],$AV$20:$AW$29))))</f>
        <v>0</v>
      </c>
      <c r="Y438" s="42">
        <f>IF(テーブル22[[#This Row],[ボール投げ]]="",0,(IF(テーブル22[[#This Row],[性別]]="男",LOOKUP(テーブル22[[#This Row],[ボール投げ]],$AX$6:$AY$15),LOOKUP(テーブル22[[#This Row],[ボール投げ]],$AX$20:$AY$29))))</f>
        <v>0</v>
      </c>
      <c r="Z438" s="19" t="str">
        <f>IF(テーブル22[[#This Row],[学年]]=1,6,IF(テーブル22[[#This Row],[学年]]=2,7,IF(テーブル22[[#This Row],[学年]]=3,8,IF(テーブル22[[#This Row],[学年]]=4,9,IF(テーブル22[[#This Row],[学年]]=5,10,IF(テーブル22[[#This Row],[学年]]=6,11," "))))))</f>
        <v xml:space="preserve"> </v>
      </c>
      <c r="AA438" s="125" t="str">
        <f>IF(テーブル22[[#This Row],[肥満度数値]]="","",LOOKUP(AC438,$AW$39:$AW$44,$AX$39:$AX$44))</f>
        <v/>
      </c>
      <c r="AB43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8" s="124" t="str">
        <f>IF(テーブル22[[#This Row],[体重]]="","",(テーブル22[[#This Row],[体重]]-テーブル22[[#This Row],[標準体重]])/テーブル22[[#This Row],[標準体重]]*100)</f>
        <v/>
      </c>
      <c r="AD438" s="1">
        <f>COUNTA(テーブル22[[#This Row],[握力]:[ボール投げ]])</f>
        <v>0</v>
      </c>
      <c r="AE438" s="1" t="str">
        <f>IF(テーブル22[[#This Row],[判定]]=$BD$10,"○","")</f>
        <v/>
      </c>
      <c r="AF438" s="1" t="str">
        <f>IF(AE438="","",COUNTIF($AE$6:AE438,"○"))</f>
        <v/>
      </c>
    </row>
    <row r="439" spans="1:32" x14ac:dyDescent="0.2">
      <c r="A439" s="40">
        <v>434</v>
      </c>
      <c r="B439" s="145"/>
      <c r="C439" s="148"/>
      <c r="D439" s="145"/>
      <c r="E439" s="156"/>
      <c r="F439" s="145"/>
      <c r="G439" s="145"/>
      <c r="H439" s="146"/>
      <c r="I439" s="146"/>
      <c r="J439" s="148"/>
      <c r="K439" s="145"/>
      <c r="L439" s="148"/>
      <c r="M439" s="149"/>
      <c r="N439" s="148"/>
      <c r="O439" s="150"/>
      <c r="P43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39" s="43" t="str">
        <f>IF(テーブル22[[#This Row],[得点]]="","",IF(テーブル22[[#This Row],[年齢]]&gt;10,LOOKUP(P439,$BG$6:$BG$10,$BD$6:$BD$10),IF(テーブル22[[#This Row],[年齢]]&gt;9,LOOKUP(P439,$BF$6:$BF$10,$BD$6:$BD$10),IF(テーブル22[[#This Row],[年齢]]&gt;8,LOOKUP(P439,$BE$6:$BE$10,$BD$6:$BD$10),IF(テーブル22[[#This Row],[年齢]]&gt;7,LOOKUP(P439,$BC$6:$BC$10,$BD$6:$BD$10),IF(テーブル22[[#This Row],[年齢]]&gt;6,LOOKUP(P439,$BB$6:$BB$10,$BD$6:$BD$10),LOOKUP(P439,$BA$6:$BA$10,$BD$6:$BD$10)))))))</f>
        <v/>
      </c>
      <c r="R439" s="42">
        <f>IF(H439="",0,(IF(テーブル22[[#This Row],[性別]]="男",LOOKUP(テーブル22[[#This Row],[握力]],$AH$6:$AI$15),LOOKUP(テーブル22[[#This Row],[握力]],$AH$20:$AI$29))))</f>
        <v>0</v>
      </c>
      <c r="S439" s="42">
        <f>IF(テーブル22[[#This Row],[上体]]="",0,(IF(テーブル22[[#This Row],[性別]]="男",LOOKUP(テーブル22[[#This Row],[上体]],$AJ$6:$AK$15),LOOKUP(テーブル22[[#This Row],[上体]],$AJ$20:$AK$29))))</f>
        <v>0</v>
      </c>
      <c r="T439" s="42">
        <f>IF(テーブル22[[#This Row],[長座]]="",0,(IF(テーブル22[[#This Row],[性別]]="男",LOOKUP(テーブル22[[#This Row],[長座]],$AL$6:$AM$15),LOOKUP(テーブル22[[#This Row],[長座]],$AL$20:$AM$29))))</f>
        <v>0</v>
      </c>
      <c r="U439" s="42">
        <f>IF(テーブル22[[#This Row],[反復]]="",0,(IF(テーブル22[[#This Row],[性別]]="男",LOOKUP(テーブル22[[#This Row],[反復]],$AN$6:$AO$15),LOOKUP(テーブル22[[#This Row],[反復]],$AN$20:$AO$29))))</f>
        <v>0</v>
      </c>
      <c r="V439" s="42">
        <f>IF(テーブル22[[#This Row],[ｼｬﾄﾙﾗﾝ]]="",0,(IF(テーブル22[[#This Row],[性別]]="男",LOOKUP(テーブル22[[#This Row],[ｼｬﾄﾙﾗﾝ]],$AR$6:$AS$15),LOOKUP(テーブル22[[#This Row],[ｼｬﾄﾙﾗﾝ]],$AR$20:$AS$29))))</f>
        <v>0</v>
      </c>
      <c r="W439" s="42">
        <f>IF(テーブル22[[#This Row],[50m走]]="",0,(IF(テーブル22[[#This Row],[性別]]="男",LOOKUP(テーブル22[[#This Row],[50m走]],$AT$6:$AU$15),LOOKUP(テーブル22[[#This Row],[50m走]],$AT$20:$AU$29))))</f>
        <v>0</v>
      </c>
      <c r="X439" s="42">
        <f>IF(テーブル22[[#This Row],[立幅とび]]="",0,(IF(テーブル22[[#This Row],[性別]]="男",LOOKUP(テーブル22[[#This Row],[立幅とび]],$AV$6:$AW$15),LOOKUP(テーブル22[[#This Row],[立幅とび]],$AV$20:$AW$29))))</f>
        <v>0</v>
      </c>
      <c r="Y439" s="42">
        <f>IF(テーブル22[[#This Row],[ボール投げ]]="",0,(IF(テーブル22[[#This Row],[性別]]="男",LOOKUP(テーブル22[[#This Row],[ボール投げ]],$AX$6:$AY$15),LOOKUP(テーブル22[[#This Row],[ボール投げ]],$AX$20:$AY$29))))</f>
        <v>0</v>
      </c>
      <c r="Z439" s="19" t="str">
        <f>IF(テーブル22[[#This Row],[学年]]=1,6,IF(テーブル22[[#This Row],[学年]]=2,7,IF(テーブル22[[#This Row],[学年]]=3,8,IF(テーブル22[[#This Row],[学年]]=4,9,IF(テーブル22[[#This Row],[学年]]=5,10,IF(テーブル22[[#This Row],[学年]]=6,11," "))))))</f>
        <v xml:space="preserve"> </v>
      </c>
      <c r="AA439" s="125" t="str">
        <f>IF(テーブル22[[#This Row],[肥満度数値]]="","",LOOKUP(AC439,$AW$39:$AW$44,$AX$39:$AX$44))</f>
        <v/>
      </c>
      <c r="AB43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39" s="124" t="str">
        <f>IF(テーブル22[[#This Row],[体重]]="","",(テーブル22[[#This Row],[体重]]-テーブル22[[#This Row],[標準体重]])/テーブル22[[#This Row],[標準体重]]*100)</f>
        <v/>
      </c>
      <c r="AD439" s="1">
        <f>COUNTA(テーブル22[[#This Row],[握力]:[ボール投げ]])</f>
        <v>0</v>
      </c>
      <c r="AE439" s="1" t="str">
        <f>IF(テーブル22[[#This Row],[判定]]=$BD$10,"○","")</f>
        <v/>
      </c>
      <c r="AF439" s="1" t="str">
        <f>IF(AE439="","",COUNTIF($AE$6:AE439,"○"))</f>
        <v/>
      </c>
    </row>
    <row r="440" spans="1:32" x14ac:dyDescent="0.2">
      <c r="A440" s="40">
        <v>435</v>
      </c>
      <c r="B440" s="145"/>
      <c r="C440" s="148"/>
      <c r="D440" s="145"/>
      <c r="E440" s="156"/>
      <c r="F440" s="145"/>
      <c r="G440" s="145"/>
      <c r="H440" s="146"/>
      <c r="I440" s="146"/>
      <c r="J440" s="148"/>
      <c r="K440" s="145"/>
      <c r="L440" s="148"/>
      <c r="M440" s="149"/>
      <c r="N440" s="148"/>
      <c r="O440" s="150"/>
      <c r="P44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0" s="43" t="str">
        <f>IF(テーブル22[[#This Row],[得点]]="","",IF(テーブル22[[#This Row],[年齢]]&gt;10,LOOKUP(P440,$BG$6:$BG$10,$BD$6:$BD$10),IF(テーブル22[[#This Row],[年齢]]&gt;9,LOOKUP(P440,$BF$6:$BF$10,$BD$6:$BD$10),IF(テーブル22[[#This Row],[年齢]]&gt;8,LOOKUP(P440,$BE$6:$BE$10,$BD$6:$BD$10),IF(テーブル22[[#This Row],[年齢]]&gt;7,LOOKUP(P440,$BC$6:$BC$10,$BD$6:$BD$10),IF(テーブル22[[#This Row],[年齢]]&gt;6,LOOKUP(P440,$BB$6:$BB$10,$BD$6:$BD$10),LOOKUP(P440,$BA$6:$BA$10,$BD$6:$BD$10)))))))</f>
        <v/>
      </c>
      <c r="R440" s="42">
        <f>IF(H440="",0,(IF(テーブル22[[#This Row],[性別]]="男",LOOKUP(テーブル22[[#This Row],[握力]],$AH$6:$AI$15),LOOKUP(テーブル22[[#This Row],[握力]],$AH$20:$AI$29))))</f>
        <v>0</v>
      </c>
      <c r="S440" s="42">
        <f>IF(テーブル22[[#This Row],[上体]]="",0,(IF(テーブル22[[#This Row],[性別]]="男",LOOKUP(テーブル22[[#This Row],[上体]],$AJ$6:$AK$15),LOOKUP(テーブル22[[#This Row],[上体]],$AJ$20:$AK$29))))</f>
        <v>0</v>
      </c>
      <c r="T440" s="42">
        <f>IF(テーブル22[[#This Row],[長座]]="",0,(IF(テーブル22[[#This Row],[性別]]="男",LOOKUP(テーブル22[[#This Row],[長座]],$AL$6:$AM$15),LOOKUP(テーブル22[[#This Row],[長座]],$AL$20:$AM$29))))</f>
        <v>0</v>
      </c>
      <c r="U440" s="42">
        <f>IF(テーブル22[[#This Row],[反復]]="",0,(IF(テーブル22[[#This Row],[性別]]="男",LOOKUP(テーブル22[[#This Row],[反復]],$AN$6:$AO$15),LOOKUP(テーブル22[[#This Row],[反復]],$AN$20:$AO$29))))</f>
        <v>0</v>
      </c>
      <c r="V440" s="42">
        <f>IF(テーブル22[[#This Row],[ｼｬﾄﾙﾗﾝ]]="",0,(IF(テーブル22[[#This Row],[性別]]="男",LOOKUP(テーブル22[[#This Row],[ｼｬﾄﾙﾗﾝ]],$AR$6:$AS$15),LOOKUP(テーブル22[[#This Row],[ｼｬﾄﾙﾗﾝ]],$AR$20:$AS$29))))</f>
        <v>0</v>
      </c>
      <c r="W440" s="42">
        <f>IF(テーブル22[[#This Row],[50m走]]="",0,(IF(テーブル22[[#This Row],[性別]]="男",LOOKUP(テーブル22[[#This Row],[50m走]],$AT$6:$AU$15),LOOKUP(テーブル22[[#This Row],[50m走]],$AT$20:$AU$29))))</f>
        <v>0</v>
      </c>
      <c r="X440" s="42">
        <f>IF(テーブル22[[#This Row],[立幅とび]]="",0,(IF(テーブル22[[#This Row],[性別]]="男",LOOKUP(テーブル22[[#This Row],[立幅とび]],$AV$6:$AW$15),LOOKUP(テーブル22[[#This Row],[立幅とび]],$AV$20:$AW$29))))</f>
        <v>0</v>
      </c>
      <c r="Y440" s="42">
        <f>IF(テーブル22[[#This Row],[ボール投げ]]="",0,(IF(テーブル22[[#This Row],[性別]]="男",LOOKUP(テーブル22[[#This Row],[ボール投げ]],$AX$6:$AY$15),LOOKUP(テーブル22[[#This Row],[ボール投げ]],$AX$20:$AY$29))))</f>
        <v>0</v>
      </c>
      <c r="Z440" s="19" t="str">
        <f>IF(テーブル22[[#This Row],[学年]]=1,6,IF(テーブル22[[#This Row],[学年]]=2,7,IF(テーブル22[[#This Row],[学年]]=3,8,IF(テーブル22[[#This Row],[学年]]=4,9,IF(テーブル22[[#This Row],[学年]]=5,10,IF(テーブル22[[#This Row],[学年]]=6,11," "))))))</f>
        <v xml:space="preserve"> </v>
      </c>
      <c r="AA440" s="125" t="str">
        <f>IF(テーブル22[[#This Row],[肥満度数値]]="","",LOOKUP(AC440,$AW$39:$AW$44,$AX$39:$AX$44))</f>
        <v/>
      </c>
      <c r="AB44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0" s="124" t="str">
        <f>IF(テーブル22[[#This Row],[体重]]="","",(テーブル22[[#This Row],[体重]]-テーブル22[[#This Row],[標準体重]])/テーブル22[[#This Row],[標準体重]]*100)</f>
        <v/>
      </c>
      <c r="AD440" s="1">
        <f>COUNTA(テーブル22[[#This Row],[握力]:[ボール投げ]])</f>
        <v>0</v>
      </c>
      <c r="AE440" s="1" t="str">
        <f>IF(テーブル22[[#This Row],[判定]]=$BD$10,"○","")</f>
        <v/>
      </c>
      <c r="AF440" s="1" t="str">
        <f>IF(AE440="","",COUNTIF($AE$6:AE440,"○"))</f>
        <v/>
      </c>
    </row>
    <row r="441" spans="1:32" x14ac:dyDescent="0.2">
      <c r="A441" s="40">
        <v>436</v>
      </c>
      <c r="B441" s="145"/>
      <c r="C441" s="148"/>
      <c r="D441" s="145"/>
      <c r="E441" s="156"/>
      <c r="F441" s="145"/>
      <c r="G441" s="145"/>
      <c r="H441" s="146"/>
      <c r="I441" s="146"/>
      <c r="J441" s="148"/>
      <c r="K441" s="145"/>
      <c r="L441" s="148"/>
      <c r="M441" s="149"/>
      <c r="N441" s="148"/>
      <c r="O441" s="150"/>
      <c r="P44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1" s="43" t="str">
        <f>IF(テーブル22[[#This Row],[得点]]="","",IF(テーブル22[[#This Row],[年齢]]&gt;10,LOOKUP(P441,$BG$6:$BG$10,$BD$6:$BD$10),IF(テーブル22[[#This Row],[年齢]]&gt;9,LOOKUP(P441,$BF$6:$BF$10,$BD$6:$BD$10),IF(テーブル22[[#This Row],[年齢]]&gt;8,LOOKUP(P441,$BE$6:$BE$10,$BD$6:$BD$10),IF(テーブル22[[#This Row],[年齢]]&gt;7,LOOKUP(P441,$BC$6:$BC$10,$BD$6:$BD$10),IF(テーブル22[[#This Row],[年齢]]&gt;6,LOOKUP(P441,$BB$6:$BB$10,$BD$6:$BD$10),LOOKUP(P441,$BA$6:$BA$10,$BD$6:$BD$10)))))))</f>
        <v/>
      </c>
      <c r="R441" s="42">
        <f>IF(H441="",0,(IF(テーブル22[[#This Row],[性別]]="男",LOOKUP(テーブル22[[#This Row],[握力]],$AH$6:$AI$15),LOOKUP(テーブル22[[#This Row],[握力]],$AH$20:$AI$29))))</f>
        <v>0</v>
      </c>
      <c r="S441" s="42">
        <f>IF(テーブル22[[#This Row],[上体]]="",0,(IF(テーブル22[[#This Row],[性別]]="男",LOOKUP(テーブル22[[#This Row],[上体]],$AJ$6:$AK$15),LOOKUP(テーブル22[[#This Row],[上体]],$AJ$20:$AK$29))))</f>
        <v>0</v>
      </c>
      <c r="T441" s="42">
        <f>IF(テーブル22[[#This Row],[長座]]="",0,(IF(テーブル22[[#This Row],[性別]]="男",LOOKUP(テーブル22[[#This Row],[長座]],$AL$6:$AM$15),LOOKUP(テーブル22[[#This Row],[長座]],$AL$20:$AM$29))))</f>
        <v>0</v>
      </c>
      <c r="U441" s="42">
        <f>IF(テーブル22[[#This Row],[反復]]="",0,(IF(テーブル22[[#This Row],[性別]]="男",LOOKUP(テーブル22[[#This Row],[反復]],$AN$6:$AO$15),LOOKUP(テーブル22[[#This Row],[反復]],$AN$20:$AO$29))))</f>
        <v>0</v>
      </c>
      <c r="V441" s="42">
        <f>IF(テーブル22[[#This Row],[ｼｬﾄﾙﾗﾝ]]="",0,(IF(テーブル22[[#This Row],[性別]]="男",LOOKUP(テーブル22[[#This Row],[ｼｬﾄﾙﾗﾝ]],$AR$6:$AS$15),LOOKUP(テーブル22[[#This Row],[ｼｬﾄﾙﾗﾝ]],$AR$20:$AS$29))))</f>
        <v>0</v>
      </c>
      <c r="W441" s="42">
        <f>IF(テーブル22[[#This Row],[50m走]]="",0,(IF(テーブル22[[#This Row],[性別]]="男",LOOKUP(テーブル22[[#This Row],[50m走]],$AT$6:$AU$15),LOOKUP(テーブル22[[#This Row],[50m走]],$AT$20:$AU$29))))</f>
        <v>0</v>
      </c>
      <c r="X441" s="42">
        <f>IF(テーブル22[[#This Row],[立幅とび]]="",0,(IF(テーブル22[[#This Row],[性別]]="男",LOOKUP(テーブル22[[#This Row],[立幅とび]],$AV$6:$AW$15),LOOKUP(テーブル22[[#This Row],[立幅とび]],$AV$20:$AW$29))))</f>
        <v>0</v>
      </c>
      <c r="Y441" s="42">
        <f>IF(テーブル22[[#This Row],[ボール投げ]]="",0,(IF(テーブル22[[#This Row],[性別]]="男",LOOKUP(テーブル22[[#This Row],[ボール投げ]],$AX$6:$AY$15),LOOKUP(テーブル22[[#This Row],[ボール投げ]],$AX$20:$AY$29))))</f>
        <v>0</v>
      </c>
      <c r="Z441" s="19" t="str">
        <f>IF(テーブル22[[#This Row],[学年]]=1,6,IF(テーブル22[[#This Row],[学年]]=2,7,IF(テーブル22[[#This Row],[学年]]=3,8,IF(テーブル22[[#This Row],[学年]]=4,9,IF(テーブル22[[#This Row],[学年]]=5,10,IF(テーブル22[[#This Row],[学年]]=6,11," "))))))</f>
        <v xml:space="preserve"> </v>
      </c>
      <c r="AA441" s="125" t="str">
        <f>IF(テーブル22[[#This Row],[肥満度数値]]="","",LOOKUP(AC441,$AW$39:$AW$44,$AX$39:$AX$44))</f>
        <v/>
      </c>
      <c r="AB44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1" s="124" t="str">
        <f>IF(テーブル22[[#This Row],[体重]]="","",(テーブル22[[#This Row],[体重]]-テーブル22[[#This Row],[標準体重]])/テーブル22[[#This Row],[標準体重]]*100)</f>
        <v/>
      </c>
      <c r="AD441" s="1">
        <f>COUNTA(テーブル22[[#This Row],[握力]:[ボール投げ]])</f>
        <v>0</v>
      </c>
      <c r="AE441" s="1" t="str">
        <f>IF(テーブル22[[#This Row],[判定]]=$BD$10,"○","")</f>
        <v/>
      </c>
      <c r="AF441" s="1" t="str">
        <f>IF(AE441="","",COUNTIF($AE$6:AE441,"○"))</f>
        <v/>
      </c>
    </row>
    <row r="442" spans="1:32" x14ac:dyDescent="0.2">
      <c r="A442" s="40">
        <v>437</v>
      </c>
      <c r="B442" s="145"/>
      <c r="C442" s="148"/>
      <c r="D442" s="145"/>
      <c r="E442" s="156"/>
      <c r="F442" s="145"/>
      <c r="G442" s="145"/>
      <c r="H442" s="146"/>
      <c r="I442" s="146"/>
      <c r="J442" s="148"/>
      <c r="K442" s="145"/>
      <c r="L442" s="148"/>
      <c r="M442" s="149"/>
      <c r="N442" s="148"/>
      <c r="O442" s="150"/>
      <c r="P44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2" s="43" t="str">
        <f>IF(テーブル22[[#This Row],[得点]]="","",IF(テーブル22[[#This Row],[年齢]]&gt;10,LOOKUP(P442,$BG$6:$BG$10,$BD$6:$BD$10),IF(テーブル22[[#This Row],[年齢]]&gt;9,LOOKUP(P442,$BF$6:$BF$10,$BD$6:$BD$10),IF(テーブル22[[#This Row],[年齢]]&gt;8,LOOKUP(P442,$BE$6:$BE$10,$BD$6:$BD$10),IF(テーブル22[[#This Row],[年齢]]&gt;7,LOOKUP(P442,$BC$6:$BC$10,$BD$6:$BD$10),IF(テーブル22[[#This Row],[年齢]]&gt;6,LOOKUP(P442,$BB$6:$BB$10,$BD$6:$BD$10),LOOKUP(P442,$BA$6:$BA$10,$BD$6:$BD$10)))))))</f>
        <v/>
      </c>
      <c r="R442" s="42">
        <f>IF(H442="",0,(IF(テーブル22[[#This Row],[性別]]="男",LOOKUP(テーブル22[[#This Row],[握力]],$AH$6:$AI$15),LOOKUP(テーブル22[[#This Row],[握力]],$AH$20:$AI$29))))</f>
        <v>0</v>
      </c>
      <c r="S442" s="42">
        <f>IF(テーブル22[[#This Row],[上体]]="",0,(IF(テーブル22[[#This Row],[性別]]="男",LOOKUP(テーブル22[[#This Row],[上体]],$AJ$6:$AK$15),LOOKUP(テーブル22[[#This Row],[上体]],$AJ$20:$AK$29))))</f>
        <v>0</v>
      </c>
      <c r="T442" s="42">
        <f>IF(テーブル22[[#This Row],[長座]]="",0,(IF(テーブル22[[#This Row],[性別]]="男",LOOKUP(テーブル22[[#This Row],[長座]],$AL$6:$AM$15),LOOKUP(テーブル22[[#This Row],[長座]],$AL$20:$AM$29))))</f>
        <v>0</v>
      </c>
      <c r="U442" s="42">
        <f>IF(テーブル22[[#This Row],[反復]]="",0,(IF(テーブル22[[#This Row],[性別]]="男",LOOKUP(テーブル22[[#This Row],[反復]],$AN$6:$AO$15),LOOKUP(テーブル22[[#This Row],[反復]],$AN$20:$AO$29))))</f>
        <v>0</v>
      </c>
      <c r="V442" s="42">
        <f>IF(テーブル22[[#This Row],[ｼｬﾄﾙﾗﾝ]]="",0,(IF(テーブル22[[#This Row],[性別]]="男",LOOKUP(テーブル22[[#This Row],[ｼｬﾄﾙﾗﾝ]],$AR$6:$AS$15),LOOKUP(テーブル22[[#This Row],[ｼｬﾄﾙﾗﾝ]],$AR$20:$AS$29))))</f>
        <v>0</v>
      </c>
      <c r="W442" s="42">
        <f>IF(テーブル22[[#This Row],[50m走]]="",0,(IF(テーブル22[[#This Row],[性別]]="男",LOOKUP(テーブル22[[#This Row],[50m走]],$AT$6:$AU$15),LOOKUP(テーブル22[[#This Row],[50m走]],$AT$20:$AU$29))))</f>
        <v>0</v>
      </c>
      <c r="X442" s="42">
        <f>IF(テーブル22[[#This Row],[立幅とび]]="",0,(IF(テーブル22[[#This Row],[性別]]="男",LOOKUP(テーブル22[[#This Row],[立幅とび]],$AV$6:$AW$15),LOOKUP(テーブル22[[#This Row],[立幅とび]],$AV$20:$AW$29))))</f>
        <v>0</v>
      </c>
      <c r="Y442" s="42">
        <f>IF(テーブル22[[#This Row],[ボール投げ]]="",0,(IF(テーブル22[[#This Row],[性別]]="男",LOOKUP(テーブル22[[#This Row],[ボール投げ]],$AX$6:$AY$15),LOOKUP(テーブル22[[#This Row],[ボール投げ]],$AX$20:$AY$29))))</f>
        <v>0</v>
      </c>
      <c r="Z442" s="19" t="str">
        <f>IF(テーブル22[[#This Row],[学年]]=1,6,IF(テーブル22[[#This Row],[学年]]=2,7,IF(テーブル22[[#This Row],[学年]]=3,8,IF(テーブル22[[#This Row],[学年]]=4,9,IF(テーブル22[[#This Row],[学年]]=5,10,IF(テーブル22[[#This Row],[学年]]=6,11," "))))))</f>
        <v xml:space="preserve"> </v>
      </c>
      <c r="AA442" s="125" t="str">
        <f>IF(テーブル22[[#This Row],[肥満度数値]]="","",LOOKUP(AC442,$AW$39:$AW$44,$AX$39:$AX$44))</f>
        <v/>
      </c>
      <c r="AB44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2" s="124" t="str">
        <f>IF(テーブル22[[#This Row],[体重]]="","",(テーブル22[[#This Row],[体重]]-テーブル22[[#This Row],[標準体重]])/テーブル22[[#This Row],[標準体重]]*100)</f>
        <v/>
      </c>
      <c r="AD442" s="1">
        <f>COUNTA(テーブル22[[#This Row],[握力]:[ボール投げ]])</f>
        <v>0</v>
      </c>
      <c r="AE442" s="1" t="str">
        <f>IF(テーブル22[[#This Row],[判定]]=$BD$10,"○","")</f>
        <v/>
      </c>
      <c r="AF442" s="1" t="str">
        <f>IF(AE442="","",COUNTIF($AE$6:AE442,"○"))</f>
        <v/>
      </c>
    </row>
    <row r="443" spans="1:32" x14ac:dyDescent="0.2">
      <c r="A443" s="40">
        <v>438</v>
      </c>
      <c r="B443" s="145"/>
      <c r="C443" s="148"/>
      <c r="D443" s="145"/>
      <c r="E443" s="156"/>
      <c r="F443" s="145"/>
      <c r="G443" s="145"/>
      <c r="H443" s="146"/>
      <c r="I443" s="146"/>
      <c r="J443" s="148"/>
      <c r="K443" s="145"/>
      <c r="L443" s="148"/>
      <c r="M443" s="149"/>
      <c r="N443" s="148"/>
      <c r="O443" s="150"/>
      <c r="P44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3" s="43" t="str">
        <f>IF(テーブル22[[#This Row],[得点]]="","",IF(テーブル22[[#This Row],[年齢]]&gt;10,LOOKUP(P443,$BG$6:$BG$10,$BD$6:$BD$10),IF(テーブル22[[#This Row],[年齢]]&gt;9,LOOKUP(P443,$BF$6:$BF$10,$BD$6:$BD$10),IF(テーブル22[[#This Row],[年齢]]&gt;8,LOOKUP(P443,$BE$6:$BE$10,$BD$6:$BD$10),IF(テーブル22[[#This Row],[年齢]]&gt;7,LOOKUP(P443,$BC$6:$BC$10,$BD$6:$BD$10),IF(テーブル22[[#This Row],[年齢]]&gt;6,LOOKUP(P443,$BB$6:$BB$10,$BD$6:$BD$10),LOOKUP(P443,$BA$6:$BA$10,$BD$6:$BD$10)))))))</f>
        <v/>
      </c>
      <c r="R443" s="42">
        <f>IF(H443="",0,(IF(テーブル22[[#This Row],[性別]]="男",LOOKUP(テーブル22[[#This Row],[握力]],$AH$6:$AI$15),LOOKUP(テーブル22[[#This Row],[握力]],$AH$20:$AI$29))))</f>
        <v>0</v>
      </c>
      <c r="S443" s="42">
        <f>IF(テーブル22[[#This Row],[上体]]="",0,(IF(テーブル22[[#This Row],[性別]]="男",LOOKUP(テーブル22[[#This Row],[上体]],$AJ$6:$AK$15),LOOKUP(テーブル22[[#This Row],[上体]],$AJ$20:$AK$29))))</f>
        <v>0</v>
      </c>
      <c r="T443" s="42">
        <f>IF(テーブル22[[#This Row],[長座]]="",0,(IF(テーブル22[[#This Row],[性別]]="男",LOOKUP(テーブル22[[#This Row],[長座]],$AL$6:$AM$15),LOOKUP(テーブル22[[#This Row],[長座]],$AL$20:$AM$29))))</f>
        <v>0</v>
      </c>
      <c r="U443" s="42">
        <f>IF(テーブル22[[#This Row],[反復]]="",0,(IF(テーブル22[[#This Row],[性別]]="男",LOOKUP(テーブル22[[#This Row],[反復]],$AN$6:$AO$15),LOOKUP(テーブル22[[#This Row],[反復]],$AN$20:$AO$29))))</f>
        <v>0</v>
      </c>
      <c r="V443" s="42">
        <f>IF(テーブル22[[#This Row],[ｼｬﾄﾙﾗﾝ]]="",0,(IF(テーブル22[[#This Row],[性別]]="男",LOOKUP(テーブル22[[#This Row],[ｼｬﾄﾙﾗﾝ]],$AR$6:$AS$15),LOOKUP(テーブル22[[#This Row],[ｼｬﾄﾙﾗﾝ]],$AR$20:$AS$29))))</f>
        <v>0</v>
      </c>
      <c r="W443" s="42">
        <f>IF(テーブル22[[#This Row],[50m走]]="",0,(IF(テーブル22[[#This Row],[性別]]="男",LOOKUP(テーブル22[[#This Row],[50m走]],$AT$6:$AU$15),LOOKUP(テーブル22[[#This Row],[50m走]],$AT$20:$AU$29))))</f>
        <v>0</v>
      </c>
      <c r="X443" s="42">
        <f>IF(テーブル22[[#This Row],[立幅とび]]="",0,(IF(テーブル22[[#This Row],[性別]]="男",LOOKUP(テーブル22[[#This Row],[立幅とび]],$AV$6:$AW$15),LOOKUP(テーブル22[[#This Row],[立幅とび]],$AV$20:$AW$29))))</f>
        <v>0</v>
      </c>
      <c r="Y443" s="42">
        <f>IF(テーブル22[[#This Row],[ボール投げ]]="",0,(IF(テーブル22[[#This Row],[性別]]="男",LOOKUP(テーブル22[[#This Row],[ボール投げ]],$AX$6:$AY$15),LOOKUP(テーブル22[[#This Row],[ボール投げ]],$AX$20:$AY$29))))</f>
        <v>0</v>
      </c>
      <c r="Z443" s="19" t="str">
        <f>IF(テーブル22[[#This Row],[学年]]=1,6,IF(テーブル22[[#This Row],[学年]]=2,7,IF(テーブル22[[#This Row],[学年]]=3,8,IF(テーブル22[[#This Row],[学年]]=4,9,IF(テーブル22[[#This Row],[学年]]=5,10,IF(テーブル22[[#This Row],[学年]]=6,11," "))))))</f>
        <v xml:space="preserve"> </v>
      </c>
      <c r="AA443" s="125" t="str">
        <f>IF(テーブル22[[#This Row],[肥満度数値]]="","",LOOKUP(AC443,$AW$39:$AW$44,$AX$39:$AX$44))</f>
        <v/>
      </c>
      <c r="AB44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3" s="124" t="str">
        <f>IF(テーブル22[[#This Row],[体重]]="","",(テーブル22[[#This Row],[体重]]-テーブル22[[#This Row],[標準体重]])/テーブル22[[#This Row],[標準体重]]*100)</f>
        <v/>
      </c>
      <c r="AD443" s="1">
        <f>COUNTA(テーブル22[[#This Row],[握力]:[ボール投げ]])</f>
        <v>0</v>
      </c>
      <c r="AE443" s="1" t="str">
        <f>IF(テーブル22[[#This Row],[判定]]=$BD$10,"○","")</f>
        <v/>
      </c>
      <c r="AF443" s="1" t="str">
        <f>IF(AE443="","",COUNTIF($AE$6:AE443,"○"))</f>
        <v/>
      </c>
    </row>
    <row r="444" spans="1:32" x14ac:dyDescent="0.2">
      <c r="A444" s="40">
        <v>439</v>
      </c>
      <c r="B444" s="145"/>
      <c r="C444" s="148"/>
      <c r="D444" s="145"/>
      <c r="E444" s="156"/>
      <c r="F444" s="145"/>
      <c r="G444" s="145"/>
      <c r="H444" s="146"/>
      <c r="I444" s="146"/>
      <c r="J444" s="148"/>
      <c r="K444" s="145"/>
      <c r="L444" s="148"/>
      <c r="M444" s="149"/>
      <c r="N444" s="148"/>
      <c r="O444" s="150"/>
      <c r="P44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4" s="43" t="str">
        <f>IF(テーブル22[[#This Row],[得点]]="","",IF(テーブル22[[#This Row],[年齢]]&gt;10,LOOKUP(P444,$BG$6:$BG$10,$BD$6:$BD$10),IF(テーブル22[[#This Row],[年齢]]&gt;9,LOOKUP(P444,$BF$6:$BF$10,$BD$6:$BD$10),IF(テーブル22[[#This Row],[年齢]]&gt;8,LOOKUP(P444,$BE$6:$BE$10,$BD$6:$BD$10),IF(テーブル22[[#This Row],[年齢]]&gt;7,LOOKUP(P444,$BC$6:$BC$10,$BD$6:$BD$10),IF(テーブル22[[#This Row],[年齢]]&gt;6,LOOKUP(P444,$BB$6:$BB$10,$BD$6:$BD$10),LOOKUP(P444,$BA$6:$BA$10,$BD$6:$BD$10)))))))</f>
        <v/>
      </c>
      <c r="R444" s="42">
        <f>IF(H444="",0,(IF(テーブル22[[#This Row],[性別]]="男",LOOKUP(テーブル22[[#This Row],[握力]],$AH$6:$AI$15),LOOKUP(テーブル22[[#This Row],[握力]],$AH$20:$AI$29))))</f>
        <v>0</v>
      </c>
      <c r="S444" s="42">
        <f>IF(テーブル22[[#This Row],[上体]]="",0,(IF(テーブル22[[#This Row],[性別]]="男",LOOKUP(テーブル22[[#This Row],[上体]],$AJ$6:$AK$15),LOOKUP(テーブル22[[#This Row],[上体]],$AJ$20:$AK$29))))</f>
        <v>0</v>
      </c>
      <c r="T444" s="42">
        <f>IF(テーブル22[[#This Row],[長座]]="",0,(IF(テーブル22[[#This Row],[性別]]="男",LOOKUP(テーブル22[[#This Row],[長座]],$AL$6:$AM$15),LOOKUP(テーブル22[[#This Row],[長座]],$AL$20:$AM$29))))</f>
        <v>0</v>
      </c>
      <c r="U444" s="42">
        <f>IF(テーブル22[[#This Row],[反復]]="",0,(IF(テーブル22[[#This Row],[性別]]="男",LOOKUP(テーブル22[[#This Row],[反復]],$AN$6:$AO$15),LOOKUP(テーブル22[[#This Row],[反復]],$AN$20:$AO$29))))</f>
        <v>0</v>
      </c>
      <c r="V444" s="42">
        <f>IF(テーブル22[[#This Row],[ｼｬﾄﾙﾗﾝ]]="",0,(IF(テーブル22[[#This Row],[性別]]="男",LOOKUP(テーブル22[[#This Row],[ｼｬﾄﾙﾗﾝ]],$AR$6:$AS$15),LOOKUP(テーブル22[[#This Row],[ｼｬﾄﾙﾗﾝ]],$AR$20:$AS$29))))</f>
        <v>0</v>
      </c>
      <c r="W444" s="42">
        <f>IF(テーブル22[[#This Row],[50m走]]="",0,(IF(テーブル22[[#This Row],[性別]]="男",LOOKUP(テーブル22[[#This Row],[50m走]],$AT$6:$AU$15),LOOKUP(テーブル22[[#This Row],[50m走]],$AT$20:$AU$29))))</f>
        <v>0</v>
      </c>
      <c r="X444" s="42">
        <f>IF(テーブル22[[#This Row],[立幅とび]]="",0,(IF(テーブル22[[#This Row],[性別]]="男",LOOKUP(テーブル22[[#This Row],[立幅とび]],$AV$6:$AW$15),LOOKUP(テーブル22[[#This Row],[立幅とび]],$AV$20:$AW$29))))</f>
        <v>0</v>
      </c>
      <c r="Y444" s="42">
        <f>IF(テーブル22[[#This Row],[ボール投げ]]="",0,(IF(テーブル22[[#This Row],[性別]]="男",LOOKUP(テーブル22[[#This Row],[ボール投げ]],$AX$6:$AY$15),LOOKUP(テーブル22[[#This Row],[ボール投げ]],$AX$20:$AY$29))))</f>
        <v>0</v>
      </c>
      <c r="Z444" s="19" t="str">
        <f>IF(テーブル22[[#This Row],[学年]]=1,6,IF(テーブル22[[#This Row],[学年]]=2,7,IF(テーブル22[[#This Row],[学年]]=3,8,IF(テーブル22[[#This Row],[学年]]=4,9,IF(テーブル22[[#This Row],[学年]]=5,10,IF(テーブル22[[#This Row],[学年]]=6,11," "))))))</f>
        <v xml:space="preserve"> </v>
      </c>
      <c r="AA444" s="125" t="str">
        <f>IF(テーブル22[[#This Row],[肥満度数値]]="","",LOOKUP(AC444,$AW$39:$AW$44,$AX$39:$AX$44))</f>
        <v/>
      </c>
      <c r="AB44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4" s="124" t="str">
        <f>IF(テーブル22[[#This Row],[体重]]="","",(テーブル22[[#This Row],[体重]]-テーブル22[[#This Row],[標準体重]])/テーブル22[[#This Row],[標準体重]]*100)</f>
        <v/>
      </c>
      <c r="AD444" s="1">
        <f>COUNTA(テーブル22[[#This Row],[握力]:[ボール投げ]])</f>
        <v>0</v>
      </c>
      <c r="AE444" s="1" t="str">
        <f>IF(テーブル22[[#This Row],[判定]]=$BD$10,"○","")</f>
        <v/>
      </c>
      <c r="AF444" s="1" t="str">
        <f>IF(AE444="","",COUNTIF($AE$6:AE444,"○"))</f>
        <v/>
      </c>
    </row>
    <row r="445" spans="1:32" x14ac:dyDescent="0.2">
      <c r="A445" s="40">
        <v>440</v>
      </c>
      <c r="B445" s="145"/>
      <c r="C445" s="148"/>
      <c r="D445" s="145"/>
      <c r="E445" s="156"/>
      <c r="F445" s="145"/>
      <c r="G445" s="145"/>
      <c r="H445" s="146"/>
      <c r="I445" s="146"/>
      <c r="J445" s="148"/>
      <c r="K445" s="145"/>
      <c r="L445" s="148"/>
      <c r="M445" s="149"/>
      <c r="N445" s="148"/>
      <c r="O445" s="150"/>
      <c r="P44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5" s="43" t="str">
        <f>IF(テーブル22[[#This Row],[得点]]="","",IF(テーブル22[[#This Row],[年齢]]&gt;10,LOOKUP(P445,$BG$6:$BG$10,$BD$6:$BD$10),IF(テーブル22[[#This Row],[年齢]]&gt;9,LOOKUP(P445,$BF$6:$BF$10,$BD$6:$BD$10),IF(テーブル22[[#This Row],[年齢]]&gt;8,LOOKUP(P445,$BE$6:$BE$10,$BD$6:$BD$10),IF(テーブル22[[#This Row],[年齢]]&gt;7,LOOKUP(P445,$BC$6:$BC$10,$BD$6:$BD$10),IF(テーブル22[[#This Row],[年齢]]&gt;6,LOOKUP(P445,$BB$6:$BB$10,$BD$6:$BD$10),LOOKUP(P445,$BA$6:$BA$10,$BD$6:$BD$10)))))))</f>
        <v/>
      </c>
      <c r="R445" s="42">
        <f>IF(H445="",0,(IF(テーブル22[[#This Row],[性別]]="男",LOOKUP(テーブル22[[#This Row],[握力]],$AH$6:$AI$15),LOOKUP(テーブル22[[#This Row],[握力]],$AH$20:$AI$29))))</f>
        <v>0</v>
      </c>
      <c r="S445" s="42">
        <f>IF(テーブル22[[#This Row],[上体]]="",0,(IF(テーブル22[[#This Row],[性別]]="男",LOOKUP(テーブル22[[#This Row],[上体]],$AJ$6:$AK$15),LOOKUP(テーブル22[[#This Row],[上体]],$AJ$20:$AK$29))))</f>
        <v>0</v>
      </c>
      <c r="T445" s="42">
        <f>IF(テーブル22[[#This Row],[長座]]="",0,(IF(テーブル22[[#This Row],[性別]]="男",LOOKUP(テーブル22[[#This Row],[長座]],$AL$6:$AM$15),LOOKUP(テーブル22[[#This Row],[長座]],$AL$20:$AM$29))))</f>
        <v>0</v>
      </c>
      <c r="U445" s="42">
        <f>IF(テーブル22[[#This Row],[反復]]="",0,(IF(テーブル22[[#This Row],[性別]]="男",LOOKUP(テーブル22[[#This Row],[反復]],$AN$6:$AO$15),LOOKUP(テーブル22[[#This Row],[反復]],$AN$20:$AO$29))))</f>
        <v>0</v>
      </c>
      <c r="V445" s="42">
        <f>IF(テーブル22[[#This Row],[ｼｬﾄﾙﾗﾝ]]="",0,(IF(テーブル22[[#This Row],[性別]]="男",LOOKUP(テーブル22[[#This Row],[ｼｬﾄﾙﾗﾝ]],$AR$6:$AS$15),LOOKUP(テーブル22[[#This Row],[ｼｬﾄﾙﾗﾝ]],$AR$20:$AS$29))))</f>
        <v>0</v>
      </c>
      <c r="W445" s="42">
        <f>IF(テーブル22[[#This Row],[50m走]]="",0,(IF(テーブル22[[#This Row],[性別]]="男",LOOKUP(テーブル22[[#This Row],[50m走]],$AT$6:$AU$15),LOOKUP(テーブル22[[#This Row],[50m走]],$AT$20:$AU$29))))</f>
        <v>0</v>
      </c>
      <c r="X445" s="42">
        <f>IF(テーブル22[[#This Row],[立幅とび]]="",0,(IF(テーブル22[[#This Row],[性別]]="男",LOOKUP(テーブル22[[#This Row],[立幅とび]],$AV$6:$AW$15),LOOKUP(テーブル22[[#This Row],[立幅とび]],$AV$20:$AW$29))))</f>
        <v>0</v>
      </c>
      <c r="Y445" s="42">
        <f>IF(テーブル22[[#This Row],[ボール投げ]]="",0,(IF(テーブル22[[#This Row],[性別]]="男",LOOKUP(テーブル22[[#This Row],[ボール投げ]],$AX$6:$AY$15),LOOKUP(テーブル22[[#This Row],[ボール投げ]],$AX$20:$AY$29))))</f>
        <v>0</v>
      </c>
      <c r="Z445" s="19" t="str">
        <f>IF(テーブル22[[#This Row],[学年]]=1,6,IF(テーブル22[[#This Row],[学年]]=2,7,IF(テーブル22[[#This Row],[学年]]=3,8,IF(テーブル22[[#This Row],[学年]]=4,9,IF(テーブル22[[#This Row],[学年]]=5,10,IF(テーブル22[[#This Row],[学年]]=6,11," "))))))</f>
        <v xml:space="preserve"> </v>
      </c>
      <c r="AA445" s="125" t="str">
        <f>IF(テーブル22[[#This Row],[肥満度数値]]="","",LOOKUP(AC445,$AW$39:$AW$44,$AX$39:$AX$44))</f>
        <v/>
      </c>
      <c r="AB44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5" s="124" t="str">
        <f>IF(テーブル22[[#This Row],[体重]]="","",(テーブル22[[#This Row],[体重]]-テーブル22[[#This Row],[標準体重]])/テーブル22[[#This Row],[標準体重]]*100)</f>
        <v/>
      </c>
      <c r="AD445" s="1">
        <f>COUNTA(テーブル22[[#This Row],[握力]:[ボール投げ]])</f>
        <v>0</v>
      </c>
      <c r="AE445" s="1" t="str">
        <f>IF(テーブル22[[#This Row],[判定]]=$BD$10,"○","")</f>
        <v/>
      </c>
      <c r="AF445" s="1" t="str">
        <f>IF(AE445="","",COUNTIF($AE$6:AE445,"○"))</f>
        <v/>
      </c>
    </row>
    <row r="446" spans="1:32" x14ac:dyDescent="0.2">
      <c r="A446" s="40">
        <v>441</v>
      </c>
      <c r="B446" s="145"/>
      <c r="C446" s="148"/>
      <c r="D446" s="145"/>
      <c r="E446" s="156"/>
      <c r="F446" s="145"/>
      <c r="G446" s="145"/>
      <c r="H446" s="146"/>
      <c r="I446" s="146"/>
      <c r="J446" s="148"/>
      <c r="K446" s="145"/>
      <c r="L446" s="148"/>
      <c r="M446" s="149"/>
      <c r="N446" s="148"/>
      <c r="O446" s="150"/>
      <c r="P44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6" s="43" t="str">
        <f>IF(テーブル22[[#This Row],[得点]]="","",IF(テーブル22[[#This Row],[年齢]]&gt;10,LOOKUP(P446,$BG$6:$BG$10,$BD$6:$BD$10),IF(テーブル22[[#This Row],[年齢]]&gt;9,LOOKUP(P446,$BF$6:$BF$10,$BD$6:$BD$10),IF(テーブル22[[#This Row],[年齢]]&gt;8,LOOKUP(P446,$BE$6:$BE$10,$BD$6:$BD$10),IF(テーブル22[[#This Row],[年齢]]&gt;7,LOOKUP(P446,$BC$6:$BC$10,$BD$6:$BD$10),IF(テーブル22[[#This Row],[年齢]]&gt;6,LOOKUP(P446,$BB$6:$BB$10,$BD$6:$BD$10),LOOKUP(P446,$BA$6:$BA$10,$BD$6:$BD$10)))))))</f>
        <v/>
      </c>
      <c r="R446" s="42">
        <f>IF(H446="",0,(IF(テーブル22[[#This Row],[性別]]="男",LOOKUP(テーブル22[[#This Row],[握力]],$AH$6:$AI$15),LOOKUP(テーブル22[[#This Row],[握力]],$AH$20:$AI$29))))</f>
        <v>0</v>
      </c>
      <c r="S446" s="42">
        <f>IF(テーブル22[[#This Row],[上体]]="",0,(IF(テーブル22[[#This Row],[性別]]="男",LOOKUP(テーブル22[[#This Row],[上体]],$AJ$6:$AK$15),LOOKUP(テーブル22[[#This Row],[上体]],$AJ$20:$AK$29))))</f>
        <v>0</v>
      </c>
      <c r="T446" s="42">
        <f>IF(テーブル22[[#This Row],[長座]]="",0,(IF(テーブル22[[#This Row],[性別]]="男",LOOKUP(テーブル22[[#This Row],[長座]],$AL$6:$AM$15),LOOKUP(テーブル22[[#This Row],[長座]],$AL$20:$AM$29))))</f>
        <v>0</v>
      </c>
      <c r="U446" s="42">
        <f>IF(テーブル22[[#This Row],[反復]]="",0,(IF(テーブル22[[#This Row],[性別]]="男",LOOKUP(テーブル22[[#This Row],[反復]],$AN$6:$AO$15),LOOKUP(テーブル22[[#This Row],[反復]],$AN$20:$AO$29))))</f>
        <v>0</v>
      </c>
      <c r="V446" s="42">
        <f>IF(テーブル22[[#This Row],[ｼｬﾄﾙﾗﾝ]]="",0,(IF(テーブル22[[#This Row],[性別]]="男",LOOKUP(テーブル22[[#This Row],[ｼｬﾄﾙﾗﾝ]],$AR$6:$AS$15),LOOKUP(テーブル22[[#This Row],[ｼｬﾄﾙﾗﾝ]],$AR$20:$AS$29))))</f>
        <v>0</v>
      </c>
      <c r="W446" s="42">
        <f>IF(テーブル22[[#This Row],[50m走]]="",0,(IF(テーブル22[[#This Row],[性別]]="男",LOOKUP(テーブル22[[#This Row],[50m走]],$AT$6:$AU$15),LOOKUP(テーブル22[[#This Row],[50m走]],$AT$20:$AU$29))))</f>
        <v>0</v>
      </c>
      <c r="X446" s="42">
        <f>IF(テーブル22[[#This Row],[立幅とび]]="",0,(IF(テーブル22[[#This Row],[性別]]="男",LOOKUP(テーブル22[[#This Row],[立幅とび]],$AV$6:$AW$15),LOOKUP(テーブル22[[#This Row],[立幅とび]],$AV$20:$AW$29))))</f>
        <v>0</v>
      </c>
      <c r="Y446" s="42">
        <f>IF(テーブル22[[#This Row],[ボール投げ]]="",0,(IF(テーブル22[[#This Row],[性別]]="男",LOOKUP(テーブル22[[#This Row],[ボール投げ]],$AX$6:$AY$15),LOOKUP(テーブル22[[#This Row],[ボール投げ]],$AX$20:$AY$29))))</f>
        <v>0</v>
      </c>
      <c r="Z446" s="19" t="str">
        <f>IF(テーブル22[[#This Row],[学年]]=1,6,IF(テーブル22[[#This Row],[学年]]=2,7,IF(テーブル22[[#This Row],[学年]]=3,8,IF(テーブル22[[#This Row],[学年]]=4,9,IF(テーブル22[[#This Row],[学年]]=5,10,IF(テーブル22[[#This Row],[学年]]=6,11," "))))))</f>
        <v xml:space="preserve"> </v>
      </c>
      <c r="AA446" s="125" t="str">
        <f>IF(テーブル22[[#This Row],[肥満度数値]]="","",LOOKUP(AC446,$AW$39:$AW$44,$AX$39:$AX$44))</f>
        <v/>
      </c>
      <c r="AB44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6" s="124" t="str">
        <f>IF(テーブル22[[#This Row],[体重]]="","",(テーブル22[[#This Row],[体重]]-テーブル22[[#This Row],[標準体重]])/テーブル22[[#This Row],[標準体重]]*100)</f>
        <v/>
      </c>
      <c r="AD446" s="1">
        <f>COUNTA(テーブル22[[#This Row],[握力]:[ボール投げ]])</f>
        <v>0</v>
      </c>
      <c r="AE446" s="1" t="str">
        <f>IF(テーブル22[[#This Row],[判定]]=$BD$10,"○","")</f>
        <v/>
      </c>
      <c r="AF446" s="1" t="str">
        <f>IF(AE446="","",COUNTIF($AE$6:AE446,"○"))</f>
        <v/>
      </c>
    </row>
    <row r="447" spans="1:32" x14ac:dyDescent="0.2">
      <c r="A447" s="40">
        <v>442</v>
      </c>
      <c r="B447" s="145"/>
      <c r="C447" s="148"/>
      <c r="D447" s="145"/>
      <c r="E447" s="156"/>
      <c r="F447" s="145"/>
      <c r="G447" s="145"/>
      <c r="H447" s="146"/>
      <c r="I447" s="146"/>
      <c r="J447" s="148"/>
      <c r="K447" s="145"/>
      <c r="L447" s="148"/>
      <c r="M447" s="149"/>
      <c r="N447" s="148"/>
      <c r="O447" s="150"/>
      <c r="P44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7" s="43" t="str">
        <f>IF(テーブル22[[#This Row],[得点]]="","",IF(テーブル22[[#This Row],[年齢]]&gt;10,LOOKUP(P447,$BG$6:$BG$10,$BD$6:$BD$10),IF(テーブル22[[#This Row],[年齢]]&gt;9,LOOKUP(P447,$BF$6:$BF$10,$BD$6:$BD$10),IF(テーブル22[[#This Row],[年齢]]&gt;8,LOOKUP(P447,$BE$6:$BE$10,$BD$6:$BD$10),IF(テーブル22[[#This Row],[年齢]]&gt;7,LOOKUP(P447,$BC$6:$BC$10,$BD$6:$BD$10),IF(テーブル22[[#This Row],[年齢]]&gt;6,LOOKUP(P447,$BB$6:$BB$10,$BD$6:$BD$10),LOOKUP(P447,$BA$6:$BA$10,$BD$6:$BD$10)))))))</f>
        <v/>
      </c>
      <c r="R447" s="42">
        <f>IF(H447="",0,(IF(テーブル22[[#This Row],[性別]]="男",LOOKUP(テーブル22[[#This Row],[握力]],$AH$6:$AI$15),LOOKUP(テーブル22[[#This Row],[握力]],$AH$20:$AI$29))))</f>
        <v>0</v>
      </c>
      <c r="S447" s="42">
        <f>IF(テーブル22[[#This Row],[上体]]="",0,(IF(テーブル22[[#This Row],[性別]]="男",LOOKUP(テーブル22[[#This Row],[上体]],$AJ$6:$AK$15),LOOKUP(テーブル22[[#This Row],[上体]],$AJ$20:$AK$29))))</f>
        <v>0</v>
      </c>
      <c r="T447" s="42">
        <f>IF(テーブル22[[#This Row],[長座]]="",0,(IF(テーブル22[[#This Row],[性別]]="男",LOOKUP(テーブル22[[#This Row],[長座]],$AL$6:$AM$15),LOOKUP(テーブル22[[#This Row],[長座]],$AL$20:$AM$29))))</f>
        <v>0</v>
      </c>
      <c r="U447" s="42">
        <f>IF(テーブル22[[#This Row],[反復]]="",0,(IF(テーブル22[[#This Row],[性別]]="男",LOOKUP(テーブル22[[#This Row],[反復]],$AN$6:$AO$15),LOOKUP(テーブル22[[#This Row],[反復]],$AN$20:$AO$29))))</f>
        <v>0</v>
      </c>
      <c r="V447" s="42">
        <f>IF(テーブル22[[#This Row],[ｼｬﾄﾙﾗﾝ]]="",0,(IF(テーブル22[[#This Row],[性別]]="男",LOOKUP(テーブル22[[#This Row],[ｼｬﾄﾙﾗﾝ]],$AR$6:$AS$15),LOOKUP(テーブル22[[#This Row],[ｼｬﾄﾙﾗﾝ]],$AR$20:$AS$29))))</f>
        <v>0</v>
      </c>
      <c r="W447" s="42">
        <f>IF(テーブル22[[#This Row],[50m走]]="",0,(IF(テーブル22[[#This Row],[性別]]="男",LOOKUP(テーブル22[[#This Row],[50m走]],$AT$6:$AU$15),LOOKUP(テーブル22[[#This Row],[50m走]],$AT$20:$AU$29))))</f>
        <v>0</v>
      </c>
      <c r="X447" s="42">
        <f>IF(テーブル22[[#This Row],[立幅とび]]="",0,(IF(テーブル22[[#This Row],[性別]]="男",LOOKUP(テーブル22[[#This Row],[立幅とび]],$AV$6:$AW$15),LOOKUP(テーブル22[[#This Row],[立幅とび]],$AV$20:$AW$29))))</f>
        <v>0</v>
      </c>
      <c r="Y447" s="42">
        <f>IF(テーブル22[[#This Row],[ボール投げ]]="",0,(IF(テーブル22[[#This Row],[性別]]="男",LOOKUP(テーブル22[[#This Row],[ボール投げ]],$AX$6:$AY$15),LOOKUP(テーブル22[[#This Row],[ボール投げ]],$AX$20:$AY$29))))</f>
        <v>0</v>
      </c>
      <c r="Z447" s="19" t="str">
        <f>IF(テーブル22[[#This Row],[学年]]=1,6,IF(テーブル22[[#This Row],[学年]]=2,7,IF(テーブル22[[#This Row],[学年]]=3,8,IF(テーブル22[[#This Row],[学年]]=4,9,IF(テーブル22[[#This Row],[学年]]=5,10,IF(テーブル22[[#This Row],[学年]]=6,11," "))))))</f>
        <v xml:space="preserve"> </v>
      </c>
      <c r="AA447" s="125" t="str">
        <f>IF(テーブル22[[#This Row],[肥満度数値]]="","",LOOKUP(AC447,$AW$39:$AW$44,$AX$39:$AX$44))</f>
        <v/>
      </c>
      <c r="AB44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7" s="124" t="str">
        <f>IF(テーブル22[[#This Row],[体重]]="","",(テーブル22[[#This Row],[体重]]-テーブル22[[#This Row],[標準体重]])/テーブル22[[#This Row],[標準体重]]*100)</f>
        <v/>
      </c>
      <c r="AD447" s="1">
        <f>COUNTA(テーブル22[[#This Row],[握力]:[ボール投げ]])</f>
        <v>0</v>
      </c>
      <c r="AE447" s="1" t="str">
        <f>IF(テーブル22[[#This Row],[判定]]=$BD$10,"○","")</f>
        <v/>
      </c>
      <c r="AF447" s="1" t="str">
        <f>IF(AE447="","",COUNTIF($AE$6:AE447,"○"))</f>
        <v/>
      </c>
    </row>
    <row r="448" spans="1:32" x14ac:dyDescent="0.2">
      <c r="A448" s="40">
        <v>443</v>
      </c>
      <c r="B448" s="145"/>
      <c r="C448" s="148"/>
      <c r="D448" s="145"/>
      <c r="E448" s="156"/>
      <c r="F448" s="145"/>
      <c r="G448" s="145"/>
      <c r="H448" s="146"/>
      <c r="I448" s="146"/>
      <c r="J448" s="148"/>
      <c r="K448" s="145"/>
      <c r="L448" s="148"/>
      <c r="M448" s="149"/>
      <c r="N448" s="148"/>
      <c r="O448" s="150"/>
      <c r="P44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8" s="43" t="str">
        <f>IF(テーブル22[[#This Row],[得点]]="","",IF(テーブル22[[#This Row],[年齢]]&gt;10,LOOKUP(P448,$BG$6:$BG$10,$BD$6:$BD$10),IF(テーブル22[[#This Row],[年齢]]&gt;9,LOOKUP(P448,$BF$6:$BF$10,$BD$6:$BD$10),IF(テーブル22[[#This Row],[年齢]]&gt;8,LOOKUP(P448,$BE$6:$BE$10,$BD$6:$BD$10),IF(テーブル22[[#This Row],[年齢]]&gt;7,LOOKUP(P448,$BC$6:$BC$10,$BD$6:$BD$10),IF(テーブル22[[#This Row],[年齢]]&gt;6,LOOKUP(P448,$BB$6:$BB$10,$BD$6:$BD$10),LOOKUP(P448,$BA$6:$BA$10,$BD$6:$BD$10)))))))</f>
        <v/>
      </c>
      <c r="R448" s="42">
        <f>IF(H448="",0,(IF(テーブル22[[#This Row],[性別]]="男",LOOKUP(テーブル22[[#This Row],[握力]],$AH$6:$AI$15),LOOKUP(テーブル22[[#This Row],[握力]],$AH$20:$AI$29))))</f>
        <v>0</v>
      </c>
      <c r="S448" s="42">
        <f>IF(テーブル22[[#This Row],[上体]]="",0,(IF(テーブル22[[#This Row],[性別]]="男",LOOKUP(テーブル22[[#This Row],[上体]],$AJ$6:$AK$15),LOOKUP(テーブル22[[#This Row],[上体]],$AJ$20:$AK$29))))</f>
        <v>0</v>
      </c>
      <c r="T448" s="42">
        <f>IF(テーブル22[[#This Row],[長座]]="",0,(IF(テーブル22[[#This Row],[性別]]="男",LOOKUP(テーブル22[[#This Row],[長座]],$AL$6:$AM$15),LOOKUP(テーブル22[[#This Row],[長座]],$AL$20:$AM$29))))</f>
        <v>0</v>
      </c>
      <c r="U448" s="42">
        <f>IF(テーブル22[[#This Row],[反復]]="",0,(IF(テーブル22[[#This Row],[性別]]="男",LOOKUP(テーブル22[[#This Row],[反復]],$AN$6:$AO$15),LOOKUP(テーブル22[[#This Row],[反復]],$AN$20:$AO$29))))</f>
        <v>0</v>
      </c>
      <c r="V448" s="42">
        <f>IF(テーブル22[[#This Row],[ｼｬﾄﾙﾗﾝ]]="",0,(IF(テーブル22[[#This Row],[性別]]="男",LOOKUP(テーブル22[[#This Row],[ｼｬﾄﾙﾗﾝ]],$AR$6:$AS$15),LOOKUP(テーブル22[[#This Row],[ｼｬﾄﾙﾗﾝ]],$AR$20:$AS$29))))</f>
        <v>0</v>
      </c>
      <c r="W448" s="42">
        <f>IF(テーブル22[[#This Row],[50m走]]="",0,(IF(テーブル22[[#This Row],[性別]]="男",LOOKUP(テーブル22[[#This Row],[50m走]],$AT$6:$AU$15),LOOKUP(テーブル22[[#This Row],[50m走]],$AT$20:$AU$29))))</f>
        <v>0</v>
      </c>
      <c r="X448" s="42">
        <f>IF(テーブル22[[#This Row],[立幅とび]]="",0,(IF(テーブル22[[#This Row],[性別]]="男",LOOKUP(テーブル22[[#This Row],[立幅とび]],$AV$6:$AW$15),LOOKUP(テーブル22[[#This Row],[立幅とび]],$AV$20:$AW$29))))</f>
        <v>0</v>
      </c>
      <c r="Y448" s="42">
        <f>IF(テーブル22[[#This Row],[ボール投げ]]="",0,(IF(テーブル22[[#This Row],[性別]]="男",LOOKUP(テーブル22[[#This Row],[ボール投げ]],$AX$6:$AY$15),LOOKUP(テーブル22[[#This Row],[ボール投げ]],$AX$20:$AY$29))))</f>
        <v>0</v>
      </c>
      <c r="Z448" s="19" t="str">
        <f>IF(テーブル22[[#This Row],[学年]]=1,6,IF(テーブル22[[#This Row],[学年]]=2,7,IF(テーブル22[[#This Row],[学年]]=3,8,IF(テーブル22[[#This Row],[学年]]=4,9,IF(テーブル22[[#This Row],[学年]]=5,10,IF(テーブル22[[#This Row],[学年]]=6,11," "))))))</f>
        <v xml:space="preserve"> </v>
      </c>
      <c r="AA448" s="125" t="str">
        <f>IF(テーブル22[[#This Row],[肥満度数値]]="","",LOOKUP(AC448,$AW$39:$AW$44,$AX$39:$AX$44))</f>
        <v/>
      </c>
      <c r="AB44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8" s="124" t="str">
        <f>IF(テーブル22[[#This Row],[体重]]="","",(テーブル22[[#This Row],[体重]]-テーブル22[[#This Row],[標準体重]])/テーブル22[[#This Row],[標準体重]]*100)</f>
        <v/>
      </c>
      <c r="AD448" s="1">
        <f>COUNTA(テーブル22[[#This Row],[握力]:[ボール投げ]])</f>
        <v>0</v>
      </c>
      <c r="AE448" s="1" t="str">
        <f>IF(テーブル22[[#This Row],[判定]]=$BD$10,"○","")</f>
        <v/>
      </c>
      <c r="AF448" s="1" t="str">
        <f>IF(AE448="","",COUNTIF($AE$6:AE448,"○"))</f>
        <v/>
      </c>
    </row>
    <row r="449" spans="1:32" x14ac:dyDescent="0.2">
      <c r="A449" s="40">
        <v>444</v>
      </c>
      <c r="B449" s="145"/>
      <c r="C449" s="148"/>
      <c r="D449" s="145"/>
      <c r="E449" s="156"/>
      <c r="F449" s="145"/>
      <c r="G449" s="145"/>
      <c r="H449" s="146"/>
      <c r="I449" s="146"/>
      <c r="J449" s="148"/>
      <c r="K449" s="145"/>
      <c r="L449" s="148"/>
      <c r="M449" s="149"/>
      <c r="N449" s="148"/>
      <c r="O449" s="150"/>
      <c r="P44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49" s="43" t="str">
        <f>IF(テーブル22[[#This Row],[得点]]="","",IF(テーブル22[[#This Row],[年齢]]&gt;10,LOOKUP(P449,$BG$6:$BG$10,$BD$6:$BD$10),IF(テーブル22[[#This Row],[年齢]]&gt;9,LOOKUP(P449,$BF$6:$BF$10,$BD$6:$BD$10),IF(テーブル22[[#This Row],[年齢]]&gt;8,LOOKUP(P449,$BE$6:$BE$10,$BD$6:$BD$10),IF(テーブル22[[#This Row],[年齢]]&gt;7,LOOKUP(P449,$BC$6:$BC$10,$BD$6:$BD$10),IF(テーブル22[[#This Row],[年齢]]&gt;6,LOOKUP(P449,$BB$6:$BB$10,$BD$6:$BD$10),LOOKUP(P449,$BA$6:$BA$10,$BD$6:$BD$10)))))))</f>
        <v/>
      </c>
      <c r="R449" s="42">
        <f>IF(H449="",0,(IF(テーブル22[[#This Row],[性別]]="男",LOOKUP(テーブル22[[#This Row],[握力]],$AH$6:$AI$15),LOOKUP(テーブル22[[#This Row],[握力]],$AH$20:$AI$29))))</f>
        <v>0</v>
      </c>
      <c r="S449" s="42">
        <f>IF(テーブル22[[#This Row],[上体]]="",0,(IF(テーブル22[[#This Row],[性別]]="男",LOOKUP(テーブル22[[#This Row],[上体]],$AJ$6:$AK$15),LOOKUP(テーブル22[[#This Row],[上体]],$AJ$20:$AK$29))))</f>
        <v>0</v>
      </c>
      <c r="T449" s="42">
        <f>IF(テーブル22[[#This Row],[長座]]="",0,(IF(テーブル22[[#This Row],[性別]]="男",LOOKUP(テーブル22[[#This Row],[長座]],$AL$6:$AM$15),LOOKUP(テーブル22[[#This Row],[長座]],$AL$20:$AM$29))))</f>
        <v>0</v>
      </c>
      <c r="U449" s="42">
        <f>IF(テーブル22[[#This Row],[反復]]="",0,(IF(テーブル22[[#This Row],[性別]]="男",LOOKUP(テーブル22[[#This Row],[反復]],$AN$6:$AO$15),LOOKUP(テーブル22[[#This Row],[反復]],$AN$20:$AO$29))))</f>
        <v>0</v>
      </c>
      <c r="V449" s="42">
        <f>IF(テーブル22[[#This Row],[ｼｬﾄﾙﾗﾝ]]="",0,(IF(テーブル22[[#This Row],[性別]]="男",LOOKUP(テーブル22[[#This Row],[ｼｬﾄﾙﾗﾝ]],$AR$6:$AS$15),LOOKUP(テーブル22[[#This Row],[ｼｬﾄﾙﾗﾝ]],$AR$20:$AS$29))))</f>
        <v>0</v>
      </c>
      <c r="W449" s="42">
        <f>IF(テーブル22[[#This Row],[50m走]]="",0,(IF(テーブル22[[#This Row],[性別]]="男",LOOKUP(テーブル22[[#This Row],[50m走]],$AT$6:$AU$15),LOOKUP(テーブル22[[#This Row],[50m走]],$AT$20:$AU$29))))</f>
        <v>0</v>
      </c>
      <c r="X449" s="42">
        <f>IF(テーブル22[[#This Row],[立幅とび]]="",0,(IF(テーブル22[[#This Row],[性別]]="男",LOOKUP(テーブル22[[#This Row],[立幅とび]],$AV$6:$AW$15),LOOKUP(テーブル22[[#This Row],[立幅とび]],$AV$20:$AW$29))))</f>
        <v>0</v>
      </c>
      <c r="Y449" s="42">
        <f>IF(テーブル22[[#This Row],[ボール投げ]]="",0,(IF(テーブル22[[#This Row],[性別]]="男",LOOKUP(テーブル22[[#This Row],[ボール投げ]],$AX$6:$AY$15),LOOKUP(テーブル22[[#This Row],[ボール投げ]],$AX$20:$AY$29))))</f>
        <v>0</v>
      </c>
      <c r="Z449" s="19" t="str">
        <f>IF(テーブル22[[#This Row],[学年]]=1,6,IF(テーブル22[[#This Row],[学年]]=2,7,IF(テーブル22[[#This Row],[学年]]=3,8,IF(テーブル22[[#This Row],[学年]]=4,9,IF(テーブル22[[#This Row],[学年]]=5,10,IF(テーブル22[[#This Row],[学年]]=6,11," "))))))</f>
        <v xml:space="preserve"> </v>
      </c>
      <c r="AA449" s="125" t="str">
        <f>IF(テーブル22[[#This Row],[肥満度数値]]="","",LOOKUP(AC449,$AW$39:$AW$44,$AX$39:$AX$44))</f>
        <v/>
      </c>
      <c r="AB44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49" s="124" t="str">
        <f>IF(テーブル22[[#This Row],[体重]]="","",(テーブル22[[#This Row],[体重]]-テーブル22[[#This Row],[標準体重]])/テーブル22[[#This Row],[標準体重]]*100)</f>
        <v/>
      </c>
      <c r="AD449" s="1">
        <f>COUNTA(テーブル22[[#This Row],[握力]:[ボール投げ]])</f>
        <v>0</v>
      </c>
      <c r="AE449" s="1" t="str">
        <f>IF(テーブル22[[#This Row],[判定]]=$BD$10,"○","")</f>
        <v/>
      </c>
      <c r="AF449" s="1" t="str">
        <f>IF(AE449="","",COUNTIF($AE$6:AE449,"○"))</f>
        <v/>
      </c>
    </row>
    <row r="450" spans="1:32" x14ac:dyDescent="0.2">
      <c r="A450" s="40">
        <v>445</v>
      </c>
      <c r="B450" s="145"/>
      <c r="C450" s="148"/>
      <c r="D450" s="145"/>
      <c r="E450" s="156"/>
      <c r="F450" s="145"/>
      <c r="G450" s="145"/>
      <c r="H450" s="146"/>
      <c r="I450" s="146"/>
      <c r="J450" s="148"/>
      <c r="K450" s="145"/>
      <c r="L450" s="148"/>
      <c r="M450" s="149"/>
      <c r="N450" s="148"/>
      <c r="O450" s="150"/>
      <c r="P45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0" s="43" t="str">
        <f>IF(テーブル22[[#This Row],[得点]]="","",IF(テーブル22[[#This Row],[年齢]]&gt;10,LOOKUP(P450,$BG$6:$BG$10,$BD$6:$BD$10),IF(テーブル22[[#This Row],[年齢]]&gt;9,LOOKUP(P450,$BF$6:$BF$10,$BD$6:$BD$10),IF(テーブル22[[#This Row],[年齢]]&gt;8,LOOKUP(P450,$BE$6:$BE$10,$BD$6:$BD$10),IF(テーブル22[[#This Row],[年齢]]&gt;7,LOOKUP(P450,$BC$6:$BC$10,$BD$6:$BD$10),IF(テーブル22[[#This Row],[年齢]]&gt;6,LOOKUP(P450,$BB$6:$BB$10,$BD$6:$BD$10),LOOKUP(P450,$BA$6:$BA$10,$BD$6:$BD$10)))))))</f>
        <v/>
      </c>
      <c r="R450" s="42">
        <f>IF(H450="",0,(IF(テーブル22[[#This Row],[性別]]="男",LOOKUP(テーブル22[[#This Row],[握力]],$AH$6:$AI$15),LOOKUP(テーブル22[[#This Row],[握力]],$AH$20:$AI$29))))</f>
        <v>0</v>
      </c>
      <c r="S450" s="42">
        <f>IF(テーブル22[[#This Row],[上体]]="",0,(IF(テーブル22[[#This Row],[性別]]="男",LOOKUP(テーブル22[[#This Row],[上体]],$AJ$6:$AK$15),LOOKUP(テーブル22[[#This Row],[上体]],$AJ$20:$AK$29))))</f>
        <v>0</v>
      </c>
      <c r="T450" s="42">
        <f>IF(テーブル22[[#This Row],[長座]]="",0,(IF(テーブル22[[#This Row],[性別]]="男",LOOKUP(テーブル22[[#This Row],[長座]],$AL$6:$AM$15),LOOKUP(テーブル22[[#This Row],[長座]],$AL$20:$AM$29))))</f>
        <v>0</v>
      </c>
      <c r="U450" s="42">
        <f>IF(テーブル22[[#This Row],[反復]]="",0,(IF(テーブル22[[#This Row],[性別]]="男",LOOKUP(テーブル22[[#This Row],[反復]],$AN$6:$AO$15),LOOKUP(テーブル22[[#This Row],[反復]],$AN$20:$AO$29))))</f>
        <v>0</v>
      </c>
      <c r="V450" s="42">
        <f>IF(テーブル22[[#This Row],[ｼｬﾄﾙﾗﾝ]]="",0,(IF(テーブル22[[#This Row],[性別]]="男",LOOKUP(テーブル22[[#This Row],[ｼｬﾄﾙﾗﾝ]],$AR$6:$AS$15),LOOKUP(テーブル22[[#This Row],[ｼｬﾄﾙﾗﾝ]],$AR$20:$AS$29))))</f>
        <v>0</v>
      </c>
      <c r="W450" s="42">
        <f>IF(テーブル22[[#This Row],[50m走]]="",0,(IF(テーブル22[[#This Row],[性別]]="男",LOOKUP(テーブル22[[#This Row],[50m走]],$AT$6:$AU$15),LOOKUP(テーブル22[[#This Row],[50m走]],$AT$20:$AU$29))))</f>
        <v>0</v>
      </c>
      <c r="X450" s="42">
        <f>IF(テーブル22[[#This Row],[立幅とび]]="",0,(IF(テーブル22[[#This Row],[性別]]="男",LOOKUP(テーブル22[[#This Row],[立幅とび]],$AV$6:$AW$15),LOOKUP(テーブル22[[#This Row],[立幅とび]],$AV$20:$AW$29))))</f>
        <v>0</v>
      </c>
      <c r="Y450" s="42">
        <f>IF(テーブル22[[#This Row],[ボール投げ]]="",0,(IF(テーブル22[[#This Row],[性別]]="男",LOOKUP(テーブル22[[#This Row],[ボール投げ]],$AX$6:$AY$15),LOOKUP(テーブル22[[#This Row],[ボール投げ]],$AX$20:$AY$29))))</f>
        <v>0</v>
      </c>
      <c r="Z450" s="19" t="str">
        <f>IF(テーブル22[[#This Row],[学年]]=1,6,IF(テーブル22[[#This Row],[学年]]=2,7,IF(テーブル22[[#This Row],[学年]]=3,8,IF(テーブル22[[#This Row],[学年]]=4,9,IF(テーブル22[[#This Row],[学年]]=5,10,IF(テーブル22[[#This Row],[学年]]=6,11," "))))))</f>
        <v xml:space="preserve"> </v>
      </c>
      <c r="AA450" s="125" t="str">
        <f>IF(テーブル22[[#This Row],[肥満度数値]]="","",LOOKUP(AC450,$AW$39:$AW$44,$AX$39:$AX$44))</f>
        <v/>
      </c>
      <c r="AB45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0" s="124" t="str">
        <f>IF(テーブル22[[#This Row],[体重]]="","",(テーブル22[[#This Row],[体重]]-テーブル22[[#This Row],[標準体重]])/テーブル22[[#This Row],[標準体重]]*100)</f>
        <v/>
      </c>
      <c r="AD450" s="1">
        <f>COUNTA(テーブル22[[#This Row],[握力]:[ボール投げ]])</f>
        <v>0</v>
      </c>
      <c r="AE450" s="1" t="str">
        <f>IF(テーブル22[[#This Row],[判定]]=$BD$10,"○","")</f>
        <v/>
      </c>
      <c r="AF450" s="1" t="str">
        <f>IF(AE450="","",COUNTIF($AE$6:AE450,"○"))</f>
        <v/>
      </c>
    </row>
    <row r="451" spans="1:32" x14ac:dyDescent="0.2">
      <c r="A451" s="40">
        <v>446</v>
      </c>
      <c r="B451" s="145"/>
      <c r="C451" s="148"/>
      <c r="D451" s="145"/>
      <c r="E451" s="156"/>
      <c r="F451" s="145"/>
      <c r="G451" s="145"/>
      <c r="H451" s="146"/>
      <c r="I451" s="146"/>
      <c r="J451" s="148"/>
      <c r="K451" s="145"/>
      <c r="L451" s="148"/>
      <c r="M451" s="149"/>
      <c r="N451" s="148"/>
      <c r="O451" s="150"/>
      <c r="P45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1" s="43" t="str">
        <f>IF(テーブル22[[#This Row],[得点]]="","",IF(テーブル22[[#This Row],[年齢]]&gt;10,LOOKUP(P451,$BG$6:$BG$10,$BD$6:$BD$10),IF(テーブル22[[#This Row],[年齢]]&gt;9,LOOKUP(P451,$BF$6:$BF$10,$BD$6:$BD$10),IF(テーブル22[[#This Row],[年齢]]&gt;8,LOOKUP(P451,$BE$6:$BE$10,$BD$6:$BD$10),IF(テーブル22[[#This Row],[年齢]]&gt;7,LOOKUP(P451,$BC$6:$BC$10,$BD$6:$BD$10),IF(テーブル22[[#This Row],[年齢]]&gt;6,LOOKUP(P451,$BB$6:$BB$10,$BD$6:$BD$10),LOOKUP(P451,$BA$6:$BA$10,$BD$6:$BD$10)))))))</f>
        <v/>
      </c>
      <c r="R451" s="42">
        <f>IF(H451="",0,(IF(テーブル22[[#This Row],[性別]]="男",LOOKUP(テーブル22[[#This Row],[握力]],$AH$6:$AI$15),LOOKUP(テーブル22[[#This Row],[握力]],$AH$20:$AI$29))))</f>
        <v>0</v>
      </c>
      <c r="S451" s="42">
        <f>IF(テーブル22[[#This Row],[上体]]="",0,(IF(テーブル22[[#This Row],[性別]]="男",LOOKUP(テーブル22[[#This Row],[上体]],$AJ$6:$AK$15),LOOKUP(テーブル22[[#This Row],[上体]],$AJ$20:$AK$29))))</f>
        <v>0</v>
      </c>
      <c r="T451" s="42">
        <f>IF(テーブル22[[#This Row],[長座]]="",0,(IF(テーブル22[[#This Row],[性別]]="男",LOOKUP(テーブル22[[#This Row],[長座]],$AL$6:$AM$15),LOOKUP(テーブル22[[#This Row],[長座]],$AL$20:$AM$29))))</f>
        <v>0</v>
      </c>
      <c r="U451" s="42">
        <f>IF(テーブル22[[#This Row],[反復]]="",0,(IF(テーブル22[[#This Row],[性別]]="男",LOOKUP(テーブル22[[#This Row],[反復]],$AN$6:$AO$15),LOOKUP(テーブル22[[#This Row],[反復]],$AN$20:$AO$29))))</f>
        <v>0</v>
      </c>
      <c r="V451" s="42">
        <f>IF(テーブル22[[#This Row],[ｼｬﾄﾙﾗﾝ]]="",0,(IF(テーブル22[[#This Row],[性別]]="男",LOOKUP(テーブル22[[#This Row],[ｼｬﾄﾙﾗﾝ]],$AR$6:$AS$15),LOOKUP(テーブル22[[#This Row],[ｼｬﾄﾙﾗﾝ]],$AR$20:$AS$29))))</f>
        <v>0</v>
      </c>
      <c r="W451" s="42">
        <f>IF(テーブル22[[#This Row],[50m走]]="",0,(IF(テーブル22[[#This Row],[性別]]="男",LOOKUP(テーブル22[[#This Row],[50m走]],$AT$6:$AU$15),LOOKUP(テーブル22[[#This Row],[50m走]],$AT$20:$AU$29))))</f>
        <v>0</v>
      </c>
      <c r="X451" s="42">
        <f>IF(テーブル22[[#This Row],[立幅とび]]="",0,(IF(テーブル22[[#This Row],[性別]]="男",LOOKUP(テーブル22[[#This Row],[立幅とび]],$AV$6:$AW$15),LOOKUP(テーブル22[[#This Row],[立幅とび]],$AV$20:$AW$29))))</f>
        <v>0</v>
      </c>
      <c r="Y451" s="42">
        <f>IF(テーブル22[[#This Row],[ボール投げ]]="",0,(IF(テーブル22[[#This Row],[性別]]="男",LOOKUP(テーブル22[[#This Row],[ボール投げ]],$AX$6:$AY$15),LOOKUP(テーブル22[[#This Row],[ボール投げ]],$AX$20:$AY$29))))</f>
        <v>0</v>
      </c>
      <c r="Z451" s="19" t="str">
        <f>IF(テーブル22[[#This Row],[学年]]=1,6,IF(テーブル22[[#This Row],[学年]]=2,7,IF(テーブル22[[#This Row],[学年]]=3,8,IF(テーブル22[[#This Row],[学年]]=4,9,IF(テーブル22[[#This Row],[学年]]=5,10,IF(テーブル22[[#This Row],[学年]]=6,11," "))))))</f>
        <v xml:space="preserve"> </v>
      </c>
      <c r="AA451" s="125" t="str">
        <f>IF(テーブル22[[#This Row],[肥満度数値]]="","",LOOKUP(AC451,$AW$39:$AW$44,$AX$39:$AX$44))</f>
        <v/>
      </c>
      <c r="AB45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1" s="124" t="str">
        <f>IF(テーブル22[[#This Row],[体重]]="","",(テーブル22[[#This Row],[体重]]-テーブル22[[#This Row],[標準体重]])/テーブル22[[#This Row],[標準体重]]*100)</f>
        <v/>
      </c>
      <c r="AD451" s="1">
        <f>COUNTA(テーブル22[[#This Row],[握力]:[ボール投げ]])</f>
        <v>0</v>
      </c>
      <c r="AE451" s="1" t="str">
        <f>IF(テーブル22[[#This Row],[判定]]=$BD$10,"○","")</f>
        <v/>
      </c>
      <c r="AF451" s="1" t="str">
        <f>IF(AE451="","",COUNTIF($AE$6:AE451,"○"))</f>
        <v/>
      </c>
    </row>
    <row r="452" spans="1:32" x14ac:dyDescent="0.2">
      <c r="A452" s="40">
        <v>447</v>
      </c>
      <c r="B452" s="145"/>
      <c r="C452" s="148"/>
      <c r="D452" s="145"/>
      <c r="E452" s="156"/>
      <c r="F452" s="145"/>
      <c r="G452" s="145"/>
      <c r="H452" s="146"/>
      <c r="I452" s="146"/>
      <c r="J452" s="148"/>
      <c r="K452" s="145"/>
      <c r="L452" s="148"/>
      <c r="M452" s="149"/>
      <c r="N452" s="148"/>
      <c r="O452" s="150"/>
      <c r="P45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2" s="43" t="str">
        <f>IF(テーブル22[[#This Row],[得点]]="","",IF(テーブル22[[#This Row],[年齢]]&gt;10,LOOKUP(P452,$BG$6:$BG$10,$BD$6:$BD$10),IF(テーブル22[[#This Row],[年齢]]&gt;9,LOOKUP(P452,$BF$6:$BF$10,$BD$6:$BD$10),IF(テーブル22[[#This Row],[年齢]]&gt;8,LOOKUP(P452,$BE$6:$BE$10,$BD$6:$BD$10),IF(テーブル22[[#This Row],[年齢]]&gt;7,LOOKUP(P452,$BC$6:$BC$10,$BD$6:$BD$10),IF(テーブル22[[#This Row],[年齢]]&gt;6,LOOKUP(P452,$BB$6:$BB$10,$BD$6:$BD$10),LOOKUP(P452,$BA$6:$BA$10,$BD$6:$BD$10)))))))</f>
        <v/>
      </c>
      <c r="R452" s="42">
        <f>IF(H452="",0,(IF(テーブル22[[#This Row],[性別]]="男",LOOKUP(テーブル22[[#This Row],[握力]],$AH$6:$AI$15),LOOKUP(テーブル22[[#This Row],[握力]],$AH$20:$AI$29))))</f>
        <v>0</v>
      </c>
      <c r="S452" s="42">
        <f>IF(テーブル22[[#This Row],[上体]]="",0,(IF(テーブル22[[#This Row],[性別]]="男",LOOKUP(テーブル22[[#This Row],[上体]],$AJ$6:$AK$15),LOOKUP(テーブル22[[#This Row],[上体]],$AJ$20:$AK$29))))</f>
        <v>0</v>
      </c>
      <c r="T452" s="42">
        <f>IF(テーブル22[[#This Row],[長座]]="",0,(IF(テーブル22[[#This Row],[性別]]="男",LOOKUP(テーブル22[[#This Row],[長座]],$AL$6:$AM$15),LOOKUP(テーブル22[[#This Row],[長座]],$AL$20:$AM$29))))</f>
        <v>0</v>
      </c>
      <c r="U452" s="42">
        <f>IF(テーブル22[[#This Row],[反復]]="",0,(IF(テーブル22[[#This Row],[性別]]="男",LOOKUP(テーブル22[[#This Row],[反復]],$AN$6:$AO$15),LOOKUP(テーブル22[[#This Row],[反復]],$AN$20:$AO$29))))</f>
        <v>0</v>
      </c>
      <c r="V452" s="42">
        <f>IF(テーブル22[[#This Row],[ｼｬﾄﾙﾗﾝ]]="",0,(IF(テーブル22[[#This Row],[性別]]="男",LOOKUP(テーブル22[[#This Row],[ｼｬﾄﾙﾗﾝ]],$AR$6:$AS$15),LOOKUP(テーブル22[[#This Row],[ｼｬﾄﾙﾗﾝ]],$AR$20:$AS$29))))</f>
        <v>0</v>
      </c>
      <c r="W452" s="42">
        <f>IF(テーブル22[[#This Row],[50m走]]="",0,(IF(テーブル22[[#This Row],[性別]]="男",LOOKUP(テーブル22[[#This Row],[50m走]],$AT$6:$AU$15),LOOKUP(テーブル22[[#This Row],[50m走]],$AT$20:$AU$29))))</f>
        <v>0</v>
      </c>
      <c r="X452" s="42">
        <f>IF(テーブル22[[#This Row],[立幅とび]]="",0,(IF(テーブル22[[#This Row],[性別]]="男",LOOKUP(テーブル22[[#This Row],[立幅とび]],$AV$6:$AW$15),LOOKUP(テーブル22[[#This Row],[立幅とび]],$AV$20:$AW$29))))</f>
        <v>0</v>
      </c>
      <c r="Y452" s="42">
        <f>IF(テーブル22[[#This Row],[ボール投げ]]="",0,(IF(テーブル22[[#This Row],[性別]]="男",LOOKUP(テーブル22[[#This Row],[ボール投げ]],$AX$6:$AY$15),LOOKUP(テーブル22[[#This Row],[ボール投げ]],$AX$20:$AY$29))))</f>
        <v>0</v>
      </c>
      <c r="Z452" s="19" t="str">
        <f>IF(テーブル22[[#This Row],[学年]]=1,6,IF(テーブル22[[#This Row],[学年]]=2,7,IF(テーブル22[[#This Row],[学年]]=3,8,IF(テーブル22[[#This Row],[学年]]=4,9,IF(テーブル22[[#This Row],[学年]]=5,10,IF(テーブル22[[#This Row],[学年]]=6,11," "))))))</f>
        <v xml:space="preserve"> </v>
      </c>
      <c r="AA452" s="125" t="str">
        <f>IF(テーブル22[[#This Row],[肥満度数値]]="","",LOOKUP(AC452,$AW$39:$AW$44,$AX$39:$AX$44))</f>
        <v/>
      </c>
      <c r="AB45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2" s="124" t="str">
        <f>IF(テーブル22[[#This Row],[体重]]="","",(テーブル22[[#This Row],[体重]]-テーブル22[[#This Row],[標準体重]])/テーブル22[[#This Row],[標準体重]]*100)</f>
        <v/>
      </c>
      <c r="AD452" s="1">
        <f>COUNTA(テーブル22[[#This Row],[握力]:[ボール投げ]])</f>
        <v>0</v>
      </c>
      <c r="AE452" s="1" t="str">
        <f>IF(テーブル22[[#This Row],[判定]]=$BD$10,"○","")</f>
        <v/>
      </c>
      <c r="AF452" s="1" t="str">
        <f>IF(AE452="","",COUNTIF($AE$6:AE452,"○"))</f>
        <v/>
      </c>
    </row>
    <row r="453" spans="1:32" x14ac:dyDescent="0.2">
      <c r="A453" s="40">
        <v>448</v>
      </c>
      <c r="B453" s="145"/>
      <c r="C453" s="148"/>
      <c r="D453" s="145"/>
      <c r="E453" s="156"/>
      <c r="F453" s="145"/>
      <c r="G453" s="145"/>
      <c r="H453" s="146"/>
      <c r="I453" s="146"/>
      <c r="J453" s="148"/>
      <c r="K453" s="145"/>
      <c r="L453" s="148"/>
      <c r="M453" s="149"/>
      <c r="N453" s="148"/>
      <c r="O453" s="150"/>
      <c r="P45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3" s="43" t="str">
        <f>IF(テーブル22[[#This Row],[得点]]="","",IF(テーブル22[[#This Row],[年齢]]&gt;10,LOOKUP(P453,$BG$6:$BG$10,$BD$6:$BD$10),IF(テーブル22[[#This Row],[年齢]]&gt;9,LOOKUP(P453,$BF$6:$BF$10,$BD$6:$BD$10),IF(テーブル22[[#This Row],[年齢]]&gt;8,LOOKUP(P453,$BE$6:$BE$10,$BD$6:$BD$10),IF(テーブル22[[#This Row],[年齢]]&gt;7,LOOKUP(P453,$BC$6:$BC$10,$BD$6:$BD$10),IF(テーブル22[[#This Row],[年齢]]&gt;6,LOOKUP(P453,$BB$6:$BB$10,$BD$6:$BD$10),LOOKUP(P453,$BA$6:$BA$10,$BD$6:$BD$10)))))))</f>
        <v/>
      </c>
      <c r="R453" s="42">
        <f>IF(H453="",0,(IF(テーブル22[[#This Row],[性別]]="男",LOOKUP(テーブル22[[#This Row],[握力]],$AH$6:$AI$15),LOOKUP(テーブル22[[#This Row],[握力]],$AH$20:$AI$29))))</f>
        <v>0</v>
      </c>
      <c r="S453" s="42">
        <f>IF(テーブル22[[#This Row],[上体]]="",0,(IF(テーブル22[[#This Row],[性別]]="男",LOOKUP(テーブル22[[#This Row],[上体]],$AJ$6:$AK$15),LOOKUP(テーブル22[[#This Row],[上体]],$AJ$20:$AK$29))))</f>
        <v>0</v>
      </c>
      <c r="T453" s="42">
        <f>IF(テーブル22[[#This Row],[長座]]="",0,(IF(テーブル22[[#This Row],[性別]]="男",LOOKUP(テーブル22[[#This Row],[長座]],$AL$6:$AM$15),LOOKUP(テーブル22[[#This Row],[長座]],$AL$20:$AM$29))))</f>
        <v>0</v>
      </c>
      <c r="U453" s="42">
        <f>IF(テーブル22[[#This Row],[反復]]="",0,(IF(テーブル22[[#This Row],[性別]]="男",LOOKUP(テーブル22[[#This Row],[反復]],$AN$6:$AO$15),LOOKUP(テーブル22[[#This Row],[反復]],$AN$20:$AO$29))))</f>
        <v>0</v>
      </c>
      <c r="V453" s="42">
        <f>IF(テーブル22[[#This Row],[ｼｬﾄﾙﾗﾝ]]="",0,(IF(テーブル22[[#This Row],[性別]]="男",LOOKUP(テーブル22[[#This Row],[ｼｬﾄﾙﾗﾝ]],$AR$6:$AS$15),LOOKUP(テーブル22[[#This Row],[ｼｬﾄﾙﾗﾝ]],$AR$20:$AS$29))))</f>
        <v>0</v>
      </c>
      <c r="W453" s="42">
        <f>IF(テーブル22[[#This Row],[50m走]]="",0,(IF(テーブル22[[#This Row],[性別]]="男",LOOKUP(テーブル22[[#This Row],[50m走]],$AT$6:$AU$15),LOOKUP(テーブル22[[#This Row],[50m走]],$AT$20:$AU$29))))</f>
        <v>0</v>
      </c>
      <c r="X453" s="42">
        <f>IF(テーブル22[[#This Row],[立幅とび]]="",0,(IF(テーブル22[[#This Row],[性別]]="男",LOOKUP(テーブル22[[#This Row],[立幅とび]],$AV$6:$AW$15),LOOKUP(テーブル22[[#This Row],[立幅とび]],$AV$20:$AW$29))))</f>
        <v>0</v>
      </c>
      <c r="Y453" s="42">
        <f>IF(テーブル22[[#This Row],[ボール投げ]]="",0,(IF(テーブル22[[#This Row],[性別]]="男",LOOKUP(テーブル22[[#This Row],[ボール投げ]],$AX$6:$AY$15),LOOKUP(テーブル22[[#This Row],[ボール投げ]],$AX$20:$AY$29))))</f>
        <v>0</v>
      </c>
      <c r="Z453" s="19" t="str">
        <f>IF(テーブル22[[#This Row],[学年]]=1,6,IF(テーブル22[[#This Row],[学年]]=2,7,IF(テーブル22[[#This Row],[学年]]=3,8,IF(テーブル22[[#This Row],[学年]]=4,9,IF(テーブル22[[#This Row],[学年]]=5,10,IF(テーブル22[[#This Row],[学年]]=6,11," "))))))</f>
        <v xml:space="preserve"> </v>
      </c>
      <c r="AA453" s="125" t="str">
        <f>IF(テーブル22[[#This Row],[肥満度数値]]="","",LOOKUP(AC453,$AW$39:$AW$44,$AX$39:$AX$44))</f>
        <v/>
      </c>
      <c r="AB45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3" s="124" t="str">
        <f>IF(テーブル22[[#This Row],[体重]]="","",(テーブル22[[#This Row],[体重]]-テーブル22[[#This Row],[標準体重]])/テーブル22[[#This Row],[標準体重]]*100)</f>
        <v/>
      </c>
      <c r="AD453" s="1">
        <f>COUNTA(テーブル22[[#This Row],[握力]:[ボール投げ]])</f>
        <v>0</v>
      </c>
      <c r="AE453" s="1" t="str">
        <f>IF(テーブル22[[#This Row],[判定]]=$BD$10,"○","")</f>
        <v/>
      </c>
      <c r="AF453" s="1" t="str">
        <f>IF(AE453="","",COUNTIF($AE$6:AE453,"○"))</f>
        <v/>
      </c>
    </row>
    <row r="454" spans="1:32" x14ac:dyDescent="0.2">
      <c r="A454" s="40">
        <v>449</v>
      </c>
      <c r="B454" s="145"/>
      <c r="C454" s="148"/>
      <c r="D454" s="145"/>
      <c r="E454" s="156"/>
      <c r="F454" s="145"/>
      <c r="G454" s="145"/>
      <c r="H454" s="146"/>
      <c r="I454" s="146"/>
      <c r="J454" s="148"/>
      <c r="K454" s="145"/>
      <c r="L454" s="148"/>
      <c r="M454" s="149"/>
      <c r="N454" s="148"/>
      <c r="O454" s="150"/>
      <c r="P45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4" s="43" t="str">
        <f>IF(テーブル22[[#This Row],[得点]]="","",IF(テーブル22[[#This Row],[年齢]]&gt;10,LOOKUP(P454,$BG$6:$BG$10,$BD$6:$BD$10),IF(テーブル22[[#This Row],[年齢]]&gt;9,LOOKUP(P454,$BF$6:$BF$10,$BD$6:$BD$10),IF(テーブル22[[#This Row],[年齢]]&gt;8,LOOKUP(P454,$BE$6:$BE$10,$BD$6:$BD$10),IF(テーブル22[[#This Row],[年齢]]&gt;7,LOOKUP(P454,$BC$6:$BC$10,$BD$6:$BD$10),IF(テーブル22[[#This Row],[年齢]]&gt;6,LOOKUP(P454,$BB$6:$BB$10,$BD$6:$BD$10),LOOKUP(P454,$BA$6:$BA$10,$BD$6:$BD$10)))))))</f>
        <v/>
      </c>
      <c r="R454" s="42">
        <f>IF(H454="",0,(IF(テーブル22[[#This Row],[性別]]="男",LOOKUP(テーブル22[[#This Row],[握力]],$AH$6:$AI$15),LOOKUP(テーブル22[[#This Row],[握力]],$AH$20:$AI$29))))</f>
        <v>0</v>
      </c>
      <c r="S454" s="42">
        <f>IF(テーブル22[[#This Row],[上体]]="",0,(IF(テーブル22[[#This Row],[性別]]="男",LOOKUP(テーブル22[[#This Row],[上体]],$AJ$6:$AK$15),LOOKUP(テーブル22[[#This Row],[上体]],$AJ$20:$AK$29))))</f>
        <v>0</v>
      </c>
      <c r="T454" s="42">
        <f>IF(テーブル22[[#This Row],[長座]]="",0,(IF(テーブル22[[#This Row],[性別]]="男",LOOKUP(テーブル22[[#This Row],[長座]],$AL$6:$AM$15),LOOKUP(テーブル22[[#This Row],[長座]],$AL$20:$AM$29))))</f>
        <v>0</v>
      </c>
      <c r="U454" s="42">
        <f>IF(テーブル22[[#This Row],[反復]]="",0,(IF(テーブル22[[#This Row],[性別]]="男",LOOKUP(テーブル22[[#This Row],[反復]],$AN$6:$AO$15),LOOKUP(テーブル22[[#This Row],[反復]],$AN$20:$AO$29))))</f>
        <v>0</v>
      </c>
      <c r="V454" s="42">
        <f>IF(テーブル22[[#This Row],[ｼｬﾄﾙﾗﾝ]]="",0,(IF(テーブル22[[#This Row],[性別]]="男",LOOKUP(テーブル22[[#This Row],[ｼｬﾄﾙﾗﾝ]],$AR$6:$AS$15),LOOKUP(テーブル22[[#This Row],[ｼｬﾄﾙﾗﾝ]],$AR$20:$AS$29))))</f>
        <v>0</v>
      </c>
      <c r="W454" s="42">
        <f>IF(テーブル22[[#This Row],[50m走]]="",0,(IF(テーブル22[[#This Row],[性別]]="男",LOOKUP(テーブル22[[#This Row],[50m走]],$AT$6:$AU$15),LOOKUP(テーブル22[[#This Row],[50m走]],$AT$20:$AU$29))))</f>
        <v>0</v>
      </c>
      <c r="X454" s="42">
        <f>IF(テーブル22[[#This Row],[立幅とび]]="",0,(IF(テーブル22[[#This Row],[性別]]="男",LOOKUP(テーブル22[[#This Row],[立幅とび]],$AV$6:$AW$15),LOOKUP(テーブル22[[#This Row],[立幅とび]],$AV$20:$AW$29))))</f>
        <v>0</v>
      </c>
      <c r="Y454" s="42">
        <f>IF(テーブル22[[#This Row],[ボール投げ]]="",0,(IF(テーブル22[[#This Row],[性別]]="男",LOOKUP(テーブル22[[#This Row],[ボール投げ]],$AX$6:$AY$15),LOOKUP(テーブル22[[#This Row],[ボール投げ]],$AX$20:$AY$29))))</f>
        <v>0</v>
      </c>
      <c r="Z454" s="19" t="str">
        <f>IF(テーブル22[[#This Row],[学年]]=1,6,IF(テーブル22[[#This Row],[学年]]=2,7,IF(テーブル22[[#This Row],[学年]]=3,8,IF(テーブル22[[#This Row],[学年]]=4,9,IF(テーブル22[[#This Row],[学年]]=5,10,IF(テーブル22[[#This Row],[学年]]=6,11," "))))))</f>
        <v xml:space="preserve"> </v>
      </c>
      <c r="AA454" s="125" t="str">
        <f>IF(テーブル22[[#This Row],[肥満度数値]]="","",LOOKUP(AC454,$AW$39:$AW$44,$AX$39:$AX$44))</f>
        <v/>
      </c>
      <c r="AB45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4" s="124" t="str">
        <f>IF(テーブル22[[#This Row],[体重]]="","",(テーブル22[[#This Row],[体重]]-テーブル22[[#This Row],[標準体重]])/テーブル22[[#This Row],[標準体重]]*100)</f>
        <v/>
      </c>
      <c r="AD454" s="1">
        <f>COUNTA(テーブル22[[#This Row],[握力]:[ボール投げ]])</f>
        <v>0</v>
      </c>
      <c r="AE454" s="1" t="str">
        <f>IF(テーブル22[[#This Row],[判定]]=$BD$10,"○","")</f>
        <v/>
      </c>
      <c r="AF454" s="1" t="str">
        <f>IF(AE454="","",COUNTIF($AE$6:AE454,"○"))</f>
        <v/>
      </c>
    </row>
    <row r="455" spans="1:32" x14ac:dyDescent="0.2">
      <c r="A455" s="40">
        <v>450</v>
      </c>
      <c r="B455" s="145"/>
      <c r="C455" s="148"/>
      <c r="D455" s="145"/>
      <c r="E455" s="156"/>
      <c r="F455" s="145"/>
      <c r="G455" s="145"/>
      <c r="H455" s="146"/>
      <c r="I455" s="146"/>
      <c r="J455" s="148"/>
      <c r="K455" s="145"/>
      <c r="L455" s="148"/>
      <c r="M455" s="149"/>
      <c r="N455" s="148"/>
      <c r="O455" s="150"/>
      <c r="P45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5" s="43" t="str">
        <f>IF(テーブル22[[#This Row],[得点]]="","",IF(テーブル22[[#This Row],[年齢]]&gt;10,LOOKUP(P455,$BG$6:$BG$10,$BD$6:$BD$10),IF(テーブル22[[#This Row],[年齢]]&gt;9,LOOKUP(P455,$BF$6:$BF$10,$BD$6:$BD$10),IF(テーブル22[[#This Row],[年齢]]&gt;8,LOOKUP(P455,$BE$6:$BE$10,$BD$6:$BD$10),IF(テーブル22[[#This Row],[年齢]]&gt;7,LOOKUP(P455,$BC$6:$BC$10,$BD$6:$BD$10),IF(テーブル22[[#This Row],[年齢]]&gt;6,LOOKUP(P455,$BB$6:$BB$10,$BD$6:$BD$10),LOOKUP(P455,$BA$6:$BA$10,$BD$6:$BD$10)))))))</f>
        <v/>
      </c>
      <c r="R455" s="42">
        <f>IF(H455="",0,(IF(テーブル22[[#This Row],[性別]]="男",LOOKUP(テーブル22[[#This Row],[握力]],$AH$6:$AI$15),LOOKUP(テーブル22[[#This Row],[握力]],$AH$20:$AI$29))))</f>
        <v>0</v>
      </c>
      <c r="S455" s="42">
        <f>IF(テーブル22[[#This Row],[上体]]="",0,(IF(テーブル22[[#This Row],[性別]]="男",LOOKUP(テーブル22[[#This Row],[上体]],$AJ$6:$AK$15),LOOKUP(テーブル22[[#This Row],[上体]],$AJ$20:$AK$29))))</f>
        <v>0</v>
      </c>
      <c r="T455" s="42">
        <f>IF(テーブル22[[#This Row],[長座]]="",0,(IF(テーブル22[[#This Row],[性別]]="男",LOOKUP(テーブル22[[#This Row],[長座]],$AL$6:$AM$15),LOOKUP(テーブル22[[#This Row],[長座]],$AL$20:$AM$29))))</f>
        <v>0</v>
      </c>
      <c r="U455" s="42">
        <f>IF(テーブル22[[#This Row],[反復]]="",0,(IF(テーブル22[[#This Row],[性別]]="男",LOOKUP(テーブル22[[#This Row],[反復]],$AN$6:$AO$15),LOOKUP(テーブル22[[#This Row],[反復]],$AN$20:$AO$29))))</f>
        <v>0</v>
      </c>
      <c r="V455" s="42">
        <f>IF(テーブル22[[#This Row],[ｼｬﾄﾙﾗﾝ]]="",0,(IF(テーブル22[[#This Row],[性別]]="男",LOOKUP(テーブル22[[#This Row],[ｼｬﾄﾙﾗﾝ]],$AR$6:$AS$15),LOOKUP(テーブル22[[#This Row],[ｼｬﾄﾙﾗﾝ]],$AR$20:$AS$29))))</f>
        <v>0</v>
      </c>
      <c r="W455" s="42">
        <f>IF(テーブル22[[#This Row],[50m走]]="",0,(IF(テーブル22[[#This Row],[性別]]="男",LOOKUP(テーブル22[[#This Row],[50m走]],$AT$6:$AU$15),LOOKUP(テーブル22[[#This Row],[50m走]],$AT$20:$AU$29))))</f>
        <v>0</v>
      </c>
      <c r="X455" s="42">
        <f>IF(テーブル22[[#This Row],[立幅とび]]="",0,(IF(テーブル22[[#This Row],[性別]]="男",LOOKUP(テーブル22[[#This Row],[立幅とび]],$AV$6:$AW$15),LOOKUP(テーブル22[[#This Row],[立幅とび]],$AV$20:$AW$29))))</f>
        <v>0</v>
      </c>
      <c r="Y455" s="42">
        <f>IF(テーブル22[[#This Row],[ボール投げ]]="",0,(IF(テーブル22[[#This Row],[性別]]="男",LOOKUP(テーブル22[[#This Row],[ボール投げ]],$AX$6:$AY$15),LOOKUP(テーブル22[[#This Row],[ボール投げ]],$AX$20:$AY$29))))</f>
        <v>0</v>
      </c>
      <c r="Z455" s="19" t="str">
        <f>IF(テーブル22[[#This Row],[学年]]=1,6,IF(テーブル22[[#This Row],[学年]]=2,7,IF(テーブル22[[#This Row],[学年]]=3,8,IF(テーブル22[[#This Row],[学年]]=4,9,IF(テーブル22[[#This Row],[学年]]=5,10,IF(テーブル22[[#This Row],[学年]]=6,11," "))))))</f>
        <v xml:space="preserve"> </v>
      </c>
      <c r="AA455" s="125" t="str">
        <f>IF(テーブル22[[#This Row],[肥満度数値]]="","",LOOKUP(AC455,$AW$39:$AW$44,$AX$39:$AX$44))</f>
        <v/>
      </c>
      <c r="AB45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5" s="124" t="str">
        <f>IF(テーブル22[[#This Row],[体重]]="","",(テーブル22[[#This Row],[体重]]-テーブル22[[#This Row],[標準体重]])/テーブル22[[#This Row],[標準体重]]*100)</f>
        <v/>
      </c>
      <c r="AD455" s="1">
        <f>COUNTA(テーブル22[[#This Row],[握力]:[ボール投げ]])</f>
        <v>0</v>
      </c>
      <c r="AE455" s="1" t="str">
        <f>IF(テーブル22[[#This Row],[判定]]=$BD$10,"○","")</f>
        <v/>
      </c>
      <c r="AF455" s="1" t="str">
        <f>IF(AE455="","",COUNTIF($AE$6:AE455,"○"))</f>
        <v/>
      </c>
    </row>
    <row r="456" spans="1:32" x14ac:dyDescent="0.2">
      <c r="A456" s="40">
        <v>451</v>
      </c>
      <c r="B456" s="145"/>
      <c r="C456" s="148"/>
      <c r="D456" s="145"/>
      <c r="E456" s="156"/>
      <c r="F456" s="145"/>
      <c r="G456" s="145"/>
      <c r="H456" s="146"/>
      <c r="I456" s="146"/>
      <c r="J456" s="148"/>
      <c r="K456" s="145"/>
      <c r="L456" s="148"/>
      <c r="M456" s="149"/>
      <c r="N456" s="148"/>
      <c r="O456" s="150"/>
      <c r="P45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6" s="43" t="str">
        <f>IF(テーブル22[[#This Row],[得点]]="","",IF(テーブル22[[#This Row],[年齢]]&gt;10,LOOKUP(P456,$BG$6:$BG$10,$BD$6:$BD$10),IF(テーブル22[[#This Row],[年齢]]&gt;9,LOOKUP(P456,$BF$6:$BF$10,$BD$6:$BD$10),IF(テーブル22[[#This Row],[年齢]]&gt;8,LOOKUP(P456,$BE$6:$BE$10,$BD$6:$BD$10),IF(テーブル22[[#This Row],[年齢]]&gt;7,LOOKUP(P456,$BC$6:$BC$10,$BD$6:$BD$10),IF(テーブル22[[#This Row],[年齢]]&gt;6,LOOKUP(P456,$BB$6:$BB$10,$BD$6:$BD$10),LOOKUP(P456,$BA$6:$BA$10,$BD$6:$BD$10)))))))</f>
        <v/>
      </c>
      <c r="R456" s="42">
        <f>IF(H456="",0,(IF(テーブル22[[#This Row],[性別]]="男",LOOKUP(テーブル22[[#This Row],[握力]],$AH$6:$AI$15),LOOKUP(テーブル22[[#This Row],[握力]],$AH$20:$AI$29))))</f>
        <v>0</v>
      </c>
      <c r="S456" s="42">
        <f>IF(テーブル22[[#This Row],[上体]]="",0,(IF(テーブル22[[#This Row],[性別]]="男",LOOKUP(テーブル22[[#This Row],[上体]],$AJ$6:$AK$15),LOOKUP(テーブル22[[#This Row],[上体]],$AJ$20:$AK$29))))</f>
        <v>0</v>
      </c>
      <c r="T456" s="42">
        <f>IF(テーブル22[[#This Row],[長座]]="",0,(IF(テーブル22[[#This Row],[性別]]="男",LOOKUP(テーブル22[[#This Row],[長座]],$AL$6:$AM$15),LOOKUP(テーブル22[[#This Row],[長座]],$AL$20:$AM$29))))</f>
        <v>0</v>
      </c>
      <c r="U456" s="42">
        <f>IF(テーブル22[[#This Row],[反復]]="",0,(IF(テーブル22[[#This Row],[性別]]="男",LOOKUP(テーブル22[[#This Row],[反復]],$AN$6:$AO$15),LOOKUP(テーブル22[[#This Row],[反復]],$AN$20:$AO$29))))</f>
        <v>0</v>
      </c>
      <c r="V456" s="42">
        <f>IF(テーブル22[[#This Row],[ｼｬﾄﾙﾗﾝ]]="",0,(IF(テーブル22[[#This Row],[性別]]="男",LOOKUP(テーブル22[[#This Row],[ｼｬﾄﾙﾗﾝ]],$AR$6:$AS$15),LOOKUP(テーブル22[[#This Row],[ｼｬﾄﾙﾗﾝ]],$AR$20:$AS$29))))</f>
        <v>0</v>
      </c>
      <c r="W456" s="42">
        <f>IF(テーブル22[[#This Row],[50m走]]="",0,(IF(テーブル22[[#This Row],[性別]]="男",LOOKUP(テーブル22[[#This Row],[50m走]],$AT$6:$AU$15),LOOKUP(テーブル22[[#This Row],[50m走]],$AT$20:$AU$29))))</f>
        <v>0</v>
      </c>
      <c r="X456" s="42">
        <f>IF(テーブル22[[#This Row],[立幅とび]]="",0,(IF(テーブル22[[#This Row],[性別]]="男",LOOKUP(テーブル22[[#This Row],[立幅とび]],$AV$6:$AW$15),LOOKUP(テーブル22[[#This Row],[立幅とび]],$AV$20:$AW$29))))</f>
        <v>0</v>
      </c>
      <c r="Y456" s="42">
        <f>IF(テーブル22[[#This Row],[ボール投げ]]="",0,(IF(テーブル22[[#This Row],[性別]]="男",LOOKUP(テーブル22[[#This Row],[ボール投げ]],$AX$6:$AY$15),LOOKUP(テーブル22[[#This Row],[ボール投げ]],$AX$20:$AY$29))))</f>
        <v>0</v>
      </c>
      <c r="Z456" s="19" t="str">
        <f>IF(テーブル22[[#This Row],[学年]]=1,6,IF(テーブル22[[#This Row],[学年]]=2,7,IF(テーブル22[[#This Row],[学年]]=3,8,IF(テーブル22[[#This Row],[学年]]=4,9,IF(テーブル22[[#This Row],[学年]]=5,10,IF(テーブル22[[#This Row],[学年]]=6,11," "))))))</f>
        <v xml:space="preserve"> </v>
      </c>
      <c r="AA456" s="125" t="str">
        <f>IF(テーブル22[[#This Row],[肥満度数値]]="","",LOOKUP(AC456,$AW$39:$AW$44,$AX$39:$AX$44))</f>
        <v/>
      </c>
      <c r="AB45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6" s="124" t="str">
        <f>IF(テーブル22[[#This Row],[体重]]="","",(テーブル22[[#This Row],[体重]]-テーブル22[[#This Row],[標準体重]])/テーブル22[[#This Row],[標準体重]]*100)</f>
        <v/>
      </c>
      <c r="AD456" s="1">
        <f>COUNTA(テーブル22[[#This Row],[握力]:[ボール投げ]])</f>
        <v>0</v>
      </c>
      <c r="AE456" s="1" t="str">
        <f>IF(テーブル22[[#This Row],[判定]]=$BD$10,"○","")</f>
        <v/>
      </c>
      <c r="AF456" s="1" t="str">
        <f>IF(AE456="","",COUNTIF($AE$6:AE456,"○"))</f>
        <v/>
      </c>
    </row>
    <row r="457" spans="1:32" x14ac:dyDescent="0.2">
      <c r="A457" s="40">
        <v>452</v>
      </c>
      <c r="B457" s="145"/>
      <c r="C457" s="148"/>
      <c r="D457" s="145"/>
      <c r="E457" s="156"/>
      <c r="F457" s="145"/>
      <c r="G457" s="145"/>
      <c r="H457" s="146"/>
      <c r="I457" s="146"/>
      <c r="J457" s="148"/>
      <c r="K457" s="145"/>
      <c r="L457" s="148"/>
      <c r="M457" s="149"/>
      <c r="N457" s="148"/>
      <c r="O457" s="150"/>
      <c r="P45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7" s="43" t="str">
        <f>IF(テーブル22[[#This Row],[得点]]="","",IF(テーブル22[[#This Row],[年齢]]&gt;10,LOOKUP(P457,$BG$6:$BG$10,$BD$6:$BD$10),IF(テーブル22[[#This Row],[年齢]]&gt;9,LOOKUP(P457,$BF$6:$BF$10,$BD$6:$BD$10),IF(テーブル22[[#This Row],[年齢]]&gt;8,LOOKUP(P457,$BE$6:$BE$10,$BD$6:$BD$10),IF(テーブル22[[#This Row],[年齢]]&gt;7,LOOKUP(P457,$BC$6:$BC$10,$BD$6:$BD$10),IF(テーブル22[[#This Row],[年齢]]&gt;6,LOOKUP(P457,$BB$6:$BB$10,$BD$6:$BD$10),LOOKUP(P457,$BA$6:$BA$10,$BD$6:$BD$10)))))))</f>
        <v/>
      </c>
      <c r="R457" s="42">
        <f>IF(H457="",0,(IF(テーブル22[[#This Row],[性別]]="男",LOOKUP(テーブル22[[#This Row],[握力]],$AH$6:$AI$15),LOOKUP(テーブル22[[#This Row],[握力]],$AH$20:$AI$29))))</f>
        <v>0</v>
      </c>
      <c r="S457" s="42">
        <f>IF(テーブル22[[#This Row],[上体]]="",0,(IF(テーブル22[[#This Row],[性別]]="男",LOOKUP(テーブル22[[#This Row],[上体]],$AJ$6:$AK$15),LOOKUP(テーブル22[[#This Row],[上体]],$AJ$20:$AK$29))))</f>
        <v>0</v>
      </c>
      <c r="T457" s="42">
        <f>IF(テーブル22[[#This Row],[長座]]="",0,(IF(テーブル22[[#This Row],[性別]]="男",LOOKUP(テーブル22[[#This Row],[長座]],$AL$6:$AM$15),LOOKUP(テーブル22[[#This Row],[長座]],$AL$20:$AM$29))))</f>
        <v>0</v>
      </c>
      <c r="U457" s="42">
        <f>IF(テーブル22[[#This Row],[反復]]="",0,(IF(テーブル22[[#This Row],[性別]]="男",LOOKUP(テーブル22[[#This Row],[反復]],$AN$6:$AO$15),LOOKUP(テーブル22[[#This Row],[反復]],$AN$20:$AO$29))))</f>
        <v>0</v>
      </c>
      <c r="V457" s="42">
        <f>IF(テーブル22[[#This Row],[ｼｬﾄﾙﾗﾝ]]="",0,(IF(テーブル22[[#This Row],[性別]]="男",LOOKUP(テーブル22[[#This Row],[ｼｬﾄﾙﾗﾝ]],$AR$6:$AS$15),LOOKUP(テーブル22[[#This Row],[ｼｬﾄﾙﾗﾝ]],$AR$20:$AS$29))))</f>
        <v>0</v>
      </c>
      <c r="W457" s="42">
        <f>IF(テーブル22[[#This Row],[50m走]]="",0,(IF(テーブル22[[#This Row],[性別]]="男",LOOKUP(テーブル22[[#This Row],[50m走]],$AT$6:$AU$15),LOOKUP(テーブル22[[#This Row],[50m走]],$AT$20:$AU$29))))</f>
        <v>0</v>
      </c>
      <c r="X457" s="42">
        <f>IF(テーブル22[[#This Row],[立幅とび]]="",0,(IF(テーブル22[[#This Row],[性別]]="男",LOOKUP(テーブル22[[#This Row],[立幅とび]],$AV$6:$AW$15),LOOKUP(テーブル22[[#This Row],[立幅とび]],$AV$20:$AW$29))))</f>
        <v>0</v>
      </c>
      <c r="Y457" s="42">
        <f>IF(テーブル22[[#This Row],[ボール投げ]]="",0,(IF(テーブル22[[#This Row],[性別]]="男",LOOKUP(テーブル22[[#This Row],[ボール投げ]],$AX$6:$AY$15),LOOKUP(テーブル22[[#This Row],[ボール投げ]],$AX$20:$AY$29))))</f>
        <v>0</v>
      </c>
      <c r="Z457" s="19" t="str">
        <f>IF(テーブル22[[#This Row],[学年]]=1,6,IF(テーブル22[[#This Row],[学年]]=2,7,IF(テーブル22[[#This Row],[学年]]=3,8,IF(テーブル22[[#This Row],[学年]]=4,9,IF(テーブル22[[#This Row],[学年]]=5,10,IF(テーブル22[[#This Row],[学年]]=6,11," "))))))</f>
        <v xml:space="preserve"> </v>
      </c>
      <c r="AA457" s="125" t="str">
        <f>IF(テーブル22[[#This Row],[肥満度数値]]="","",LOOKUP(AC457,$AW$39:$AW$44,$AX$39:$AX$44))</f>
        <v/>
      </c>
      <c r="AB45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7" s="124" t="str">
        <f>IF(テーブル22[[#This Row],[体重]]="","",(テーブル22[[#This Row],[体重]]-テーブル22[[#This Row],[標準体重]])/テーブル22[[#This Row],[標準体重]]*100)</f>
        <v/>
      </c>
      <c r="AD457" s="1">
        <f>COUNTA(テーブル22[[#This Row],[握力]:[ボール投げ]])</f>
        <v>0</v>
      </c>
      <c r="AE457" s="1" t="str">
        <f>IF(テーブル22[[#This Row],[判定]]=$BD$10,"○","")</f>
        <v/>
      </c>
      <c r="AF457" s="1" t="str">
        <f>IF(AE457="","",COUNTIF($AE$6:AE457,"○"))</f>
        <v/>
      </c>
    </row>
    <row r="458" spans="1:32" x14ac:dyDescent="0.2">
      <c r="A458" s="40">
        <v>453</v>
      </c>
      <c r="B458" s="145"/>
      <c r="C458" s="148"/>
      <c r="D458" s="145"/>
      <c r="E458" s="156"/>
      <c r="F458" s="145"/>
      <c r="G458" s="145"/>
      <c r="H458" s="146"/>
      <c r="I458" s="146"/>
      <c r="J458" s="148"/>
      <c r="K458" s="145"/>
      <c r="L458" s="148"/>
      <c r="M458" s="149"/>
      <c r="N458" s="148"/>
      <c r="O458" s="150"/>
      <c r="P45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8" s="43" t="str">
        <f>IF(テーブル22[[#This Row],[得点]]="","",IF(テーブル22[[#This Row],[年齢]]&gt;10,LOOKUP(P458,$BG$6:$BG$10,$BD$6:$BD$10),IF(テーブル22[[#This Row],[年齢]]&gt;9,LOOKUP(P458,$BF$6:$BF$10,$BD$6:$BD$10),IF(テーブル22[[#This Row],[年齢]]&gt;8,LOOKUP(P458,$BE$6:$BE$10,$BD$6:$BD$10),IF(テーブル22[[#This Row],[年齢]]&gt;7,LOOKUP(P458,$BC$6:$BC$10,$BD$6:$BD$10),IF(テーブル22[[#This Row],[年齢]]&gt;6,LOOKUP(P458,$BB$6:$BB$10,$BD$6:$BD$10),LOOKUP(P458,$BA$6:$BA$10,$BD$6:$BD$10)))))))</f>
        <v/>
      </c>
      <c r="R458" s="42">
        <f>IF(H458="",0,(IF(テーブル22[[#This Row],[性別]]="男",LOOKUP(テーブル22[[#This Row],[握力]],$AH$6:$AI$15),LOOKUP(テーブル22[[#This Row],[握力]],$AH$20:$AI$29))))</f>
        <v>0</v>
      </c>
      <c r="S458" s="42">
        <f>IF(テーブル22[[#This Row],[上体]]="",0,(IF(テーブル22[[#This Row],[性別]]="男",LOOKUP(テーブル22[[#This Row],[上体]],$AJ$6:$AK$15),LOOKUP(テーブル22[[#This Row],[上体]],$AJ$20:$AK$29))))</f>
        <v>0</v>
      </c>
      <c r="T458" s="42">
        <f>IF(テーブル22[[#This Row],[長座]]="",0,(IF(テーブル22[[#This Row],[性別]]="男",LOOKUP(テーブル22[[#This Row],[長座]],$AL$6:$AM$15),LOOKUP(テーブル22[[#This Row],[長座]],$AL$20:$AM$29))))</f>
        <v>0</v>
      </c>
      <c r="U458" s="42">
        <f>IF(テーブル22[[#This Row],[反復]]="",0,(IF(テーブル22[[#This Row],[性別]]="男",LOOKUP(テーブル22[[#This Row],[反復]],$AN$6:$AO$15),LOOKUP(テーブル22[[#This Row],[反復]],$AN$20:$AO$29))))</f>
        <v>0</v>
      </c>
      <c r="V458" s="42">
        <f>IF(テーブル22[[#This Row],[ｼｬﾄﾙﾗﾝ]]="",0,(IF(テーブル22[[#This Row],[性別]]="男",LOOKUP(テーブル22[[#This Row],[ｼｬﾄﾙﾗﾝ]],$AR$6:$AS$15),LOOKUP(テーブル22[[#This Row],[ｼｬﾄﾙﾗﾝ]],$AR$20:$AS$29))))</f>
        <v>0</v>
      </c>
      <c r="W458" s="42">
        <f>IF(テーブル22[[#This Row],[50m走]]="",0,(IF(テーブル22[[#This Row],[性別]]="男",LOOKUP(テーブル22[[#This Row],[50m走]],$AT$6:$AU$15),LOOKUP(テーブル22[[#This Row],[50m走]],$AT$20:$AU$29))))</f>
        <v>0</v>
      </c>
      <c r="X458" s="42">
        <f>IF(テーブル22[[#This Row],[立幅とび]]="",0,(IF(テーブル22[[#This Row],[性別]]="男",LOOKUP(テーブル22[[#This Row],[立幅とび]],$AV$6:$AW$15),LOOKUP(テーブル22[[#This Row],[立幅とび]],$AV$20:$AW$29))))</f>
        <v>0</v>
      </c>
      <c r="Y458" s="42">
        <f>IF(テーブル22[[#This Row],[ボール投げ]]="",0,(IF(テーブル22[[#This Row],[性別]]="男",LOOKUP(テーブル22[[#This Row],[ボール投げ]],$AX$6:$AY$15),LOOKUP(テーブル22[[#This Row],[ボール投げ]],$AX$20:$AY$29))))</f>
        <v>0</v>
      </c>
      <c r="Z458" s="19" t="str">
        <f>IF(テーブル22[[#This Row],[学年]]=1,6,IF(テーブル22[[#This Row],[学年]]=2,7,IF(テーブル22[[#This Row],[学年]]=3,8,IF(テーブル22[[#This Row],[学年]]=4,9,IF(テーブル22[[#This Row],[学年]]=5,10,IF(テーブル22[[#This Row],[学年]]=6,11," "))))))</f>
        <v xml:space="preserve"> </v>
      </c>
      <c r="AA458" s="125" t="str">
        <f>IF(テーブル22[[#This Row],[肥満度数値]]="","",LOOKUP(AC458,$AW$39:$AW$44,$AX$39:$AX$44))</f>
        <v/>
      </c>
      <c r="AB45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8" s="124" t="str">
        <f>IF(テーブル22[[#This Row],[体重]]="","",(テーブル22[[#This Row],[体重]]-テーブル22[[#This Row],[標準体重]])/テーブル22[[#This Row],[標準体重]]*100)</f>
        <v/>
      </c>
      <c r="AD458" s="1">
        <f>COUNTA(テーブル22[[#This Row],[握力]:[ボール投げ]])</f>
        <v>0</v>
      </c>
      <c r="AE458" s="1" t="str">
        <f>IF(テーブル22[[#This Row],[判定]]=$BD$10,"○","")</f>
        <v/>
      </c>
      <c r="AF458" s="1" t="str">
        <f>IF(AE458="","",COUNTIF($AE$6:AE458,"○"))</f>
        <v/>
      </c>
    </row>
    <row r="459" spans="1:32" x14ac:dyDescent="0.2">
      <c r="A459" s="40">
        <v>454</v>
      </c>
      <c r="B459" s="145"/>
      <c r="C459" s="148"/>
      <c r="D459" s="145"/>
      <c r="E459" s="156"/>
      <c r="F459" s="145"/>
      <c r="G459" s="145"/>
      <c r="H459" s="146"/>
      <c r="I459" s="146"/>
      <c r="J459" s="148"/>
      <c r="K459" s="145"/>
      <c r="L459" s="148"/>
      <c r="M459" s="149"/>
      <c r="N459" s="148"/>
      <c r="O459" s="150"/>
      <c r="P45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59" s="43" t="str">
        <f>IF(テーブル22[[#This Row],[得点]]="","",IF(テーブル22[[#This Row],[年齢]]&gt;10,LOOKUP(P459,$BG$6:$BG$10,$BD$6:$BD$10),IF(テーブル22[[#This Row],[年齢]]&gt;9,LOOKUP(P459,$BF$6:$BF$10,$BD$6:$BD$10),IF(テーブル22[[#This Row],[年齢]]&gt;8,LOOKUP(P459,$BE$6:$BE$10,$BD$6:$BD$10),IF(テーブル22[[#This Row],[年齢]]&gt;7,LOOKUP(P459,$BC$6:$BC$10,$BD$6:$BD$10),IF(テーブル22[[#This Row],[年齢]]&gt;6,LOOKUP(P459,$BB$6:$BB$10,$BD$6:$BD$10),LOOKUP(P459,$BA$6:$BA$10,$BD$6:$BD$10)))))))</f>
        <v/>
      </c>
      <c r="R459" s="42">
        <f>IF(H459="",0,(IF(テーブル22[[#This Row],[性別]]="男",LOOKUP(テーブル22[[#This Row],[握力]],$AH$6:$AI$15),LOOKUP(テーブル22[[#This Row],[握力]],$AH$20:$AI$29))))</f>
        <v>0</v>
      </c>
      <c r="S459" s="42">
        <f>IF(テーブル22[[#This Row],[上体]]="",0,(IF(テーブル22[[#This Row],[性別]]="男",LOOKUP(テーブル22[[#This Row],[上体]],$AJ$6:$AK$15),LOOKUP(テーブル22[[#This Row],[上体]],$AJ$20:$AK$29))))</f>
        <v>0</v>
      </c>
      <c r="T459" s="42">
        <f>IF(テーブル22[[#This Row],[長座]]="",0,(IF(テーブル22[[#This Row],[性別]]="男",LOOKUP(テーブル22[[#This Row],[長座]],$AL$6:$AM$15),LOOKUP(テーブル22[[#This Row],[長座]],$AL$20:$AM$29))))</f>
        <v>0</v>
      </c>
      <c r="U459" s="42">
        <f>IF(テーブル22[[#This Row],[反復]]="",0,(IF(テーブル22[[#This Row],[性別]]="男",LOOKUP(テーブル22[[#This Row],[反復]],$AN$6:$AO$15),LOOKUP(テーブル22[[#This Row],[反復]],$AN$20:$AO$29))))</f>
        <v>0</v>
      </c>
      <c r="V459" s="42">
        <f>IF(テーブル22[[#This Row],[ｼｬﾄﾙﾗﾝ]]="",0,(IF(テーブル22[[#This Row],[性別]]="男",LOOKUP(テーブル22[[#This Row],[ｼｬﾄﾙﾗﾝ]],$AR$6:$AS$15),LOOKUP(テーブル22[[#This Row],[ｼｬﾄﾙﾗﾝ]],$AR$20:$AS$29))))</f>
        <v>0</v>
      </c>
      <c r="W459" s="42">
        <f>IF(テーブル22[[#This Row],[50m走]]="",0,(IF(テーブル22[[#This Row],[性別]]="男",LOOKUP(テーブル22[[#This Row],[50m走]],$AT$6:$AU$15),LOOKUP(テーブル22[[#This Row],[50m走]],$AT$20:$AU$29))))</f>
        <v>0</v>
      </c>
      <c r="X459" s="42">
        <f>IF(テーブル22[[#This Row],[立幅とび]]="",0,(IF(テーブル22[[#This Row],[性別]]="男",LOOKUP(テーブル22[[#This Row],[立幅とび]],$AV$6:$AW$15),LOOKUP(テーブル22[[#This Row],[立幅とび]],$AV$20:$AW$29))))</f>
        <v>0</v>
      </c>
      <c r="Y459" s="42">
        <f>IF(テーブル22[[#This Row],[ボール投げ]]="",0,(IF(テーブル22[[#This Row],[性別]]="男",LOOKUP(テーブル22[[#This Row],[ボール投げ]],$AX$6:$AY$15),LOOKUP(テーブル22[[#This Row],[ボール投げ]],$AX$20:$AY$29))))</f>
        <v>0</v>
      </c>
      <c r="Z459" s="19" t="str">
        <f>IF(テーブル22[[#This Row],[学年]]=1,6,IF(テーブル22[[#This Row],[学年]]=2,7,IF(テーブル22[[#This Row],[学年]]=3,8,IF(テーブル22[[#This Row],[学年]]=4,9,IF(テーブル22[[#This Row],[学年]]=5,10,IF(テーブル22[[#This Row],[学年]]=6,11," "))))))</f>
        <v xml:space="preserve"> </v>
      </c>
      <c r="AA459" s="125" t="str">
        <f>IF(テーブル22[[#This Row],[肥満度数値]]="","",LOOKUP(AC459,$AW$39:$AW$44,$AX$39:$AX$44))</f>
        <v/>
      </c>
      <c r="AB45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59" s="124" t="str">
        <f>IF(テーブル22[[#This Row],[体重]]="","",(テーブル22[[#This Row],[体重]]-テーブル22[[#This Row],[標準体重]])/テーブル22[[#This Row],[標準体重]]*100)</f>
        <v/>
      </c>
      <c r="AD459" s="1">
        <f>COUNTA(テーブル22[[#This Row],[握力]:[ボール投げ]])</f>
        <v>0</v>
      </c>
      <c r="AE459" s="1" t="str">
        <f>IF(テーブル22[[#This Row],[判定]]=$BD$10,"○","")</f>
        <v/>
      </c>
      <c r="AF459" s="1" t="str">
        <f>IF(AE459="","",COUNTIF($AE$6:AE459,"○"))</f>
        <v/>
      </c>
    </row>
    <row r="460" spans="1:32" x14ac:dyDescent="0.2">
      <c r="A460" s="40">
        <v>455</v>
      </c>
      <c r="B460" s="145"/>
      <c r="C460" s="148"/>
      <c r="D460" s="145"/>
      <c r="E460" s="156"/>
      <c r="F460" s="145"/>
      <c r="G460" s="145"/>
      <c r="H460" s="146"/>
      <c r="I460" s="146"/>
      <c r="J460" s="148"/>
      <c r="K460" s="145"/>
      <c r="L460" s="148"/>
      <c r="M460" s="149"/>
      <c r="N460" s="148"/>
      <c r="O460" s="150"/>
      <c r="P46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0" s="43" t="str">
        <f>IF(テーブル22[[#This Row],[得点]]="","",IF(テーブル22[[#This Row],[年齢]]&gt;10,LOOKUP(P460,$BG$6:$BG$10,$BD$6:$BD$10),IF(テーブル22[[#This Row],[年齢]]&gt;9,LOOKUP(P460,$BF$6:$BF$10,$BD$6:$BD$10),IF(テーブル22[[#This Row],[年齢]]&gt;8,LOOKUP(P460,$BE$6:$BE$10,$BD$6:$BD$10),IF(テーブル22[[#This Row],[年齢]]&gt;7,LOOKUP(P460,$BC$6:$BC$10,$BD$6:$BD$10),IF(テーブル22[[#This Row],[年齢]]&gt;6,LOOKUP(P460,$BB$6:$BB$10,$BD$6:$BD$10),LOOKUP(P460,$BA$6:$BA$10,$BD$6:$BD$10)))))))</f>
        <v/>
      </c>
      <c r="R460" s="42">
        <f>IF(H460="",0,(IF(テーブル22[[#This Row],[性別]]="男",LOOKUP(テーブル22[[#This Row],[握力]],$AH$6:$AI$15),LOOKUP(テーブル22[[#This Row],[握力]],$AH$20:$AI$29))))</f>
        <v>0</v>
      </c>
      <c r="S460" s="42">
        <f>IF(テーブル22[[#This Row],[上体]]="",0,(IF(テーブル22[[#This Row],[性別]]="男",LOOKUP(テーブル22[[#This Row],[上体]],$AJ$6:$AK$15),LOOKUP(テーブル22[[#This Row],[上体]],$AJ$20:$AK$29))))</f>
        <v>0</v>
      </c>
      <c r="T460" s="42">
        <f>IF(テーブル22[[#This Row],[長座]]="",0,(IF(テーブル22[[#This Row],[性別]]="男",LOOKUP(テーブル22[[#This Row],[長座]],$AL$6:$AM$15),LOOKUP(テーブル22[[#This Row],[長座]],$AL$20:$AM$29))))</f>
        <v>0</v>
      </c>
      <c r="U460" s="42">
        <f>IF(テーブル22[[#This Row],[反復]]="",0,(IF(テーブル22[[#This Row],[性別]]="男",LOOKUP(テーブル22[[#This Row],[反復]],$AN$6:$AO$15),LOOKUP(テーブル22[[#This Row],[反復]],$AN$20:$AO$29))))</f>
        <v>0</v>
      </c>
      <c r="V460" s="42">
        <f>IF(テーブル22[[#This Row],[ｼｬﾄﾙﾗﾝ]]="",0,(IF(テーブル22[[#This Row],[性別]]="男",LOOKUP(テーブル22[[#This Row],[ｼｬﾄﾙﾗﾝ]],$AR$6:$AS$15),LOOKUP(テーブル22[[#This Row],[ｼｬﾄﾙﾗﾝ]],$AR$20:$AS$29))))</f>
        <v>0</v>
      </c>
      <c r="W460" s="42">
        <f>IF(テーブル22[[#This Row],[50m走]]="",0,(IF(テーブル22[[#This Row],[性別]]="男",LOOKUP(テーブル22[[#This Row],[50m走]],$AT$6:$AU$15),LOOKUP(テーブル22[[#This Row],[50m走]],$AT$20:$AU$29))))</f>
        <v>0</v>
      </c>
      <c r="X460" s="42">
        <f>IF(テーブル22[[#This Row],[立幅とび]]="",0,(IF(テーブル22[[#This Row],[性別]]="男",LOOKUP(テーブル22[[#This Row],[立幅とび]],$AV$6:$AW$15),LOOKUP(テーブル22[[#This Row],[立幅とび]],$AV$20:$AW$29))))</f>
        <v>0</v>
      </c>
      <c r="Y460" s="42">
        <f>IF(テーブル22[[#This Row],[ボール投げ]]="",0,(IF(テーブル22[[#This Row],[性別]]="男",LOOKUP(テーブル22[[#This Row],[ボール投げ]],$AX$6:$AY$15),LOOKUP(テーブル22[[#This Row],[ボール投げ]],$AX$20:$AY$29))))</f>
        <v>0</v>
      </c>
      <c r="Z460" s="19" t="str">
        <f>IF(テーブル22[[#This Row],[学年]]=1,6,IF(テーブル22[[#This Row],[学年]]=2,7,IF(テーブル22[[#This Row],[学年]]=3,8,IF(テーブル22[[#This Row],[学年]]=4,9,IF(テーブル22[[#This Row],[学年]]=5,10,IF(テーブル22[[#This Row],[学年]]=6,11," "))))))</f>
        <v xml:space="preserve"> </v>
      </c>
      <c r="AA460" s="125" t="str">
        <f>IF(テーブル22[[#This Row],[肥満度数値]]="","",LOOKUP(AC460,$AW$39:$AW$44,$AX$39:$AX$44))</f>
        <v/>
      </c>
      <c r="AB46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0" s="124" t="str">
        <f>IF(テーブル22[[#This Row],[体重]]="","",(テーブル22[[#This Row],[体重]]-テーブル22[[#This Row],[標準体重]])/テーブル22[[#This Row],[標準体重]]*100)</f>
        <v/>
      </c>
      <c r="AD460" s="1">
        <f>COUNTA(テーブル22[[#This Row],[握力]:[ボール投げ]])</f>
        <v>0</v>
      </c>
      <c r="AE460" s="1" t="str">
        <f>IF(テーブル22[[#This Row],[判定]]=$BD$10,"○","")</f>
        <v/>
      </c>
      <c r="AF460" s="1" t="str">
        <f>IF(AE460="","",COUNTIF($AE$6:AE460,"○"))</f>
        <v/>
      </c>
    </row>
    <row r="461" spans="1:32" x14ac:dyDescent="0.2">
      <c r="A461" s="40">
        <v>456</v>
      </c>
      <c r="B461" s="145"/>
      <c r="C461" s="148"/>
      <c r="D461" s="145"/>
      <c r="E461" s="156"/>
      <c r="F461" s="145"/>
      <c r="G461" s="145"/>
      <c r="H461" s="146"/>
      <c r="I461" s="146"/>
      <c r="J461" s="148"/>
      <c r="K461" s="145"/>
      <c r="L461" s="148"/>
      <c r="M461" s="149"/>
      <c r="N461" s="148"/>
      <c r="O461" s="150"/>
      <c r="P46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1" s="43" t="str">
        <f>IF(テーブル22[[#This Row],[得点]]="","",IF(テーブル22[[#This Row],[年齢]]&gt;10,LOOKUP(P461,$BG$6:$BG$10,$BD$6:$BD$10),IF(テーブル22[[#This Row],[年齢]]&gt;9,LOOKUP(P461,$BF$6:$BF$10,$BD$6:$BD$10),IF(テーブル22[[#This Row],[年齢]]&gt;8,LOOKUP(P461,$BE$6:$BE$10,$BD$6:$BD$10),IF(テーブル22[[#This Row],[年齢]]&gt;7,LOOKUP(P461,$BC$6:$BC$10,$BD$6:$BD$10),IF(テーブル22[[#This Row],[年齢]]&gt;6,LOOKUP(P461,$BB$6:$BB$10,$BD$6:$BD$10),LOOKUP(P461,$BA$6:$BA$10,$BD$6:$BD$10)))))))</f>
        <v/>
      </c>
      <c r="R461" s="42">
        <f>IF(H461="",0,(IF(テーブル22[[#This Row],[性別]]="男",LOOKUP(テーブル22[[#This Row],[握力]],$AH$6:$AI$15),LOOKUP(テーブル22[[#This Row],[握力]],$AH$20:$AI$29))))</f>
        <v>0</v>
      </c>
      <c r="S461" s="42">
        <f>IF(テーブル22[[#This Row],[上体]]="",0,(IF(テーブル22[[#This Row],[性別]]="男",LOOKUP(テーブル22[[#This Row],[上体]],$AJ$6:$AK$15),LOOKUP(テーブル22[[#This Row],[上体]],$AJ$20:$AK$29))))</f>
        <v>0</v>
      </c>
      <c r="T461" s="42">
        <f>IF(テーブル22[[#This Row],[長座]]="",0,(IF(テーブル22[[#This Row],[性別]]="男",LOOKUP(テーブル22[[#This Row],[長座]],$AL$6:$AM$15),LOOKUP(テーブル22[[#This Row],[長座]],$AL$20:$AM$29))))</f>
        <v>0</v>
      </c>
      <c r="U461" s="42">
        <f>IF(テーブル22[[#This Row],[反復]]="",0,(IF(テーブル22[[#This Row],[性別]]="男",LOOKUP(テーブル22[[#This Row],[反復]],$AN$6:$AO$15),LOOKUP(テーブル22[[#This Row],[反復]],$AN$20:$AO$29))))</f>
        <v>0</v>
      </c>
      <c r="V461" s="42">
        <f>IF(テーブル22[[#This Row],[ｼｬﾄﾙﾗﾝ]]="",0,(IF(テーブル22[[#This Row],[性別]]="男",LOOKUP(テーブル22[[#This Row],[ｼｬﾄﾙﾗﾝ]],$AR$6:$AS$15),LOOKUP(テーブル22[[#This Row],[ｼｬﾄﾙﾗﾝ]],$AR$20:$AS$29))))</f>
        <v>0</v>
      </c>
      <c r="W461" s="42">
        <f>IF(テーブル22[[#This Row],[50m走]]="",0,(IF(テーブル22[[#This Row],[性別]]="男",LOOKUP(テーブル22[[#This Row],[50m走]],$AT$6:$AU$15),LOOKUP(テーブル22[[#This Row],[50m走]],$AT$20:$AU$29))))</f>
        <v>0</v>
      </c>
      <c r="X461" s="42">
        <f>IF(テーブル22[[#This Row],[立幅とび]]="",0,(IF(テーブル22[[#This Row],[性別]]="男",LOOKUP(テーブル22[[#This Row],[立幅とび]],$AV$6:$AW$15),LOOKUP(テーブル22[[#This Row],[立幅とび]],$AV$20:$AW$29))))</f>
        <v>0</v>
      </c>
      <c r="Y461" s="42">
        <f>IF(テーブル22[[#This Row],[ボール投げ]]="",0,(IF(テーブル22[[#This Row],[性別]]="男",LOOKUP(テーブル22[[#This Row],[ボール投げ]],$AX$6:$AY$15),LOOKUP(テーブル22[[#This Row],[ボール投げ]],$AX$20:$AY$29))))</f>
        <v>0</v>
      </c>
      <c r="Z461" s="19" t="str">
        <f>IF(テーブル22[[#This Row],[学年]]=1,6,IF(テーブル22[[#This Row],[学年]]=2,7,IF(テーブル22[[#This Row],[学年]]=3,8,IF(テーブル22[[#This Row],[学年]]=4,9,IF(テーブル22[[#This Row],[学年]]=5,10,IF(テーブル22[[#This Row],[学年]]=6,11," "))))))</f>
        <v xml:space="preserve"> </v>
      </c>
      <c r="AA461" s="125" t="str">
        <f>IF(テーブル22[[#This Row],[肥満度数値]]="","",LOOKUP(AC461,$AW$39:$AW$44,$AX$39:$AX$44))</f>
        <v/>
      </c>
      <c r="AB46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1" s="124" t="str">
        <f>IF(テーブル22[[#This Row],[体重]]="","",(テーブル22[[#This Row],[体重]]-テーブル22[[#This Row],[標準体重]])/テーブル22[[#This Row],[標準体重]]*100)</f>
        <v/>
      </c>
      <c r="AD461" s="1">
        <f>COUNTA(テーブル22[[#This Row],[握力]:[ボール投げ]])</f>
        <v>0</v>
      </c>
      <c r="AE461" s="1" t="str">
        <f>IF(テーブル22[[#This Row],[判定]]=$BD$10,"○","")</f>
        <v/>
      </c>
      <c r="AF461" s="1" t="str">
        <f>IF(AE461="","",COUNTIF($AE$6:AE461,"○"))</f>
        <v/>
      </c>
    </row>
    <row r="462" spans="1:32" x14ac:dyDescent="0.2">
      <c r="A462" s="40">
        <v>457</v>
      </c>
      <c r="B462" s="145"/>
      <c r="C462" s="148"/>
      <c r="D462" s="145"/>
      <c r="E462" s="156"/>
      <c r="F462" s="145"/>
      <c r="G462" s="145"/>
      <c r="H462" s="146"/>
      <c r="I462" s="146"/>
      <c r="J462" s="148"/>
      <c r="K462" s="145"/>
      <c r="L462" s="148"/>
      <c r="M462" s="149"/>
      <c r="N462" s="148"/>
      <c r="O462" s="150"/>
      <c r="P46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2" s="43" t="str">
        <f>IF(テーブル22[[#This Row],[得点]]="","",IF(テーブル22[[#This Row],[年齢]]&gt;10,LOOKUP(P462,$BG$6:$BG$10,$BD$6:$BD$10),IF(テーブル22[[#This Row],[年齢]]&gt;9,LOOKUP(P462,$BF$6:$BF$10,$BD$6:$BD$10),IF(テーブル22[[#This Row],[年齢]]&gt;8,LOOKUP(P462,$BE$6:$BE$10,$BD$6:$BD$10),IF(テーブル22[[#This Row],[年齢]]&gt;7,LOOKUP(P462,$BC$6:$BC$10,$BD$6:$BD$10),IF(テーブル22[[#This Row],[年齢]]&gt;6,LOOKUP(P462,$BB$6:$BB$10,$BD$6:$BD$10),LOOKUP(P462,$BA$6:$BA$10,$BD$6:$BD$10)))))))</f>
        <v/>
      </c>
      <c r="R462" s="42">
        <f>IF(H462="",0,(IF(テーブル22[[#This Row],[性別]]="男",LOOKUP(テーブル22[[#This Row],[握力]],$AH$6:$AI$15),LOOKUP(テーブル22[[#This Row],[握力]],$AH$20:$AI$29))))</f>
        <v>0</v>
      </c>
      <c r="S462" s="42">
        <f>IF(テーブル22[[#This Row],[上体]]="",0,(IF(テーブル22[[#This Row],[性別]]="男",LOOKUP(テーブル22[[#This Row],[上体]],$AJ$6:$AK$15),LOOKUP(テーブル22[[#This Row],[上体]],$AJ$20:$AK$29))))</f>
        <v>0</v>
      </c>
      <c r="T462" s="42">
        <f>IF(テーブル22[[#This Row],[長座]]="",0,(IF(テーブル22[[#This Row],[性別]]="男",LOOKUP(テーブル22[[#This Row],[長座]],$AL$6:$AM$15),LOOKUP(テーブル22[[#This Row],[長座]],$AL$20:$AM$29))))</f>
        <v>0</v>
      </c>
      <c r="U462" s="42">
        <f>IF(テーブル22[[#This Row],[反復]]="",0,(IF(テーブル22[[#This Row],[性別]]="男",LOOKUP(テーブル22[[#This Row],[反復]],$AN$6:$AO$15),LOOKUP(テーブル22[[#This Row],[反復]],$AN$20:$AO$29))))</f>
        <v>0</v>
      </c>
      <c r="V462" s="42">
        <f>IF(テーブル22[[#This Row],[ｼｬﾄﾙﾗﾝ]]="",0,(IF(テーブル22[[#This Row],[性別]]="男",LOOKUP(テーブル22[[#This Row],[ｼｬﾄﾙﾗﾝ]],$AR$6:$AS$15),LOOKUP(テーブル22[[#This Row],[ｼｬﾄﾙﾗﾝ]],$AR$20:$AS$29))))</f>
        <v>0</v>
      </c>
      <c r="W462" s="42">
        <f>IF(テーブル22[[#This Row],[50m走]]="",0,(IF(テーブル22[[#This Row],[性別]]="男",LOOKUP(テーブル22[[#This Row],[50m走]],$AT$6:$AU$15),LOOKUP(テーブル22[[#This Row],[50m走]],$AT$20:$AU$29))))</f>
        <v>0</v>
      </c>
      <c r="X462" s="42">
        <f>IF(テーブル22[[#This Row],[立幅とび]]="",0,(IF(テーブル22[[#This Row],[性別]]="男",LOOKUP(テーブル22[[#This Row],[立幅とび]],$AV$6:$AW$15),LOOKUP(テーブル22[[#This Row],[立幅とび]],$AV$20:$AW$29))))</f>
        <v>0</v>
      </c>
      <c r="Y462" s="42">
        <f>IF(テーブル22[[#This Row],[ボール投げ]]="",0,(IF(テーブル22[[#This Row],[性別]]="男",LOOKUP(テーブル22[[#This Row],[ボール投げ]],$AX$6:$AY$15),LOOKUP(テーブル22[[#This Row],[ボール投げ]],$AX$20:$AY$29))))</f>
        <v>0</v>
      </c>
      <c r="Z462" s="19" t="str">
        <f>IF(テーブル22[[#This Row],[学年]]=1,6,IF(テーブル22[[#This Row],[学年]]=2,7,IF(テーブル22[[#This Row],[学年]]=3,8,IF(テーブル22[[#This Row],[学年]]=4,9,IF(テーブル22[[#This Row],[学年]]=5,10,IF(テーブル22[[#This Row],[学年]]=6,11," "))))))</f>
        <v xml:space="preserve"> </v>
      </c>
      <c r="AA462" s="125" t="str">
        <f>IF(テーブル22[[#This Row],[肥満度数値]]="","",LOOKUP(AC462,$AW$39:$AW$44,$AX$39:$AX$44))</f>
        <v/>
      </c>
      <c r="AB46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2" s="124" t="str">
        <f>IF(テーブル22[[#This Row],[体重]]="","",(テーブル22[[#This Row],[体重]]-テーブル22[[#This Row],[標準体重]])/テーブル22[[#This Row],[標準体重]]*100)</f>
        <v/>
      </c>
      <c r="AD462" s="1">
        <f>COUNTA(テーブル22[[#This Row],[握力]:[ボール投げ]])</f>
        <v>0</v>
      </c>
      <c r="AE462" s="1" t="str">
        <f>IF(テーブル22[[#This Row],[判定]]=$BD$10,"○","")</f>
        <v/>
      </c>
      <c r="AF462" s="1" t="str">
        <f>IF(AE462="","",COUNTIF($AE$6:AE462,"○"))</f>
        <v/>
      </c>
    </row>
    <row r="463" spans="1:32" x14ac:dyDescent="0.2">
      <c r="A463" s="40">
        <v>458</v>
      </c>
      <c r="B463" s="145"/>
      <c r="C463" s="148"/>
      <c r="D463" s="145"/>
      <c r="E463" s="156"/>
      <c r="F463" s="145"/>
      <c r="G463" s="145"/>
      <c r="H463" s="146"/>
      <c r="I463" s="146"/>
      <c r="J463" s="148"/>
      <c r="K463" s="145"/>
      <c r="L463" s="148"/>
      <c r="M463" s="149"/>
      <c r="N463" s="148"/>
      <c r="O463" s="150"/>
      <c r="P46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3" s="43" t="str">
        <f>IF(テーブル22[[#This Row],[得点]]="","",IF(テーブル22[[#This Row],[年齢]]&gt;10,LOOKUP(P463,$BG$6:$BG$10,$BD$6:$BD$10),IF(テーブル22[[#This Row],[年齢]]&gt;9,LOOKUP(P463,$BF$6:$BF$10,$BD$6:$BD$10),IF(テーブル22[[#This Row],[年齢]]&gt;8,LOOKUP(P463,$BE$6:$BE$10,$BD$6:$BD$10),IF(テーブル22[[#This Row],[年齢]]&gt;7,LOOKUP(P463,$BC$6:$BC$10,$BD$6:$BD$10),IF(テーブル22[[#This Row],[年齢]]&gt;6,LOOKUP(P463,$BB$6:$BB$10,$BD$6:$BD$10),LOOKUP(P463,$BA$6:$BA$10,$BD$6:$BD$10)))))))</f>
        <v/>
      </c>
      <c r="R463" s="42">
        <f>IF(H463="",0,(IF(テーブル22[[#This Row],[性別]]="男",LOOKUP(テーブル22[[#This Row],[握力]],$AH$6:$AI$15),LOOKUP(テーブル22[[#This Row],[握力]],$AH$20:$AI$29))))</f>
        <v>0</v>
      </c>
      <c r="S463" s="42">
        <f>IF(テーブル22[[#This Row],[上体]]="",0,(IF(テーブル22[[#This Row],[性別]]="男",LOOKUP(テーブル22[[#This Row],[上体]],$AJ$6:$AK$15),LOOKUP(テーブル22[[#This Row],[上体]],$AJ$20:$AK$29))))</f>
        <v>0</v>
      </c>
      <c r="T463" s="42">
        <f>IF(テーブル22[[#This Row],[長座]]="",0,(IF(テーブル22[[#This Row],[性別]]="男",LOOKUP(テーブル22[[#This Row],[長座]],$AL$6:$AM$15),LOOKUP(テーブル22[[#This Row],[長座]],$AL$20:$AM$29))))</f>
        <v>0</v>
      </c>
      <c r="U463" s="42">
        <f>IF(テーブル22[[#This Row],[反復]]="",0,(IF(テーブル22[[#This Row],[性別]]="男",LOOKUP(テーブル22[[#This Row],[反復]],$AN$6:$AO$15),LOOKUP(テーブル22[[#This Row],[反復]],$AN$20:$AO$29))))</f>
        <v>0</v>
      </c>
      <c r="V463" s="42">
        <f>IF(テーブル22[[#This Row],[ｼｬﾄﾙﾗﾝ]]="",0,(IF(テーブル22[[#This Row],[性別]]="男",LOOKUP(テーブル22[[#This Row],[ｼｬﾄﾙﾗﾝ]],$AR$6:$AS$15),LOOKUP(テーブル22[[#This Row],[ｼｬﾄﾙﾗﾝ]],$AR$20:$AS$29))))</f>
        <v>0</v>
      </c>
      <c r="W463" s="42">
        <f>IF(テーブル22[[#This Row],[50m走]]="",0,(IF(テーブル22[[#This Row],[性別]]="男",LOOKUP(テーブル22[[#This Row],[50m走]],$AT$6:$AU$15),LOOKUP(テーブル22[[#This Row],[50m走]],$AT$20:$AU$29))))</f>
        <v>0</v>
      </c>
      <c r="X463" s="42">
        <f>IF(テーブル22[[#This Row],[立幅とび]]="",0,(IF(テーブル22[[#This Row],[性別]]="男",LOOKUP(テーブル22[[#This Row],[立幅とび]],$AV$6:$AW$15),LOOKUP(テーブル22[[#This Row],[立幅とび]],$AV$20:$AW$29))))</f>
        <v>0</v>
      </c>
      <c r="Y463" s="42">
        <f>IF(テーブル22[[#This Row],[ボール投げ]]="",0,(IF(テーブル22[[#This Row],[性別]]="男",LOOKUP(テーブル22[[#This Row],[ボール投げ]],$AX$6:$AY$15),LOOKUP(テーブル22[[#This Row],[ボール投げ]],$AX$20:$AY$29))))</f>
        <v>0</v>
      </c>
      <c r="Z463" s="19" t="str">
        <f>IF(テーブル22[[#This Row],[学年]]=1,6,IF(テーブル22[[#This Row],[学年]]=2,7,IF(テーブル22[[#This Row],[学年]]=3,8,IF(テーブル22[[#This Row],[学年]]=4,9,IF(テーブル22[[#This Row],[学年]]=5,10,IF(テーブル22[[#This Row],[学年]]=6,11," "))))))</f>
        <v xml:space="preserve"> </v>
      </c>
      <c r="AA463" s="125" t="str">
        <f>IF(テーブル22[[#This Row],[肥満度数値]]="","",LOOKUP(AC463,$AW$39:$AW$44,$AX$39:$AX$44))</f>
        <v/>
      </c>
      <c r="AB46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3" s="124" t="str">
        <f>IF(テーブル22[[#This Row],[体重]]="","",(テーブル22[[#This Row],[体重]]-テーブル22[[#This Row],[標準体重]])/テーブル22[[#This Row],[標準体重]]*100)</f>
        <v/>
      </c>
      <c r="AD463" s="1">
        <f>COUNTA(テーブル22[[#This Row],[握力]:[ボール投げ]])</f>
        <v>0</v>
      </c>
      <c r="AE463" s="1" t="str">
        <f>IF(テーブル22[[#This Row],[判定]]=$BD$10,"○","")</f>
        <v/>
      </c>
      <c r="AF463" s="1" t="str">
        <f>IF(AE463="","",COUNTIF($AE$6:AE463,"○"))</f>
        <v/>
      </c>
    </row>
    <row r="464" spans="1:32" x14ac:dyDescent="0.2">
      <c r="A464" s="40">
        <v>459</v>
      </c>
      <c r="B464" s="145"/>
      <c r="C464" s="148"/>
      <c r="D464" s="145"/>
      <c r="E464" s="156"/>
      <c r="F464" s="145"/>
      <c r="G464" s="145"/>
      <c r="H464" s="146"/>
      <c r="I464" s="146"/>
      <c r="J464" s="148"/>
      <c r="K464" s="145"/>
      <c r="L464" s="148"/>
      <c r="M464" s="149"/>
      <c r="N464" s="148"/>
      <c r="O464" s="150"/>
      <c r="P46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4" s="43" t="str">
        <f>IF(テーブル22[[#This Row],[得点]]="","",IF(テーブル22[[#This Row],[年齢]]&gt;10,LOOKUP(P464,$BG$6:$BG$10,$BD$6:$BD$10),IF(テーブル22[[#This Row],[年齢]]&gt;9,LOOKUP(P464,$BF$6:$BF$10,$BD$6:$BD$10),IF(テーブル22[[#This Row],[年齢]]&gt;8,LOOKUP(P464,$BE$6:$BE$10,$BD$6:$BD$10),IF(テーブル22[[#This Row],[年齢]]&gt;7,LOOKUP(P464,$BC$6:$BC$10,$BD$6:$BD$10),IF(テーブル22[[#This Row],[年齢]]&gt;6,LOOKUP(P464,$BB$6:$BB$10,$BD$6:$BD$10),LOOKUP(P464,$BA$6:$BA$10,$BD$6:$BD$10)))))))</f>
        <v/>
      </c>
      <c r="R464" s="42">
        <f>IF(H464="",0,(IF(テーブル22[[#This Row],[性別]]="男",LOOKUP(テーブル22[[#This Row],[握力]],$AH$6:$AI$15),LOOKUP(テーブル22[[#This Row],[握力]],$AH$20:$AI$29))))</f>
        <v>0</v>
      </c>
      <c r="S464" s="42">
        <f>IF(テーブル22[[#This Row],[上体]]="",0,(IF(テーブル22[[#This Row],[性別]]="男",LOOKUP(テーブル22[[#This Row],[上体]],$AJ$6:$AK$15),LOOKUP(テーブル22[[#This Row],[上体]],$AJ$20:$AK$29))))</f>
        <v>0</v>
      </c>
      <c r="T464" s="42">
        <f>IF(テーブル22[[#This Row],[長座]]="",0,(IF(テーブル22[[#This Row],[性別]]="男",LOOKUP(テーブル22[[#This Row],[長座]],$AL$6:$AM$15),LOOKUP(テーブル22[[#This Row],[長座]],$AL$20:$AM$29))))</f>
        <v>0</v>
      </c>
      <c r="U464" s="42">
        <f>IF(テーブル22[[#This Row],[反復]]="",0,(IF(テーブル22[[#This Row],[性別]]="男",LOOKUP(テーブル22[[#This Row],[反復]],$AN$6:$AO$15),LOOKUP(テーブル22[[#This Row],[反復]],$AN$20:$AO$29))))</f>
        <v>0</v>
      </c>
      <c r="V464" s="42">
        <f>IF(テーブル22[[#This Row],[ｼｬﾄﾙﾗﾝ]]="",0,(IF(テーブル22[[#This Row],[性別]]="男",LOOKUP(テーブル22[[#This Row],[ｼｬﾄﾙﾗﾝ]],$AR$6:$AS$15),LOOKUP(テーブル22[[#This Row],[ｼｬﾄﾙﾗﾝ]],$AR$20:$AS$29))))</f>
        <v>0</v>
      </c>
      <c r="W464" s="42">
        <f>IF(テーブル22[[#This Row],[50m走]]="",0,(IF(テーブル22[[#This Row],[性別]]="男",LOOKUP(テーブル22[[#This Row],[50m走]],$AT$6:$AU$15),LOOKUP(テーブル22[[#This Row],[50m走]],$AT$20:$AU$29))))</f>
        <v>0</v>
      </c>
      <c r="X464" s="42">
        <f>IF(テーブル22[[#This Row],[立幅とび]]="",0,(IF(テーブル22[[#This Row],[性別]]="男",LOOKUP(テーブル22[[#This Row],[立幅とび]],$AV$6:$AW$15),LOOKUP(テーブル22[[#This Row],[立幅とび]],$AV$20:$AW$29))))</f>
        <v>0</v>
      </c>
      <c r="Y464" s="42">
        <f>IF(テーブル22[[#This Row],[ボール投げ]]="",0,(IF(テーブル22[[#This Row],[性別]]="男",LOOKUP(テーブル22[[#This Row],[ボール投げ]],$AX$6:$AY$15),LOOKUP(テーブル22[[#This Row],[ボール投げ]],$AX$20:$AY$29))))</f>
        <v>0</v>
      </c>
      <c r="Z464" s="19" t="str">
        <f>IF(テーブル22[[#This Row],[学年]]=1,6,IF(テーブル22[[#This Row],[学年]]=2,7,IF(テーブル22[[#This Row],[学年]]=3,8,IF(テーブル22[[#This Row],[学年]]=4,9,IF(テーブル22[[#This Row],[学年]]=5,10,IF(テーブル22[[#This Row],[学年]]=6,11," "))))))</f>
        <v xml:space="preserve"> </v>
      </c>
      <c r="AA464" s="125" t="str">
        <f>IF(テーブル22[[#This Row],[肥満度数値]]="","",LOOKUP(AC464,$AW$39:$AW$44,$AX$39:$AX$44))</f>
        <v/>
      </c>
      <c r="AB46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4" s="124" t="str">
        <f>IF(テーブル22[[#This Row],[体重]]="","",(テーブル22[[#This Row],[体重]]-テーブル22[[#This Row],[標準体重]])/テーブル22[[#This Row],[標準体重]]*100)</f>
        <v/>
      </c>
      <c r="AD464" s="1">
        <f>COUNTA(テーブル22[[#This Row],[握力]:[ボール投げ]])</f>
        <v>0</v>
      </c>
      <c r="AE464" s="1" t="str">
        <f>IF(テーブル22[[#This Row],[判定]]=$BD$10,"○","")</f>
        <v/>
      </c>
      <c r="AF464" s="1" t="str">
        <f>IF(AE464="","",COUNTIF($AE$6:AE464,"○"))</f>
        <v/>
      </c>
    </row>
    <row r="465" spans="1:32" x14ac:dyDescent="0.2">
      <c r="A465" s="40">
        <v>460</v>
      </c>
      <c r="B465" s="145"/>
      <c r="C465" s="148"/>
      <c r="D465" s="145"/>
      <c r="E465" s="156"/>
      <c r="F465" s="145"/>
      <c r="G465" s="145"/>
      <c r="H465" s="146"/>
      <c r="I465" s="146"/>
      <c r="J465" s="148"/>
      <c r="K465" s="145"/>
      <c r="L465" s="148"/>
      <c r="M465" s="149"/>
      <c r="N465" s="148"/>
      <c r="O465" s="150"/>
      <c r="P46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5" s="43" t="str">
        <f>IF(テーブル22[[#This Row],[得点]]="","",IF(テーブル22[[#This Row],[年齢]]&gt;10,LOOKUP(P465,$BG$6:$BG$10,$BD$6:$BD$10),IF(テーブル22[[#This Row],[年齢]]&gt;9,LOOKUP(P465,$BF$6:$BF$10,$BD$6:$BD$10),IF(テーブル22[[#This Row],[年齢]]&gt;8,LOOKUP(P465,$BE$6:$BE$10,$BD$6:$BD$10),IF(テーブル22[[#This Row],[年齢]]&gt;7,LOOKUP(P465,$BC$6:$BC$10,$BD$6:$BD$10),IF(テーブル22[[#This Row],[年齢]]&gt;6,LOOKUP(P465,$BB$6:$BB$10,$BD$6:$BD$10),LOOKUP(P465,$BA$6:$BA$10,$BD$6:$BD$10)))))))</f>
        <v/>
      </c>
      <c r="R465" s="42">
        <f>IF(H465="",0,(IF(テーブル22[[#This Row],[性別]]="男",LOOKUP(テーブル22[[#This Row],[握力]],$AH$6:$AI$15),LOOKUP(テーブル22[[#This Row],[握力]],$AH$20:$AI$29))))</f>
        <v>0</v>
      </c>
      <c r="S465" s="42">
        <f>IF(テーブル22[[#This Row],[上体]]="",0,(IF(テーブル22[[#This Row],[性別]]="男",LOOKUP(テーブル22[[#This Row],[上体]],$AJ$6:$AK$15),LOOKUP(テーブル22[[#This Row],[上体]],$AJ$20:$AK$29))))</f>
        <v>0</v>
      </c>
      <c r="T465" s="42">
        <f>IF(テーブル22[[#This Row],[長座]]="",0,(IF(テーブル22[[#This Row],[性別]]="男",LOOKUP(テーブル22[[#This Row],[長座]],$AL$6:$AM$15),LOOKUP(テーブル22[[#This Row],[長座]],$AL$20:$AM$29))))</f>
        <v>0</v>
      </c>
      <c r="U465" s="42">
        <f>IF(テーブル22[[#This Row],[反復]]="",0,(IF(テーブル22[[#This Row],[性別]]="男",LOOKUP(テーブル22[[#This Row],[反復]],$AN$6:$AO$15),LOOKUP(テーブル22[[#This Row],[反復]],$AN$20:$AO$29))))</f>
        <v>0</v>
      </c>
      <c r="V465" s="42">
        <f>IF(テーブル22[[#This Row],[ｼｬﾄﾙﾗﾝ]]="",0,(IF(テーブル22[[#This Row],[性別]]="男",LOOKUP(テーブル22[[#This Row],[ｼｬﾄﾙﾗﾝ]],$AR$6:$AS$15),LOOKUP(テーブル22[[#This Row],[ｼｬﾄﾙﾗﾝ]],$AR$20:$AS$29))))</f>
        <v>0</v>
      </c>
      <c r="W465" s="42">
        <f>IF(テーブル22[[#This Row],[50m走]]="",0,(IF(テーブル22[[#This Row],[性別]]="男",LOOKUP(テーブル22[[#This Row],[50m走]],$AT$6:$AU$15),LOOKUP(テーブル22[[#This Row],[50m走]],$AT$20:$AU$29))))</f>
        <v>0</v>
      </c>
      <c r="X465" s="42">
        <f>IF(テーブル22[[#This Row],[立幅とび]]="",0,(IF(テーブル22[[#This Row],[性別]]="男",LOOKUP(テーブル22[[#This Row],[立幅とび]],$AV$6:$AW$15),LOOKUP(テーブル22[[#This Row],[立幅とび]],$AV$20:$AW$29))))</f>
        <v>0</v>
      </c>
      <c r="Y465" s="42">
        <f>IF(テーブル22[[#This Row],[ボール投げ]]="",0,(IF(テーブル22[[#This Row],[性別]]="男",LOOKUP(テーブル22[[#This Row],[ボール投げ]],$AX$6:$AY$15),LOOKUP(テーブル22[[#This Row],[ボール投げ]],$AX$20:$AY$29))))</f>
        <v>0</v>
      </c>
      <c r="Z465" s="19" t="str">
        <f>IF(テーブル22[[#This Row],[学年]]=1,6,IF(テーブル22[[#This Row],[学年]]=2,7,IF(テーブル22[[#This Row],[学年]]=3,8,IF(テーブル22[[#This Row],[学年]]=4,9,IF(テーブル22[[#This Row],[学年]]=5,10,IF(テーブル22[[#This Row],[学年]]=6,11," "))))))</f>
        <v xml:space="preserve"> </v>
      </c>
      <c r="AA465" s="125" t="str">
        <f>IF(テーブル22[[#This Row],[肥満度数値]]="","",LOOKUP(AC465,$AW$39:$AW$44,$AX$39:$AX$44))</f>
        <v/>
      </c>
      <c r="AB46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5" s="124" t="str">
        <f>IF(テーブル22[[#This Row],[体重]]="","",(テーブル22[[#This Row],[体重]]-テーブル22[[#This Row],[標準体重]])/テーブル22[[#This Row],[標準体重]]*100)</f>
        <v/>
      </c>
      <c r="AD465" s="1">
        <f>COUNTA(テーブル22[[#This Row],[握力]:[ボール投げ]])</f>
        <v>0</v>
      </c>
      <c r="AE465" s="1" t="str">
        <f>IF(テーブル22[[#This Row],[判定]]=$BD$10,"○","")</f>
        <v/>
      </c>
      <c r="AF465" s="1" t="str">
        <f>IF(AE465="","",COUNTIF($AE$6:AE465,"○"))</f>
        <v/>
      </c>
    </row>
    <row r="466" spans="1:32" x14ac:dyDescent="0.2">
      <c r="A466" s="40">
        <v>461</v>
      </c>
      <c r="B466" s="145"/>
      <c r="C466" s="148"/>
      <c r="D466" s="145"/>
      <c r="E466" s="156"/>
      <c r="F466" s="145"/>
      <c r="G466" s="145"/>
      <c r="H466" s="146"/>
      <c r="I466" s="146"/>
      <c r="J466" s="148"/>
      <c r="K466" s="145"/>
      <c r="L466" s="148"/>
      <c r="M466" s="149"/>
      <c r="N466" s="148"/>
      <c r="O466" s="150"/>
      <c r="P46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6" s="43" t="str">
        <f>IF(テーブル22[[#This Row],[得点]]="","",IF(テーブル22[[#This Row],[年齢]]&gt;10,LOOKUP(P466,$BG$6:$BG$10,$BD$6:$BD$10),IF(テーブル22[[#This Row],[年齢]]&gt;9,LOOKUP(P466,$BF$6:$BF$10,$BD$6:$BD$10),IF(テーブル22[[#This Row],[年齢]]&gt;8,LOOKUP(P466,$BE$6:$BE$10,$BD$6:$BD$10),IF(テーブル22[[#This Row],[年齢]]&gt;7,LOOKUP(P466,$BC$6:$BC$10,$BD$6:$BD$10),IF(テーブル22[[#This Row],[年齢]]&gt;6,LOOKUP(P466,$BB$6:$BB$10,$BD$6:$BD$10),LOOKUP(P466,$BA$6:$BA$10,$BD$6:$BD$10)))))))</f>
        <v/>
      </c>
      <c r="R466" s="42">
        <f>IF(H466="",0,(IF(テーブル22[[#This Row],[性別]]="男",LOOKUP(テーブル22[[#This Row],[握力]],$AH$6:$AI$15),LOOKUP(テーブル22[[#This Row],[握力]],$AH$20:$AI$29))))</f>
        <v>0</v>
      </c>
      <c r="S466" s="42">
        <f>IF(テーブル22[[#This Row],[上体]]="",0,(IF(テーブル22[[#This Row],[性別]]="男",LOOKUP(テーブル22[[#This Row],[上体]],$AJ$6:$AK$15),LOOKUP(テーブル22[[#This Row],[上体]],$AJ$20:$AK$29))))</f>
        <v>0</v>
      </c>
      <c r="T466" s="42">
        <f>IF(テーブル22[[#This Row],[長座]]="",0,(IF(テーブル22[[#This Row],[性別]]="男",LOOKUP(テーブル22[[#This Row],[長座]],$AL$6:$AM$15),LOOKUP(テーブル22[[#This Row],[長座]],$AL$20:$AM$29))))</f>
        <v>0</v>
      </c>
      <c r="U466" s="42">
        <f>IF(テーブル22[[#This Row],[反復]]="",0,(IF(テーブル22[[#This Row],[性別]]="男",LOOKUP(テーブル22[[#This Row],[反復]],$AN$6:$AO$15),LOOKUP(テーブル22[[#This Row],[反復]],$AN$20:$AO$29))))</f>
        <v>0</v>
      </c>
      <c r="V466" s="42">
        <f>IF(テーブル22[[#This Row],[ｼｬﾄﾙﾗﾝ]]="",0,(IF(テーブル22[[#This Row],[性別]]="男",LOOKUP(テーブル22[[#This Row],[ｼｬﾄﾙﾗﾝ]],$AR$6:$AS$15),LOOKUP(テーブル22[[#This Row],[ｼｬﾄﾙﾗﾝ]],$AR$20:$AS$29))))</f>
        <v>0</v>
      </c>
      <c r="W466" s="42">
        <f>IF(テーブル22[[#This Row],[50m走]]="",0,(IF(テーブル22[[#This Row],[性別]]="男",LOOKUP(テーブル22[[#This Row],[50m走]],$AT$6:$AU$15),LOOKUP(テーブル22[[#This Row],[50m走]],$AT$20:$AU$29))))</f>
        <v>0</v>
      </c>
      <c r="X466" s="42">
        <f>IF(テーブル22[[#This Row],[立幅とび]]="",0,(IF(テーブル22[[#This Row],[性別]]="男",LOOKUP(テーブル22[[#This Row],[立幅とび]],$AV$6:$AW$15),LOOKUP(テーブル22[[#This Row],[立幅とび]],$AV$20:$AW$29))))</f>
        <v>0</v>
      </c>
      <c r="Y466" s="42">
        <f>IF(テーブル22[[#This Row],[ボール投げ]]="",0,(IF(テーブル22[[#This Row],[性別]]="男",LOOKUP(テーブル22[[#This Row],[ボール投げ]],$AX$6:$AY$15),LOOKUP(テーブル22[[#This Row],[ボール投げ]],$AX$20:$AY$29))))</f>
        <v>0</v>
      </c>
      <c r="Z466" s="19" t="str">
        <f>IF(テーブル22[[#This Row],[学年]]=1,6,IF(テーブル22[[#This Row],[学年]]=2,7,IF(テーブル22[[#This Row],[学年]]=3,8,IF(テーブル22[[#This Row],[学年]]=4,9,IF(テーブル22[[#This Row],[学年]]=5,10,IF(テーブル22[[#This Row],[学年]]=6,11," "))))))</f>
        <v xml:space="preserve"> </v>
      </c>
      <c r="AA466" s="125" t="str">
        <f>IF(テーブル22[[#This Row],[肥満度数値]]="","",LOOKUP(AC466,$AW$39:$AW$44,$AX$39:$AX$44))</f>
        <v/>
      </c>
      <c r="AB46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6" s="124" t="str">
        <f>IF(テーブル22[[#This Row],[体重]]="","",(テーブル22[[#This Row],[体重]]-テーブル22[[#This Row],[標準体重]])/テーブル22[[#This Row],[標準体重]]*100)</f>
        <v/>
      </c>
      <c r="AD466" s="1">
        <f>COUNTA(テーブル22[[#This Row],[握力]:[ボール投げ]])</f>
        <v>0</v>
      </c>
      <c r="AE466" s="1" t="str">
        <f>IF(テーブル22[[#This Row],[判定]]=$BD$10,"○","")</f>
        <v/>
      </c>
      <c r="AF466" s="1" t="str">
        <f>IF(AE466="","",COUNTIF($AE$6:AE466,"○"))</f>
        <v/>
      </c>
    </row>
    <row r="467" spans="1:32" x14ac:dyDescent="0.2">
      <c r="A467" s="40">
        <v>462</v>
      </c>
      <c r="B467" s="145"/>
      <c r="C467" s="148"/>
      <c r="D467" s="145"/>
      <c r="E467" s="156"/>
      <c r="F467" s="145"/>
      <c r="G467" s="145"/>
      <c r="H467" s="146"/>
      <c r="I467" s="146"/>
      <c r="J467" s="148"/>
      <c r="K467" s="145"/>
      <c r="L467" s="148"/>
      <c r="M467" s="149"/>
      <c r="N467" s="148"/>
      <c r="O467" s="150"/>
      <c r="P46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7" s="43" t="str">
        <f>IF(テーブル22[[#This Row],[得点]]="","",IF(テーブル22[[#This Row],[年齢]]&gt;10,LOOKUP(P467,$BG$6:$BG$10,$BD$6:$BD$10),IF(テーブル22[[#This Row],[年齢]]&gt;9,LOOKUP(P467,$BF$6:$BF$10,$BD$6:$BD$10),IF(テーブル22[[#This Row],[年齢]]&gt;8,LOOKUP(P467,$BE$6:$BE$10,$BD$6:$BD$10),IF(テーブル22[[#This Row],[年齢]]&gt;7,LOOKUP(P467,$BC$6:$BC$10,$BD$6:$BD$10),IF(テーブル22[[#This Row],[年齢]]&gt;6,LOOKUP(P467,$BB$6:$BB$10,$BD$6:$BD$10),LOOKUP(P467,$BA$6:$BA$10,$BD$6:$BD$10)))))))</f>
        <v/>
      </c>
      <c r="R467" s="42">
        <f>IF(H467="",0,(IF(テーブル22[[#This Row],[性別]]="男",LOOKUP(テーブル22[[#This Row],[握力]],$AH$6:$AI$15),LOOKUP(テーブル22[[#This Row],[握力]],$AH$20:$AI$29))))</f>
        <v>0</v>
      </c>
      <c r="S467" s="42">
        <f>IF(テーブル22[[#This Row],[上体]]="",0,(IF(テーブル22[[#This Row],[性別]]="男",LOOKUP(テーブル22[[#This Row],[上体]],$AJ$6:$AK$15),LOOKUP(テーブル22[[#This Row],[上体]],$AJ$20:$AK$29))))</f>
        <v>0</v>
      </c>
      <c r="T467" s="42">
        <f>IF(テーブル22[[#This Row],[長座]]="",0,(IF(テーブル22[[#This Row],[性別]]="男",LOOKUP(テーブル22[[#This Row],[長座]],$AL$6:$AM$15),LOOKUP(テーブル22[[#This Row],[長座]],$AL$20:$AM$29))))</f>
        <v>0</v>
      </c>
      <c r="U467" s="42">
        <f>IF(テーブル22[[#This Row],[反復]]="",0,(IF(テーブル22[[#This Row],[性別]]="男",LOOKUP(テーブル22[[#This Row],[反復]],$AN$6:$AO$15),LOOKUP(テーブル22[[#This Row],[反復]],$AN$20:$AO$29))))</f>
        <v>0</v>
      </c>
      <c r="V467" s="42">
        <f>IF(テーブル22[[#This Row],[ｼｬﾄﾙﾗﾝ]]="",0,(IF(テーブル22[[#This Row],[性別]]="男",LOOKUP(テーブル22[[#This Row],[ｼｬﾄﾙﾗﾝ]],$AR$6:$AS$15),LOOKUP(テーブル22[[#This Row],[ｼｬﾄﾙﾗﾝ]],$AR$20:$AS$29))))</f>
        <v>0</v>
      </c>
      <c r="W467" s="42">
        <f>IF(テーブル22[[#This Row],[50m走]]="",0,(IF(テーブル22[[#This Row],[性別]]="男",LOOKUP(テーブル22[[#This Row],[50m走]],$AT$6:$AU$15),LOOKUP(テーブル22[[#This Row],[50m走]],$AT$20:$AU$29))))</f>
        <v>0</v>
      </c>
      <c r="X467" s="42">
        <f>IF(テーブル22[[#This Row],[立幅とび]]="",0,(IF(テーブル22[[#This Row],[性別]]="男",LOOKUP(テーブル22[[#This Row],[立幅とび]],$AV$6:$AW$15),LOOKUP(テーブル22[[#This Row],[立幅とび]],$AV$20:$AW$29))))</f>
        <v>0</v>
      </c>
      <c r="Y467" s="42">
        <f>IF(テーブル22[[#This Row],[ボール投げ]]="",0,(IF(テーブル22[[#This Row],[性別]]="男",LOOKUP(テーブル22[[#This Row],[ボール投げ]],$AX$6:$AY$15),LOOKUP(テーブル22[[#This Row],[ボール投げ]],$AX$20:$AY$29))))</f>
        <v>0</v>
      </c>
      <c r="Z467" s="19" t="str">
        <f>IF(テーブル22[[#This Row],[学年]]=1,6,IF(テーブル22[[#This Row],[学年]]=2,7,IF(テーブル22[[#This Row],[学年]]=3,8,IF(テーブル22[[#This Row],[学年]]=4,9,IF(テーブル22[[#This Row],[学年]]=5,10,IF(テーブル22[[#This Row],[学年]]=6,11," "))))))</f>
        <v xml:space="preserve"> </v>
      </c>
      <c r="AA467" s="125" t="str">
        <f>IF(テーブル22[[#This Row],[肥満度数値]]="","",LOOKUP(AC467,$AW$39:$AW$44,$AX$39:$AX$44))</f>
        <v/>
      </c>
      <c r="AB46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7" s="124" t="str">
        <f>IF(テーブル22[[#This Row],[体重]]="","",(テーブル22[[#This Row],[体重]]-テーブル22[[#This Row],[標準体重]])/テーブル22[[#This Row],[標準体重]]*100)</f>
        <v/>
      </c>
      <c r="AD467" s="1">
        <f>COUNTA(テーブル22[[#This Row],[握力]:[ボール投げ]])</f>
        <v>0</v>
      </c>
      <c r="AE467" s="1" t="str">
        <f>IF(テーブル22[[#This Row],[判定]]=$BD$10,"○","")</f>
        <v/>
      </c>
      <c r="AF467" s="1" t="str">
        <f>IF(AE467="","",COUNTIF($AE$6:AE467,"○"))</f>
        <v/>
      </c>
    </row>
    <row r="468" spans="1:32" x14ac:dyDescent="0.2">
      <c r="A468" s="40">
        <v>463</v>
      </c>
      <c r="B468" s="145"/>
      <c r="C468" s="148"/>
      <c r="D468" s="145"/>
      <c r="E468" s="156"/>
      <c r="F468" s="145"/>
      <c r="G468" s="145"/>
      <c r="H468" s="146"/>
      <c r="I468" s="146"/>
      <c r="J468" s="148"/>
      <c r="K468" s="145"/>
      <c r="L468" s="148"/>
      <c r="M468" s="149"/>
      <c r="N468" s="148"/>
      <c r="O468" s="150"/>
      <c r="P46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8" s="43" t="str">
        <f>IF(テーブル22[[#This Row],[得点]]="","",IF(テーブル22[[#This Row],[年齢]]&gt;10,LOOKUP(P468,$BG$6:$BG$10,$BD$6:$BD$10),IF(テーブル22[[#This Row],[年齢]]&gt;9,LOOKUP(P468,$BF$6:$BF$10,$BD$6:$BD$10),IF(テーブル22[[#This Row],[年齢]]&gt;8,LOOKUP(P468,$BE$6:$BE$10,$BD$6:$BD$10),IF(テーブル22[[#This Row],[年齢]]&gt;7,LOOKUP(P468,$BC$6:$BC$10,$BD$6:$BD$10),IF(テーブル22[[#This Row],[年齢]]&gt;6,LOOKUP(P468,$BB$6:$BB$10,$BD$6:$BD$10),LOOKUP(P468,$BA$6:$BA$10,$BD$6:$BD$10)))))))</f>
        <v/>
      </c>
      <c r="R468" s="42">
        <f>IF(H468="",0,(IF(テーブル22[[#This Row],[性別]]="男",LOOKUP(テーブル22[[#This Row],[握力]],$AH$6:$AI$15),LOOKUP(テーブル22[[#This Row],[握力]],$AH$20:$AI$29))))</f>
        <v>0</v>
      </c>
      <c r="S468" s="42">
        <f>IF(テーブル22[[#This Row],[上体]]="",0,(IF(テーブル22[[#This Row],[性別]]="男",LOOKUP(テーブル22[[#This Row],[上体]],$AJ$6:$AK$15),LOOKUP(テーブル22[[#This Row],[上体]],$AJ$20:$AK$29))))</f>
        <v>0</v>
      </c>
      <c r="T468" s="42">
        <f>IF(テーブル22[[#This Row],[長座]]="",0,(IF(テーブル22[[#This Row],[性別]]="男",LOOKUP(テーブル22[[#This Row],[長座]],$AL$6:$AM$15),LOOKUP(テーブル22[[#This Row],[長座]],$AL$20:$AM$29))))</f>
        <v>0</v>
      </c>
      <c r="U468" s="42">
        <f>IF(テーブル22[[#This Row],[反復]]="",0,(IF(テーブル22[[#This Row],[性別]]="男",LOOKUP(テーブル22[[#This Row],[反復]],$AN$6:$AO$15),LOOKUP(テーブル22[[#This Row],[反復]],$AN$20:$AO$29))))</f>
        <v>0</v>
      </c>
      <c r="V468" s="42">
        <f>IF(テーブル22[[#This Row],[ｼｬﾄﾙﾗﾝ]]="",0,(IF(テーブル22[[#This Row],[性別]]="男",LOOKUP(テーブル22[[#This Row],[ｼｬﾄﾙﾗﾝ]],$AR$6:$AS$15),LOOKUP(テーブル22[[#This Row],[ｼｬﾄﾙﾗﾝ]],$AR$20:$AS$29))))</f>
        <v>0</v>
      </c>
      <c r="W468" s="42">
        <f>IF(テーブル22[[#This Row],[50m走]]="",0,(IF(テーブル22[[#This Row],[性別]]="男",LOOKUP(テーブル22[[#This Row],[50m走]],$AT$6:$AU$15),LOOKUP(テーブル22[[#This Row],[50m走]],$AT$20:$AU$29))))</f>
        <v>0</v>
      </c>
      <c r="X468" s="42">
        <f>IF(テーブル22[[#This Row],[立幅とび]]="",0,(IF(テーブル22[[#This Row],[性別]]="男",LOOKUP(テーブル22[[#This Row],[立幅とび]],$AV$6:$AW$15),LOOKUP(テーブル22[[#This Row],[立幅とび]],$AV$20:$AW$29))))</f>
        <v>0</v>
      </c>
      <c r="Y468" s="42">
        <f>IF(テーブル22[[#This Row],[ボール投げ]]="",0,(IF(テーブル22[[#This Row],[性別]]="男",LOOKUP(テーブル22[[#This Row],[ボール投げ]],$AX$6:$AY$15),LOOKUP(テーブル22[[#This Row],[ボール投げ]],$AX$20:$AY$29))))</f>
        <v>0</v>
      </c>
      <c r="Z468" s="19" t="str">
        <f>IF(テーブル22[[#This Row],[学年]]=1,6,IF(テーブル22[[#This Row],[学年]]=2,7,IF(テーブル22[[#This Row],[学年]]=3,8,IF(テーブル22[[#This Row],[学年]]=4,9,IF(テーブル22[[#This Row],[学年]]=5,10,IF(テーブル22[[#This Row],[学年]]=6,11," "))))))</f>
        <v xml:space="preserve"> </v>
      </c>
      <c r="AA468" s="125" t="str">
        <f>IF(テーブル22[[#This Row],[肥満度数値]]="","",LOOKUP(AC468,$AW$39:$AW$44,$AX$39:$AX$44))</f>
        <v/>
      </c>
      <c r="AB46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8" s="124" t="str">
        <f>IF(テーブル22[[#This Row],[体重]]="","",(テーブル22[[#This Row],[体重]]-テーブル22[[#This Row],[標準体重]])/テーブル22[[#This Row],[標準体重]]*100)</f>
        <v/>
      </c>
      <c r="AD468" s="1">
        <f>COUNTA(テーブル22[[#This Row],[握力]:[ボール投げ]])</f>
        <v>0</v>
      </c>
      <c r="AE468" s="1" t="str">
        <f>IF(テーブル22[[#This Row],[判定]]=$BD$10,"○","")</f>
        <v/>
      </c>
      <c r="AF468" s="1" t="str">
        <f>IF(AE468="","",COUNTIF($AE$6:AE468,"○"))</f>
        <v/>
      </c>
    </row>
    <row r="469" spans="1:32" x14ac:dyDescent="0.2">
      <c r="A469" s="40">
        <v>464</v>
      </c>
      <c r="B469" s="145"/>
      <c r="C469" s="148"/>
      <c r="D469" s="145"/>
      <c r="E469" s="156"/>
      <c r="F469" s="145"/>
      <c r="G469" s="145"/>
      <c r="H469" s="146"/>
      <c r="I469" s="146"/>
      <c r="J469" s="148"/>
      <c r="K469" s="145"/>
      <c r="L469" s="148"/>
      <c r="M469" s="149"/>
      <c r="N469" s="148"/>
      <c r="O469" s="150"/>
      <c r="P46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69" s="43" t="str">
        <f>IF(テーブル22[[#This Row],[得点]]="","",IF(テーブル22[[#This Row],[年齢]]&gt;10,LOOKUP(P469,$BG$6:$BG$10,$BD$6:$BD$10),IF(テーブル22[[#This Row],[年齢]]&gt;9,LOOKUP(P469,$BF$6:$BF$10,$BD$6:$BD$10),IF(テーブル22[[#This Row],[年齢]]&gt;8,LOOKUP(P469,$BE$6:$BE$10,$BD$6:$BD$10),IF(テーブル22[[#This Row],[年齢]]&gt;7,LOOKUP(P469,$BC$6:$BC$10,$BD$6:$BD$10),IF(テーブル22[[#This Row],[年齢]]&gt;6,LOOKUP(P469,$BB$6:$BB$10,$BD$6:$BD$10),LOOKUP(P469,$BA$6:$BA$10,$BD$6:$BD$10)))))))</f>
        <v/>
      </c>
      <c r="R469" s="42">
        <f>IF(H469="",0,(IF(テーブル22[[#This Row],[性別]]="男",LOOKUP(テーブル22[[#This Row],[握力]],$AH$6:$AI$15),LOOKUP(テーブル22[[#This Row],[握力]],$AH$20:$AI$29))))</f>
        <v>0</v>
      </c>
      <c r="S469" s="42">
        <f>IF(テーブル22[[#This Row],[上体]]="",0,(IF(テーブル22[[#This Row],[性別]]="男",LOOKUP(テーブル22[[#This Row],[上体]],$AJ$6:$AK$15),LOOKUP(テーブル22[[#This Row],[上体]],$AJ$20:$AK$29))))</f>
        <v>0</v>
      </c>
      <c r="T469" s="42">
        <f>IF(テーブル22[[#This Row],[長座]]="",0,(IF(テーブル22[[#This Row],[性別]]="男",LOOKUP(テーブル22[[#This Row],[長座]],$AL$6:$AM$15),LOOKUP(テーブル22[[#This Row],[長座]],$AL$20:$AM$29))))</f>
        <v>0</v>
      </c>
      <c r="U469" s="42">
        <f>IF(テーブル22[[#This Row],[反復]]="",0,(IF(テーブル22[[#This Row],[性別]]="男",LOOKUP(テーブル22[[#This Row],[反復]],$AN$6:$AO$15),LOOKUP(テーブル22[[#This Row],[反復]],$AN$20:$AO$29))))</f>
        <v>0</v>
      </c>
      <c r="V469" s="42">
        <f>IF(テーブル22[[#This Row],[ｼｬﾄﾙﾗﾝ]]="",0,(IF(テーブル22[[#This Row],[性別]]="男",LOOKUP(テーブル22[[#This Row],[ｼｬﾄﾙﾗﾝ]],$AR$6:$AS$15),LOOKUP(テーブル22[[#This Row],[ｼｬﾄﾙﾗﾝ]],$AR$20:$AS$29))))</f>
        <v>0</v>
      </c>
      <c r="W469" s="42">
        <f>IF(テーブル22[[#This Row],[50m走]]="",0,(IF(テーブル22[[#This Row],[性別]]="男",LOOKUP(テーブル22[[#This Row],[50m走]],$AT$6:$AU$15),LOOKUP(テーブル22[[#This Row],[50m走]],$AT$20:$AU$29))))</f>
        <v>0</v>
      </c>
      <c r="X469" s="42">
        <f>IF(テーブル22[[#This Row],[立幅とび]]="",0,(IF(テーブル22[[#This Row],[性別]]="男",LOOKUP(テーブル22[[#This Row],[立幅とび]],$AV$6:$AW$15),LOOKUP(テーブル22[[#This Row],[立幅とび]],$AV$20:$AW$29))))</f>
        <v>0</v>
      </c>
      <c r="Y469" s="42">
        <f>IF(テーブル22[[#This Row],[ボール投げ]]="",0,(IF(テーブル22[[#This Row],[性別]]="男",LOOKUP(テーブル22[[#This Row],[ボール投げ]],$AX$6:$AY$15),LOOKUP(テーブル22[[#This Row],[ボール投げ]],$AX$20:$AY$29))))</f>
        <v>0</v>
      </c>
      <c r="Z469" s="19" t="str">
        <f>IF(テーブル22[[#This Row],[学年]]=1,6,IF(テーブル22[[#This Row],[学年]]=2,7,IF(テーブル22[[#This Row],[学年]]=3,8,IF(テーブル22[[#This Row],[学年]]=4,9,IF(テーブル22[[#This Row],[学年]]=5,10,IF(テーブル22[[#This Row],[学年]]=6,11," "))))))</f>
        <v xml:space="preserve"> </v>
      </c>
      <c r="AA469" s="125" t="str">
        <f>IF(テーブル22[[#This Row],[肥満度数値]]="","",LOOKUP(AC469,$AW$39:$AW$44,$AX$39:$AX$44))</f>
        <v/>
      </c>
      <c r="AB46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69" s="124" t="str">
        <f>IF(テーブル22[[#This Row],[体重]]="","",(テーブル22[[#This Row],[体重]]-テーブル22[[#This Row],[標準体重]])/テーブル22[[#This Row],[標準体重]]*100)</f>
        <v/>
      </c>
      <c r="AD469" s="1">
        <f>COUNTA(テーブル22[[#This Row],[握力]:[ボール投げ]])</f>
        <v>0</v>
      </c>
      <c r="AE469" s="1" t="str">
        <f>IF(テーブル22[[#This Row],[判定]]=$BD$10,"○","")</f>
        <v/>
      </c>
      <c r="AF469" s="1" t="str">
        <f>IF(AE469="","",COUNTIF($AE$6:AE469,"○"))</f>
        <v/>
      </c>
    </row>
    <row r="470" spans="1:32" x14ac:dyDescent="0.2">
      <c r="A470" s="40">
        <v>465</v>
      </c>
      <c r="B470" s="145"/>
      <c r="C470" s="148"/>
      <c r="D470" s="145"/>
      <c r="E470" s="156"/>
      <c r="F470" s="145"/>
      <c r="G470" s="145"/>
      <c r="H470" s="146"/>
      <c r="I470" s="146"/>
      <c r="J470" s="148"/>
      <c r="K470" s="145"/>
      <c r="L470" s="148"/>
      <c r="M470" s="149"/>
      <c r="N470" s="148"/>
      <c r="O470" s="150"/>
      <c r="P47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0" s="43" t="str">
        <f>IF(テーブル22[[#This Row],[得点]]="","",IF(テーブル22[[#This Row],[年齢]]&gt;10,LOOKUP(P470,$BG$6:$BG$10,$BD$6:$BD$10),IF(テーブル22[[#This Row],[年齢]]&gt;9,LOOKUP(P470,$BF$6:$BF$10,$BD$6:$BD$10),IF(テーブル22[[#This Row],[年齢]]&gt;8,LOOKUP(P470,$BE$6:$BE$10,$BD$6:$BD$10),IF(テーブル22[[#This Row],[年齢]]&gt;7,LOOKUP(P470,$BC$6:$BC$10,$BD$6:$BD$10),IF(テーブル22[[#This Row],[年齢]]&gt;6,LOOKUP(P470,$BB$6:$BB$10,$BD$6:$BD$10),LOOKUP(P470,$BA$6:$BA$10,$BD$6:$BD$10)))))))</f>
        <v/>
      </c>
      <c r="R470" s="42">
        <f>IF(H470="",0,(IF(テーブル22[[#This Row],[性別]]="男",LOOKUP(テーブル22[[#This Row],[握力]],$AH$6:$AI$15),LOOKUP(テーブル22[[#This Row],[握力]],$AH$20:$AI$29))))</f>
        <v>0</v>
      </c>
      <c r="S470" s="42">
        <f>IF(テーブル22[[#This Row],[上体]]="",0,(IF(テーブル22[[#This Row],[性別]]="男",LOOKUP(テーブル22[[#This Row],[上体]],$AJ$6:$AK$15),LOOKUP(テーブル22[[#This Row],[上体]],$AJ$20:$AK$29))))</f>
        <v>0</v>
      </c>
      <c r="T470" s="42">
        <f>IF(テーブル22[[#This Row],[長座]]="",0,(IF(テーブル22[[#This Row],[性別]]="男",LOOKUP(テーブル22[[#This Row],[長座]],$AL$6:$AM$15),LOOKUP(テーブル22[[#This Row],[長座]],$AL$20:$AM$29))))</f>
        <v>0</v>
      </c>
      <c r="U470" s="42">
        <f>IF(テーブル22[[#This Row],[反復]]="",0,(IF(テーブル22[[#This Row],[性別]]="男",LOOKUP(テーブル22[[#This Row],[反復]],$AN$6:$AO$15),LOOKUP(テーブル22[[#This Row],[反復]],$AN$20:$AO$29))))</f>
        <v>0</v>
      </c>
      <c r="V470" s="42">
        <f>IF(テーブル22[[#This Row],[ｼｬﾄﾙﾗﾝ]]="",0,(IF(テーブル22[[#This Row],[性別]]="男",LOOKUP(テーブル22[[#This Row],[ｼｬﾄﾙﾗﾝ]],$AR$6:$AS$15),LOOKUP(テーブル22[[#This Row],[ｼｬﾄﾙﾗﾝ]],$AR$20:$AS$29))))</f>
        <v>0</v>
      </c>
      <c r="W470" s="42">
        <f>IF(テーブル22[[#This Row],[50m走]]="",0,(IF(テーブル22[[#This Row],[性別]]="男",LOOKUP(テーブル22[[#This Row],[50m走]],$AT$6:$AU$15),LOOKUP(テーブル22[[#This Row],[50m走]],$AT$20:$AU$29))))</f>
        <v>0</v>
      </c>
      <c r="X470" s="42">
        <f>IF(テーブル22[[#This Row],[立幅とび]]="",0,(IF(テーブル22[[#This Row],[性別]]="男",LOOKUP(テーブル22[[#This Row],[立幅とび]],$AV$6:$AW$15),LOOKUP(テーブル22[[#This Row],[立幅とび]],$AV$20:$AW$29))))</f>
        <v>0</v>
      </c>
      <c r="Y470" s="42">
        <f>IF(テーブル22[[#This Row],[ボール投げ]]="",0,(IF(テーブル22[[#This Row],[性別]]="男",LOOKUP(テーブル22[[#This Row],[ボール投げ]],$AX$6:$AY$15),LOOKUP(テーブル22[[#This Row],[ボール投げ]],$AX$20:$AY$29))))</f>
        <v>0</v>
      </c>
      <c r="Z470" s="19" t="str">
        <f>IF(テーブル22[[#This Row],[学年]]=1,6,IF(テーブル22[[#This Row],[学年]]=2,7,IF(テーブル22[[#This Row],[学年]]=3,8,IF(テーブル22[[#This Row],[学年]]=4,9,IF(テーブル22[[#This Row],[学年]]=5,10,IF(テーブル22[[#This Row],[学年]]=6,11," "))))))</f>
        <v xml:space="preserve"> </v>
      </c>
      <c r="AA470" s="125" t="str">
        <f>IF(テーブル22[[#This Row],[肥満度数値]]="","",LOOKUP(AC470,$AW$39:$AW$44,$AX$39:$AX$44))</f>
        <v/>
      </c>
      <c r="AB47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0" s="124" t="str">
        <f>IF(テーブル22[[#This Row],[体重]]="","",(テーブル22[[#This Row],[体重]]-テーブル22[[#This Row],[標準体重]])/テーブル22[[#This Row],[標準体重]]*100)</f>
        <v/>
      </c>
      <c r="AD470" s="1">
        <f>COUNTA(テーブル22[[#This Row],[握力]:[ボール投げ]])</f>
        <v>0</v>
      </c>
      <c r="AE470" s="1" t="str">
        <f>IF(テーブル22[[#This Row],[判定]]=$BD$10,"○","")</f>
        <v/>
      </c>
      <c r="AF470" s="1" t="str">
        <f>IF(AE470="","",COUNTIF($AE$6:AE470,"○"))</f>
        <v/>
      </c>
    </row>
    <row r="471" spans="1:32" x14ac:dyDescent="0.2">
      <c r="A471" s="40">
        <v>466</v>
      </c>
      <c r="B471" s="145"/>
      <c r="C471" s="148"/>
      <c r="D471" s="145"/>
      <c r="E471" s="156"/>
      <c r="F471" s="145"/>
      <c r="G471" s="145"/>
      <c r="H471" s="146"/>
      <c r="I471" s="146"/>
      <c r="J471" s="148"/>
      <c r="K471" s="145"/>
      <c r="L471" s="148"/>
      <c r="M471" s="149"/>
      <c r="N471" s="148"/>
      <c r="O471" s="150"/>
      <c r="P47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1" s="43" t="str">
        <f>IF(テーブル22[[#This Row],[得点]]="","",IF(テーブル22[[#This Row],[年齢]]&gt;10,LOOKUP(P471,$BG$6:$BG$10,$BD$6:$BD$10),IF(テーブル22[[#This Row],[年齢]]&gt;9,LOOKUP(P471,$BF$6:$BF$10,$BD$6:$BD$10),IF(テーブル22[[#This Row],[年齢]]&gt;8,LOOKUP(P471,$BE$6:$BE$10,$BD$6:$BD$10),IF(テーブル22[[#This Row],[年齢]]&gt;7,LOOKUP(P471,$BC$6:$BC$10,$BD$6:$BD$10),IF(テーブル22[[#This Row],[年齢]]&gt;6,LOOKUP(P471,$BB$6:$BB$10,$BD$6:$BD$10),LOOKUP(P471,$BA$6:$BA$10,$BD$6:$BD$10)))))))</f>
        <v/>
      </c>
      <c r="R471" s="42">
        <f>IF(H471="",0,(IF(テーブル22[[#This Row],[性別]]="男",LOOKUP(テーブル22[[#This Row],[握力]],$AH$6:$AI$15),LOOKUP(テーブル22[[#This Row],[握力]],$AH$20:$AI$29))))</f>
        <v>0</v>
      </c>
      <c r="S471" s="42">
        <f>IF(テーブル22[[#This Row],[上体]]="",0,(IF(テーブル22[[#This Row],[性別]]="男",LOOKUP(テーブル22[[#This Row],[上体]],$AJ$6:$AK$15),LOOKUP(テーブル22[[#This Row],[上体]],$AJ$20:$AK$29))))</f>
        <v>0</v>
      </c>
      <c r="T471" s="42">
        <f>IF(テーブル22[[#This Row],[長座]]="",0,(IF(テーブル22[[#This Row],[性別]]="男",LOOKUP(テーブル22[[#This Row],[長座]],$AL$6:$AM$15),LOOKUP(テーブル22[[#This Row],[長座]],$AL$20:$AM$29))))</f>
        <v>0</v>
      </c>
      <c r="U471" s="42">
        <f>IF(テーブル22[[#This Row],[反復]]="",0,(IF(テーブル22[[#This Row],[性別]]="男",LOOKUP(テーブル22[[#This Row],[反復]],$AN$6:$AO$15),LOOKUP(テーブル22[[#This Row],[反復]],$AN$20:$AO$29))))</f>
        <v>0</v>
      </c>
      <c r="V471" s="42">
        <f>IF(テーブル22[[#This Row],[ｼｬﾄﾙﾗﾝ]]="",0,(IF(テーブル22[[#This Row],[性別]]="男",LOOKUP(テーブル22[[#This Row],[ｼｬﾄﾙﾗﾝ]],$AR$6:$AS$15),LOOKUP(テーブル22[[#This Row],[ｼｬﾄﾙﾗﾝ]],$AR$20:$AS$29))))</f>
        <v>0</v>
      </c>
      <c r="W471" s="42">
        <f>IF(テーブル22[[#This Row],[50m走]]="",0,(IF(テーブル22[[#This Row],[性別]]="男",LOOKUP(テーブル22[[#This Row],[50m走]],$AT$6:$AU$15),LOOKUP(テーブル22[[#This Row],[50m走]],$AT$20:$AU$29))))</f>
        <v>0</v>
      </c>
      <c r="X471" s="42">
        <f>IF(テーブル22[[#This Row],[立幅とび]]="",0,(IF(テーブル22[[#This Row],[性別]]="男",LOOKUP(テーブル22[[#This Row],[立幅とび]],$AV$6:$AW$15),LOOKUP(テーブル22[[#This Row],[立幅とび]],$AV$20:$AW$29))))</f>
        <v>0</v>
      </c>
      <c r="Y471" s="42">
        <f>IF(テーブル22[[#This Row],[ボール投げ]]="",0,(IF(テーブル22[[#This Row],[性別]]="男",LOOKUP(テーブル22[[#This Row],[ボール投げ]],$AX$6:$AY$15),LOOKUP(テーブル22[[#This Row],[ボール投げ]],$AX$20:$AY$29))))</f>
        <v>0</v>
      </c>
      <c r="Z471" s="19" t="str">
        <f>IF(テーブル22[[#This Row],[学年]]=1,6,IF(テーブル22[[#This Row],[学年]]=2,7,IF(テーブル22[[#This Row],[学年]]=3,8,IF(テーブル22[[#This Row],[学年]]=4,9,IF(テーブル22[[#This Row],[学年]]=5,10,IF(テーブル22[[#This Row],[学年]]=6,11," "))))))</f>
        <v xml:space="preserve"> </v>
      </c>
      <c r="AA471" s="125" t="str">
        <f>IF(テーブル22[[#This Row],[肥満度数値]]="","",LOOKUP(AC471,$AW$39:$AW$44,$AX$39:$AX$44))</f>
        <v/>
      </c>
      <c r="AB47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1" s="124" t="str">
        <f>IF(テーブル22[[#This Row],[体重]]="","",(テーブル22[[#This Row],[体重]]-テーブル22[[#This Row],[標準体重]])/テーブル22[[#This Row],[標準体重]]*100)</f>
        <v/>
      </c>
      <c r="AD471" s="1">
        <f>COUNTA(テーブル22[[#This Row],[握力]:[ボール投げ]])</f>
        <v>0</v>
      </c>
      <c r="AE471" s="1" t="str">
        <f>IF(テーブル22[[#This Row],[判定]]=$BD$10,"○","")</f>
        <v/>
      </c>
      <c r="AF471" s="1" t="str">
        <f>IF(AE471="","",COUNTIF($AE$6:AE471,"○"))</f>
        <v/>
      </c>
    </row>
    <row r="472" spans="1:32" x14ac:dyDescent="0.2">
      <c r="A472" s="40">
        <v>467</v>
      </c>
      <c r="B472" s="145"/>
      <c r="C472" s="148"/>
      <c r="D472" s="145"/>
      <c r="E472" s="156"/>
      <c r="F472" s="145"/>
      <c r="G472" s="145"/>
      <c r="H472" s="146"/>
      <c r="I472" s="146"/>
      <c r="J472" s="148"/>
      <c r="K472" s="145"/>
      <c r="L472" s="148"/>
      <c r="M472" s="149"/>
      <c r="N472" s="148"/>
      <c r="O472" s="150"/>
      <c r="P47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2" s="43" t="str">
        <f>IF(テーブル22[[#This Row],[得点]]="","",IF(テーブル22[[#This Row],[年齢]]&gt;10,LOOKUP(P472,$BG$6:$BG$10,$BD$6:$BD$10),IF(テーブル22[[#This Row],[年齢]]&gt;9,LOOKUP(P472,$BF$6:$BF$10,$BD$6:$BD$10),IF(テーブル22[[#This Row],[年齢]]&gt;8,LOOKUP(P472,$BE$6:$BE$10,$BD$6:$BD$10),IF(テーブル22[[#This Row],[年齢]]&gt;7,LOOKUP(P472,$BC$6:$BC$10,$BD$6:$BD$10),IF(テーブル22[[#This Row],[年齢]]&gt;6,LOOKUP(P472,$BB$6:$BB$10,$BD$6:$BD$10),LOOKUP(P472,$BA$6:$BA$10,$BD$6:$BD$10)))))))</f>
        <v/>
      </c>
      <c r="R472" s="42">
        <f>IF(H472="",0,(IF(テーブル22[[#This Row],[性別]]="男",LOOKUP(テーブル22[[#This Row],[握力]],$AH$6:$AI$15),LOOKUP(テーブル22[[#This Row],[握力]],$AH$20:$AI$29))))</f>
        <v>0</v>
      </c>
      <c r="S472" s="42">
        <f>IF(テーブル22[[#This Row],[上体]]="",0,(IF(テーブル22[[#This Row],[性別]]="男",LOOKUP(テーブル22[[#This Row],[上体]],$AJ$6:$AK$15),LOOKUP(テーブル22[[#This Row],[上体]],$AJ$20:$AK$29))))</f>
        <v>0</v>
      </c>
      <c r="T472" s="42">
        <f>IF(テーブル22[[#This Row],[長座]]="",0,(IF(テーブル22[[#This Row],[性別]]="男",LOOKUP(テーブル22[[#This Row],[長座]],$AL$6:$AM$15),LOOKUP(テーブル22[[#This Row],[長座]],$AL$20:$AM$29))))</f>
        <v>0</v>
      </c>
      <c r="U472" s="42">
        <f>IF(テーブル22[[#This Row],[反復]]="",0,(IF(テーブル22[[#This Row],[性別]]="男",LOOKUP(テーブル22[[#This Row],[反復]],$AN$6:$AO$15),LOOKUP(テーブル22[[#This Row],[反復]],$AN$20:$AO$29))))</f>
        <v>0</v>
      </c>
      <c r="V472" s="42">
        <f>IF(テーブル22[[#This Row],[ｼｬﾄﾙﾗﾝ]]="",0,(IF(テーブル22[[#This Row],[性別]]="男",LOOKUP(テーブル22[[#This Row],[ｼｬﾄﾙﾗﾝ]],$AR$6:$AS$15),LOOKUP(テーブル22[[#This Row],[ｼｬﾄﾙﾗﾝ]],$AR$20:$AS$29))))</f>
        <v>0</v>
      </c>
      <c r="W472" s="42">
        <f>IF(テーブル22[[#This Row],[50m走]]="",0,(IF(テーブル22[[#This Row],[性別]]="男",LOOKUP(テーブル22[[#This Row],[50m走]],$AT$6:$AU$15),LOOKUP(テーブル22[[#This Row],[50m走]],$AT$20:$AU$29))))</f>
        <v>0</v>
      </c>
      <c r="X472" s="42">
        <f>IF(テーブル22[[#This Row],[立幅とび]]="",0,(IF(テーブル22[[#This Row],[性別]]="男",LOOKUP(テーブル22[[#This Row],[立幅とび]],$AV$6:$AW$15),LOOKUP(テーブル22[[#This Row],[立幅とび]],$AV$20:$AW$29))))</f>
        <v>0</v>
      </c>
      <c r="Y472" s="42">
        <f>IF(テーブル22[[#This Row],[ボール投げ]]="",0,(IF(テーブル22[[#This Row],[性別]]="男",LOOKUP(テーブル22[[#This Row],[ボール投げ]],$AX$6:$AY$15),LOOKUP(テーブル22[[#This Row],[ボール投げ]],$AX$20:$AY$29))))</f>
        <v>0</v>
      </c>
      <c r="Z472" s="19" t="str">
        <f>IF(テーブル22[[#This Row],[学年]]=1,6,IF(テーブル22[[#This Row],[学年]]=2,7,IF(テーブル22[[#This Row],[学年]]=3,8,IF(テーブル22[[#This Row],[学年]]=4,9,IF(テーブル22[[#This Row],[学年]]=5,10,IF(テーブル22[[#This Row],[学年]]=6,11," "))))))</f>
        <v xml:space="preserve"> </v>
      </c>
      <c r="AA472" s="125" t="str">
        <f>IF(テーブル22[[#This Row],[肥満度数値]]="","",LOOKUP(AC472,$AW$39:$AW$44,$AX$39:$AX$44))</f>
        <v/>
      </c>
      <c r="AB47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2" s="124" t="str">
        <f>IF(テーブル22[[#This Row],[体重]]="","",(テーブル22[[#This Row],[体重]]-テーブル22[[#This Row],[標準体重]])/テーブル22[[#This Row],[標準体重]]*100)</f>
        <v/>
      </c>
      <c r="AD472" s="1">
        <f>COUNTA(テーブル22[[#This Row],[握力]:[ボール投げ]])</f>
        <v>0</v>
      </c>
      <c r="AE472" s="1" t="str">
        <f>IF(テーブル22[[#This Row],[判定]]=$BD$10,"○","")</f>
        <v/>
      </c>
      <c r="AF472" s="1" t="str">
        <f>IF(AE472="","",COUNTIF($AE$6:AE472,"○"))</f>
        <v/>
      </c>
    </row>
    <row r="473" spans="1:32" x14ac:dyDescent="0.2">
      <c r="A473" s="40">
        <v>468</v>
      </c>
      <c r="B473" s="145"/>
      <c r="C473" s="148"/>
      <c r="D473" s="145"/>
      <c r="E473" s="156"/>
      <c r="F473" s="145"/>
      <c r="G473" s="145"/>
      <c r="H473" s="146"/>
      <c r="I473" s="146"/>
      <c r="J473" s="148"/>
      <c r="K473" s="145"/>
      <c r="L473" s="148"/>
      <c r="M473" s="149"/>
      <c r="N473" s="148"/>
      <c r="O473" s="150"/>
      <c r="P47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3" s="43" t="str">
        <f>IF(テーブル22[[#This Row],[得点]]="","",IF(テーブル22[[#This Row],[年齢]]&gt;10,LOOKUP(P473,$BG$6:$BG$10,$BD$6:$BD$10),IF(テーブル22[[#This Row],[年齢]]&gt;9,LOOKUP(P473,$BF$6:$BF$10,$BD$6:$BD$10),IF(テーブル22[[#This Row],[年齢]]&gt;8,LOOKUP(P473,$BE$6:$BE$10,$BD$6:$BD$10),IF(テーブル22[[#This Row],[年齢]]&gt;7,LOOKUP(P473,$BC$6:$BC$10,$BD$6:$BD$10),IF(テーブル22[[#This Row],[年齢]]&gt;6,LOOKUP(P473,$BB$6:$BB$10,$BD$6:$BD$10),LOOKUP(P473,$BA$6:$BA$10,$BD$6:$BD$10)))))))</f>
        <v/>
      </c>
      <c r="R473" s="42">
        <f>IF(H473="",0,(IF(テーブル22[[#This Row],[性別]]="男",LOOKUP(テーブル22[[#This Row],[握力]],$AH$6:$AI$15),LOOKUP(テーブル22[[#This Row],[握力]],$AH$20:$AI$29))))</f>
        <v>0</v>
      </c>
      <c r="S473" s="42">
        <f>IF(テーブル22[[#This Row],[上体]]="",0,(IF(テーブル22[[#This Row],[性別]]="男",LOOKUP(テーブル22[[#This Row],[上体]],$AJ$6:$AK$15),LOOKUP(テーブル22[[#This Row],[上体]],$AJ$20:$AK$29))))</f>
        <v>0</v>
      </c>
      <c r="T473" s="42">
        <f>IF(テーブル22[[#This Row],[長座]]="",0,(IF(テーブル22[[#This Row],[性別]]="男",LOOKUP(テーブル22[[#This Row],[長座]],$AL$6:$AM$15),LOOKUP(テーブル22[[#This Row],[長座]],$AL$20:$AM$29))))</f>
        <v>0</v>
      </c>
      <c r="U473" s="42">
        <f>IF(テーブル22[[#This Row],[反復]]="",0,(IF(テーブル22[[#This Row],[性別]]="男",LOOKUP(テーブル22[[#This Row],[反復]],$AN$6:$AO$15),LOOKUP(テーブル22[[#This Row],[反復]],$AN$20:$AO$29))))</f>
        <v>0</v>
      </c>
      <c r="V473" s="42">
        <f>IF(テーブル22[[#This Row],[ｼｬﾄﾙﾗﾝ]]="",0,(IF(テーブル22[[#This Row],[性別]]="男",LOOKUP(テーブル22[[#This Row],[ｼｬﾄﾙﾗﾝ]],$AR$6:$AS$15),LOOKUP(テーブル22[[#This Row],[ｼｬﾄﾙﾗﾝ]],$AR$20:$AS$29))))</f>
        <v>0</v>
      </c>
      <c r="W473" s="42">
        <f>IF(テーブル22[[#This Row],[50m走]]="",0,(IF(テーブル22[[#This Row],[性別]]="男",LOOKUP(テーブル22[[#This Row],[50m走]],$AT$6:$AU$15),LOOKUP(テーブル22[[#This Row],[50m走]],$AT$20:$AU$29))))</f>
        <v>0</v>
      </c>
      <c r="X473" s="42">
        <f>IF(テーブル22[[#This Row],[立幅とび]]="",0,(IF(テーブル22[[#This Row],[性別]]="男",LOOKUP(テーブル22[[#This Row],[立幅とび]],$AV$6:$AW$15),LOOKUP(テーブル22[[#This Row],[立幅とび]],$AV$20:$AW$29))))</f>
        <v>0</v>
      </c>
      <c r="Y473" s="42">
        <f>IF(テーブル22[[#This Row],[ボール投げ]]="",0,(IF(テーブル22[[#This Row],[性別]]="男",LOOKUP(テーブル22[[#This Row],[ボール投げ]],$AX$6:$AY$15),LOOKUP(テーブル22[[#This Row],[ボール投げ]],$AX$20:$AY$29))))</f>
        <v>0</v>
      </c>
      <c r="Z473" s="19" t="str">
        <f>IF(テーブル22[[#This Row],[学年]]=1,6,IF(テーブル22[[#This Row],[学年]]=2,7,IF(テーブル22[[#This Row],[学年]]=3,8,IF(テーブル22[[#This Row],[学年]]=4,9,IF(テーブル22[[#This Row],[学年]]=5,10,IF(テーブル22[[#This Row],[学年]]=6,11," "))))))</f>
        <v xml:space="preserve"> </v>
      </c>
      <c r="AA473" s="125" t="str">
        <f>IF(テーブル22[[#This Row],[肥満度数値]]="","",LOOKUP(AC473,$AW$39:$AW$44,$AX$39:$AX$44))</f>
        <v/>
      </c>
      <c r="AB47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3" s="124" t="str">
        <f>IF(テーブル22[[#This Row],[体重]]="","",(テーブル22[[#This Row],[体重]]-テーブル22[[#This Row],[標準体重]])/テーブル22[[#This Row],[標準体重]]*100)</f>
        <v/>
      </c>
      <c r="AD473" s="1">
        <f>COUNTA(テーブル22[[#This Row],[握力]:[ボール投げ]])</f>
        <v>0</v>
      </c>
      <c r="AE473" s="1" t="str">
        <f>IF(テーブル22[[#This Row],[判定]]=$BD$10,"○","")</f>
        <v/>
      </c>
      <c r="AF473" s="1" t="str">
        <f>IF(AE473="","",COUNTIF($AE$6:AE473,"○"))</f>
        <v/>
      </c>
    </row>
    <row r="474" spans="1:32" x14ac:dyDescent="0.2">
      <c r="A474" s="40">
        <v>469</v>
      </c>
      <c r="B474" s="145"/>
      <c r="C474" s="148"/>
      <c r="D474" s="145"/>
      <c r="E474" s="156"/>
      <c r="F474" s="145"/>
      <c r="G474" s="145"/>
      <c r="H474" s="146"/>
      <c r="I474" s="146"/>
      <c r="J474" s="148"/>
      <c r="K474" s="145"/>
      <c r="L474" s="148"/>
      <c r="M474" s="149"/>
      <c r="N474" s="148"/>
      <c r="O474" s="150"/>
      <c r="P47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4" s="43" t="str">
        <f>IF(テーブル22[[#This Row],[得点]]="","",IF(テーブル22[[#This Row],[年齢]]&gt;10,LOOKUP(P474,$BG$6:$BG$10,$BD$6:$BD$10),IF(テーブル22[[#This Row],[年齢]]&gt;9,LOOKUP(P474,$BF$6:$BF$10,$BD$6:$BD$10),IF(テーブル22[[#This Row],[年齢]]&gt;8,LOOKUP(P474,$BE$6:$BE$10,$BD$6:$BD$10),IF(テーブル22[[#This Row],[年齢]]&gt;7,LOOKUP(P474,$BC$6:$BC$10,$BD$6:$BD$10),IF(テーブル22[[#This Row],[年齢]]&gt;6,LOOKUP(P474,$BB$6:$BB$10,$BD$6:$BD$10),LOOKUP(P474,$BA$6:$BA$10,$BD$6:$BD$10)))))))</f>
        <v/>
      </c>
      <c r="R474" s="42">
        <f>IF(H474="",0,(IF(テーブル22[[#This Row],[性別]]="男",LOOKUP(テーブル22[[#This Row],[握力]],$AH$6:$AI$15),LOOKUP(テーブル22[[#This Row],[握力]],$AH$20:$AI$29))))</f>
        <v>0</v>
      </c>
      <c r="S474" s="42">
        <f>IF(テーブル22[[#This Row],[上体]]="",0,(IF(テーブル22[[#This Row],[性別]]="男",LOOKUP(テーブル22[[#This Row],[上体]],$AJ$6:$AK$15),LOOKUP(テーブル22[[#This Row],[上体]],$AJ$20:$AK$29))))</f>
        <v>0</v>
      </c>
      <c r="T474" s="42">
        <f>IF(テーブル22[[#This Row],[長座]]="",0,(IF(テーブル22[[#This Row],[性別]]="男",LOOKUP(テーブル22[[#This Row],[長座]],$AL$6:$AM$15),LOOKUP(テーブル22[[#This Row],[長座]],$AL$20:$AM$29))))</f>
        <v>0</v>
      </c>
      <c r="U474" s="42">
        <f>IF(テーブル22[[#This Row],[反復]]="",0,(IF(テーブル22[[#This Row],[性別]]="男",LOOKUP(テーブル22[[#This Row],[反復]],$AN$6:$AO$15),LOOKUP(テーブル22[[#This Row],[反復]],$AN$20:$AO$29))))</f>
        <v>0</v>
      </c>
      <c r="V474" s="42">
        <f>IF(テーブル22[[#This Row],[ｼｬﾄﾙﾗﾝ]]="",0,(IF(テーブル22[[#This Row],[性別]]="男",LOOKUP(テーブル22[[#This Row],[ｼｬﾄﾙﾗﾝ]],$AR$6:$AS$15),LOOKUP(テーブル22[[#This Row],[ｼｬﾄﾙﾗﾝ]],$AR$20:$AS$29))))</f>
        <v>0</v>
      </c>
      <c r="W474" s="42">
        <f>IF(テーブル22[[#This Row],[50m走]]="",0,(IF(テーブル22[[#This Row],[性別]]="男",LOOKUP(テーブル22[[#This Row],[50m走]],$AT$6:$AU$15),LOOKUP(テーブル22[[#This Row],[50m走]],$AT$20:$AU$29))))</f>
        <v>0</v>
      </c>
      <c r="X474" s="42">
        <f>IF(テーブル22[[#This Row],[立幅とび]]="",0,(IF(テーブル22[[#This Row],[性別]]="男",LOOKUP(テーブル22[[#This Row],[立幅とび]],$AV$6:$AW$15),LOOKUP(テーブル22[[#This Row],[立幅とび]],$AV$20:$AW$29))))</f>
        <v>0</v>
      </c>
      <c r="Y474" s="42">
        <f>IF(テーブル22[[#This Row],[ボール投げ]]="",0,(IF(テーブル22[[#This Row],[性別]]="男",LOOKUP(テーブル22[[#This Row],[ボール投げ]],$AX$6:$AY$15),LOOKUP(テーブル22[[#This Row],[ボール投げ]],$AX$20:$AY$29))))</f>
        <v>0</v>
      </c>
      <c r="Z474" s="19" t="str">
        <f>IF(テーブル22[[#This Row],[学年]]=1,6,IF(テーブル22[[#This Row],[学年]]=2,7,IF(テーブル22[[#This Row],[学年]]=3,8,IF(テーブル22[[#This Row],[学年]]=4,9,IF(テーブル22[[#This Row],[学年]]=5,10,IF(テーブル22[[#This Row],[学年]]=6,11," "))))))</f>
        <v xml:space="preserve"> </v>
      </c>
      <c r="AA474" s="125" t="str">
        <f>IF(テーブル22[[#This Row],[肥満度数値]]="","",LOOKUP(AC474,$AW$39:$AW$44,$AX$39:$AX$44))</f>
        <v/>
      </c>
      <c r="AB47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4" s="124" t="str">
        <f>IF(テーブル22[[#This Row],[体重]]="","",(テーブル22[[#This Row],[体重]]-テーブル22[[#This Row],[標準体重]])/テーブル22[[#This Row],[標準体重]]*100)</f>
        <v/>
      </c>
      <c r="AD474" s="1">
        <f>COUNTA(テーブル22[[#This Row],[握力]:[ボール投げ]])</f>
        <v>0</v>
      </c>
      <c r="AE474" s="1" t="str">
        <f>IF(テーブル22[[#This Row],[判定]]=$BD$10,"○","")</f>
        <v/>
      </c>
      <c r="AF474" s="1" t="str">
        <f>IF(AE474="","",COUNTIF($AE$6:AE474,"○"))</f>
        <v/>
      </c>
    </row>
    <row r="475" spans="1:32" x14ac:dyDescent="0.2">
      <c r="A475" s="40">
        <v>470</v>
      </c>
      <c r="B475" s="145"/>
      <c r="C475" s="148"/>
      <c r="D475" s="145"/>
      <c r="E475" s="156"/>
      <c r="F475" s="145"/>
      <c r="G475" s="145"/>
      <c r="H475" s="146"/>
      <c r="I475" s="146"/>
      <c r="J475" s="148"/>
      <c r="K475" s="145"/>
      <c r="L475" s="148"/>
      <c r="M475" s="149"/>
      <c r="N475" s="148"/>
      <c r="O475" s="150"/>
      <c r="P47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5" s="43" t="str">
        <f>IF(テーブル22[[#This Row],[得点]]="","",IF(テーブル22[[#This Row],[年齢]]&gt;10,LOOKUP(P475,$BG$6:$BG$10,$BD$6:$BD$10),IF(テーブル22[[#This Row],[年齢]]&gt;9,LOOKUP(P475,$BF$6:$BF$10,$BD$6:$BD$10),IF(テーブル22[[#This Row],[年齢]]&gt;8,LOOKUP(P475,$BE$6:$BE$10,$BD$6:$BD$10),IF(テーブル22[[#This Row],[年齢]]&gt;7,LOOKUP(P475,$BC$6:$BC$10,$BD$6:$BD$10),IF(テーブル22[[#This Row],[年齢]]&gt;6,LOOKUP(P475,$BB$6:$BB$10,$BD$6:$BD$10),LOOKUP(P475,$BA$6:$BA$10,$BD$6:$BD$10)))))))</f>
        <v/>
      </c>
      <c r="R475" s="42">
        <f>IF(H475="",0,(IF(テーブル22[[#This Row],[性別]]="男",LOOKUP(テーブル22[[#This Row],[握力]],$AH$6:$AI$15),LOOKUP(テーブル22[[#This Row],[握力]],$AH$20:$AI$29))))</f>
        <v>0</v>
      </c>
      <c r="S475" s="42">
        <f>IF(テーブル22[[#This Row],[上体]]="",0,(IF(テーブル22[[#This Row],[性別]]="男",LOOKUP(テーブル22[[#This Row],[上体]],$AJ$6:$AK$15),LOOKUP(テーブル22[[#This Row],[上体]],$AJ$20:$AK$29))))</f>
        <v>0</v>
      </c>
      <c r="T475" s="42">
        <f>IF(テーブル22[[#This Row],[長座]]="",0,(IF(テーブル22[[#This Row],[性別]]="男",LOOKUP(テーブル22[[#This Row],[長座]],$AL$6:$AM$15),LOOKUP(テーブル22[[#This Row],[長座]],$AL$20:$AM$29))))</f>
        <v>0</v>
      </c>
      <c r="U475" s="42">
        <f>IF(テーブル22[[#This Row],[反復]]="",0,(IF(テーブル22[[#This Row],[性別]]="男",LOOKUP(テーブル22[[#This Row],[反復]],$AN$6:$AO$15),LOOKUP(テーブル22[[#This Row],[反復]],$AN$20:$AO$29))))</f>
        <v>0</v>
      </c>
      <c r="V475" s="42">
        <f>IF(テーブル22[[#This Row],[ｼｬﾄﾙﾗﾝ]]="",0,(IF(テーブル22[[#This Row],[性別]]="男",LOOKUP(テーブル22[[#This Row],[ｼｬﾄﾙﾗﾝ]],$AR$6:$AS$15),LOOKUP(テーブル22[[#This Row],[ｼｬﾄﾙﾗﾝ]],$AR$20:$AS$29))))</f>
        <v>0</v>
      </c>
      <c r="W475" s="42">
        <f>IF(テーブル22[[#This Row],[50m走]]="",0,(IF(テーブル22[[#This Row],[性別]]="男",LOOKUP(テーブル22[[#This Row],[50m走]],$AT$6:$AU$15),LOOKUP(テーブル22[[#This Row],[50m走]],$AT$20:$AU$29))))</f>
        <v>0</v>
      </c>
      <c r="X475" s="42">
        <f>IF(テーブル22[[#This Row],[立幅とび]]="",0,(IF(テーブル22[[#This Row],[性別]]="男",LOOKUP(テーブル22[[#This Row],[立幅とび]],$AV$6:$AW$15),LOOKUP(テーブル22[[#This Row],[立幅とび]],$AV$20:$AW$29))))</f>
        <v>0</v>
      </c>
      <c r="Y475" s="42">
        <f>IF(テーブル22[[#This Row],[ボール投げ]]="",0,(IF(テーブル22[[#This Row],[性別]]="男",LOOKUP(テーブル22[[#This Row],[ボール投げ]],$AX$6:$AY$15),LOOKUP(テーブル22[[#This Row],[ボール投げ]],$AX$20:$AY$29))))</f>
        <v>0</v>
      </c>
      <c r="Z475" s="19" t="str">
        <f>IF(テーブル22[[#This Row],[学年]]=1,6,IF(テーブル22[[#This Row],[学年]]=2,7,IF(テーブル22[[#This Row],[学年]]=3,8,IF(テーブル22[[#This Row],[学年]]=4,9,IF(テーブル22[[#This Row],[学年]]=5,10,IF(テーブル22[[#This Row],[学年]]=6,11," "))))))</f>
        <v xml:space="preserve"> </v>
      </c>
      <c r="AA475" s="125" t="str">
        <f>IF(テーブル22[[#This Row],[肥満度数値]]="","",LOOKUP(AC475,$AW$39:$AW$44,$AX$39:$AX$44))</f>
        <v/>
      </c>
      <c r="AB47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5" s="124" t="str">
        <f>IF(テーブル22[[#This Row],[体重]]="","",(テーブル22[[#This Row],[体重]]-テーブル22[[#This Row],[標準体重]])/テーブル22[[#This Row],[標準体重]]*100)</f>
        <v/>
      </c>
      <c r="AD475" s="1">
        <f>COUNTA(テーブル22[[#This Row],[握力]:[ボール投げ]])</f>
        <v>0</v>
      </c>
      <c r="AE475" s="1" t="str">
        <f>IF(テーブル22[[#This Row],[判定]]=$BD$10,"○","")</f>
        <v/>
      </c>
      <c r="AF475" s="1" t="str">
        <f>IF(AE475="","",COUNTIF($AE$6:AE475,"○"))</f>
        <v/>
      </c>
    </row>
    <row r="476" spans="1:32" x14ac:dyDescent="0.2">
      <c r="A476" s="40">
        <v>471</v>
      </c>
      <c r="B476" s="145"/>
      <c r="C476" s="148"/>
      <c r="D476" s="145"/>
      <c r="E476" s="156"/>
      <c r="F476" s="145"/>
      <c r="G476" s="145"/>
      <c r="H476" s="146"/>
      <c r="I476" s="146"/>
      <c r="J476" s="148"/>
      <c r="K476" s="145"/>
      <c r="L476" s="148"/>
      <c r="M476" s="149"/>
      <c r="N476" s="148"/>
      <c r="O476" s="150"/>
      <c r="P47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6" s="43" t="str">
        <f>IF(テーブル22[[#This Row],[得点]]="","",IF(テーブル22[[#This Row],[年齢]]&gt;10,LOOKUP(P476,$BG$6:$BG$10,$BD$6:$BD$10),IF(テーブル22[[#This Row],[年齢]]&gt;9,LOOKUP(P476,$BF$6:$BF$10,$BD$6:$BD$10),IF(テーブル22[[#This Row],[年齢]]&gt;8,LOOKUP(P476,$BE$6:$BE$10,$BD$6:$BD$10),IF(テーブル22[[#This Row],[年齢]]&gt;7,LOOKUP(P476,$BC$6:$BC$10,$BD$6:$BD$10),IF(テーブル22[[#This Row],[年齢]]&gt;6,LOOKUP(P476,$BB$6:$BB$10,$BD$6:$BD$10),LOOKUP(P476,$BA$6:$BA$10,$BD$6:$BD$10)))))))</f>
        <v/>
      </c>
      <c r="R476" s="42">
        <f>IF(H476="",0,(IF(テーブル22[[#This Row],[性別]]="男",LOOKUP(テーブル22[[#This Row],[握力]],$AH$6:$AI$15),LOOKUP(テーブル22[[#This Row],[握力]],$AH$20:$AI$29))))</f>
        <v>0</v>
      </c>
      <c r="S476" s="42">
        <f>IF(テーブル22[[#This Row],[上体]]="",0,(IF(テーブル22[[#This Row],[性別]]="男",LOOKUP(テーブル22[[#This Row],[上体]],$AJ$6:$AK$15),LOOKUP(テーブル22[[#This Row],[上体]],$AJ$20:$AK$29))))</f>
        <v>0</v>
      </c>
      <c r="T476" s="42">
        <f>IF(テーブル22[[#This Row],[長座]]="",0,(IF(テーブル22[[#This Row],[性別]]="男",LOOKUP(テーブル22[[#This Row],[長座]],$AL$6:$AM$15),LOOKUP(テーブル22[[#This Row],[長座]],$AL$20:$AM$29))))</f>
        <v>0</v>
      </c>
      <c r="U476" s="42">
        <f>IF(テーブル22[[#This Row],[反復]]="",0,(IF(テーブル22[[#This Row],[性別]]="男",LOOKUP(テーブル22[[#This Row],[反復]],$AN$6:$AO$15),LOOKUP(テーブル22[[#This Row],[反復]],$AN$20:$AO$29))))</f>
        <v>0</v>
      </c>
      <c r="V476" s="42">
        <f>IF(テーブル22[[#This Row],[ｼｬﾄﾙﾗﾝ]]="",0,(IF(テーブル22[[#This Row],[性別]]="男",LOOKUP(テーブル22[[#This Row],[ｼｬﾄﾙﾗﾝ]],$AR$6:$AS$15),LOOKUP(テーブル22[[#This Row],[ｼｬﾄﾙﾗﾝ]],$AR$20:$AS$29))))</f>
        <v>0</v>
      </c>
      <c r="W476" s="42">
        <f>IF(テーブル22[[#This Row],[50m走]]="",0,(IF(テーブル22[[#This Row],[性別]]="男",LOOKUP(テーブル22[[#This Row],[50m走]],$AT$6:$AU$15),LOOKUP(テーブル22[[#This Row],[50m走]],$AT$20:$AU$29))))</f>
        <v>0</v>
      </c>
      <c r="X476" s="42">
        <f>IF(テーブル22[[#This Row],[立幅とび]]="",0,(IF(テーブル22[[#This Row],[性別]]="男",LOOKUP(テーブル22[[#This Row],[立幅とび]],$AV$6:$AW$15),LOOKUP(テーブル22[[#This Row],[立幅とび]],$AV$20:$AW$29))))</f>
        <v>0</v>
      </c>
      <c r="Y476" s="42">
        <f>IF(テーブル22[[#This Row],[ボール投げ]]="",0,(IF(テーブル22[[#This Row],[性別]]="男",LOOKUP(テーブル22[[#This Row],[ボール投げ]],$AX$6:$AY$15),LOOKUP(テーブル22[[#This Row],[ボール投げ]],$AX$20:$AY$29))))</f>
        <v>0</v>
      </c>
      <c r="Z476" s="19" t="str">
        <f>IF(テーブル22[[#This Row],[学年]]=1,6,IF(テーブル22[[#This Row],[学年]]=2,7,IF(テーブル22[[#This Row],[学年]]=3,8,IF(テーブル22[[#This Row],[学年]]=4,9,IF(テーブル22[[#This Row],[学年]]=5,10,IF(テーブル22[[#This Row],[学年]]=6,11," "))))))</f>
        <v xml:space="preserve"> </v>
      </c>
      <c r="AA476" s="125" t="str">
        <f>IF(テーブル22[[#This Row],[肥満度数値]]="","",LOOKUP(AC476,$AW$39:$AW$44,$AX$39:$AX$44))</f>
        <v/>
      </c>
      <c r="AB47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6" s="124" t="str">
        <f>IF(テーブル22[[#This Row],[体重]]="","",(テーブル22[[#This Row],[体重]]-テーブル22[[#This Row],[標準体重]])/テーブル22[[#This Row],[標準体重]]*100)</f>
        <v/>
      </c>
      <c r="AD476" s="1">
        <f>COUNTA(テーブル22[[#This Row],[握力]:[ボール投げ]])</f>
        <v>0</v>
      </c>
      <c r="AE476" s="1" t="str">
        <f>IF(テーブル22[[#This Row],[判定]]=$BD$10,"○","")</f>
        <v/>
      </c>
      <c r="AF476" s="1" t="str">
        <f>IF(AE476="","",COUNTIF($AE$6:AE476,"○"))</f>
        <v/>
      </c>
    </row>
    <row r="477" spans="1:32" x14ac:dyDescent="0.2">
      <c r="A477" s="40">
        <v>472</v>
      </c>
      <c r="B477" s="145"/>
      <c r="C477" s="148"/>
      <c r="D477" s="145"/>
      <c r="E477" s="156"/>
      <c r="F477" s="145"/>
      <c r="G477" s="145"/>
      <c r="H477" s="146"/>
      <c r="I477" s="146"/>
      <c r="J477" s="148"/>
      <c r="K477" s="145"/>
      <c r="L477" s="148"/>
      <c r="M477" s="149"/>
      <c r="N477" s="148"/>
      <c r="O477" s="150"/>
      <c r="P47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7" s="43" t="str">
        <f>IF(テーブル22[[#This Row],[得点]]="","",IF(テーブル22[[#This Row],[年齢]]&gt;10,LOOKUP(P477,$BG$6:$BG$10,$BD$6:$BD$10),IF(テーブル22[[#This Row],[年齢]]&gt;9,LOOKUP(P477,$BF$6:$BF$10,$BD$6:$BD$10),IF(テーブル22[[#This Row],[年齢]]&gt;8,LOOKUP(P477,$BE$6:$BE$10,$BD$6:$BD$10),IF(テーブル22[[#This Row],[年齢]]&gt;7,LOOKUP(P477,$BC$6:$BC$10,$BD$6:$BD$10),IF(テーブル22[[#This Row],[年齢]]&gt;6,LOOKUP(P477,$BB$6:$BB$10,$BD$6:$BD$10),LOOKUP(P477,$BA$6:$BA$10,$BD$6:$BD$10)))))))</f>
        <v/>
      </c>
      <c r="R477" s="42">
        <f>IF(H477="",0,(IF(テーブル22[[#This Row],[性別]]="男",LOOKUP(テーブル22[[#This Row],[握力]],$AH$6:$AI$15),LOOKUP(テーブル22[[#This Row],[握力]],$AH$20:$AI$29))))</f>
        <v>0</v>
      </c>
      <c r="S477" s="42">
        <f>IF(テーブル22[[#This Row],[上体]]="",0,(IF(テーブル22[[#This Row],[性別]]="男",LOOKUP(テーブル22[[#This Row],[上体]],$AJ$6:$AK$15),LOOKUP(テーブル22[[#This Row],[上体]],$AJ$20:$AK$29))))</f>
        <v>0</v>
      </c>
      <c r="T477" s="42">
        <f>IF(テーブル22[[#This Row],[長座]]="",0,(IF(テーブル22[[#This Row],[性別]]="男",LOOKUP(テーブル22[[#This Row],[長座]],$AL$6:$AM$15),LOOKUP(テーブル22[[#This Row],[長座]],$AL$20:$AM$29))))</f>
        <v>0</v>
      </c>
      <c r="U477" s="42">
        <f>IF(テーブル22[[#This Row],[反復]]="",0,(IF(テーブル22[[#This Row],[性別]]="男",LOOKUP(テーブル22[[#This Row],[反復]],$AN$6:$AO$15),LOOKUP(テーブル22[[#This Row],[反復]],$AN$20:$AO$29))))</f>
        <v>0</v>
      </c>
      <c r="V477" s="42">
        <f>IF(テーブル22[[#This Row],[ｼｬﾄﾙﾗﾝ]]="",0,(IF(テーブル22[[#This Row],[性別]]="男",LOOKUP(テーブル22[[#This Row],[ｼｬﾄﾙﾗﾝ]],$AR$6:$AS$15),LOOKUP(テーブル22[[#This Row],[ｼｬﾄﾙﾗﾝ]],$AR$20:$AS$29))))</f>
        <v>0</v>
      </c>
      <c r="W477" s="42">
        <f>IF(テーブル22[[#This Row],[50m走]]="",0,(IF(テーブル22[[#This Row],[性別]]="男",LOOKUP(テーブル22[[#This Row],[50m走]],$AT$6:$AU$15),LOOKUP(テーブル22[[#This Row],[50m走]],$AT$20:$AU$29))))</f>
        <v>0</v>
      </c>
      <c r="X477" s="42">
        <f>IF(テーブル22[[#This Row],[立幅とび]]="",0,(IF(テーブル22[[#This Row],[性別]]="男",LOOKUP(テーブル22[[#This Row],[立幅とび]],$AV$6:$AW$15),LOOKUP(テーブル22[[#This Row],[立幅とび]],$AV$20:$AW$29))))</f>
        <v>0</v>
      </c>
      <c r="Y477" s="42">
        <f>IF(テーブル22[[#This Row],[ボール投げ]]="",0,(IF(テーブル22[[#This Row],[性別]]="男",LOOKUP(テーブル22[[#This Row],[ボール投げ]],$AX$6:$AY$15),LOOKUP(テーブル22[[#This Row],[ボール投げ]],$AX$20:$AY$29))))</f>
        <v>0</v>
      </c>
      <c r="Z477" s="19" t="str">
        <f>IF(テーブル22[[#This Row],[学年]]=1,6,IF(テーブル22[[#This Row],[学年]]=2,7,IF(テーブル22[[#This Row],[学年]]=3,8,IF(テーブル22[[#This Row],[学年]]=4,9,IF(テーブル22[[#This Row],[学年]]=5,10,IF(テーブル22[[#This Row],[学年]]=6,11," "))))))</f>
        <v xml:space="preserve"> </v>
      </c>
      <c r="AA477" s="125" t="str">
        <f>IF(テーブル22[[#This Row],[肥満度数値]]="","",LOOKUP(AC477,$AW$39:$AW$44,$AX$39:$AX$44))</f>
        <v/>
      </c>
      <c r="AB47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7" s="124" t="str">
        <f>IF(テーブル22[[#This Row],[体重]]="","",(テーブル22[[#This Row],[体重]]-テーブル22[[#This Row],[標準体重]])/テーブル22[[#This Row],[標準体重]]*100)</f>
        <v/>
      </c>
      <c r="AD477" s="1">
        <f>COUNTA(テーブル22[[#This Row],[握力]:[ボール投げ]])</f>
        <v>0</v>
      </c>
      <c r="AE477" s="1" t="str">
        <f>IF(テーブル22[[#This Row],[判定]]=$BD$10,"○","")</f>
        <v/>
      </c>
      <c r="AF477" s="1" t="str">
        <f>IF(AE477="","",COUNTIF($AE$6:AE477,"○"))</f>
        <v/>
      </c>
    </row>
    <row r="478" spans="1:32" x14ac:dyDescent="0.2">
      <c r="A478" s="40">
        <v>473</v>
      </c>
      <c r="B478" s="145"/>
      <c r="C478" s="148"/>
      <c r="D478" s="145"/>
      <c r="E478" s="156"/>
      <c r="F478" s="145"/>
      <c r="G478" s="145"/>
      <c r="H478" s="146"/>
      <c r="I478" s="146"/>
      <c r="J478" s="148"/>
      <c r="K478" s="145"/>
      <c r="L478" s="148"/>
      <c r="M478" s="149"/>
      <c r="N478" s="148"/>
      <c r="O478" s="150"/>
      <c r="P47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8" s="43" t="str">
        <f>IF(テーブル22[[#This Row],[得点]]="","",IF(テーブル22[[#This Row],[年齢]]&gt;10,LOOKUP(P478,$BG$6:$BG$10,$BD$6:$BD$10),IF(テーブル22[[#This Row],[年齢]]&gt;9,LOOKUP(P478,$BF$6:$BF$10,$BD$6:$BD$10),IF(テーブル22[[#This Row],[年齢]]&gt;8,LOOKUP(P478,$BE$6:$BE$10,$BD$6:$BD$10),IF(テーブル22[[#This Row],[年齢]]&gt;7,LOOKUP(P478,$BC$6:$BC$10,$BD$6:$BD$10),IF(テーブル22[[#This Row],[年齢]]&gt;6,LOOKUP(P478,$BB$6:$BB$10,$BD$6:$BD$10),LOOKUP(P478,$BA$6:$BA$10,$BD$6:$BD$10)))))))</f>
        <v/>
      </c>
      <c r="R478" s="42">
        <f>IF(H478="",0,(IF(テーブル22[[#This Row],[性別]]="男",LOOKUP(テーブル22[[#This Row],[握力]],$AH$6:$AI$15),LOOKUP(テーブル22[[#This Row],[握力]],$AH$20:$AI$29))))</f>
        <v>0</v>
      </c>
      <c r="S478" s="42">
        <f>IF(テーブル22[[#This Row],[上体]]="",0,(IF(テーブル22[[#This Row],[性別]]="男",LOOKUP(テーブル22[[#This Row],[上体]],$AJ$6:$AK$15),LOOKUP(テーブル22[[#This Row],[上体]],$AJ$20:$AK$29))))</f>
        <v>0</v>
      </c>
      <c r="T478" s="42">
        <f>IF(テーブル22[[#This Row],[長座]]="",0,(IF(テーブル22[[#This Row],[性別]]="男",LOOKUP(テーブル22[[#This Row],[長座]],$AL$6:$AM$15),LOOKUP(テーブル22[[#This Row],[長座]],$AL$20:$AM$29))))</f>
        <v>0</v>
      </c>
      <c r="U478" s="42">
        <f>IF(テーブル22[[#This Row],[反復]]="",0,(IF(テーブル22[[#This Row],[性別]]="男",LOOKUP(テーブル22[[#This Row],[反復]],$AN$6:$AO$15),LOOKUP(テーブル22[[#This Row],[反復]],$AN$20:$AO$29))))</f>
        <v>0</v>
      </c>
      <c r="V478" s="42">
        <f>IF(テーブル22[[#This Row],[ｼｬﾄﾙﾗﾝ]]="",0,(IF(テーブル22[[#This Row],[性別]]="男",LOOKUP(テーブル22[[#This Row],[ｼｬﾄﾙﾗﾝ]],$AR$6:$AS$15),LOOKUP(テーブル22[[#This Row],[ｼｬﾄﾙﾗﾝ]],$AR$20:$AS$29))))</f>
        <v>0</v>
      </c>
      <c r="W478" s="42">
        <f>IF(テーブル22[[#This Row],[50m走]]="",0,(IF(テーブル22[[#This Row],[性別]]="男",LOOKUP(テーブル22[[#This Row],[50m走]],$AT$6:$AU$15),LOOKUP(テーブル22[[#This Row],[50m走]],$AT$20:$AU$29))))</f>
        <v>0</v>
      </c>
      <c r="X478" s="42">
        <f>IF(テーブル22[[#This Row],[立幅とび]]="",0,(IF(テーブル22[[#This Row],[性別]]="男",LOOKUP(テーブル22[[#This Row],[立幅とび]],$AV$6:$AW$15),LOOKUP(テーブル22[[#This Row],[立幅とび]],$AV$20:$AW$29))))</f>
        <v>0</v>
      </c>
      <c r="Y478" s="42">
        <f>IF(テーブル22[[#This Row],[ボール投げ]]="",0,(IF(テーブル22[[#This Row],[性別]]="男",LOOKUP(テーブル22[[#This Row],[ボール投げ]],$AX$6:$AY$15),LOOKUP(テーブル22[[#This Row],[ボール投げ]],$AX$20:$AY$29))))</f>
        <v>0</v>
      </c>
      <c r="Z478" s="19" t="str">
        <f>IF(テーブル22[[#This Row],[学年]]=1,6,IF(テーブル22[[#This Row],[学年]]=2,7,IF(テーブル22[[#This Row],[学年]]=3,8,IF(テーブル22[[#This Row],[学年]]=4,9,IF(テーブル22[[#This Row],[学年]]=5,10,IF(テーブル22[[#This Row],[学年]]=6,11," "))))))</f>
        <v xml:space="preserve"> </v>
      </c>
      <c r="AA478" s="125" t="str">
        <f>IF(テーブル22[[#This Row],[肥満度数値]]="","",LOOKUP(AC478,$AW$39:$AW$44,$AX$39:$AX$44))</f>
        <v/>
      </c>
      <c r="AB47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8" s="124" t="str">
        <f>IF(テーブル22[[#This Row],[体重]]="","",(テーブル22[[#This Row],[体重]]-テーブル22[[#This Row],[標準体重]])/テーブル22[[#This Row],[標準体重]]*100)</f>
        <v/>
      </c>
      <c r="AD478" s="1">
        <f>COUNTA(テーブル22[[#This Row],[握力]:[ボール投げ]])</f>
        <v>0</v>
      </c>
      <c r="AE478" s="1" t="str">
        <f>IF(テーブル22[[#This Row],[判定]]=$BD$10,"○","")</f>
        <v/>
      </c>
      <c r="AF478" s="1" t="str">
        <f>IF(AE478="","",COUNTIF($AE$6:AE478,"○"))</f>
        <v/>
      </c>
    </row>
    <row r="479" spans="1:32" x14ac:dyDescent="0.2">
      <c r="A479" s="40">
        <v>474</v>
      </c>
      <c r="B479" s="145"/>
      <c r="C479" s="148"/>
      <c r="D479" s="145"/>
      <c r="E479" s="156"/>
      <c r="F479" s="145"/>
      <c r="G479" s="145"/>
      <c r="H479" s="146"/>
      <c r="I479" s="146"/>
      <c r="J479" s="148"/>
      <c r="K479" s="145"/>
      <c r="L479" s="148"/>
      <c r="M479" s="149"/>
      <c r="N479" s="148"/>
      <c r="O479" s="150"/>
      <c r="P47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79" s="43" t="str">
        <f>IF(テーブル22[[#This Row],[得点]]="","",IF(テーブル22[[#This Row],[年齢]]&gt;10,LOOKUP(P479,$BG$6:$BG$10,$BD$6:$BD$10),IF(テーブル22[[#This Row],[年齢]]&gt;9,LOOKUP(P479,$BF$6:$BF$10,$BD$6:$BD$10),IF(テーブル22[[#This Row],[年齢]]&gt;8,LOOKUP(P479,$BE$6:$BE$10,$BD$6:$BD$10),IF(テーブル22[[#This Row],[年齢]]&gt;7,LOOKUP(P479,$BC$6:$BC$10,$BD$6:$BD$10),IF(テーブル22[[#This Row],[年齢]]&gt;6,LOOKUP(P479,$BB$6:$BB$10,$BD$6:$BD$10),LOOKUP(P479,$BA$6:$BA$10,$BD$6:$BD$10)))))))</f>
        <v/>
      </c>
      <c r="R479" s="42">
        <f>IF(H479="",0,(IF(テーブル22[[#This Row],[性別]]="男",LOOKUP(テーブル22[[#This Row],[握力]],$AH$6:$AI$15),LOOKUP(テーブル22[[#This Row],[握力]],$AH$20:$AI$29))))</f>
        <v>0</v>
      </c>
      <c r="S479" s="42">
        <f>IF(テーブル22[[#This Row],[上体]]="",0,(IF(テーブル22[[#This Row],[性別]]="男",LOOKUP(テーブル22[[#This Row],[上体]],$AJ$6:$AK$15),LOOKUP(テーブル22[[#This Row],[上体]],$AJ$20:$AK$29))))</f>
        <v>0</v>
      </c>
      <c r="T479" s="42">
        <f>IF(テーブル22[[#This Row],[長座]]="",0,(IF(テーブル22[[#This Row],[性別]]="男",LOOKUP(テーブル22[[#This Row],[長座]],$AL$6:$AM$15),LOOKUP(テーブル22[[#This Row],[長座]],$AL$20:$AM$29))))</f>
        <v>0</v>
      </c>
      <c r="U479" s="42">
        <f>IF(テーブル22[[#This Row],[反復]]="",0,(IF(テーブル22[[#This Row],[性別]]="男",LOOKUP(テーブル22[[#This Row],[反復]],$AN$6:$AO$15),LOOKUP(テーブル22[[#This Row],[反復]],$AN$20:$AO$29))))</f>
        <v>0</v>
      </c>
      <c r="V479" s="42">
        <f>IF(テーブル22[[#This Row],[ｼｬﾄﾙﾗﾝ]]="",0,(IF(テーブル22[[#This Row],[性別]]="男",LOOKUP(テーブル22[[#This Row],[ｼｬﾄﾙﾗﾝ]],$AR$6:$AS$15),LOOKUP(テーブル22[[#This Row],[ｼｬﾄﾙﾗﾝ]],$AR$20:$AS$29))))</f>
        <v>0</v>
      </c>
      <c r="W479" s="42">
        <f>IF(テーブル22[[#This Row],[50m走]]="",0,(IF(テーブル22[[#This Row],[性別]]="男",LOOKUP(テーブル22[[#This Row],[50m走]],$AT$6:$AU$15),LOOKUP(テーブル22[[#This Row],[50m走]],$AT$20:$AU$29))))</f>
        <v>0</v>
      </c>
      <c r="X479" s="42">
        <f>IF(テーブル22[[#This Row],[立幅とび]]="",0,(IF(テーブル22[[#This Row],[性別]]="男",LOOKUP(テーブル22[[#This Row],[立幅とび]],$AV$6:$AW$15),LOOKUP(テーブル22[[#This Row],[立幅とび]],$AV$20:$AW$29))))</f>
        <v>0</v>
      </c>
      <c r="Y479" s="42">
        <f>IF(テーブル22[[#This Row],[ボール投げ]]="",0,(IF(テーブル22[[#This Row],[性別]]="男",LOOKUP(テーブル22[[#This Row],[ボール投げ]],$AX$6:$AY$15),LOOKUP(テーブル22[[#This Row],[ボール投げ]],$AX$20:$AY$29))))</f>
        <v>0</v>
      </c>
      <c r="Z479" s="19" t="str">
        <f>IF(テーブル22[[#This Row],[学年]]=1,6,IF(テーブル22[[#This Row],[学年]]=2,7,IF(テーブル22[[#This Row],[学年]]=3,8,IF(テーブル22[[#This Row],[学年]]=4,9,IF(テーブル22[[#This Row],[学年]]=5,10,IF(テーブル22[[#This Row],[学年]]=6,11," "))))))</f>
        <v xml:space="preserve"> </v>
      </c>
      <c r="AA479" s="125" t="str">
        <f>IF(テーブル22[[#This Row],[肥満度数値]]="","",LOOKUP(AC479,$AW$39:$AW$44,$AX$39:$AX$44))</f>
        <v/>
      </c>
      <c r="AB47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79" s="124" t="str">
        <f>IF(テーブル22[[#This Row],[体重]]="","",(テーブル22[[#This Row],[体重]]-テーブル22[[#This Row],[標準体重]])/テーブル22[[#This Row],[標準体重]]*100)</f>
        <v/>
      </c>
      <c r="AD479" s="1">
        <f>COUNTA(テーブル22[[#This Row],[握力]:[ボール投げ]])</f>
        <v>0</v>
      </c>
      <c r="AE479" s="1" t="str">
        <f>IF(テーブル22[[#This Row],[判定]]=$BD$10,"○","")</f>
        <v/>
      </c>
      <c r="AF479" s="1" t="str">
        <f>IF(AE479="","",COUNTIF($AE$6:AE479,"○"))</f>
        <v/>
      </c>
    </row>
    <row r="480" spans="1:32" x14ac:dyDescent="0.2">
      <c r="A480" s="40">
        <v>475</v>
      </c>
      <c r="B480" s="145"/>
      <c r="C480" s="148"/>
      <c r="D480" s="145"/>
      <c r="E480" s="156"/>
      <c r="F480" s="145"/>
      <c r="G480" s="145"/>
      <c r="H480" s="146"/>
      <c r="I480" s="146"/>
      <c r="J480" s="148"/>
      <c r="K480" s="145"/>
      <c r="L480" s="148"/>
      <c r="M480" s="149"/>
      <c r="N480" s="148"/>
      <c r="O480" s="150"/>
      <c r="P48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0" s="43" t="str">
        <f>IF(テーブル22[[#This Row],[得点]]="","",IF(テーブル22[[#This Row],[年齢]]&gt;10,LOOKUP(P480,$BG$6:$BG$10,$BD$6:$BD$10),IF(テーブル22[[#This Row],[年齢]]&gt;9,LOOKUP(P480,$BF$6:$BF$10,$BD$6:$BD$10),IF(テーブル22[[#This Row],[年齢]]&gt;8,LOOKUP(P480,$BE$6:$BE$10,$BD$6:$BD$10),IF(テーブル22[[#This Row],[年齢]]&gt;7,LOOKUP(P480,$BC$6:$BC$10,$BD$6:$BD$10),IF(テーブル22[[#This Row],[年齢]]&gt;6,LOOKUP(P480,$BB$6:$BB$10,$BD$6:$BD$10),LOOKUP(P480,$BA$6:$BA$10,$BD$6:$BD$10)))))))</f>
        <v/>
      </c>
      <c r="R480" s="42">
        <f>IF(H480="",0,(IF(テーブル22[[#This Row],[性別]]="男",LOOKUP(テーブル22[[#This Row],[握力]],$AH$6:$AI$15),LOOKUP(テーブル22[[#This Row],[握力]],$AH$20:$AI$29))))</f>
        <v>0</v>
      </c>
      <c r="S480" s="42">
        <f>IF(テーブル22[[#This Row],[上体]]="",0,(IF(テーブル22[[#This Row],[性別]]="男",LOOKUP(テーブル22[[#This Row],[上体]],$AJ$6:$AK$15),LOOKUP(テーブル22[[#This Row],[上体]],$AJ$20:$AK$29))))</f>
        <v>0</v>
      </c>
      <c r="T480" s="42">
        <f>IF(テーブル22[[#This Row],[長座]]="",0,(IF(テーブル22[[#This Row],[性別]]="男",LOOKUP(テーブル22[[#This Row],[長座]],$AL$6:$AM$15),LOOKUP(テーブル22[[#This Row],[長座]],$AL$20:$AM$29))))</f>
        <v>0</v>
      </c>
      <c r="U480" s="42">
        <f>IF(テーブル22[[#This Row],[反復]]="",0,(IF(テーブル22[[#This Row],[性別]]="男",LOOKUP(テーブル22[[#This Row],[反復]],$AN$6:$AO$15),LOOKUP(テーブル22[[#This Row],[反復]],$AN$20:$AO$29))))</f>
        <v>0</v>
      </c>
      <c r="V480" s="42">
        <f>IF(テーブル22[[#This Row],[ｼｬﾄﾙﾗﾝ]]="",0,(IF(テーブル22[[#This Row],[性別]]="男",LOOKUP(テーブル22[[#This Row],[ｼｬﾄﾙﾗﾝ]],$AR$6:$AS$15),LOOKUP(テーブル22[[#This Row],[ｼｬﾄﾙﾗﾝ]],$AR$20:$AS$29))))</f>
        <v>0</v>
      </c>
      <c r="W480" s="42">
        <f>IF(テーブル22[[#This Row],[50m走]]="",0,(IF(テーブル22[[#This Row],[性別]]="男",LOOKUP(テーブル22[[#This Row],[50m走]],$AT$6:$AU$15),LOOKUP(テーブル22[[#This Row],[50m走]],$AT$20:$AU$29))))</f>
        <v>0</v>
      </c>
      <c r="X480" s="42">
        <f>IF(テーブル22[[#This Row],[立幅とび]]="",0,(IF(テーブル22[[#This Row],[性別]]="男",LOOKUP(テーブル22[[#This Row],[立幅とび]],$AV$6:$AW$15),LOOKUP(テーブル22[[#This Row],[立幅とび]],$AV$20:$AW$29))))</f>
        <v>0</v>
      </c>
      <c r="Y480" s="42">
        <f>IF(テーブル22[[#This Row],[ボール投げ]]="",0,(IF(テーブル22[[#This Row],[性別]]="男",LOOKUP(テーブル22[[#This Row],[ボール投げ]],$AX$6:$AY$15),LOOKUP(テーブル22[[#This Row],[ボール投げ]],$AX$20:$AY$29))))</f>
        <v>0</v>
      </c>
      <c r="Z480" s="19" t="str">
        <f>IF(テーブル22[[#This Row],[学年]]=1,6,IF(テーブル22[[#This Row],[学年]]=2,7,IF(テーブル22[[#This Row],[学年]]=3,8,IF(テーブル22[[#This Row],[学年]]=4,9,IF(テーブル22[[#This Row],[学年]]=5,10,IF(テーブル22[[#This Row],[学年]]=6,11," "))))))</f>
        <v xml:space="preserve"> </v>
      </c>
      <c r="AA480" s="125" t="str">
        <f>IF(テーブル22[[#This Row],[肥満度数値]]="","",LOOKUP(AC480,$AW$39:$AW$44,$AX$39:$AX$44))</f>
        <v/>
      </c>
      <c r="AB48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0" s="124" t="str">
        <f>IF(テーブル22[[#This Row],[体重]]="","",(テーブル22[[#This Row],[体重]]-テーブル22[[#This Row],[標準体重]])/テーブル22[[#This Row],[標準体重]]*100)</f>
        <v/>
      </c>
      <c r="AD480" s="1">
        <f>COUNTA(テーブル22[[#This Row],[握力]:[ボール投げ]])</f>
        <v>0</v>
      </c>
      <c r="AE480" s="1" t="str">
        <f>IF(テーブル22[[#This Row],[判定]]=$BD$10,"○","")</f>
        <v/>
      </c>
      <c r="AF480" s="1" t="str">
        <f>IF(AE480="","",COUNTIF($AE$6:AE480,"○"))</f>
        <v/>
      </c>
    </row>
    <row r="481" spans="1:32" x14ac:dyDescent="0.2">
      <c r="A481" s="40">
        <v>476</v>
      </c>
      <c r="B481" s="145"/>
      <c r="C481" s="148"/>
      <c r="D481" s="145"/>
      <c r="E481" s="156"/>
      <c r="F481" s="145"/>
      <c r="G481" s="145"/>
      <c r="H481" s="146"/>
      <c r="I481" s="146"/>
      <c r="J481" s="148"/>
      <c r="K481" s="145"/>
      <c r="L481" s="148"/>
      <c r="M481" s="149"/>
      <c r="N481" s="148"/>
      <c r="O481" s="150"/>
      <c r="P48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1" s="43" t="str">
        <f>IF(テーブル22[[#This Row],[得点]]="","",IF(テーブル22[[#This Row],[年齢]]&gt;10,LOOKUP(P481,$BG$6:$BG$10,$BD$6:$BD$10),IF(テーブル22[[#This Row],[年齢]]&gt;9,LOOKUP(P481,$BF$6:$BF$10,$BD$6:$BD$10),IF(テーブル22[[#This Row],[年齢]]&gt;8,LOOKUP(P481,$BE$6:$BE$10,$BD$6:$BD$10),IF(テーブル22[[#This Row],[年齢]]&gt;7,LOOKUP(P481,$BC$6:$BC$10,$BD$6:$BD$10),IF(テーブル22[[#This Row],[年齢]]&gt;6,LOOKUP(P481,$BB$6:$BB$10,$BD$6:$BD$10),LOOKUP(P481,$BA$6:$BA$10,$BD$6:$BD$10)))))))</f>
        <v/>
      </c>
      <c r="R481" s="42">
        <f>IF(H481="",0,(IF(テーブル22[[#This Row],[性別]]="男",LOOKUP(テーブル22[[#This Row],[握力]],$AH$6:$AI$15),LOOKUP(テーブル22[[#This Row],[握力]],$AH$20:$AI$29))))</f>
        <v>0</v>
      </c>
      <c r="S481" s="42">
        <f>IF(テーブル22[[#This Row],[上体]]="",0,(IF(テーブル22[[#This Row],[性別]]="男",LOOKUP(テーブル22[[#This Row],[上体]],$AJ$6:$AK$15),LOOKUP(テーブル22[[#This Row],[上体]],$AJ$20:$AK$29))))</f>
        <v>0</v>
      </c>
      <c r="T481" s="42">
        <f>IF(テーブル22[[#This Row],[長座]]="",0,(IF(テーブル22[[#This Row],[性別]]="男",LOOKUP(テーブル22[[#This Row],[長座]],$AL$6:$AM$15),LOOKUP(テーブル22[[#This Row],[長座]],$AL$20:$AM$29))))</f>
        <v>0</v>
      </c>
      <c r="U481" s="42">
        <f>IF(テーブル22[[#This Row],[反復]]="",0,(IF(テーブル22[[#This Row],[性別]]="男",LOOKUP(テーブル22[[#This Row],[反復]],$AN$6:$AO$15),LOOKUP(テーブル22[[#This Row],[反復]],$AN$20:$AO$29))))</f>
        <v>0</v>
      </c>
      <c r="V481" s="42">
        <f>IF(テーブル22[[#This Row],[ｼｬﾄﾙﾗﾝ]]="",0,(IF(テーブル22[[#This Row],[性別]]="男",LOOKUP(テーブル22[[#This Row],[ｼｬﾄﾙﾗﾝ]],$AR$6:$AS$15),LOOKUP(テーブル22[[#This Row],[ｼｬﾄﾙﾗﾝ]],$AR$20:$AS$29))))</f>
        <v>0</v>
      </c>
      <c r="W481" s="42">
        <f>IF(テーブル22[[#This Row],[50m走]]="",0,(IF(テーブル22[[#This Row],[性別]]="男",LOOKUP(テーブル22[[#This Row],[50m走]],$AT$6:$AU$15),LOOKUP(テーブル22[[#This Row],[50m走]],$AT$20:$AU$29))))</f>
        <v>0</v>
      </c>
      <c r="X481" s="42">
        <f>IF(テーブル22[[#This Row],[立幅とび]]="",0,(IF(テーブル22[[#This Row],[性別]]="男",LOOKUP(テーブル22[[#This Row],[立幅とび]],$AV$6:$AW$15),LOOKUP(テーブル22[[#This Row],[立幅とび]],$AV$20:$AW$29))))</f>
        <v>0</v>
      </c>
      <c r="Y481" s="42">
        <f>IF(テーブル22[[#This Row],[ボール投げ]]="",0,(IF(テーブル22[[#This Row],[性別]]="男",LOOKUP(テーブル22[[#This Row],[ボール投げ]],$AX$6:$AY$15),LOOKUP(テーブル22[[#This Row],[ボール投げ]],$AX$20:$AY$29))))</f>
        <v>0</v>
      </c>
      <c r="Z481" s="19" t="str">
        <f>IF(テーブル22[[#This Row],[学年]]=1,6,IF(テーブル22[[#This Row],[学年]]=2,7,IF(テーブル22[[#This Row],[学年]]=3,8,IF(テーブル22[[#This Row],[学年]]=4,9,IF(テーブル22[[#This Row],[学年]]=5,10,IF(テーブル22[[#This Row],[学年]]=6,11," "))))))</f>
        <v xml:space="preserve"> </v>
      </c>
      <c r="AA481" s="125" t="str">
        <f>IF(テーブル22[[#This Row],[肥満度数値]]="","",LOOKUP(AC481,$AW$39:$AW$44,$AX$39:$AX$44))</f>
        <v/>
      </c>
      <c r="AB48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1" s="124" t="str">
        <f>IF(テーブル22[[#This Row],[体重]]="","",(テーブル22[[#This Row],[体重]]-テーブル22[[#This Row],[標準体重]])/テーブル22[[#This Row],[標準体重]]*100)</f>
        <v/>
      </c>
      <c r="AD481" s="1">
        <f>COUNTA(テーブル22[[#This Row],[握力]:[ボール投げ]])</f>
        <v>0</v>
      </c>
      <c r="AE481" s="1" t="str">
        <f>IF(テーブル22[[#This Row],[判定]]=$BD$10,"○","")</f>
        <v/>
      </c>
      <c r="AF481" s="1" t="str">
        <f>IF(AE481="","",COUNTIF($AE$6:AE481,"○"))</f>
        <v/>
      </c>
    </row>
    <row r="482" spans="1:32" x14ac:dyDescent="0.2">
      <c r="A482" s="40">
        <v>477</v>
      </c>
      <c r="B482" s="145"/>
      <c r="C482" s="148"/>
      <c r="D482" s="145"/>
      <c r="E482" s="156"/>
      <c r="F482" s="145"/>
      <c r="G482" s="145"/>
      <c r="H482" s="146"/>
      <c r="I482" s="146"/>
      <c r="J482" s="148"/>
      <c r="K482" s="145"/>
      <c r="L482" s="148"/>
      <c r="M482" s="149"/>
      <c r="N482" s="148"/>
      <c r="O482" s="150"/>
      <c r="P48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2" s="43" t="str">
        <f>IF(テーブル22[[#This Row],[得点]]="","",IF(テーブル22[[#This Row],[年齢]]&gt;10,LOOKUP(P482,$BG$6:$BG$10,$BD$6:$BD$10),IF(テーブル22[[#This Row],[年齢]]&gt;9,LOOKUP(P482,$BF$6:$BF$10,$BD$6:$BD$10),IF(テーブル22[[#This Row],[年齢]]&gt;8,LOOKUP(P482,$BE$6:$BE$10,$BD$6:$BD$10),IF(テーブル22[[#This Row],[年齢]]&gt;7,LOOKUP(P482,$BC$6:$BC$10,$BD$6:$BD$10),IF(テーブル22[[#This Row],[年齢]]&gt;6,LOOKUP(P482,$BB$6:$BB$10,$BD$6:$BD$10),LOOKUP(P482,$BA$6:$BA$10,$BD$6:$BD$10)))))))</f>
        <v/>
      </c>
      <c r="R482" s="42">
        <f>IF(H482="",0,(IF(テーブル22[[#This Row],[性別]]="男",LOOKUP(テーブル22[[#This Row],[握力]],$AH$6:$AI$15),LOOKUP(テーブル22[[#This Row],[握力]],$AH$20:$AI$29))))</f>
        <v>0</v>
      </c>
      <c r="S482" s="42">
        <f>IF(テーブル22[[#This Row],[上体]]="",0,(IF(テーブル22[[#This Row],[性別]]="男",LOOKUP(テーブル22[[#This Row],[上体]],$AJ$6:$AK$15),LOOKUP(テーブル22[[#This Row],[上体]],$AJ$20:$AK$29))))</f>
        <v>0</v>
      </c>
      <c r="T482" s="42">
        <f>IF(テーブル22[[#This Row],[長座]]="",0,(IF(テーブル22[[#This Row],[性別]]="男",LOOKUP(テーブル22[[#This Row],[長座]],$AL$6:$AM$15),LOOKUP(テーブル22[[#This Row],[長座]],$AL$20:$AM$29))))</f>
        <v>0</v>
      </c>
      <c r="U482" s="42">
        <f>IF(テーブル22[[#This Row],[反復]]="",0,(IF(テーブル22[[#This Row],[性別]]="男",LOOKUP(テーブル22[[#This Row],[反復]],$AN$6:$AO$15),LOOKUP(テーブル22[[#This Row],[反復]],$AN$20:$AO$29))))</f>
        <v>0</v>
      </c>
      <c r="V482" s="42">
        <f>IF(テーブル22[[#This Row],[ｼｬﾄﾙﾗﾝ]]="",0,(IF(テーブル22[[#This Row],[性別]]="男",LOOKUP(テーブル22[[#This Row],[ｼｬﾄﾙﾗﾝ]],$AR$6:$AS$15),LOOKUP(テーブル22[[#This Row],[ｼｬﾄﾙﾗﾝ]],$AR$20:$AS$29))))</f>
        <v>0</v>
      </c>
      <c r="W482" s="42">
        <f>IF(テーブル22[[#This Row],[50m走]]="",0,(IF(テーブル22[[#This Row],[性別]]="男",LOOKUP(テーブル22[[#This Row],[50m走]],$AT$6:$AU$15),LOOKUP(テーブル22[[#This Row],[50m走]],$AT$20:$AU$29))))</f>
        <v>0</v>
      </c>
      <c r="X482" s="42">
        <f>IF(テーブル22[[#This Row],[立幅とび]]="",0,(IF(テーブル22[[#This Row],[性別]]="男",LOOKUP(テーブル22[[#This Row],[立幅とび]],$AV$6:$AW$15),LOOKUP(テーブル22[[#This Row],[立幅とび]],$AV$20:$AW$29))))</f>
        <v>0</v>
      </c>
      <c r="Y482" s="42">
        <f>IF(テーブル22[[#This Row],[ボール投げ]]="",0,(IF(テーブル22[[#This Row],[性別]]="男",LOOKUP(テーブル22[[#This Row],[ボール投げ]],$AX$6:$AY$15),LOOKUP(テーブル22[[#This Row],[ボール投げ]],$AX$20:$AY$29))))</f>
        <v>0</v>
      </c>
      <c r="Z482" s="19" t="str">
        <f>IF(テーブル22[[#This Row],[学年]]=1,6,IF(テーブル22[[#This Row],[学年]]=2,7,IF(テーブル22[[#This Row],[学年]]=3,8,IF(テーブル22[[#This Row],[学年]]=4,9,IF(テーブル22[[#This Row],[学年]]=5,10,IF(テーブル22[[#This Row],[学年]]=6,11," "))))))</f>
        <v xml:space="preserve"> </v>
      </c>
      <c r="AA482" s="125" t="str">
        <f>IF(テーブル22[[#This Row],[肥満度数値]]="","",LOOKUP(AC482,$AW$39:$AW$44,$AX$39:$AX$44))</f>
        <v/>
      </c>
      <c r="AB48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2" s="124" t="str">
        <f>IF(テーブル22[[#This Row],[体重]]="","",(テーブル22[[#This Row],[体重]]-テーブル22[[#This Row],[標準体重]])/テーブル22[[#This Row],[標準体重]]*100)</f>
        <v/>
      </c>
      <c r="AD482" s="1">
        <f>COUNTA(テーブル22[[#This Row],[握力]:[ボール投げ]])</f>
        <v>0</v>
      </c>
      <c r="AE482" s="1" t="str">
        <f>IF(テーブル22[[#This Row],[判定]]=$BD$10,"○","")</f>
        <v/>
      </c>
      <c r="AF482" s="1" t="str">
        <f>IF(AE482="","",COUNTIF($AE$6:AE482,"○"))</f>
        <v/>
      </c>
    </row>
    <row r="483" spans="1:32" x14ac:dyDescent="0.2">
      <c r="A483" s="40">
        <v>478</v>
      </c>
      <c r="B483" s="145"/>
      <c r="C483" s="148"/>
      <c r="D483" s="145"/>
      <c r="E483" s="156"/>
      <c r="F483" s="145"/>
      <c r="G483" s="145"/>
      <c r="H483" s="146"/>
      <c r="I483" s="146"/>
      <c r="J483" s="148"/>
      <c r="K483" s="145"/>
      <c r="L483" s="148"/>
      <c r="M483" s="149"/>
      <c r="N483" s="148"/>
      <c r="O483" s="150"/>
      <c r="P48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3" s="43" t="str">
        <f>IF(テーブル22[[#This Row],[得点]]="","",IF(テーブル22[[#This Row],[年齢]]&gt;10,LOOKUP(P483,$BG$6:$BG$10,$BD$6:$BD$10),IF(テーブル22[[#This Row],[年齢]]&gt;9,LOOKUP(P483,$BF$6:$BF$10,$BD$6:$BD$10),IF(テーブル22[[#This Row],[年齢]]&gt;8,LOOKUP(P483,$BE$6:$BE$10,$BD$6:$BD$10),IF(テーブル22[[#This Row],[年齢]]&gt;7,LOOKUP(P483,$BC$6:$BC$10,$BD$6:$BD$10),IF(テーブル22[[#This Row],[年齢]]&gt;6,LOOKUP(P483,$BB$6:$BB$10,$BD$6:$BD$10),LOOKUP(P483,$BA$6:$BA$10,$BD$6:$BD$10)))))))</f>
        <v/>
      </c>
      <c r="R483" s="42">
        <f>IF(H483="",0,(IF(テーブル22[[#This Row],[性別]]="男",LOOKUP(テーブル22[[#This Row],[握力]],$AH$6:$AI$15),LOOKUP(テーブル22[[#This Row],[握力]],$AH$20:$AI$29))))</f>
        <v>0</v>
      </c>
      <c r="S483" s="42">
        <f>IF(テーブル22[[#This Row],[上体]]="",0,(IF(テーブル22[[#This Row],[性別]]="男",LOOKUP(テーブル22[[#This Row],[上体]],$AJ$6:$AK$15),LOOKUP(テーブル22[[#This Row],[上体]],$AJ$20:$AK$29))))</f>
        <v>0</v>
      </c>
      <c r="T483" s="42">
        <f>IF(テーブル22[[#This Row],[長座]]="",0,(IF(テーブル22[[#This Row],[性別]]="男",LOOKUP(テーブル22[[#This Row],[長座]],$AL$6:$AM$15),LOOKUP(テーブル22[[#This Row],[長座]],$AL$20:$AM$29))))</f>
        <v>0</v>
      </c>
      <c r="U483" s="42">
        <f>IF(テーブル22[[#This Row],[反復]]="",0,(IF(テーブル22[[#This Row],[性別]]="男",LOOKUP(テーブル22[[#This Row],[反復]],$AN$6:$AO$15),LOOKUP(テーブル22[[#This Row],[反復]],$AN$20:$AO$29))))</f>
        <v>0</v>
      </c>
      <c r="V483" s="42">
        <f>IF(テーブル22[[#This Row],[ｼｬﾄﾙﾗﾝ]]="",0,(IF(テーブル22[[#This Row],[性別]]="男",LOOKUP(テーブル22[[#This Row],[ｼｬﾄﾙﾗﾝ]],$AR$6:$AS$15),LOOKUP(テーブル22[[#This Row],[ｼｬﾄﾙﾗﾝ]],$AR$20:$AS$29))))</f>
        <v>0</v>
      </c>
      <c r="W483" s="42">
        <f>IF(テーブル22[[#This Row],[50m走]]="",0,(IF(テーブル22[[#This Row],[性別]]="男",LOOKUP(テーブル22[[#This Row],[50m走]],$AT$6:$AU$15),LOOKUP(テーブル22[[#This Row],[50m走]],$AT$20:$AU$29))))</f>
        <v>0</v>
      </c>
      <c r="X483" s="42">
        <f>IF(テーブル22[[#This Row],[立幅とび]]="",0,(IF(テーブル22[[#This Row],[性別]]="男",LOOKUP(テーブル22[[#This Row],[立幅とび]],$AV$6:$AW$15),LOOKUP(テーブル22[[#This Row],[立幅とび]],$AV$20:$AW$29))))</f>
        <v>0</v>
      </c>
      <c r="Y483" s="42">
        <f>IF(テーブル22[[#This Row],[ボール投げ]]="",0,(IF(テーブル22[[#This Row],[性別]]="男",LOOKUP(テーブル22[[#This Row],[ボール投げ]],$AX$6:$AY$15),LOOKUP(テーブル22[[#This Row],[ボール投げ]],$AX$20:$AY$29))))</f>
        <v>0</v>
      </c>
      <c r="Z483" s="19" t="str">
        <f>IF(テーブル22[[#This Row],[学年]]=1,6,IF(テーブル22[[#This Row],[学年]]=2,7,IF(テーブル22[[#This Row],[学年]]=3,8,IF(テーブル22[[#This Row],[学年]]=4,9,IF(テーブル22[[#This Row],[学年]]=5,10,IF(テーブル22[[#This Row],[学年]]=6,11," "))))))</f>
        <v xml:space="preserve"> </v>
      </c>
      <c r="AA483" s="125" t="str">
        <f>IF(テーブル22[[#This Row],[肥満度数値]]="","",LOOKUP(AC483,$AW$39:$AW$44,$AX$39:$AX$44))</f>
        <v/>
      </c>
      <c r="AB48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3" s="124" t="str">
        <f>IF(テーブル22[[#This Row],[体重]]="","",(テーブル22[[#This Row],[体重]]-テーブル22[[#This Row],[標準体重]])/テーブル22[[#This Row],[標準体重]]*100)</f>
        <v/>
      </c>
      <c r="AD483" s="1">
        <f>COUNTA(テーブル22[[#This Row],[握力]:[ボール投げ]])</f>
        <v>0</v>
      </c>
      <c r="AE483" s="1" t="str">
        <f>IF(テーブル22[[#This Row],[判定]]=$BD$10,"○","")</f>
        <v/>
      </c>
      <c r="AF483" s="1" t="str">
        <f>IF(AE483="","",COUNTIF($AE$6:AE483,"○"))</f>
        <v/>
      </c>
    </row>
    <row r="484" spans="1:32" x14ac:dyDescent="0.2">
      <c r="A484" s="40">
        <v>479</v>
      </c>
      <c r="B484" s="145"/>
      <c r="C484" s="148"/>
      <c r="D484" s="145"/>
      <c r="E484" s="156"/>
      <c r="F484" s="145"/>
      <c r="G484" s="145"/>
      <c r="H484" s="146"/>
      <c r="I484" s="146"/>
      <c r="J484" s="148"/>
      <c r="K484" s="145"/>
      <c r="L484" s="148"/>
      <c r="M484" s="149"/>
      <c r="N484" s="148"/>
      <c r="O484" s="150"/>
      <c r="P48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4" s="43" t="str">
        <f>IF(テーブル22[[#This Row],[得点]]="","",IF(テーブル22[[#This Row],[年齢]]&gt;10,LOOKUP(P484,$BG$6:$BG$10,$BD$6:$BD$10),IF(テーブル22[[#This Row],[年齢]]&gt;9,LOOKUP(P484,$BF$6:$BF$10,$BD$6:$BD$10),IF(テーブル22[[#This Row],[年齢]]&gt;8,LOOKUP(P484,$BE$6:$BE$10,$BD$6:$BD$10),IF(テーブル22[[#This Row],[年齢]]&gt;7,LOOKUP(P484,$BC$6:$BC$10,$BD$6:$BD$10),IF(テーブル22[[#This Row],[年齢]]&gt;6,LOOKUP(P484,$BB$6:$BB$10,$BD$6:$BD$10),LOOKUP(P484,$BA$6:$BA$10,$BD$6:$BD$10)))))))</f>
        <v/>
      </c>
      <c r="R484" s="42">
        <f>IF(H484="",0,(IF(テーブル22[[#This Row],[性別]]="男",LOOKUP(テーブル22[[#This Row],[握力]],$AH$6:$AI$15),LOOKUP(テーブル22[[#This Row],[握力]],$AH$20:$AI$29))))</f>
        <v>0</v>
      </c>
      <c r="S484" s="42">
        <f>IF(テーブル22[[#This Row],[上体]]="",0,(IF(テーブル22[[#This Row],[性別]]="男",LOOKUP(テーブル22[[#This Row],[上体]],$AJ$6:$AK$15),LOOKUP(テーブル22[[#This Row],[上体]],$AJ$20:$AK$29))))</f>
        <v>0</v>
      </c>
      <c r="T484" s="42">
        <f>IF(テーブル22[[#This Row],[長座]]="",0,(IF(テーブル22[[#This Row],[性別]]="男",LOOKUP(テーブル22[[#This Row],[長座]],$AL$6:$AM$15),LOOKUP(テーブル22[[#This Row],[長座]],$AL$20:$AM$29))))</f>
        <v>0</v>
      </c>
      <c r="U484" s="42">
        <f>IF(テーブル22[[#This Row],[反復]]="",0,(IF(テーブル22[[#This Row],[性別]]="男",LOOKUP(テーブル22[[#This Row],[反復]],$AN$6:$AO$15),LOOKUP(テーブル22[[#This Row],[反復]],$AN$20:$AO$29))))</f>
        <v>0</v>
      </c>
      <c r="V484" s="42">
        <f>IF(テーブル22[[#This Row],[ｼｬﾄﾙﾗﾝ]]="",0,(IF(テーブル22[[#This Row],[性別]]="男",LOOKUP(テーブル22[[#This Row],[ｼｬﾄﾙﾗﾝ]],$AR$6:$AS$15),LOOKUP(テーブル22[[#This Row],[ｼｬﾄﾙﾗﾝ]],$AR$20:$AS$29))))</f>
        <v>0</v>
      </c>
      <c r="W484" s="42">
        <f>IF(テーブル22[[#This Row],[50m走]]="",0,(IF(テーブル22[[#This Row],[性別]]="男",LOOKUP(テーブル22[[#This Row],[50m走]],$AT$6:$AU$15),LOOKUP(テーブル22[[#This Row],[50m走]],$AT$20:$AU$29))))</f>
        <v>0</v>
      </c>
      <c r="X484" s="42">
        <f>IF(テーブル22[[#This Row],[立幅とび]]="",0,(IF(テーブル22[[#This Row],[性別]]="男",LOOKUP(テーブル22[[#This Row],[立幅とび]],$AV$6:$AW$15),LOOKUP(テーブル22[[#This Row],[立幅とび]],$AV$20:$AW$29))))</f>
        <v>0</v>
      </c>
      <c r="Y484" s="42">
        <f>IF(テーブル22[[#This Row],[ボール投げ]]="",0,(IF(テーブル22[[#This Row],[性別]]="男",LOOKUP(テーブル22[[#This Row],[ボール投げ]],$AX$6:$AY$15),LOOKUP(テーブル22[[#This Row],[ボール投げ]],$AX$20:$AY$29))))</f>
        <v>0</v>
      </c>
      <c r="Z484" s="19" t="str">
        <f>IF(テーブル22[[#This Row],[学年]]=1,6,IF(テーブル22[[#This Row],[学年]]=2,7,IF(テーブル22[[#This Row],[学年]]=3,8,IF(テーブル22[[#This Row],[学年]]=4,9,IF(テーブル22[[#This Row],[学年]]=5,10,IF(テーブル22[[#This Row],[学年]]=6,11," "))))))</f>
        <v xml:space="preserve"> </v>
      </c>
      <c r="AA484" s="125" t="str">
        <f>IF(テーブル22[[#This Row],[肥満度数値]]="","",LOOKUP(AC484,$AW$39:$AW$44,$AX$39:$AX$44))</f>
        <v/>
      </c>
      <c r="AB48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4" s="124" t="str">
        <f>IF(テーブル22[[#This Row],[体重]]="","",(テーブル22[[#This Row],[体重]]-テーブル22[[#This Row],[標準体重]])/テーブル22[[#This Row],[標準体重]]*100)</f>
        <v/>
      </c>
      <c r="AD484" s="1">
        <f>COUNTA(テーブル22[[#This Row],[握力]:[ボール投げ]])</f>
        <v>0</v>
      </c>
      <c r="AE484" s="1" t="str">
        <f>IF(テーブル22[[#This Row],[判定]]=$BD$10,"○","")</f>
        <v/>
      </c>
      <c r="AF484" s="1" t="str">
        <f>IF(AE484="","",COUNTIF($AE$6:AE484,"○"))</f>
        <v/>
      </c>
    </row>
    <row r="485" spans="1:32" x14ac:dyDescent="0.2">
      <c r="A485" s="40">
        <v>480</v>
      </c>
      <c r="B485" s="145"/>
      <c r="C485" s="148"/>
      <c r="D485" s="145"/>
      <c r="E485" s="156"/>
      <c r="F485" s="145"/>
      <c r="G485" s="145"/>
      <c r="H485" s="146"/>
      <c r="I485" s="146"/>
      <c r="J485" s="148"/>
      <c r="K485" s="145"/>
      <c r="L485" s="148"/>
      <c r="M485" s="149"/>
      <c r="N485" s="148"/>
      <c r="O485" s="150"/>
      <c r="P48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5" s="43" t="str">
        <f>IF(テーブル22[[#This Row],[得点]]="","",IF(テーブル22[[#This Row],[年齢]]&gt;10,LOOKUP(P485,$BG$6:$BG$10,$BD$6:$BD$10),IF(テーブル22[[#This Row],[年齢]]&gt;9,LOOKUP(P485,$BF$6:$BF$10,$BD$6:$BD$10),IF(テーブル22[[#This Row],[年齢]]&gt;8,LOOKUP(P485,$BE$6:$BE$10,$BD$6:$BD$10),IF(テーブル22[[#This Row],[年齢]]&gt;7,LOOKUP(P485,$BC$6:$BC$10,$BD$6:$BD$10),IF(テーブル22[[#This Row],[年齢]]&gt;6,LOOKUP(P485,$BB$6:$BB$10,$BD$6:$BD$10),LOOKUP(P485,$BA$6:$BA$10,$BD$6:$BD$10)))))))</f>
        <v/>
      </c>
      <c r="R485" s="42">
        <f>IF(H485="",0,(IF(テーブル22[[#This Row],[性別]]="男",LOOKUP(テーブル22[[#This Row],[握力]],$AH$6:$AI$15),LOOKUP(テーブル22[[#This Row],[握力]],$AH$20:$AI$29))))</f>
        <v>0</v>
      </c>
      <c r="S485" s="42">
        <f>IF(テーブル22[[#This Row],[上体]]="",0,(IF(テーブル22[[#This Row],[性別]]="男",LOOKUP(テーブル22[[#This Row],[上体]],$AJ$6:$AK$15),LOOKUP(テーブル22[[#This Row],[上体]],$AJ$20:$AK$29))))</f>
        <v>0</v>
      </c>
      <c r="T485" s="42">
        <f>IF(テーブル22[[#This Row],[長座]]="",0,(IF(テーブル22[[#This Row],[性別]]="男",LOOKUP(テーブル22[[#This Row],[長座]],$AL$6:$AM$15),LOOKUP(テーブル22[[#This Row],[長座]],$AL$20:$AM$29))))</f>
        <v>0</v>
      </c>
      <c r="U485" s="42">
        <f>IF(テーブル22[[#This Row],[反復]]="",0,(IF(テーブル22[[#This Row],[性別]]="男",LOOKUP(テーブル22[[#This Row],[反復]],$AN$6:$AO$15),LOOKUP(テーブル22[[#This Row],[反復]],$AN$20:$AO$29))))</f>
        <v>0</v>
      </c>
      <c r="V485" s="42">
        <f>IF(テーブル22[[#This Row],[ｼｬﾄﾙﾗﾝ]]="",0,(IF(テーブル22[[#This Row],[性別]]="男",LOOKUP(テーブル22[[#This Row],[ｼｬﾄﾙﾗﾝ]],$AR$6:$AS$15),LOOKUP(テーブル22[[#This Row],[ｼｬﾄﾙﾗﾝ]],$AR$20:$AS$29))))</f>
        <v>0</v>
      </c>
      <c r="W485" s="42">
        <f>IF(テーブル22[[#This Row],[50m走]]="",0,(IF(テーブル22[[#This Row],[性別]]="男",LOOKUP(テーブル22[[#This Row],[50m走]],$AT$6:$AU$15),LOOKUP(テーブル22[[#This Row],[50m走]],$AT$20:$AU$29))))</f>
        <v>0</v>
      </c>
      <c r="X485" s="42">
        <f>IF(テーブル22[[#This Row],[立幅とび]]="",0,(IF(テーブル22[[#This Row],[性別]]="男",LOOKUP(テーブル22[[#This Row],[立幅とび]],$AV$6:$AW$15),LOOKUP(テーブル22[[#This Row],[立幅とび]],$AV$20:$AW$29))))</f>
        <v>0</v>
      </c>
      <c r="Y485" s="42">
        <f>IF(テーブル22[[#This Row],[ボール投げ]]="",0,(IF(テーブル22[[#This Row],[性別]]="男",LOOKUP(テーブル22[[#This Row],[ボール投げ]],$AX$6:$AY$15),LOOKUP(テーブル22[[#This Row],[ボール投げ]],$AX$20:$AY$29))))</f>
        <v>0</v>
      </c>
      <c r="Z485" s="19" t="str">
        <f>IF(テーブル22[[#This Row],[学年]]=1,6,IF(テーブル22[[#This Row],[学年]]=2,7,IF(テーブル22[[#This Row],[学年]]=3,8,IF(テーブル22[[#This Row],[学年]]=4,9,IF(テーブル22[[#This Row],[学年]]=5,10,IF(テーブル22[[#This Row],[学年]]=6,11," "))))))</f>
        <v xml:space="preserve"> </v>
      </c>
      <c r="AA485" s="125" t="str">
        <f>IF(テーブル22[[#This Row],[肥満度数値]]="","",LOOKUP(AC485,$AW$39:$AW$44,$AX$39:$AX$44))</f>
        <v/>
      </c>
      <c r="AB48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5" s="124" t="str">
        <f>IF(テーブル22[[#This Row],[体重]]="","",(テーブル22[[#This Row],[体重]]-テーブル22[[#This Row],[標準体重]])/テーブル22[[#This Row],[標準体重]]*100)</f>
        <v/>
      </c>
      <c r="AD485" s="1">
        <f>COUNTA(テーブル22[[#This Row],[握力]:[ボール投げ]])</f>
        <v>0</v>
      </c>
      <c r="AE485" s="1" t="str">
        <f>IF(テーブル22[[#This Row],[判定]]=$BD$10,"○","")</f>
        <v/>
      </c>
      <c r="AF485" s="1" t="str">
        <f>IF(AE485="","",COUNTIF($AE$6:AE485,"○"))</f>
        <v/>
      </c>
    </row>
    <row r="486" spans="1:32" x14ac:dyDescent="0.2">
      <c r="A486" s="40">
        <v>481</v>
      </c>
      <c r="B486" s="145"/>
      <c r="C486" s="148"/>
      <c r="D486" s="145"/>
      <c r="E486" s="156"/>
      <c r="F486" s="145"/>
      <c r="G486" s="145"/>
      <c r="H486" s="146"/>
      <c r="I486" s="146"/>
      <c r="J486" s="148"/>
      <c r="K486" s="145"/>
      <c r="L486" s="148"/>
      <c r="M486" s="149"/>
      <c r="N486" s="148"/>
      <c r="O486" s="150"/>
      <c r="P48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6" s="43" t="str">
        <f>IF(テーブル22[[#This Row],[得点]]="","",IF(テーブル22[[#This Row],[年齢]]&gt;10,LOOKUP(P486,$BG$6:$BG$10,$BD$6:$BD$10),IF(テーブル22[[#This Row],[年齢]]&gt;9,LOOKUP(P486,$BF$6:$BF$10,$BD$6:$BD$10),IF(テーブル22[[#This Row],[年齢]]&gt;8,LOOKUP(P486,$BE$6:$BE$10,$BD$6:$BD$10),IF(テーブル22[[#This Row],[年齢]]&gt;7,LOOKUP(P486,$BC$6:$BC$10,$BD$6:$BD$10),IF(テーブル22[[#This Row],[年齢]]&gt;6,LOOKUP(P486,$BB$6:$BB$10,$BD$6:$BD$10),LOOKUP(P486,$BA$6:$BA$10,$BD$6:$BD$10)))))))</f>
        <v/>
      </c>
      <c r="R486" s="42">
        <f>IF(H486="",0,(IF(テーブル22[[#This Row],[性別]]="男",LOOKUP(テーブル22[[#This Row],[握力]],$AH$6:$AI$15),LOOKUP(テーブル22[[#This Row],[握力]],$AH$20:$AI$29))))</f>
        <v>0</v>
      </c>
      <c r="S486" s="42">
        <f>IF(テーブル22[[#This Row],[上体]]="",0,(IF(テーブル22[[#This Row],[性別]]="男",LOOKUP(テーブル22[[#This Row],[上体]],$AJ$6:$AK$15),LOOKUP(テーブル22[[#This Row],[上体]],$AJ$20:$AK$29))))</f>
        <v>0</v>
      </c>
      <c r="T486" s="42">
        <f>IF(テーブル22[[#This Row],[長座]]="",0,(IF(テーブル22[[#This Row],[性別]]="男",LOOKUP(テーブル22[[#This Row],[長座]],$AL$6:$AM$15),LOOKUP(テーブル22[[#This Row],[長座]],$AL$20:$AM$29))))</f>
        <v>0</v>
      </c>
      <c r="U486" s="42">
        <f>IF(テーブル22[[#This Row],[反復]]="",0,(IF(テーブル22[[#This Row],[性別]]="男",LOOKUP(テーブル22[[#This Row],[反復]],$AN$6:$AO$15),LOOKUP(テーブル22[[#This Row],[反復]],$AN$20:$AO$29))))</f>
        <v>0</v>
      </c>
      <c r="V486" s="42">
        <f>IF(テーブル22[[#This Row],[ｼｬﾄﾙﾗﾝ]]="",0,(IF(テーブル22[[#This Row],[性別]]="男",LOOKUP(テーブル22[[#This Row],[ｼｬﾄﾙﾗﾝ]],$AR$6:$AS$15),LOOKUP(テーブル22[[#This Row],[ｼｬﾄﾙﾗﾝ]],$AR$20:$AS$29))))</f>
        <v>0</v>
      </c>
      <c r="W486" s="42">
        <f>IF(テーブル22[[#This Row],[50m走]]="",0,(IF(テーブル22[[#This Row],[性別]]="男",LOOKUP(テーブル22[[#This Row],[50m走]],$AT$6:$AU$15),LOOKUP(テーブル22[[#This Row],[50m走]],$AT$20:$AU$29))))</f>
        <v>0</v>
      </c>
      <c r="X486" s="42">
        <f>IF(テーブル22[[#This Row],[立幅とび]]="",0,(IF(テーブル22[[#This Row],[性別]]="男",LOOKUP(テーブル22[[#This Row],[立幅とび]],$AV$6:$AW$15),LOOKUP(テーブル22[[#This Row],[立幅とび]],$AV$20:$AW$29))))</f>
        <v>0</v>
      </c>
      <c r="Y486" s="42">
        <f>IF(テーブル22[[#This Row],[ボール投げ]]="",0,(IF(テーブル22[[#This Row],[性別]]="男",LOOKUP(テーブル22[[#This Row],[ボール投げ]],$AX$6:$AY$15),LOOKUP(テーブル22[[#This Row],[ボール投げ]],$AX$20:$AY$29))))</f>
        <v>0</v>
      </c>
      <c r="Z486" s="19" t="str">
        <f>IF(テーブル22[[#This Row],[学年]]=1,6,IF(テーブル22[[#This Row],[学年]]=2,7,IF(テーブル22[[#This Row],[学年]]=3,8,IF(テーブル22[[#This Row],[学年]]=4,9,IF(テーブル22[[#This Row],[学年]]=5,10,IF(テーブル22[[#This Row],[学年]]=6,11," "))))))</f>
        <v xml:space="preserve"> </v>
      </c>
      <c r="AA486" s="125" t="str">
        <f>IF(テーブル22[[#This Row],[肥満度数値]]="","",LOOKUP(AC486,$AW$39:$AW$44,$AX$39:$AX$44))</f>
        <v/>
      </c>
      <c r="AB48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6" s="124" t="str">
        <f>IF(テーブル22[[#This Row],[体重]]="","",(テーブル22[[#This Row],[体重]]-テーブル22[[#This Row],[標準体重]])/テーブル22[[#This Row],[標準体重]]*100)</f>
        <v/>
      </c>
      <c r="AD486" s="1">
        <f>COUNTA(テーブル22[[#This Row],[握力]:[ボール投げ]])</f>
        <v>0</v>
      </c>
      <c r="AE486" s="1" t="str">
        <f>IF(テーブル22[[#This Row],[判定]]=$BD$10,"○","")</f>
        <v/>
      </c>
      <c r="AF486" s="1" t="str">
        <f>IF(AE486="","",COUNTIF($AE$6:AE486,"○"))</f>
        <v/>
      </c>
    </row>
    <row r="487" spans="1:32" x14ac:dyDescent="0.2">
      <c r="A487" s="40">
        <v>482</v>
      </c>
      <c r="B487" s="145"/>
      <c r="C487" s="148"/>
      <c r="D487" s="145"/>
      <c r="E487" s="156"/>
      <c r="F487" s="145"/>
      <c r="G487" s="145"/>
      <c r="H487" s="146"/>
      <c r="I487" s="146"/>
      <c r="J487" s="148"/>
      <c r="K487" s="145"/>
      <c r="L487" s="148"/>
      <c r="M487" s="149"/>
      <c r="N487" s="148"/>
      <c r="O487" s="150"/>
      <c r="P48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7" s="43" t="str">
        <f>IF(テーブル22[[#This Row],[得点]]="","",IF(テーブル22[[#This Row],[年齢]]&gt;10,LOOKUP(P487,$BG$6:$BG$10,$BD$6:$BD$10),IF(テーブル22[[#This Row],[年齢]]&gt;9,LOOKUP(P487,$BF$6:$BF$10,$BD$6:$BD$10),IF(テーブル22[[#This Row],[年齢]]&gt;8,LOOKUP(P487,$BE$6:$BE$10,$BD$6:$BD$10),IF(テーブル22[[#This Row],[年齢]]&gt;7,LOOKUP(P487,$BC$6:$BC$10,$BD$6:$BD$10),IF(テーブル22[[#This Row],[年齢]]&gt;6,LOOKUP(P487,$BB$6:$BB$10,$BD$6:$BD$10),LOOKUP(P487,$BA$6:$BA$10,$BD$6:$BD$10)))))))</f>
        <v/>
      </c>
      <c r="R487" s="42">
        <f>IF(H487="",0,(IF(テーブル22[[#This Row],[性別]]="男",LOOKUP(テーブル22[[#This Row],[握力]],$AH$6:$AI$15),LOOKUP(テーブル22[[#This Row],[握力]],$AH$20:$AI$29))))</f>
        <v>0</v>
      </c>
      <c r="S487" s="42">
        <f>IF(テーブル22[[#This Row],[上体]]="",0,(IF(テーブル22[[#This Row],[性別]]="男",LOOKUP(テーブル22[[#This Row],[上体]],$AJ$6:$AK$15),LOOKUP(テーブル22[[#This Row],[上体]],$AJ$20:$AK$29))))</f>
        <v>0</v>
      </c>
      <c r="T487" s="42">
        <f>IF(テーブル22[[#This Row],[長座]]="",0,(IF(テーブル22[[#This Row],[性別]]="男",LOOKUP(テーブル22[[#This Row],[長座]],$AL$6:$AM$15),LOOKUP(テーブル22[[#This Row],[長座]],$AL$20:$AM$29))))</f>
        <v>0</v>
      </c>
      <c r="U487" s="42">
        <f>IF(テーブル22[[#This Row],[反復]]="",0,(IF(テーブル22[[#This Row],[性別]]="男",LOOKUP(テーブル22[[#This Row],[反復]],$AN$6:$AO$15),LOOKUP(テーブル22[[#This Row],[反復]],$AN$20:$AO$29))))</f>
        <v>0</v>
      </c>
      <c r="V487" s="42">
        <f>IF(テーブル22[[#This Row],[ｼｬﾄﾙﾗﾝ]]="",0,(IF(テーブル22[[#This Row],[性別]]="男",LOOKUP(テーブル22[[#This Row],[ｼｬﾄﾙﾗﾝ]],$AR$6:$AS$15),LOOKUP(テーブル22[[#This Row],[ｼｬﾄﾙﾗﾝ]],$AR$20:$AS$29))))</f>
        <v>0</v>
      </c>
      <c r="W487" s="42">
        <f>IF(テーブル22[[#This Row],[50m走]]="",0,(IF(テーブル22[[#This Row],[性別]]="男",LOOKUP(テーブル22[[#This Row],[50m走]],$AT$6:$AU$15),LOOKUP(テーブル22[[#This Row],[50m走]],$AT$20:$AU$29))))</f>
        <v>0</v>
      </c>
      <c r="X487" s="42">
        <f>IF(テーブル22[[#This Row],[立幅とび]]="",0,(IF(テーブル22[[#This Row],[性別]]="男",LOOKUP(テーブル22[[#This Row],[立幅とび]],$AV$6:$AW$15),LOOKUP(テーブル22[[#This Row],[立幅とび]],$AV$20:$AW$29))))</f>
        <v>0</v>
      </c>
      <c r="Y487" s="42">
        <f>IF(テーブル22[[#This Row],[ボール投げ]]="",0,(IF(テーブル22[[#This Row],[性別]]="男",LOOKUP(テーブル22[[#This Row],[ボール投げ]],$AX$6:$AY$15),LOOKUP(テーブル22[[#This Row],[ボール投げ]],$AX$20:$AY$29))))</f>
        <v>0</v>
      </c>
      <c r="Z487" s="19" t="str">
        <f>IF(テーブル22[[#This Row],[学年]]=1,6,IF(テーブル22[[#This Row],[学年]]=2,7,IF(テーブル22[[#This Row],[学年]]=3,8,IF(テーブル22[[#This Row],[学年]]=4,9,IF(テーブル22[[#This Row],[学年]]=5,10,IF(テーブル22[[#This Row],[学年]]=6,11," "))))))</f>
        <v xml:space="preserve"> </v>
      </c>
      <c r="AA487" s="125" t="str">
        <f>IF(テーブル22[[#This Row],[肥満度数値]]="","",LOOKUP(AC487,$AW$39:$AW$44,$AX$39:$AX$44))</f>
        <v/>
      </c>
      <c r="AB48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7" s="124" t="str">
        <f>IF(テーブル22[[#This Row],[体重]]="","",(テーブル22[[#This Row],[体重]]-テーブル22[[#This Row],[標準体重]])/テーブル22[[#This Row],[標準体重]]*100)</f>
        <v/>
      </c>
      <c r="AD487" s="1">
        <f>COUNTA(テーブル22[[#This Row],[握力]:[ボール投げ]])</f>
        <v>0</v>
      </c>
      <c r="AE487" s="1" t="str">
        <f>IF(テーブル22[[#This Row],[判定]]=$BD$10,"○","")</f>
        <v/>
      </c>
      <c r="AF487" s="1" t="str">
        <f>IF(AE487="","",COUNTIF($AE$6:AE487,"○"))</f>
        <v/>
      </c>
    </row>
    <row r="488" spans="1:32" x14ac:dyDescent="0.2">
      <c r="A488" s="40">
        <v>483</v>
      </c>
      <c r="B488" s="145"/>
      <c r="C488" s="148"/>
      <c r="D488" s="145"/>
      <c r="E488" s="156"/>
      <c r="F488" s="145"/>
      <c r="G488" s="145"/>
      <c r="H488" s="146"/>
      <c r="I488" s="146"/>
      <c r="J488" s="148"/>
      <c r="K488" s="145"/>
      <c r="L488" s="148"/>
      <c r="M488" s="149"/>
      <c r="N488" s="148"/>
      <c r="O488" s="150"/>
      <c r="P48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8" s="43" t="str">
        <f>IF(テーブル22[[#This Row],[得点]]="","",IF(テーブル22[[#This Row],[年齢]]&gt;10,LOOKUP(P488,$BG$6:$BG$10,$BD$6:$BD$10),IF(テーブル22[[#This Row],[年齢]]&gt;9,LOOKUP(P488,$BF$6:$BF$10,$BD$6:$BD$10),IF(テーブル22[[#This Row],[年齢]]&gt;8,LOOKUP(P488,$BE$6:$BE$10,$BD$6:$BD$10),IF(テーブル22[[#This Row],[年齢]]&gt;7,LOOKUP(P488,$BC$6:$BC$10,$BD$6:$BD$10),IF(テーブル22[[#This Row],[年齢]]&gt;6,LOOKUP(P488,$BB$6:$BB$10,$BD$6:$BD$10),LOOKUP(P488,$BA$6:$BA$10,$BD$6:$BD$10)))))))</f>
        <v/>
      </c>
      <c r="R488" s="42">
        <f>IF(H488="",0,(IF(テーブル22[[#This Row],[性別]]="男",LOOKUP(テーブル22[[#This Row],[握力]],$AH$6:$AI$15),LOOKUP(テーブル22[[#This Row],[握力]],$AH$20:$AI$29))))</f>
        <v>0</v>
      </c>
      <c r="S488" s="42">
        <f>IF(テーブル22[[#This Row],[上体]]="",0,(IF(テーブル22[[#This Row],[性別]]="男",LOOKUP(テーブル22[[#This Row],[上体]],$AJ$6:$AK$15),LOOKUP(テーブル22[[#This Row],[上体]],$AJ$20:$AK$29))))</f>
        <v>0</v>
      </c>
      <c r="T488" s="42">
        <f>IF(テーブル22[[#This Row],[長座]]="",0,(IF(テーブル22[[#This Row],[性別]]="男",LOOKUP(テーブル22[[#This Row],[長座]],$AL$6:$AM$15),LOOKUP(テーブル22[[#This Row],[長座]],$AL$20:$AM$29))))</f>
        <v>0</v>
      </c>
      <c r="U488" s="42">
        <f>IF(テーブル22[[#This Row],[反復]]="",0,(IF(テーブル22[[#This Row],[性別]]="男",LOOKUP(テーブル22[[#This Row],[反復]],$AN$6:$AO$15),LOOKUP(テーブル22[[#This Row],[反復]],$AN$20:$AO$29))))</f>
        <v>0</v>
      </c>
      <c r="V488" s="42">
        <f>IF(テーブル22[[#This Row],[ｼｬﾄﾙﾗﾝ]]="",0,(IF(テーブル22[[#This Row],[性別]]="男",LOOKUP(テーブル22[[#This Row],[ｼｬﾄﾙﾗﾝ]],$AR$6:$AS$15),LOOKUP(テーブル22[[#This Row],[ｼｬﾄﾙﾗﾝ]],$AR$20:$AS$29))))</f>
        <v>0</v>
      </c>
      <c r="W488" s="42">
        <f>IF(テーブル22[[#This Row],[50m走]]="",0,(IF(テーブル22[[#This Row],[性別]]="男",LOOKUP(テーブル22[[#This Row],[50m走]],$AT$6:$AU$15),LOOKUP(テーブル22[[#This Row],[50m走]],$AT$20:$AU$29))))</f>
        <v>0</v>
      </c>
      <c r="X488" s="42">
        <f>IF(テーブル22[[#This Row],[立幅とび]]="",0,(IF(テーブル22[[#This Row],[性別]]="男",LOOKUP(テーブル22[[#This Row],[立幅とび]],$AV$6:$AW$15),LOOKUP(テーブル22[[#This Row],[立幅とび]],$AV$20:$AW$29))))</f>
        <v>0</v>
      </c>
      <c r="Y488" s="42">
        <f>IF(テーブル22[[#This Row],[ボール投げ]]="",0,(IF(テーブル22[[#This Row],[性別]]="男",LOOKUP(テーブル22[[#This Row],[ボール投げ]],$AX$6:$AY$15),LOOKUP(テーブル22[[#This Row],[ボール投げ]],$AX$20:$AY$29))))</f>
        <v>0</v>
      </c>
      <c r="Z488" s="19" t="str">
        <f>IF(テーブル22[[#This Row],[学年]]=1,6,IF(テーブル22[[#This Row],[学年]]=2,7,IF(テーブル22[[#This Row],[学年]]=3,8,IF(テーブル22[[#This Row],[学年]]=4,9,IF(テーブル22[[#This Row],[学年]]=5,10,IF(テーブル22[[#This Row],[学年]]=6,11," "))))))</f>
        <v xml:space="preserve"> </v>
      </c>
      <c r="AA488" s="125" t="str">
        <f>IF(テーブル22[[#This Row],[肥満度数値]]="","",LOOKUP(AC488,$AW$39:$AW$44,$AX$39:$AX$44))</f>
        <v/>
      </c>
      <c r="AB48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8" s="124" t="str">
        <f>IF(テーブル22[[#This Row],[体重]]="","",(テーブル22[[#This Row],[体重]]-テーブル22[[#This Row],[標準体重]])/テーブル22[[#This Row],[標準体重]]*100)</f>
        <v/>
      </c>
      <c r="AD488" s="1">
        <f>COUNTA(テーブル22[[#This Row],[握力]:[ボール投げ]])</f>
        <v>0</v>
      </c>
      <c r="AE488" s="1" t="str">
        <f>IF(テーブル22[[#This Row],[判定]]=$BD$10,"○","")</f>
        <v/>
      </c>
      <c r="AF488" s="1" t="str">
        <f>IF(AE488="","",COUNTIF($AE$6:AE488,"○"))</f>
        <v/>
      </c>
    </row>
    <row r="489" spans="1:32" x14ac:dyDescent="0.2">
      <c r="A489" s="40">
        <v>484</v>
      </c>
      <c r="B489" s="145"/>
      <c r="C489" s="148"/>
      <c r="D489" s="145"/>
      <c r="E489" s="156"/>
      <c r="F489" s="145"/>
      <c r="G489" s="145"/>
      <c r="H489" s="146"/>
      <c r="I489" s="146"/>
      <c r="J489" s="148"/>
      <c r="K489" s="145"/>
      <c r="L489" s="148"/>
      <c r="M489" s="149"/>
      <c r="N489" s="148"/>
      <c r="O489" s="150"/>
      <c r="P48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89" s="43" t="str">
        <f>IF(テーブル22[[#This Row],[得点]]="","",IF(テーブル22[[#This Row],[年齢]]&gt;10,LOOKUP(P489,$BG$6:$BG$10,$BD$6:$BD$10),IF(テーブル22[[#This Row],[年齢]]&gt;9,LOOKUP(P489,$BF$6:$BF$10,$BD$6:$BD$10),IF(テーブル22[[#This Row],[年齢]]&gt;8,LOOKUP(P489,$BE$6:$BE$10,$BD$6:$BD$10),IF(テーブル22[[#This Row],[年齢]]&gt;7,LOOKUP(P489,$BC$6:$BC$10,$BD$6:$BD$10),IF(テーブル22[[#This Row],[年齢]]&gt;6,LOOKUP(P489,$BB$6:$BB$10,$BD$6:$BD$10),LOOKUP(P489,$BA$6:$BA$10,$BD$6:$BD$10)))))))</f>
        <v/>
      </c>
      <c r="R489" s="42">
        <f>IF(H489="",0,(IF(テーブル22[[#This Row],[性別]]="男",LOOKUP(テーブル22[[#This Row],[握力]],$AH$6:$AI$15),LOOKUP(テーブル22[[#This Row],[握力]],$AH$20:$AI$29))))</f>
        <v>0</v>
      </c>
      <c r="S489" s="42">
        <f>IF(テーブル22[[#This Row],[上体]]="",0,(IF(テーブル22[[#This Row],[性別]]="男",LOOKUP(テーブル22[[#This Row],[上体]],$AJ$6:$AK$15),LOOKUP(テーブル22[[#This Row],[上体]],$AJ$20:$AK$29))))</f>
        <v>0</v>
      </c>
      <c r="T489" s="42">
        <f>IF(テーブル22[[#This Row],[長座]]="",0,(IF(テーブル22[[#This Row],[性別]]="男",LOOKUP(テーブル22[[#This Row],[長座]],$AL$6:$AM$15),LOOKUP(テーブル22[[#This Row],[長座]],$AL$20:$AM$29))))</f>
        <v>0</v>
      </c>
      <c r="U489" s="42">
        <f>IF(テーブル22[[#This Row],[反復]]="",0,(IF(テーブル22[[#This Row],[性別]]="男",LOOKUP(テーブル22[[#This Row],[反復]],$AN$6:$AO$15),LOOKUP(テーブル22[[#This Row],[反復]],$AN$20:$AO$29))))</f>
        <v>0</v>
      </c>
      <c r="V489" s="42">
        <f>IF(テーブル22[[#This Row],[ｼｬﾄﾙﾗﾝ]]="",0,(IF(テーブル22[[#This Row],[性別]]="男",LOOKUP(テーブル22[[#This Row],[ｼｬﾄﾙﾗﾝ]],$AR$6:$AS$15),LOOKUP(テーブル22[[#This Row],[ｼｬﾄﾙﾗﾝ]],$AR$20:$AS$29))))</f>
        <v>0</v>
      </c>
      <c r="W489" s="42">
        <f>IF(テーブル22[[#This Row],[50m走]]="",0,(IF(テーブル22[[#This Row],[性別]]="男",LOOKUP(テーブル22[[#This Row],[50m走]],$AT$6:$AU$15),LOOKUP(テーブル22[[#This Row],[50m走]],$AT$20:$AU$29))))</f>
        <v>0</v>
      </c>
      <c r="X489" s="42">
        <f>IF(テーブル22[[#This Row],[立幅とび]]="",0,(IF(テーブル22[[#This Row],[性別]]="男",LOOKUP(テーブル22[[#This Row],[立幅とび]],$AV$6:$AW$15),LOOKUP(テーブル22[[#This Row],[立幅とび]],$AV$20:$AW$29))))</f>
        <v>0</v>
      </c>
      <c r="Y489" s="42">
        <f>IF(テーブル22[[#This Row],[ボール投げ]]="",0,(IF(テーブル22[[#This Row],[性別]]="男",LOOKUP(テーブル22[[#This Row],[ボール投げ]],$AX$6:$AY$15),LOOKUP(テーブル22[[#This Row],[ボール投げ]],$AX$20:$AY$29))))</f>
        <v>0</v>
      </c>
      <c r="Z489" s="19" t="str">
        <f>IF(テーブル22[[#This Row],[学年]]=1,6,IF(テーブル22[[#This Row],[学年]]=2,7,IF(テーブル22[[#This Row],[学年]]=3,8,IF(テーブル22[[#This Row],[学年]]=4,9,IF(テーブル22[[#This Row],[学年]]=5,10,IF(テーブル22[[#This Row],[学年]]=6,11," "))))))</f>
        <v xml:space="preserve"> </v>
      </c>
      <c r="AA489" s="125" t="str">
        <f>IF(テーブル22[[#This Row],[肥満度数値]]="","",LOOKUP(AC489,$AW$39:$AW$44,$AX$39:$AX$44))</f>
        <v/>
      </c>
      <c r="AB48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89" s="124" t="str">
        <f>IF(テーブル22[[#This Row],[体重]]="","",(テーブル22[[#This Row],[体重]]-テーブル22[[#This Row],[標準体重]])/テーブル22[[#This Row],[標準体重]]*100)</f>
        <v/>
      </c>
      <c r="AD489" s="1">
        <f>COUNTA(テーブル22[[#This Row],[握力]:[ボール投げ]])</f>
        <v>0</v>
      </c>
      <c r="AE489" s="1" t="str">
        <f>IF(テーブル22[[#This Row],[判定]]=$BD$10,"○","")</f>
        <v/>
      </c>
      <c r="AF489" s="1" t="str">
        <f>IF(AE489="","",COUNTIF($AE$6:AE489,"○"))</f>
        <v/>
      </c>
    </row>
    <row r="490" spans="1:32" x14ac:dyDescent="0.2">
      <c r="A490" s="40">
        <v>485</v>
      </c>
      <c r="B490" s="145"/>
      <c r="C490" s="148"/>
      <c r="D490" s="145"/>
      <c r="E490" s="156"/>
      <c r="F490" s="145"/>
      <c r="G490" s="145"/>
      <c r="H490" s="146"/>
      <c r="I490" s="146"/>
      <c r="J490" s="148"/>
      <c r="K490" s="145"/>
      <c r="L490" s="148"/>
      <c r="M490" s="149"/>
      <c r="N490" s="148"/>
      <c r="O490" s="150"/>
      <c r="P49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0" s="43" t="str">
        <f>IF(テーブル22[[#This Row],[得点]]="","",IF(テーブル22[[#This Row],[年齢]]&gt;10,LOOKUP(P490,$BG$6:$BG$10,$BD$6:$BD$10),IF(テーブル22[[#This Row],[年齢]]&gt;9,LOOKUP(P490,$BF$6:$BF$10,$BD$6:$BD$10),IF(テーブル22[[#This Row],[年齢]]&gt;8,LOOKUP(P490,$BE$6:$BE$10,$BD$6:$BD$10),IF(テーブル22[[#This Row],[年齢]]&gt;7,LOOKUP(P490,$BC$6:$BC$10,$BD$6:$BD$10),IF(テーブル22[[#This Row],[年齢]]&gt;6,LOOKUP(P490,$BB$6:$BB$10,$BD$6:$BD$10),LOOKUP(P490,$BA$6:$BA$10,$BD$6:$BD$10)))))))</f>
        <v/>
      </c>
      <c r="R490" s="42">
        <f>IF(H490="",0,(IF(テーブル22[[#This Row],[性別]]="男",LOOKUP(テーブル22[[#This Row],[握力]],$AH$6:$AI$15),LOOKUP(テーブル22[[#This Row],[握力]],$AH$20:$AI$29))))</f>
        <v>0</v>
      </c>
      <c r="S490" s="42">
        <f>IF(テーブル22[[#This Row],[上体]]="",0,(IF(テーブル22[[#This Row],[性別]]="男",LOOKUP(テーブル22[[#This Row],[上体]],$AJ$6:$AK$15),LOOKUP(テーブル22[[#This Row],[上体]],$AJ$20:$AK$29))))</f>
        <v>0</v>
      </c>
      <c r="T490" s="42">
        <f>IF(テーブル22[[#This Row],[長座]]="",0,(IF(テーブル22[[#This Row],[性別]]="男",LOOKUP(テーブル22[[#This Row],[長座]],$AL$6:$AM$15),LOOKUP(テーブル22[[#This Row],[長座]],$AL$20:$AM$29))))</f>
        <v>0</v>
      </c>
      <c r="U490" s="42">
        <f>IF(テーブル22[[#This Row],[反復]]="",0,(IF(テーブル22[[#This Row],[性別]]="男",LOOKUP(テーブル22[[#This Row],[反復]],$AN$6:$AO$15),LOOKUP(テーブル22[[#This Row],[反復]],$AN$20:$AO$29))))</f>
        <v>0</v>
      </c>
      <c r="V490" s="42">
        <f>IF(テーブル22[[#This Row],[ｼｬﾄﾙﾗﾝ]]="",0,(IF(テーブル22[[#This Row],[性別]]="男",LOOKUP(テーブル22[[#This Row],[ｼｬﾄﾙﾗﾝ]],$AR$6:$AS$15),LOOKUP(テーブル22[[#This Row],[ｼｬﾄﾙﾗﾝ]],$AR$20:$AS$29))))</f>
        <v>0</v>
      </c>
      <c r="W490" s="42">
        <f>IF(テーブル22[[#This Row],[50m走]]="",0,(IF(テーブル22[[#This Row],[性別]]="男",LOOKUP(テーブル22[[#This Row],[50m走]],$AT$6:$AU$15),LOOKUP(テーブル22[[#This Row],[50m走]],$AT$20:$AU$29))))</f>
        <v>0</v>
      </c>
      <c r="X490" s="42">
        <f>IF(テーブル22[[#This Row],[立幅とび]]="",0,(IF(テーブル22[[#This Row],[性別]]="男",LOOKUP(テーブル22[[#This Row],[立幅とび]],$AV$6:$AW$15),LOOKUP(テーブル22[[#This Row],[立幅とび]],$AV$20:$AW$29))))</f>
        <v>0</v>
      </c>
      <c r="Y490" s="42">
        <f>IF(テーブル22[[#This Row],[ボール投げ]]="",0,(IF(テーブル22[[#This Row],[性別]]="男",LOOKUP(テーブル22[[#This Row],[ボール投げ]],$AX$6:$AY$15),LOOKUP(テーブル22[[#This Row],[ボール投げ]],$AX$20:$AY$29))))</f>
        <v>0</v>
      </c>
      <c r="Z490" s="19" t="str">
        <f>IF(テーブル22[[#This Row],[学年]]=1,6,IF(テーブル22[[#This Row],[学年]]=2,7,IF(テーブル22[[#This Row],[学年]]=3,8,IF(テーブル22[[#This Row],[学年]]=4,9,IF(テーブル22[[#This Row],[学年]]=5,10,IF(テーブル22[[#This Row],[学年]]=6,11," "))))))</f>
        <v xml:space="preserve"> </v>
      </c>
      <c r="AA490" s="125" t="str">
        <f>IF(テーブル22[[#This Row],[肥満度数値]]="","",LOOKUP(AC490,$AW$39:$AW$44,$AX$39:$AX$44))</f>
        <v/>
      </c>
      <c r="AB49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0" s="124" t="str">
        <f>IF(テーブル22[[#This Row],[体重]]="","",(テーブル22[[#This Row],[体重]]-テーブル22[[#This Row],[標準体重]])/テーブル22[[#This Row],[標準体重]]*100)</f>
        <v/>
      </c>
      <c r="AD490" s="1">
        <f>COUNTA(テーブル22[[#This Row],[握力]:[ボール投げ]])</f>
        <v>0</v>
      </c>
      <c r="AE490" s="1" t="str">
        <f>IF(テーブル22[[#This Row],[判定]]=$BD$10,"○","")</f>
        <v/>
      </c>
      <c r="AF490" s="1" t="str">
        <f>IF(AE490="","",COUNTIF($AE$6:AE490,"○"))</f>
        <v/>
      </c>
    </row>
    <row r="491" spans="1:32" x14ac:dyDescent="0.2">
      <c r="A491" s="40">
        <v>486</v>
      </c>
      <c r="B491" s="145"/>
      <c r="C491" s="148"/>
      <c r="D491" s="145"/>
      <c r="E491" s="156"/>
      <c r="F491" s="145"/>
      <c r="G491" s="145"/>
      <c r="H491" s="146"/>
      <c r="I491" s="146"/>
      <c r="J491" s="148"/>
      <c r="K491" s="145"/>
      <c r="L491" s="148"/>
      <c r="M491" s="149"/>
      <c r="N491" s="148"/>
      <c r="O491" s="150"/>
      <c r="P49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1" s="43" t="str">
        <f>IF(テーブル22[[#This Row],[得点]]="","",IF(テーブル22[[#This Row],[年齢]]&gt;10,LOOKUP(P491,$BG$6:$BG$10,$BD$6:$BD$10),IF(テーブル22[[#This Row],[年齢]]&gt;9,LOOKUP(P491,$BF$6:$BF$10,$BD$6:$BD$10),IF(テーブル22[[#This Row],[年齢]]&gt;8,LOOKUP(P491,$BE$6:$BE$10,$BD$6:$BD$10),IF(テーブル22[[#This Row],[年齢]]&gt;7,LOOKUP(P491,$BC$6:$BC$10,$BD$6:$BD$10),IF(テーブル22[[#This Row],[年齢]]&gt;6,LOOKUP(P491,$BB$6:$BB$10,$BD$6:$BD$10),LOOKUP(P491,$BA$6:$BA$10,$BD$6:$BD$10)))))))</f>
        <v/>
      </c>
      <c r="R491" s="42">
        <f>IF(H491="",0,(IF(テーブル22[[#This Row],[性別]]="男",LOOKUP(テーブル22[[#This Row],[握力]],$AH$6:$AI$15),LOOKUP(テーブル22[[#This Row],[握力]],$AH$20:$AI$29))))</f>
        <v>0</v>
      </c>
      <c r="S491" s="42">
        <f>IF(テーブル22[[#This Row],[上体]]="",0,(IF(テーブル22[[#This Row],[性別]]="男",LOOKUP(テーブル22[[#This Row],[上体]],$AJ$6:$AK$15),LOOKUP(テーブル22[[#This Row],[上体]],$AJ$20:$AK$29))))</f>
        <v>0</v>
      </c>
      <c r="T491" s="42">
        <f>IF(テーブル22[[#This Row],[長座]]="",0,(IF(テーブル22[[#This Row],[性別]]="男",LOOKUP(テーブル22[[#This Row],[長座]],$AL$6:$AM$15),LOOKUP(テーブル22[[#This Row],[長座]],$AL$20:$AM$29))))</f>
        <v>0</v>
      </c>
      <c r="U491" s="42">
        <f>IF(テーブル22[[#This Row],[反復]]="",0,(IF(テーブル22[[#This Row],[性別]]="男",LOOKUP(テーブル22[[#This Row],[反復]],$AN$6:$AO$15),LOOKUP(テーブル22[[#This Row],[反復]],$AN$20:$AO$29))))</f>
        <v>0</v>
      </c>
      <c r="V491" s="42">
        <f>IF(テーブル22[[#This Row],[ｼｬﾄﾙﾗﾝ]]="",0,(IF(テーブル22[[#This Row],[性別]]="男",LOOKUP(テーブル22[[#This Row],[ｼｬﾄﾙﾗﾝ]],$AR$6:$AS$15),LOOKUP(テーブル22[[#This Row],[ｼｬﾄﾙﾗﾝ]],$AR$20:$AS$29))))</f>
        <v>0</v>
      </c>
      <c r="W491" s="42">
        <f>IF(テーブル22[[#This Row],[50m走]]="",0,(IF(テーブル22[[#This Row],[性別]]="男",LOOKUP(テーブル22[[#This Row],[50m走]],$AT$6:$AU$15),LOOKUP(テーブル22[[#This Row],[50m走]],$AT$20:$AU$29))))</f>
        <v>0</v>
      </c>
      <c r="X491" s="42">
        <f>IF(テーブル22[[#This Row],[立幅とび]]="",0,(IF(テーブル22[[#This Row],[性別]]="男",LOOKUP(テーブル22[[#This Row],[立幅とび]],$AV$6:$AW$15),LOOKUP(テーブル22[[#This Row],[立幅とび]],$AV$20:$AW$29))))</f>
        <v>0</v>
      </c>
      <c r="Y491" s="42">
        <f>IF(テーブル22[[#This Row],[ボール投げ]]="",0,(IF(テーブル22[[#This Row],[性別]]="男",LOOKUP(テーブル22[[#This Row],[ボール投げ]],$AX$6:$AY$15),LOOKUP(テーブル22[[#This Row],[ボール投げ]],$AX$20:$AY$29))))</f>
        <v>0</v>
      </c>
      <c r="Z491" s="19" t="str">
        <f>IF(テーブル22[[#This Row],[学年]]=1,6,IF(テーブル22[[#This Row],[学年]]=2,7,IF(テーブル22[[#This Row],[学年]]=3,8,IF(テーブル22[[#This Row],[学年]]=4,9,IF(テーブル22[[#This Row],[学年]]=5,10,IF(テーブル22[[#This Row],[学年]]=6,11," "))))))</f>
        <v xml:space="preserve"> </v>
      </c>
      <c r="AA491" s="125" t="str">
        <f>IF(テーブル22[[#This Row],[肥満度数値]]="","",LOOKUP(AC491,$AW$39:$AW$44,$AX$39:$AX$44))</f>
        <v/>
      </c>
      <c r="AB49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1" s="124" t="str">
        <f>IF(テーブル22[[#This Row],[体重]]="","",(テーブル22[[#This Row],[体重]]-テーブル22[[#This Row],[標準体重]])/テーブル22[[#This Row],[標準体重]]*100)</f>
        <v/>
      </c>
      <c r="AD491" s="1">
        <f>COUNTA(テーブル22[[#This Row],[握力]:[ボール投げ]])</f>
        <v>0</v>
      </c>
      <c r="AE491" s="1" t="str">
        <f>IF(テーブル22[[#This Row],[判定]]=$BD$10,"○","")</f>
        <v/>
      </c>
      <c r="AF491" s="1" t="str">
        <f>IF(AE491="","",COUNTIF($AE$6:AE491,"○"))</f>
        <v/>
      </c>
    </row>
    <row r="492" spans="1:32" x14ac:dyDescent="0.2">
      <c r="A492" s="40">
        <v>487</v>
      </c>
      <c r="B492" s="145"/>
      <c r="C492" s="148"/>
      <c r="D492" s="145"/>
      <c r="E492" s="156"/>
      <c r="F492" s="145"/>
      <c r="G492" s="145"/>
      <c r="H492" s="146"/>
      <c r="I492" s="146"/>
      <c r="J492" s="148"/>
      <c r="K492" s="145"/>
      <c r="L492" s="148"/>
      <c r="M492" s="149"/>
      <c r="N492" s="148"/>
      <c r="O492" s="150"/>
      <c r="P49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2" s="43" t="str">
        <f>IF(テーブル22[[#This Row],[得点]]="","",IF(テーブル22[[#This Row],[年齢]]&gt;10,LOOKUP(P492,$BG$6:$BG$10,$BD$6:$BD$10),IF(テーブル22[[#This Row],[年齢]]&gt;9,LOOKUP(P492,$BF$6:$BF$10,$BD$6:$BD$10),IF(テーブル22[[#This Row],[年齢]]&gt;8,LOOKUP(P492,$BE$6:$BE$10,$BD$6:$BD$10),IF(テーブル22[[#This Row],[年齢]]&gt;7,LOOKUP(P492,$BC$6:$BC$10,$BD$6:$BD$10),IF(テーブル22[[#This Row],[年齢]]&gt;6,LOOKUP(P492,$BB$6:$BB$10,$BD$6:$BD$10),LOOKUP(P492,$BA$6:$BA$10,$BD$6:$BD$10)))))))</f>
        <v/>
      </c>
      <c r="R492" s="42">
        <f>IF(H492="",0,(IF(テーブル22[[#This Row],[性別]]="男",LOOKUP(テーブル22[[#This Row],[握力]],$AH$6:$AI$15),LOOKUP(テーブル22[[#This Row],[握力]],$AH$20:$AI$29))))</f>
        <v>0</v>
      </c>
      <c r="S492" s="42">
        <f>IF(テーブル22[[#This Row],[上体]]="",0,(IF(テーブル22[[#This Row],[性別]]="男",LOOKUP(テーブル22[[#This Row],[上体]],$AJ$6:$AK$15),LOOKUP(テーブル22[[#This Row],[上体]],$AJ$20:$AK$29))))</f>
        <v>0</v>
      </c>
      <c r="T492" s="42">
        <f>IF(テーブル22[[#This Row],[長座]]="",0,(IF(テーブル22[[#This Row],[性別]]="男",LOOKUP(テーブル22[[#This Row],[長座]],$AL$6:$AM$15),LOOKUP(テーブル22[[#This Row],[長座]],$AL$20:$AM$29))))</f>
        <v>0</v>
      </c>
      <c r="U492" s="42">
        <f>IF(テーブル22[[#This Row],[反復]]="",0,(IF(テーブル22[[#This Row],[性別]]="男",LOOKUP(テーブル22[[#This Row],[反復]],$AN$6:$AO$15),LOOKUP(テーブル22[[#This Row],[反復]],$AN$20:$AO$29))))</f>
        <v>0</v>
      </c>
      <c r="V492" s="42">
        <f>IF(テーブル22[[#This Row],[ｼｬﾄﾙﾗﾝ]]="",0,(IF(テーブル22[[#This Row],[性別]]="男",LOOKUP(テーブル22[[#This Row],[ｼｬﾄﾙﾗﾝ]],$AR$6:$AS$15),LOOKUP(テーブル22[[#This Row],[ｼｬﾄﾙﾗﾝ]],$AR$20:$AS$29))))</f>
        <v>0</v>
      </c>
      <c r="W492" s="42">
        <f>IF(テーブル22[[#This Row],[50m走]]="",0,(IF(テーブル22[[#This Row],[性別]]="男",LOOKUP(テーブル22[[#This Row],[50m走]],$AT$6:$AU$15),LOOKUP(テーブル22[[#This Row],[50m走]],$AT$20:$AU$29))))</f>
        <v>0</v>
      </c>
      <c r="X492" s="42">
        <f>IF(テーブル22[[#This Row],[立幅とび]]="",0,(IF(テーブル22[[#This Row],[性別]]="男",LOOKUP(テーブル22[[#This Row],[立幅とび]],$AV$6:$AW$15),LOOKUP(テーブル22[[#This Row],[立幅とび]],$AV$20:$AW$29))))</f>
        <v>0</v>
      </c>
      <c r="Y492" s="42">
        <f>IF(テーブル22[[#This Row],[ボール投げ]]="",0,(IF(テーブル22[[#This Row],[性別]]="男",LOOKUP(テーブル22[[#This Row],[ボール投げ]],$AX$6:$AY$15),LOOKUP(テーブル22[[#This Row],[ボール投げ]],$AX$20:$AY$29))))</f>
        <v>0</v>
      </c>
      <c r="Z492" s="19" t="str">
        <f>IF(テーブル22[[#This Row],[学年]]=1,6,IF(テーブル22[[#This Row],[学年]]=2,7,IF(テーブル22[[#This Row],[学年]]=3,8,IF(テーブル22[[#This Row],[学年]]=4,9,IF(テーブル22[[#This Row],[学年]]=5,10,IF(テーブル22[[#This Row],[学年]]=6,11," "))))))</f>
        <v xml:space="preserve"> </v>
      </c>
      <c r="AA492" s="125" t="str">
        <f>IF(テーブル22[[#This Row],[肥満度数値]]="","",LOOKUP(AC492,$AW$39:$AW$44,$AX$39:$AX$44))</f>
        <v/>
      </c>
      <c r="AB49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2" s="124" t="str">
        <f>IF(テーブル22[[#This Row],[体重]]="","",(テーブル22[[#This Row],[体重]]-テーブル22[[#This Row],[標準体重]])/テーブル22[[#This Row],[標準体重]]*100)</f>
        <v/>
      </c>
      <c r="AD492" s="1">
        <f>COUNTA(テーブル22[[#This Row],[握力]:[ボール投げ]])</f>
        <v>0</v>
      </c>
      <c r="AE492" s="1" t="str">
        <f>IF(テーブル22[[#This Row],[判定]]=$BD$10,"○","")</f>
        <v/>
      </c>
      <c r="AF492" s="1" t="str">
        <f>IF(AE492="","",COUNTIF($AE$6:AE492,"○"))</f>
        <v/>
      </c>
    </row>
    <row r="493" spans="1:32" x14ac:dyDescent="0.2">
      <c r="A493" s="40">
        <v>488</v>
      </c>
      <c r="B493" s="145"/>
      <c r="C493" s="148"/>
      <c r="D493" s="145"/>
      <c r="E493" s="156"/>
      <c r="F493" s="145"/>
      <c r="G493" s="145"/>
      <c r="H493" s="146"/>
      <c r="I493" s="146"/>
      <c r="J493" s="148"/>
      <c r="K493" s="145"/>
      <c r="L493" s="148"/>
      <c r="M493" s="149"/>
      <c r="N493" s="148"/>
      <c r="O493" s="150"/>
      <c r="P49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3" s="43" t="str">
        <f>IF(テーブル22[[#This Row],[得点]]="","",IF(テーブル22[[#This Row],[年齢]]&gt;10,LOOKUP(P493,$BG$6:$BG$10,$BD$6:$BD$10),IF(テーブル22[[#This Row],[年齢]]&gt;9,LOOKUP(P493,$BF$6:$BF$10,$BD$6:$BD$10),IF(テーブル22[[#This Row],[年齢]]&gt;8,LOOKUP(P493,$BE$6:$BE$10,$BD$6:$BD$10),IF(テーブル22[[#This Row],[年齢]]&gt;7,LOOKUP(P493,$BC$6:$BC$10,$BD$6:$BD$10),IF(テーブル22[[#This Row],[年齢]]&gt;6,LOOKUP(P493,$BB$6:$BB$10,$BD$6:$BD$10),LOOKUP(P493,$BA$6:$BA$10,$BD$6:$BD$10)))))))</f>
        <v/>
      </c>
      <c r="R493" s="42">
        <f>IF(H493="",0,(IF(テーブル22[[#This Row],[性別]]="男",LOOKUP(テーブル22[[#This Row],[握力]],$AH$6:$AI$15),LOOKUP(テーブル22[[#This Row],[握力]],$AH$20:$AI$29))))</f>
        <v>0</v>
      </c>
      <c r="S493" s="42">
        <f>IF(テーブル22[[#This Row],[上体]]="",0,(IF(テーブル22[[#This Row],[性別]]="男",LOOKUP(テーブル22[[#This Row],[上体]],$AJ$6:$AK$15),LOOKUP(テーブル22[[#This Row],[上体]],$AJ$20:$AK$29))))</f>
        <v>0</v>
      </c>
      <c r="T493" s="42">
        <f>IF(テーブル22[[#This Row],[長座]]="",0,(IF(テーブル22[[#This Row],[性別]]="男",LOOKUP(テーブル22[[#This Row],[長座]],$AL$6:$AM$15),LOOKUP(テーブル22[[#This Row],[長座]],$AL$20:$AM$29))))</f>
        <v>0</v>
      </c>
      <c r="U493" s="42">
        <f>IF(テーブル22[[#This Row],[反復]]="",0,(IF(テーブル22[[#This Row],[性別]]="男",LOOKUP(テーブル22[[#This Row],[反復]],$AN$6:$AO$15),LOOKUP(テーブル22[[#This Row],[反復]],$AN$20:$AO$29))))</f>
        <v>0</v>
      </c>
      <c r="V493" s="42">
        <f>IF(テーブル22[[#This Row],[ｼｬﾄﾙﾗﾝ]]="",0,(IF(テーブル22[[#This Row],[性別]]="男",LOOKUP(テーブル22[[#This Row],[ｼｬﾄﾙﾗﾝ]],$AR$6:$AS$15),LOOKUP(テーブル22[[#This Row],[ｼｬﾄﾙﾗﾝ]],$AR$20:$AS$29))))</f>
        <v>0</v>
      </c>
      <c r="W493" s="42">
        <f>IF(テーブル22[[#This Row],[50m走]]="",0,(IF(テーブル22[[#This Row],[性別]]="男",LOOKUP(テーブル22[[#This Row],[50m走]],$AT$6:$AU$15),LOOKUP(テーブル22[[#This Row],[50m走]],$AT$20:$AU$29))))</f>
        <v>0</v>
      </c>
      <c r="X493" s="42">
        <f>IF(テーブル22[[#This Row],[立幅とび]]="",0,(IF(テーブル22[[#This Row],[性別]]="男",LOOKUP(テーブル22[[#This Row],[立幅とび]],$AV$6:$AW$15),LOOKUP(テーブル22[[#This Row],[立幅とび]],$AV$20:$AW$29))))</f>
        <v>0</v>
      </c>
      <c r="Y493" s="42">
        <f>IF(テーブル22[[#This Row],[ボール投げ]]="",0,(IF(テーブル22[[#This Row],[性別]]="男",LOOKUP(テーブル22[[#This Row],[ボール投げ]],$AX$6:$AY$15),LOOKUP(テーブル22[[#This Row],[ボール投げ]],$AX$20:$AY$29))))</f>
        <v>0</v>
      </c>
      <c r="Z493" s="19" t="str">
        <f>IF(テーブル22[[#This Row],[学年]]=1,6,IF(テーブル22[[#This Row],[学年]]=2,7,IF(テーブル22[[#This Row],[学年]]=3,8,IF(テーブル22[[#This Row],[学年]]=4,9,IF(テーブル22[[#This Row],[学年]]=5,10,IF(テーブル22[[#This Row],[学年]]=6,11," "))))))</f>
        <v xml:space="preserve"> </v>
      </c>
      <c r="AA493" s="125" t="str">
        <f>IF(テーブル22[[#This Row],[肥満度数値]]="","",LOOKUP(AC493,$AW$39:$AW$44,$AX$39:$AX$44))</f>
        <v/>
      </c>
      <c r="AB49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3" s="124" t="str">
        <f>IF(テーブル22[[#This Row],[体重]]="","",(テーブル22[[#This Row],[体重]]-テーブル22[[#This Row],[標準体重]])/テーブル22[[#This Row],[標準体重]]*100)</f>
        <v/>
      </c>
      <c r="AD493" s="1">
        <f>COUNTA(テーブル22[[#This Row],[握力]:[ボール投げ]])</f>
        <v>0</v>
      </c>
      <c r="AE493" s="1" t="str">
        <f>IF(テーブル22[[#This Row],[判定]]=$BD$10,"○","")</f>
        <v/>
      </c>
      <c r="AF493" s="1" t="str">
        <f>IF(AE493="","",COUNTIF($AE$6:AE493,"○"))</f>
        <v/>
      </c>
    </row>
    <row r="494" spans="1:32" x14ac:dyDescent="0.2">
      <c r="A494" s="40">
        <v>489</v>
      </c>
      <c r="B494" s="145"/>
      <c r="C494" s="148"/>
      <c r="D494" s="145"/>
      <c r="E494" s="156"/>
      <c r="F494" s="145"/>
      <c r="G494" s="145"/>
      <c r="H494" s="146"/>
      <c r="I494" s="146"/>
      <c r="J494" s="148"/>
      <c r="K494" s="145"/>
      <c r="L494" s="148"/>
      <c r="M494" s="149"/>
      <c r="N494" s="148"/>
      <c r="O494" s="150"/>
      <c r="P49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4" s="43" t="str">
        <f>IF(テーブル22[[#This Row],[得点]]="","",IF(テーブル22[[#This Row],[年齢]]&gt;10,LOOKUP(P494,$BG$6:$BG$10,$BD$6:$BD$10),IF(テーブル22[[#This Row],[年齢]]&gt;9,LOOKUP(P494,$BF$6:$BF$10,$BD$6:$BD$10),IF(テーブル22[[#This Row],[年齢]]&gt;8,LOOKUP(P494,$BE$6:$BE$10,$BD$6:$BD$10),IF(テーブル22[[#This Row],[年齢]]&gt;7,LOOKUP(P494,$BC$6:$BC$10,$BD$6:$BD$10),IF(テーブル22[[#This Row],[年齢]]&gt;6,LOOKUP(P494,$BB$6:$BB$10,$BD$6:$BD$10),LOOKUP(P494,$BA$6:$BA$10,$BD$6:$BD$10)))))))</f>
        <v/>
      </c>
      <c r="R494" s="42">
        <f>IF(H494="",0,(IF(テーブル22[[#This Row],[性別]]="男",LOOKUP(テーブル22[[#This Row],[握力]],$AH$6:$AI$15),LOOKUP(テーブル22[[#This Row],[握力]],$AH$20:$AI$29))))</f>
        <v>0</v>
      </c>
      <c r="S494" s="42">
        <f>IF(テーブル22[[#This Row],[上体]]="",0,(IF(テーブル22[[#This Row],[性別]]="男",LOOKUP(テーブル22[[#This Row],[上体]],$AJ$6:$AK$15),LOOKUP(テーブル22[[#This Row],[上体]],$AJ$20:$AK$29))))</f>
        <v>0</v>
      </c>
      <c r="T494" s="42">
        <f>IF(テーブル22[[#This Row],[長座]]="",0,(IF(テーブル22[[#This Row],[性別]]="男",LOOKUP(テーブル22[[#This Row],[長座]],$AL$6:$AM$15),LOOKUP(テーブル22[[#This Row],[長座]],$AL$20:$AM$29))))</f>
        <v>0</v>
      </c>
      <c r="U494" s="42">
        <f>IF(テーブル22[[#This Row],[反復]]="",0,(IF(テーブル22[[#This Row],[性別]]="男",LOOKUP(テーブル22[[#This Row],[反復]],$AN$6:$AO$15),LOOKUP(テーブル22[[#This Row],[反復]],$AN$20:$AO$29))))</f>
        <v>0</v>
      </c>
      <c r="V494" s="42">
        <f>IF(テーブル22[[#This Row],[ｼｬﾄﾙﾗﾝ]]="",0,(IF(テーブル22[[#This Row],[性別]]="男",LOOKUP(テーブル22[[#This Row],[ｼｬﾄﾙﾗﾝ]],$AR$6:$AS$15),LOOKUP(テーブル22[[#This Row],[ｼｬﾄﾙﾗﾝ]],$AR$20:$AS$29))))</f>
        <v>0</v>
      </c>
      <c r="W494" s="42">
        <f>IF(テーブル22[[#This Row],[50m走]]="",0,(IF(テーブル22[[#This Row],[性別]]="男",LOOKUP(テーブル22[[#This Row],[50m走]],$AT$6:$AU$15),LOOKUP(テーブル22[[#This Row],[50m走]],$AT$20:$AU$29))))</f>
        <v>0</v>
      </c>
      <c r="X494" s="42">
        <f>IF(テーブル22[[#This Row],[立幅とび]]="",0,(IF(テーブル22[[#This Row],[性別]]="男",LOOKUP(テーブル22[[#This Row],[立幅とび]],$AV$6:$AW$15),LOOKUP(テーブル22[[#This Row],[立幅とび]],$AV$20:$AW$29))))</f>
        <v>0</v>
      </c>
      <c r="Y494" s="42">
        <f>IF(テーブル22[[#This Row],[ボール投げ]]="",0,(IF(テーブル22[[#This Row],[性別]]="男",LOOKUP(テーブル22[[#This Row],[ボール投げ]],$AX$6:$AY$15),LOOKUP(テーブル22[[#This Row],[ボール投げ]],$AX$20:$AY$29))))</f>
        <v>0</v>
      </c>
      <c r="Z494" s="19" t="str">
        <f>IF(テーブル22[[#This Row],[学年]]=1,6,IF(テーブル22[[#This Row],[学年]]=2,7,IF(テーブル22[[#This Row],[学年]]=3,8,IF(テーブル22[[#This Row],[学年]]=4,9,IF(テーブル22[[#This Row],[学年]]=5,10,IF(テーブル22[[#This Row],[学年]]=6,11," "))))))</f>
        <v xml:space="preserve"> </v>
      </c>
      <c r="AA494" s="125" t="str">
        <f>IF(テーブル22[[#This Row],[肥満度数値]]="","",LOOKUP(AC494,$AW$39:$AW$44,$AX$39:$AX$44))</f>
        <v/>
      </c>
      <c r="AB49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4" s="124" t="str">
        <f>IF(テーブル22[[#This Row],[体重]]="","",(テーブル22[[#This Row],[体重]]-テーブル22[[#This Row],[標準体重]])/テーブル22[[#This Row],[標準体重]]*100)</f>
        <v/>
      </c>
      <c r="AD494" s="1">
        <f>COUNTA(テーブル22[[#This Row],[握力]:[ボール投げ]])</f>
        <v>0</v>
      </c>
      <c r="AE494" s="1" t="str">
        <f>IF(テーブル22[[#This Row],[判定]]=$BD$10,"○","")</f>
        <v/>
      </c>
      <c r="AF494" s="1" t="str">
        <f>IF(AE494="","",COUNTIF($AE$6:AE494,"○"))</f>
        <v/>
      </c>
    </row>
    <row r="495" spans="1:32" x14ac:dyDescent="0.2">
      <c r="A495" s="40">
        <v>490</v>
      </c>
      <c r="B495" s="145"/>
      <c r="C495" s="148"/>
      <c r="D495" s="145"/>
      <c r="E495" s="156"/>
      <c r="F495" s="145"/>
      <c r="G495" s="145"/>
      <c r="H495" s="146"/>
      <c r="I495" s="146"/>
      <c r="J495" s="148"/>
      <c r="K495" s="145"/>
      <c r="L495" s="148"/>
      <c r="M495" s="149"/>
      <c r="N495" s="148"/>
      <c r="O495" s="150"/>
      <c r="P49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5" s="43" t="str">
        <f>IF(テーブル22[[#This Row],[得点]]="","",IF(テーブル22[[#This Row],[年齢]]&gt;10,LOOKUP(P495,$BG$6:$BG$10,$BD$6:$BD$10),IF(テーブル22[[#This Row],[年齢]]&gt;9,LOOKUP(P495,$BF$6:$BF$10,$BD$6:$BD$10),IF(テーブル22[[#This Row],[年齢]]&gt;8,LOOKUP(P495,$BE$6:$BE$10,$BD$6:$BD$10),IF(テーブル22[[#This Row],[年齢]]&gt;7,LOOKUP(P495,$BC$6:$BC$10,$BD$6:$BD$10),IF(テーブル22[[#This Row],[年齢]]&gt;6,LOOKUP(P495,$BB$6:$BB$10,$BD$6:$BD$10),LOOKUP(P495,$BA$6:$BA$10,$BD$6:$BD$10)))))))</f>
        <v/>
      </c>
      <c r="R495" s="42">
        <f>IF(H495="",0,(IF(テーブル22[[#This Row],[性別]]="男",LOOKUP(テーブル22[[#This Row],[握力]],$AH$6:$AI$15),LOOKUP(テーブル22[[#This Row],[握力]],$AH$20:$AI$29))))</f>
        <v>0</v>
      </c>
      <c r="S495" s="42">
        <f>IF(テーブル22[[#This Row],[上体]]="",0,(IF(テーブル22[[#This Row],[性別]]="男",LOOKUP(テーブル22[[#This Row],[上体]],$AJ$6:$AK$15),LOOKUP(テーブル22[[#This Row],[上体]],$AJ$20:$AK$29))))</f>
        <v>0</v>
      </c>
      <c r="T495" s="42">
        <f>IF(テーブル22[[#This Row],[長座]]="",0,(IF(テーブル22[[#This Row],[性別]]="男",LOOKUP(テーブル22[[#This Row],[長座]],$AL$6:$AM$15),LOOKUP(テーブル22[[#This Row],[長座]],$AL$20:$AM$29))))</f>
        <v>0</v>
      </c>
      <c r="U495" s="42">
        <f>IF(テーブル22[[#This Row],[反復]]="",0,(IF(テーブル22[[#This Row],[性別]]="男",LOOKUP(テーブル22[[#This Row],[反復]],$AN$6:$AO$15),LOOKUP(テーブル22[[#This Row],[反復]],$AN$20:$AO$29))))</f>
        <v>0</v>
      </c>
      <c r="V495" s="42">
        <f>IF(テーブル22[[#This Row],[ｼｬﾄﾙﾗﾝ]]="",0,(IF(テーブル22[[#This Row],[性別]]="男",LOOKUP(テーブル22[[#This Row],[ｼｬﾄﾙﾗﾝ]],$AR$6:$AS$15),LOOKUP(テーブル22[[#This Row],[ｼｬﾄﾙﾗﾝ]],$AR$20:$AS$29))))</f>
        <v>0</v>
      </c>
      <c r="W495" s="42">
        <f>IF(テーブル22[[#This Row],[50m走]]="",0,(IF(テーブル22[[#This Row],[性別]]="男",LOOKUP(テーブル22[[#This Row],[50m走]],$AT$6:$AU$15),LOOKUP(テーブル22[[#This Row],[50m走]],$AT$20:$AU$29))))</f>
        <v>0</v>
      </c>
      <c r="X495" s="42">
        <f>IF(テーブル22[[#This Row],[立幅とび]]="",0,(IF(テーブル22[[#This Row],[性別]]="男",LOOKUP(テーブル22[[#This Row],[立幅とび]],$AV$6:$AW$15),LOOKUP(テーブル22[[#This Row],[立幅とび]],$AV$20:$AW$29))))</f>
        <v>0</v>
      </c>
      <c r="Y495" s="42">
        <f>IF(テーブル22[[#This Row],[ボール投げ]]="",0,(IF(テーブル22[[#This Row],[性別]]="男",LOOKUP(テーブル22[[#This Row],[ボール投げ]],$AX$6:$AY$15),LOOKUP(テーブル22[[#This Row],[ボール投げ]],$AX$20:$AY$29))))</f>
        <v>0</v>
      </c>
      <c r="Z495" s="19" t="str">
        <f>IF(テーブル22[[#This Row],[学年]]=1,6,IF(テーブル22[[#This Row],[学年]]=2,7,IF(テーブル22[[#This Row],[学年]]=3,8,IF(テーブル22[[#This Row],[学年]]=4,9,IF(テーブル22[[#This Row],[学年]]=5,10,IF(テーブル22[[#This Row],[学年]]=6,11," "))))))</f>
        <v xml:space="preserve"> </v>
      </c>
      <c r="AA495" s="125" t="str">
        <f>IF(テーブル22[[#This Row],[肥満度数値]]="","",LOOKUP(AC495,$AW$39:$AW$44,$AX$39:$AX$44))</f>
        <v/>
      </c>
      <c r="AB49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5" s="124" t="str">
        <f>IF(テーブル22[[#This Row],[体重]]="","",(テーブル22[[#This Row],[体重]]-テーブル22[[#This Row],[標準体重]])/テーブル22[[#This Row],[標準体重]]*100)</f>
        <v/>
      </c>
      <c r="AD495" s="1">
        <f>COUNTA(テーブル22[[#This Row],[握力]:[ボール投げ]])</f>
        <v>0</v>
      </c>
      <c r="AE495" s="1" t="str">
        <f>IF(テーブル22[[#This Row],[判定]]=$BD$10,"○","")</f>
        <v/>
      </c>
      <c r="AF495" s="1" t="str">
        <f>IF(AE495="","",COUNTIF($AE$6:AE495,"○"))</f>
        <v/>
      </c>
    </row>
    <row r="496" spans="1:32" x14ac:dyDescent="0.2">
      <c r="A496" s="40">
        <v>491</v>
      </c>
      <c r="B496" s="145"/>
      <c r="C496" s="148"/>
      <c r="D496" s="145"/>
      <c r="E496" s="156"/>
      <c r="F496" s="145"/>
      <c r="G496" s="145"/>
      <c r="H496" s="146"/>
      <c r="I496" s="146"/>
      <c r="J496" s="148"/>
      <c r="K496" s="145"/>
      <c r="L496" s="148"/>
      <c r="M496" s="149"/>
      <c r="N496" s="148"/>
      <c r="O496" s="150"/>
      <c r="P496"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6" s="43" t="str">
        <f>IF(テーブル22[[#This Row],[得点]]="","",IF(テーブル22[[#This Row],[年齢]]&gt;10,LOOKUP(P496,$BG$6:$BG$10,$BD$6:$BD$10),IF(テーブル22[[#This Row],[年齢]]&gt;9,LOOKUP(P496,$BF$6:$BF$10,$BD$6:$BD$10),IF(テーブル22[[#This Row],[年齢]]&gt;8,LOOKUP(P496,$BE$6:$BE$10,$BD$6:$BD$10),IF(テーブル22[[#This Row],[年齢]]&gt;7,LOOKUP(P496,$BC$6:$BC$10,$BD$6:$BD$10),IF(テーブル22[[#This Row],[年齢]]&gt;6,LOOKUP(P496,$BB$6:$BB$10,$BD$6:$BD$10),LOOKUP(P496,$BA$6:$BA$10,$BD$6:$BD$10)))))))</f>
        <v/>
      </c>
      <c r="R496" s="42">
        <f>IF(H496="",0,(IF(テーブル22[[#This Row],[性別]]="男",LOOKUP(テーブル22[[#This Row],[握力]],$AH$6:$AI$15),LOOKUP(テーブル22[[#This Row],[握力]],$AH$20:$AI$29))))</f>
        <v>0</v>
      </c>
      <c r="S496" s="42">
        <f>IF(テーブル22[[#This Row],[上体]]="",0,(IF(テーブル22[[#This Row],[性別]]="男",LOOKUP(テーブル22[[#This Row],[上体]],$AJ$6:$AK$15),LOOKUP(テーブル22[[#This Row],[上体]],$AJ$20:$AK$29))))</f>
        <v>0</v>
      </c>
      <c r="T496" s="42">
        <f>IF(テーブル22[[#This Row],[長座]]="",0,(IF(テーブル22[[#This Row],[性別]]="男",LOOKUP(テーブル22[[#This Row],[長座]],$AL$6:$AM$15),LOOKUP(テーブル22[[#This Row],[長座]],$AL$20:$AM$29))))</f>
        <v>0</v>
      </c>
      <c r="U496" s="42">
        <f>IF(テーブル22[[#This Row],[反復]]="",0,(IF(テーブル22[[#This Row],[性別]]="男",LOOKUP(テーブル22[[#This Row],[反復]],$AN$6:$AO$15),LOOKUP(テーブル22[[#This Row],[反復]],$AN$20:$AO$29))))</f>
        <v>0</v>
      </c>
      <c r="V496" s="42">
        <f>IF(テーブル22[[#This Row],[ｼｬﾄﾙﾗﾝ]]="",0,(IF(テーブル22[[#This Row],[性別]]="男",LOOKUP(テーブル22[[#This Row],[ｼｬﾄﾙﾗﾝ]],$AR$6:$AS$15),LOOKUP(テーブル22[[#This Row],[ｼｬﾄﾙﾗﾝ]],$AR$20:$AS$29))))</f>
        <v>0</v>
      </c>
      <c r="W496" s="42">
        <f>IF(テーブル22[[#This Row],[50m走]]="",0,(IF(テーブル22[[#This Row],[性別]]="男",LOOKUP(テーブル22[[#This Row],[50m走]],$AT$6:$AU$15),LOOKUP(テーブル22[[#This Row],[50m走]],$AT$20:$AU$29))))</f>
        <v>0</v>
      </c>
      <c r="X496" s="42">
        <f>IF(テーブル22[[#This Row],[立幅とび]]="",0,(IF(テーブル22[[#This Row],[性別]]="男",LOOKUP(テーブル22[[#This Row],[立幅とび]],$AV$6:$AW$15),LOOKUP(テーブル22[[#This Row],[立幅とび]],$AV$20:$AW$29))))</f>
        <v>0</v>
      </c>
      <c r="Y496" s="42">
        <f>IF(テーブル22[[#This Row],[ボール投げ]]="",0,(IF(テーブル22[[#This Row],[性別]]="男",LOOKUP(テーブル22[[#This Row],[ボール投げ]],$AX$6:$AY$15),LOOKUP(テーブル22[[#This Row],[ボール投げ]],$AX$20:$AY$29))))</f>
        <v>0</v>
      </c>
      <c r="Z496" s="19" t="str">
        <f>IF(テーブル22[[#This Row],[学年]]=1,6,IF(テーブル22[[#This Row],[学年]]=2,7,IF(テーブル22[[#This Row],[学年]]=3,8,IF(テーブル22[[#This Row],[学年]]=4,9,IF(テーブル22[[#This Row],[学年]]=5,10,IF(テーブル22[[#This Row],[学年]]=6,11," "))))))</f>
        <v xml:space="preserve"> </v>
      </c>
      <c r="AA496" s="125" t="str">
        <f>IF(テーブル22[[#This Row],[肥満度数値]]="","",LOOKUP(AC496,$AW$39:$AW$44,$AX$39:$AX$44))</f>
        <v/>
      </c>
      <c r="AB496"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6" s="124" t="str">
        <f>IF(テーブル22[[#This Row],[体重]]="","",(テーブル22[[#This Row],[体重]]-テーブル22[[#This Row],[標準体重]])/テーブル22[[#This Row],[標準体重]]*100)</f>
        <v/>
      </c>
      <c r="AD496" s="1">
        <f>COUNTA(テーブル22[[#This Row],[握力]:[ボール投げ]])</f>
        <v>0</v>
      </c>
      <c r="AE496" s="1" t="str">
        <f>IF(テーブル22[[#This Row],[判定]]=$BD$10,"○","")</f>
        <v/>
      </c>
      <c r="AF496" s="1" t="str">
        <f>IF(AE496="","",COUNTIF($AE$6:AE496,"○"))</f>
        <v/>
      </c>
    </row>
    <row r="497" spans="1:32" x14ac:dyDescent="0.2">
      <c r="A497" s="40">
        <v>492</v>
      </c>
      <c r="B497" s="145"/>
      <c r="C497" s="148"/>
      <c r="D497" s="145"/>
      <c r="E497" s="156"/>
      <c r="F497" s="145"/>
      <c r="G497" s="145"/>
      <c r="H497" s="146"/>
      <c r="I497" s="146"/>
      <c r="J497" s="148"/>
      <c r="K497" s="145"/>
      <c r="L497" s="148"/>
      <c r="M497" s="149"/>
      <c r="N497" s="148"/>
      <c r="O497" s="150"/>
      <c r="P497"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7" s="43" t="str">
        <f>IF(テーブル22[[#This Row],[得点]]="","",IF(テーブル22[[#This Row],[年齢]]&gt;10,LOOKUP(P497,$BG$6:$BG$10,$BD$6:$BD$10),IF(テーブル22[[#This Row],[年齢]]&gt;9,LOOKUP(P497,$BF$6:$BF$10,$BD$6:$BD$10),IF(テーブル22[[#This Row],[年齢]]&gt;8,LOOKUP(P497,$BE$6:$BE$10,$BD$6:$BD$10),IF(テーブル22[[#This Row],[年齢]]&gt;7,LOOKUP(P497,$BC$6:$BC$10,$BD$6:$BD$10),IF(テーブル22[[#This Row],[年齢]]&gt;6,LOOKUP(P497,$BB$6:$BB$10,$BD$6:$BD$10),LOOKUP(P497,$BA$6:$BA$10,$BD$6:$BD$10)))))))</f>
        <v/>
      </c>
      <c r="R497" s="42">
        <f>IF(H497="",0,(IF(テーブル22[[#This Row],[性別]]="男",LOOKUP(テーブル22[[#This Row],[握力]],$AH$6:$AI$15),LOOKUP(テーブル22[[#This Row],[握力]],$AH$20:$AI$29))))</f>
        <v>0</v>
      </c>
      <c r="S497" s="42">
        <f>IF(テーブル22[[#This Row],[上体]]="",0,(IF(テーブル22[[#This Row],[性別]]="男",LOOKUP(テーブル22[[#This Row],[上体]],$AJ$6:$AK$15),LOOKUP(テーブル22[[#This Row],[上体]],$AJ$20:$AK$29))))</f>
        <v>0</v>
      </c>
      <c r="T497" s="42">
        <f>IF(テーブル22[[#This Row],[長座]]="",0,(IF(テーブル22[[#This Row],[性別]]="男",LOOKUP(テーブル22[[#This Row],[長座]],$AL$6:$AM$15),LOOKUP(テーブル22[[#This Row],[長座]],$AL$20:$AM$29))))</f>
        <v>0</v>
      </c>
      <c r="U497" s="42">
        <f>IF(テーブル22[[#This Row],[反復]]="",0,(IF(テーブル22[[#This Row],[性別]]="男",LOOKUP(テーブル22[[#This Row],[反復]],$AN$6:$AO$15),LOOKUP(テーブル22[[#This Row],[反復]],$AN$20:$AO$29))))</f>
        <v>0</v>
      </c>
      <c r="V497" s="42">
        <f>IF(テーブル22[[#This Row],[ｼｬﾄﾙﾗﾝ]]="",0,(IF(テーブル22[[#This Row],[性別]]="男",LOOKUP(テーブル22[[#This Row],[ｼｬﾄﾙﾗﾝ]],$AR$6:$AS$15),LOOKUP(テーブル22[[#This Row],[ｼｬﾄﾙﾗﾝ]],$AR$20:$AS$29))))</f>
        <v>0</v>
      </c>
      <c r="W497" s="42">
        <f>IF(テーブル22[[#This Row],[50m走]]="",0,(IF(テーブル22[[#This Row],[性別]]="男",LOOKUP(テーブル22[[#This Row],[50m走]],$AT$6:$AU$15),LOOKUP(テーブル22[[#This Row],[50m走]],$AT$20:$AU$29))))</f>
        <v>0</v>
      </c>
      <c r="X497" s="42">
        <f>IF(テーブル22[[#This Row],[立幅とび]]="",0,(IF(テーブル22[[#This Row],[性別]]="男",LOOKUP(テーブル22[[#This Row],[立幅とび]],$AV$6:$AW$15),LOOKUP(テーブル22[[#This Row],[立幅とび]],$AV$20:$AW$29))))</f>
        <v>0</v>
      </c>
      <c r="Y497" s="42">
        <f>IF(テーブル22[[#This Row],[ボール投げ]]="",0,(IF(テーブル22[[#This Row],[性別]]="男",LOOKUP(テーブル22[[#This Row],[ボール投げ]],$AX$6:$AY$15),LOOKUP(テーブル22[[#This Row],[ボール投げ]],$AX$20:$AY$29))))</f>
        <v>0</v>
      </c>
      <c r="Z497" s="19" t="str">
        <f>IF(テーブル22[[#This Row],[学年]]=1,6,IF(テーブル22[[#This Row],[学年]]=2,7,IF(テーブル22[[#This Row],[学年]]=3,8,IF(テーブル22[[#This Row],[学年]]=4,9,IF(テーブル22[[#This Row],[学年]]=5,10,IF(テーブル22[[#This Row],[学年]]=6,11," "))))))</f>
        <v xml:space="preserve"> </v>
      </c>
      <c r="AA497" s="125" t="str">
        <f>IF(テーブル22[[#This Row],[肥満度数値]]="","",LOOKUP(AC497,$AW$39:$AW$44,$AX$39:$AX$44))</f>
        <v/>
      </c>
      <c r="AB497"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7" s="124" t="str">
        <f>IF(テーブル22[[#This Row],[体重]]="","",(テーブル22[[#This Row],[体重]]-テーブル22[[#This Row],[標準体重]])/テーブル22[[#This Row],[標準体重]]*100)</f>
        <v/>
      </c>
      <c r="AD497" s="1">
        <f>COUNTA(テーブル22[[#This Row],[握力]:[ボール投げ]])</f>
        <v>0</v>
      </c>
      <c r="AE497" s="1" t="str">
        <f>IF(テーブル22[[#This Row],[判定]]=$BD$10,"○","")</f>
        <v/>
      </c>
      <c r="AF497" s="1" t="str">
        <f>IF(AE497="","",COUNTIF($AE$6:AE497,"○"))</f>
        <v/>
      </c>
    </row>
    <row r="498" spans="1:32" x14ac:dyDescent="0.2">
      <c r="A498" s="40">
        <v>493</v>
      </c>
      <c r="B498" s="145"/>
      <c r="C498" s="148"/>
      <c r="D498" s="145"/>
      <c r="E498" s="156"/>
      <c r="F498" s="145"/>
      <c r="G498" s="145"/>
      <c r="H498" s="146"/>
      <c r="I498" s="146"/>
      <c r="J498" s="148"/>
      <c r="K498" s="145"/>
      <c r="L498" s="148"/>
      <c r="M498" s="149"/>
      <c r="N498" s="148"/>
      <c r="O498" s="150"/>
      <c r="P498"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8" s="43" t="str">
        <f>IF(テーブル22[[#This Row],[得点]]="","",IF(テーブル22[[#This Row],[年齢]]&gt;10,LOOKUP(P498,$BG$6:$BG$10,$BD$6:$BD$10),IF(テーブル22[[#This Row],[年齢]]&gt;9,LOOKUP(P498,$BF$6:$BF$10,$BD$6:$BD$10),IF(テーブル22[[#This Row],[年齢]]&gt;8,LOOKUP(P498,$BE$6:$BE$10,$BD$6:$BD$10),IF(テーブル22[[#This Row],[年齢]]&gt;7,LOOKUP(P498,$BC$6:$BC$10,$BD$6:$BD$10),IF(テーブル22[[#This Row],[年齢]]&gt;6,LOOKUP(P498,$BB$6:$BB$10,$BD$6:$BD$10),LOOKUP(P498,$BA$6:$BA$10,$BD$6:$BD$10)))))))</f>
        <v/>
      </c>
      <c r="R498" s="42">
        <f>IF(H498="",0,(IF(テーブル22[[#This Row],[性別]]="男",LOOKUP(テーブル22[[#This Row],[握力]],$AH$6:$AI$15),LOOKUP(テーブル22[[#This Row],[握力]],$AH$20:$AI$29))))</f>
        <v>0</v>
      </c>
      <c r="S498" s="42">
        <f>IF(テーブル22[[#This Row],[上体]]="",0,(IF(テーブル22[[#This Row],[性別]]="男",LOOKUP(テーブル22[[#This Row],[上体]],$AJ$6:$AK$15),LOOKUP(テーブル22[[#This Row],[上体]],$AJ$20:$AK$29))))</f>
        <v>0</v>
      </c>
      <c r="T498" s="42">
        <f>IF(テーブル22[[#This Row],[長座]]="",0,(IF(テーブル22[[#This Row],[性別]]="男",LOOKUP(テーブル22[[#This Row],[長座]],$AL$6:$AM$15),LOOKUP(テーブル22[[#This Row],[長座]],$AL$20:$AM$29))))</f>
        <v>0</v>
      </c>
      <c r="U498" s="42">
        <f>IF(テーブル22[[#This Row],[反復]]="",0,(IF(テーブル22[[#This Row],[性別]]="男",LOOKUP(テーブル22[[#This Row],[反復]],$AN$6:$AO$15),LOOKUP(テーブル22[[#This Row],[反復]],$AN$20:$AO$29))))</f>
        <v>0</v>
      </c>
      <c r="V498" s="42">
        <f>IF(テーブル22[[#This Row],[ｼｬﾄﾙﾗﾝ]]="",0,(IF(テーブル22[[#This Row],[性別]]="男",LOOKUP(テーブル22[[#This Row],[ｼｬﾄﾙﾗﾝ]],$AR$6:$AS$15),LOOKUP(テーブル22[[#This Row],[ｼｬﾄﾙﾗﾝ]],$AR$20:$AS$29))))</f>
        <v>0</v>
      </c>
      <c r="W498" s="42">
        <f>IF(テーブル22[[#This Row],[50m走]]="",0,(IF(テーブル22[[#This Row],[性別]]="男",LOOKUP(テーブル22[[#This Row],[50m走]],$AT$6:$AU$15),LOOKUP(テーブル22[[#This Row],[50m走]],$AT$20:$AU$29))))</f>
        <v>0</v>
      </c>
      <c r="X498" s="42">
        <f>IF(テーブル22[[#This Row],[立幅とび]]="",0,(IF(テーブル22[[#This Row],[性別]]="男",LOOKUP(テーブル22[[#This Row],[立幅とび]],$AV$6:$AW$15),LOOKUP(テーブル22[[#This Row],[立幅とび]],$AV$20:$AW$29))))</f>
        <v>0</v>
      </c>
      <c r="Y498" s="42">
        <f>IF(テーブル22[[#This Row],[ボール投げ]]="",0,(IF(テーブル22[[#This Row],[性別]]="男",LOOKUP(テーブル22[[#This Row],[ボール投げ]],$AX$6:$AY$15),LOOKUP(テーブル22[[#This Row],[ボール投げ]],$AX$20:$AY$29))))</f>
        <v>0</v>
      </c>
      <c r="Z498" s="19" t="str">
        <f>IF(テーブル22[[#This Row],[学年]]=1,6,IF(テーブル22[[#This Row],[学年]]=2,7,IF(テーブル22[[#This Row],[学年]]=3,8,IF(テーブル22[[#This Row],[学年]]=4,9,IF(テーブル22[[#This Row],[学年]]=5,10,IF(テーブル22[[#This Row],[学年]]=6,11," "))))))</f>
        <v xml:space="preserve"> </v>
      </c>
      <c r="AA498" s="125" t="str">
        <f>IF(テーブル22[[#This Row],[肥満度数値]]="","",LOOKUP(AC498,$AW$39:$AW$44,$AX$39:$AX$44))</f>
        <v/>
      </c>
      <c r="AB498"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8" s="124" t="str">
        <f>IF(テーブル22[[#This Row],[体重]]="","",(テーブル22[[#This Row],[体重]]-テーブル22[[#This Row],[標準体重]])/テーブル22[[#This Row],[標準体重]]*100)</f>
        <v/>
      </c>
      <c r="AD498" s="1">
        <f>COUNTA(テーブル22[[#This Row],[握力]:[ボール投げ]])</f>
        <v>0</v>
      </c>
      <c r="AE498" s="1" t="str">
        <f>IF(テーブル22[[#This Row],[判定]]=$BD$10,"○","")</f>
        <v/>
      </c>
      <c r="AF498" s="1" t="str">
        <f>IF(AE498="","",COUNTIF($AE$6:AE498,"○"))</f>
        <v/>
      </c>
    </row>
    <row r="499" spans="1:32" x14ac:dyDescent="0.2">
      <c r="A499" s="40">
        <v>494</v>
      </c>
      <c r="B499" s="145"/>
      <c r="C499" s="148"/>
      <c r="D499" s="145"/>
      <c r="E499" s="156"/>
      <c r="F499" s="145"/>
      <c r="G499" s="145"/>
      <c r="H499" s="146"/>
      <c r="I499" s="146"/>
      <c r="J499" s="148"/>
      <c r="K499" s="145"/>
      <c r="L499" s="148"/>
      <c r="M499" s="149"/>
      <c r="N499" s="148"/>
      <c r="O499" s="150"/>
      <c r="P499"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499" s="43" t="str">
        <f>IF(テーブル22[[#This Row],[得点]]="","",IF(テーブル22[[#This Row],[年齢]]&gt;10,LOOKUP(P499,$BG$6:$BG$10,$BD$6:$BD$10),IF(テーブル22[[#This Row],[年齢]]&gt;9,LOOKUP(P499,$BF$6:$BF$10,$BD$6:$BD$10),IF(テーブル22[[#This Row],[年齢]]&gt;8,LOOKUP(P499,$BE$6:$BE$10,$BD$6:$BD$10),IF(テーブル22[[#This Row],[年齢]]&gt;7,LOOKUP(P499,$BC$6:$BC$10,$BD$6:$BD$10),IF(テーブル22[[#This Row],[年齢]]&gt;6,LOOKUP(P499,$BB$6:$BB$10,$BD$6:$BD$10),LOOKUP(P499,$BA$6:$BA$10,$BD$6:$BD$10)))))))</f>
        <v/>
      </c>
      <c r="R499" s="42">
        <f>IF(H499="",0,(IF(テーブル22[[#This Row],[性別]]="男",LOOKUP(テーブル22[[#This Row],[握力]],$AH$6:$AI$15),LOOKUP(テーブル22[[#This Row],[握力]],$AH$20:$AI$29))))</f>
        <v>0</v>
      </c>
      <c r="S499" s="42">
        <f>IF(テーブル22[[#This Row],[上体]]="",0,(IF(テーブル22[[#This Row],[性別]]="男",LOOKUP(テーブル22[[#This Row],[上体]],$AJ$6:$AK$15),LOOKUP(テーブル22[[#This Row],[上体]],$AJ$20:$AK$29))))</f>
        <v>0</v>
      </c>
      <c r="T499" s="42">
        <f>IF(テーブル22[[#This Row],[長座]]="",0,(IF(テーブル22[[#This Row],[性別]]="男",LOOKUP(テーブル22[[#This Row],[長座]],$AL$6:$AM$15),LOOKUP(テーブル22[[#This Row],[長座]],$AL$20:$AM$29))))</f>
        <v>0</v>
      </c>
      <c r="U499" s="42">
        <f>IF(テーブル22[[#This Row],[反復]]="",0,(IF(テーブル22[[#This Row],[性別]]="男",LOOKUP(テーブル22[[#This Row],[反復]],$AN$6:$AO$15),LOOKUP(テーブル22[[#This Row],[反復]],$AN$20:$AO$29))))</f>
        <v>0</v>
      </c>
      <c r="V499" s="42">
        <f>IF(テーブル22[[#This Row],[ｼｬﾄﾙﾗﾝ]]="",0,(IF(テーブル22[[#This Row],[性別]]="男",LOOKUP(テーブル22[[#This Row],[ｼｬﾄﾙﾗﾝ]],$AR$6:$AS$15),LOOKUP(テーブル22[[#This Row],[ｼｬﾄﾙﾗﾝ]],$AR$20:$AS$29))))</f>
        <v>0</v>
      </c>
      <c r="W499" s="42">
        <f>IF(テーブル22[[#This Row],[50m走]]="",0,(IF(テーブル22[[#This Row],[性別]]="男",LOOKUP(テーブル22[[#This Row],[50m走]],$AT$6:$AU$15),LOOKUP(テーブル22[[#This Row],[50m走]],$AT$20:$AU$29))))</f>
        <v>0</v>
      </c>
      <c r="X499" s="42">
        <f>IF(テーブル22[[#This Row],[立幅とび]]="",0,(IF(テーブル22[[#This Row],[性別]]="男",LOOKUP(テーブル22[[#This Row],[立幅とび]],$AV$6:$AW$15),LOOKUP(テーブル22[[#This Row],[立幅とび]],$AV$20:$AW$29))))</f>
        <v>0</v>
      </c>
      <c r="Y499" s="42">
        <f>IF(テーブル22[[#This Row],[ボール投げ]]="",0,(IF(テーブル22[[#This Row],[性別]]="男",LOOKUP(テーブル22[[#This Row],[ボール投げ]],$AX$6:$AY$15),LOOKUP(テーブル22[[#This Row],[ボール投げ]],$AX$20:$AY$29))))</f>
        <v>0</v>
      </c>
      <c r="Z499" s="19" t="str">
        <f>IF(テーブル22[[#This Row],[学年]]=1,6,IF(テーブル22[[#This Row],[学年]]=2,7,IF(テーブル22[[#This Row],[学年]]=3,8,IF(テーブル22[[#This Row],[学年]]=4,9,IF(テーブル22[[#This Row],[学年]]=5,10,IF(テーブル22[[#This Row],[学年]]=6,11," "))))))</f>
        <v xml:space="preserve"> </v>
      </c>
      <c r="AA499" s="125" t="str">
        <f>IF(テーブル22[[#This Row],[肥満度数値]]="","",LOOKUP(AC499,$AW$39:$AW$44,$AX$39:$AX$44))</f>
        <v/>
      </c>
      <c r="AB499"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499" s="124" t="str">
        <f>IF(テーブル22[[#This Row],[体重]]="","",(テーブル22[[#This Row],[体重]]-テーブル22[[#This Row],[標準体重]])/テーブル22[[#This Row],[標準体重]]*100)</f>
        <v/>
      </c>
      <c r="AD499" s="1">
        <f>COUNTA(テーブル22[[#This Row],[握力]:[ボール投げ]])</f>
        <v>0</v>
      </c>
      <c r="AE499" s="1" t="str">
        <f>IF(テーブル22[[#This Row],[判定]]=$BD$10,"○","")</f>
        <v/>
      </c>
      <c r="AF499" s="1" t="str">
        <f>IF(AE499="","",COUNTIF($AE$6:AE499,"○"))</f>
        <v/>
      </c>
    </row>
    <row r="500" spans="1:32" x14ac:dyDescent="0.2">
      <c r="A500" s="40">
        <v>495</v>
      </c>
      <c r="B500" s="145"/>
      <c r="C500" s="148"/>
      <c r="D500" s="145"/>
      <c r="E500" s="156"/>
      <c r="F500" s="145"/>
      <c r="G500" s="145"/>
      <c r="H500" s="146"/>
      <c r="I500" s="146"/>
      <c r="J500" s="148"/>
      <c r="K500" s="145"/>
      <c r="L500" s="148"/>
      <c r="M500" s="149"/>
      <c r="N500" s="148"/>
      <c r="O500" s="150"/>
      <c r="P500"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0" s="43" t="str">
        <f>IF(テーブル22[[#This Row],[得点]]="","",IF(テーブル22[[#This Row],[年齢]]&gt;10,LOOKUP(P500,$BG$6:$BG$10,$BD$6:$BD$10),IF(テーブル22[[#This Row],[年齢]]&gt;9,LOOKUP(P500,$BF$6:$BF$10,$BD$6:$BD$10),IF(テーブル22[[#This Row],[年齢]]&gt;8,LOOKUP(P500,$BE$6:$BE$10,$BD$6:$BD$10),IF(テーブル22[[#This Row],[年齢]]&gt;7,LOOKUP(P500,$BC$6:$BC$10,$BD$6:$BD$10),IF(テーブル22[[#This Row],[年齢]]&gt;6,LOOKUP(P500,$BB$6:$BB$10,$BD$6:$BD$10),LOOKUP(P500,$BA$6:$BA$10,$BD$6:$BD$10)))))))</f>
        <v/>
      </c>
      <c r="R500" s="42">
        <f>IF(H500="",0,(IF(テーブル22[[#This Row],[性別]]="男",LOOKUP(テーブル22[[#This Row],[握力]],$AH$6:$AI$15),LOOKUP(テーブル22[[#This Row],[握力]],$AH$20:$AI$29))))</f>
        <v>0</v>
      </c>
      <c r="S500" s="42">
        <f>IF(テーブル22[[#This Row],[上体]]="",0,(IF(テーブル22[[#This Row],[性別]]="男",LOOKUP(テーブル22[[#This Row],[上体]],$AJ$6:$AK$15),LOOKUP(テーブル22[[#This Row],[上体]],$AJ$20:$AK$29))))</f>
        <v>0</v>
      </c>
      <c r="T500" s="42">
        <f>IF(テーブル22[[#This Row],[長座]]="",0,(IF(テーブル22[[#This Row],[性別]]="男",LOOKUP(テーブル22[[#This Row],[長座]],$AL$6:$AM$15),LOOKUP(テーブル22[[#This Row],[長座]],$AL$20:$AM$29))))</f>
        <v>0</v>
      </c>
      <c r="U500" s="42">
        <f>IF(テーブル22[[#This Row],[反復]]="",0,(IF(テーブル22[[#This Row],[性別]]="男",LOOKUP(テーブル22[[#This Row],[反復]],$AN$6:$AO$15),LOOKUP(テーブル22[[#This Row],[反復]],$AN$20:$AO$29))))</f>
        <v>0</v>
      </c>
      <c r="V500" s="42">
        <f>IF(テーブル22[[#This Row],[ｼｬﾄﾙﾗﾝ]]="",0,(IF(テーブル22[[#This Row],[性別]]="男",LOOKUP(テーブル22[[#This Row],[ｼｬﾄﾙﾗﾝ]],$AR$6:$AS$15),LOOKUP(テーブル22[[#This Row],[ｼｬﾄﾙﾗﾝ]],$AR$20:$AS$29))))</f>
        <v>0</v>
      </c>
      <c r="W500" s="42">
        <f>IF(テーブル22[[#This Row],[50m走]]="",0,(IF(テーブル22[[#This Row],[性別]]="男",LOOKUP(テーブル22[[#This Row],[50m走]],$AT$6:$AU$15),LOOKUP(テーブル22[[#This Row],[50m走]],$AT$20:$AU$29))))</f>
        <v>0</v>
      </c>
      <c r="X500" s="42">
        <f>IF(テーブル22[[#This Row],[立幅とび]]="",0,(IF(テーブル22[[#This Row],[性別]]="男",LOOKUP(テーブル22[[#This Row],[立幅とび]],$AV$6:$AW$15),LOOKUP(テーブル22[[#This Row],[立幅とび]],$AV$20:$AW$29))))</f>
        <v>0</v>
      </c>
      <c r="Y500" s="42">
        <f>IF(テーブル22[[#This Row],[ボール投げ]]="",0,(IF(テーブル22[[#This Row],[性別]]="男",LOOKUP(テーブル22[[#This Row],[ボール投げ]],$AX$6:$AY$15),LOOKUP(テーブル22[[#This Row],[ボール投げ]],$AX$20:$AY$29))))</f>
        <v>0</v>
      </c>
      <c r="Z500" s="19" t="str">
        <f>IF(テーブル22[[#This Row],[学年]]=1,6,IF(テーブル22[[#This Row],[学年]]=2,7,IF(テーブル22[[#This Row],[学年]]=3,8,IF(テーブル22[[#This Row],[学年]]=4,9,IF(テーブル22[[#This Row],[学年]]=5,10,IF(テーブル22[[#This Row],[学年]]=6,11," "))))))</f>
        <v xml:space="preserve"> </v>
      </c>
      <c r="AA500" s="125" t="str">
        <f>IF(テーブル22[[#This Row],[肥満度数値]]="","",LOOKUP(AC500,$AW$39:$AW$44,$AX$39:$AX$44))</f>
        <v/>
      </c>
      <c r="AB500"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0" s="124" t="str">
        <f>IF(テーブル22[[#This Row],[体重]]="","",(テーブル22[[#This Row],[体重]]-テーブル22[[#This Row],[標準体重]])/テーブル22[[#This Row],[標準体重]]*100)</f>
        <v/>
      </c>
      <c r="AD500" s="1">
        <f>COUNTA(テーブル22[[#This Row],[握力]:[ボール投げ]])</f>
        <v>0</v>
      </c>
      <c r="AE500" s="1" t="str">
        <f>IF(テーブル22[[#This Row],[判定]]=$BD$10,"○","")</f>
        <v/>
      </c>
      <c r="AF500" s="1" t="str">
        <f>IF(AE500="","",COUNTIF($AE$6:AE500,"○"))</f>
        <v/>
      </c>
    </row>
    <row r="501" spans="1:32" x14ac:dyDescent="0.2">
      <c r="A501" s="40">
        <v>496</v>
      </c>
      <c r="B501" s="145"/>
      <c r="C501" s="148"/>
      <c r="D501" s="145"/>
      <c r="E501" s="156"/>
      <c r="F501" s="145"/>
      <c r="G501" s="145"/>
      <c r="H501" s="146"/>
      <c r="I501" s="146"/>
      <c r="J501" s="148"/>
      <c r="K501" s="145"/>
      <c r="L501" s="148"/>
      <c r="M501" s="149"/>
      <c r="N501" s="148"/>
      <c r="O501" s="150"/>
      <c r="P501"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1" s="43" t="str">
        <f>IF(テーブル22[[#This Row],[得点]]="","",IF(テーブル22[[#This Row],[年齢]]&gt;10,LOOKUP(P501,$BG$6:$BG$10,$BD$6:$BD$10),IF(テーブル22[[#This Row],[年齢]]&gt;9,LOOKUP(P501,$BF$6:$BF$10,$BD$6:$BD$10),IF(テーブル22[[#This Row],[年齢]]&gt;8,LOOKUP(P501,$BE$6:$BE$10,$BD$6:$BD$10),IF(テーブル22[[#This Row],[年齢]]&gt;7,LOOKUP(P501,$BC$6:$BC$10,$BD$6:$BD$10),IF(テーブル22[[#This Row],[年齢]]&gt;6,LOOKUP(P501,$BB$6:$BB$10,$BD$6:$BD$10),LOOKUP(P501,$BA$6:$BA$10,$BD$6:$BD$10)))))))</f>
        <v/>
      </c>
      <c r="R501" s="42">
        <f>IF(H501="",0,(IF(テーブル22[[#This Row],[性別]]="男",LOOKUP(テーブル22[[#This Row],[握力]],$AH$6:$AI$15),LOOKUP(テーブル22[[#This Row],[握力]],$AH$20:$AI$29))))</f>
        <v>0</v>
      </c>
      <c r="S501" s="42">
        <f>IF(テーブル22[[#This Row],[上体]]="",0,(IF(テーブル22[[#This Row],[性別]]="男",LOOKUP(テーブル22[[#This Row],[上体]],$AJ$6:$AK$15),LOOKUP(テーブル22[[#This Row],[上体]],$AJ$20:$AK$29))))</f>
        <v>0</v>
      </c>
      <c r="T501" s="42">
        <f>IF(テーブル22[[#This Row],[長座]]="",0,(IF(テーブル22[[#This Row],[性別]]="男",LOOKUP(テーブル22[[#This Row],[長座]],$AL$6:$AM$15),LOOKUP(テーブル22[[#This Row],[長座]],$AL$20:$AM$29))))</f>
        <v>0</v>
      </c>
      <c r="U501" s="42">
        <f>IF(テーブル22[[#This Row],[反復]]="",0,(IF(テーブル22[[#This Row],[性別]]="男",LOOKUP(テーブル22[[#This Row],[反復]],$AN$6:$AO$15),LOOKUP(テーブル22[[#This Row],[反復]],$AN$20:$AO$29))))</f>
        <v>0</v>
      </c>
      <c r="V501" s="42">
        <f>IF(テーブル22[[#This Row],[ｼｬﾄﾙﾗﾝ]]="",0,(IF(テーブル22[[#This Row],[性別]]="男",LOOKUP(テーブル22[[#This Row],[ｼｬﾄﾙﾗﾝ]],$AR$6:$AS$15),LOOKUP(テーブル22[[#This Row],[ｼｬﾄﾙﾗﾝ]],$AR$20:$AS$29))))</f>
        <v>0</v>
      </c>
      <c r="W501" s="42">
        <f>IF(テーブル22[[#This Row],[50m走]]="",0,(IF(テーブル22[[#This Row],[性別]]="男",LOOKUP(テーブル22[[#This Row],[50m走]],$AT$6:$AU$15),LOOKUP(テーブル22[[#This Row],[50m走]],$AT$20:$AU$29))))</f>
        <v>0</v>
      </c>
      <c r="X501" s="42">
        <f>IF(テーブル22[[#This Row],[立幅とび]]="",0,(IF(テーブル22[[#This Row],[性別]]="男",LOOKUP(テーブル22[[#This Row],[立幅とび]],$AV$6:$AW$15),LOOKUP(テーブル22[[#This Row],[立幅とび]],$AV$20:$AW$29))))</f>
        <v>0</v>
      </c>
      <c r="Y501" s="42">
        <f>IF(テーブル22[[#This Row],[ボール投げ]]="",0,(IF(テーブル22[[#This Row],[性別]]="男",LOOKUP(テーブル22[[#This Row],[ボール投げ]],$AX$6:$AY$15),LOOKUP(テーブル22[[#This Row],[ボール投げ]],$AX$20:$AY$29))))</f>
        <v>0</v>
      </c>
      <c r="Z501" s="19" t="str">
        <f>IF(テーブル22[[#This Row],[学年]]=1,6,IF(テーブル22[[#This Row],[学年]]=2,7,IF(テーブル22[[#This Row],[学年]]=3,8,IF(テーブル22[[#This Row],[学年]]=4,9,IF(テーブル22[[#This Row],[学年]]=5,10,IF(テーブル22[[#This Row],[学年]]=6,11," "))))))</f>
        <v xml:space="preserve"> </v>
      </c>
      <c r="AA501" s="125" t="str">
        <f>IF(テーブル22[[#This Row],[肥満度数値]]="","",LOOKUP(AC501,$AW$39:$AW$44,$AX$39:$AX$44))</f>
        <v/>
      </c>
      <c r="AB501"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1" s="124" t="str">
        <f>IF(テーブル22[[#This Row],[体重]]="","",(テーブル22[[#This Row],[体重]]-テーブル22[[#This Row],[標準体重]])/テーブル22[[#This Row],[標準体重]]*100)</f>
        <v/>
      </c>
      <c r="AD501" s="1">
        <f>COUNTA(テーブル22[[#This Row],[握力]:[ボール投げ]])</f>
        <v>0</v>
      </c>
      <c r="AE501" s="1" t="str">
        <f>IF(テーブル22[[#This Row],[判定]]=$BD$10,"○","")</f>
        <v/>
      </c>
      <c r="AF501" s="1" t="str">
        <f>IF(AE501="","",COUNTIF($AE$6:AE501,"○"))</f>
        <v/>
      </c>
    </row>
    <row r="502" spans="1:32" x14ac:dyDescent="0.2">
      <c r="A502" s="40">
        <v>497</v>
      </c>
      <c r="B502" s="145"/>
      <c r="C502" s="148"/>
      <c r="D502" s="145"/>
      <c r="E502" s="156"/>
      <c r="F502" s="145"/>
      <c r="G502" s="145"/>
      <c r="H502" s="146"/>
      <c r="I502" s="146"/>
      <c r="J502" s="148"/>
      <c r="K502" s="145"/>
      <c r="L502" s="148"/>
      <c r="M502" s="149"/>
      <c r="N502" s="148"/>
      <c r="O502" s="150"/>
      <c r="P502"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2" s="43" t="str">
        <f>IF(テーブル22[[#This Row],[得点]]="","",IF(テーブル22[[#This Row],[年齢]]&gt;10,LOOKUP(P502,$BG$6:$BG$10,$BD$6:$BD$10),IF(テーブル22[[#This Row],[年齢]]&gt;9,LOOKUP(P502,$BF$6:$BF$10,$BD$6:$BD$10),IF(テーブル22[[#This Row],[年齢]]&gt;8,LOOKUP(P502,$BE$6:$BE$10,$BD$6:$BD$10),IF(テーブル22[[#This Row],[年齢]]&gt;7,LOOKUP(P502,$BC$6:$BC$10,$BD$6:$BD$10),IF(テーブル22[[#This Row],[年齢]]&gt;6,LOOKUP(P502,$BB$6:$BB$10,$BD$6:$BD$10),LOOKUP(P502,$BA$6:$BA$10,$BD$6:$BD$10)))))))</f>
        <v/>
      </c>
      <c r="R502" s="42">
        <f>IF(H502="",0,(IF(テーブル22[[#This Row],[性別]]="男",LOOKUP(テーブル22[[#This Row],[握力]],$AH$6:$AI$15),LOOKUP(テーブル22[[#This Row],[握力]],$AH$20:$AI$29))))</f>
        <v>0</v>
      </c>
      <c r="S502" s="42">
        <f>IF(テーブル22[[#This Row],[上体]]="",0,(IF(テーブル22[[#This Row],[性別]]="男",LOOKUP(テーブル22[[#This Row],[上体]],$AJ$6:$AK$15),LOOKUP(テーブル22[[#This Row],[上体]],$AJ$20:$AK$29))))</f>
        <v>0</v>
      </c>
      <c r="T502" s="42">
        <f>IF(テーブル22[[#This Row],[長座]]="",0,(IF(テーブル22[[#This Row],[性別]]="男",LOOKUP(テーブル22[[#This Row],[長座]],$AL$6:$AM$15),LOOKUP(テーブル22[[#This Row],[長座]],$AL$20:$AM$29))))</f>
        <v>0</v>
      </c>
      <c r="U502" s="42">
        <f>IF(テーブル22[[#This Row],[反復]]="",0,(IF(テーブル22[[#This Row],[性別]]="男",LOOKUP(テーブル22[[#This Row],[反復]],$AN$6:$AO$15),LOOKUP(テーブル22[[#This Row],[反復]],$AN$20:$AO$29))))</f>
        <v>0</v>
      </c>
      <c r="V502" s="42">
        <f>IF(テーブル22[[#This Row],[ｼｬﾄﾙﾗﾝ]]="",0,(IF(テーブル22[[#This Row],[性別]]="男",LOOKUP(テーブル22[[#This Row],[ｼｬﾄﾙﾗﾝ]],$AR$6:$AS$15),LOOKUP(テーブル22[[#This Row],[ｼｬﾄﾙﾗﾝ]],$AR$20:$AS$29))))</f>
        <v>0</v>
      </c>
      <c r="W502" s="42">
        <f>IF(テーブル22[[#This Row],[50m走]]="",0,(IF(テーブル22[[#This Row],[性別]]="男",LOOKUP(テーブル22[[#This Row],[50m走]],$AT$6:$AU$15),LOOKUP(テーブル22[[#This Row],[50m走]],$AT$20:$AU$29))))</f>
        <v>0</v>
      </c>
      <c r="X502" s="42">
        <f>IF(テーブル22[[#This Row],[立幅とび]]="",0,(IF(テーブル22[[#This Row],[性別]]="男",LOOKUP(テーブル22[[#This Row],[立幅とび]],$AV$6:$AW$15),LOOKUP(テーブル22[[#This Row],[立幅とび]],$AV$20:$AW$29))))</f>
        <v>0</v>
      </c>
      <c r="Y502" s="42">
        <f>IF(テーブル22[[#This Row],[ボール投げ]]="",0,(IF(テーブル22[[#This Row],[性別]]="男",LOOKUP(テーブル22[[#This Row],[ボール投げ]],$AX$6:$AY$15),LOOKUP(テーブル22[[#This Row],[ボール投げ]],$AX$20:$AY$29))))</f>
        <v>0</v>
      </c>
      <c r="Z502" s="19" t="str">
        <f>IF(テーブル22[[#This Row],[学年]]=1,6,IF(テーブル22[[#This Row],[学年]]=2,7,IF(テーブル22[[#This Row],[学年]]=3,8,IF(テーブル22[[#This Row],[学年]]=4,9,IF(テーブル22[[#This Row],[学年]]=5,10,IF(テーブル22[[#This Row],[学年]]=6,11," "))))))</f>
        <v xml:space="preserve"> </v>
      </c>
      <c r="AA502" s="125" t="str">
        <f>IF(テーブル22[[#This Row],[肥満度数値]]="","",LOOKUP(AC502,$AW$39:$AW$44,$AX$39:$AX$44))</f>
        <v/>
      </c>
      <c r="AB502"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2" s="124" t="str">
        <f>IF(テーブル22[[#This Row],[体重]]="","",(テーブル22[[#This Row],[体重]]-テーブル22[[#This Row],[標準体重]])/テーブル22[[#This Row],[標準体重]]*100)</f>
        <v/>
      </c>
      <c r="AD502" s="1">
        <f>COUNTA(テーブル22[[#This Row],[握力]:[ボール投げ]])</f>
        <v>0</v>
      </c>
      <c r="AE502" s="1" t="str">
        <f>IF(テーブル22[[#This Row],[判定]]=$BD$10,"○","")</f>
        <v/>
      </c>
      <c r="AF502" s="1" t="str">
        <f>IF(AE502="","",COUNTIF($AE$6:AE502,"○"))</f>
        <v/>
      </c>
    </row>
    <row r="503" spans="1:32" x14ac:dyDescent="0.2">
      <c r="A503" s="40">
        <v>498</v>
      </c>
      <c r="B503" s="145"/>
      <c r="C503" s="148"/>
      <c r="D503" s="145"/>
      <c r="E503" s="156"/>
      <c r="F503" s="145"/>
      <c r="G503" s="145"/>
      <c r="H503" s="146"/>
      <c r="I503" s="146"/>
      <c r="J503" s="148"/>
      <c r="K503" s="145"/>
      <c r="L503" s="148"/>
      <c r="M503" s="149"/>
      <c r="N503" s="148"/>
      <c r="O503" s="150"/>
      <c r="P503"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3" s="43" t="str">
        <f>IF(テーブル22[[#This Row],[得点]]="","",IF(テーブル22[[#This Row],[年齢]]&gt;10,LOOKUP(P503,$BG$6:$BG$10,$BD$6:$BD$10),IF(テーブル22[[#This Row],[年齢]]&gt;9,LOOKUP(P503,$BF$6:$BF$10,$BD$6:$BD$10),IF(テーブル22[[#This Row],[年齢]]&gt;8,LOOKUP(P503,$BE$6:$BE$10,$BD$6:$BD$10),IF(テーブル22[[#This Row],[年齢]]&gt;7,LOOKUP(P503,$BC$6:$BC$10,$BD$6:$BD$10),IF(テーブル22[[#This Row],[年齢]]&gt;6,LOOKUP(P503,$BB$6:$BB$10,$BD$6:$BD$10),LOOKUP(P503,$BA$6:$BA$10,$BD$6:$BD$10)))))))</f>
        <v/>
      </c>
      <c r="R503" s="42">
        <f>IF(H503="",0,(IF(テーブル22[[#This Row],[性別]]="男",LOOKUP(テーブル22[[#This Row],[握力]],$AH$6:$AI$15),LOOKUP(テーブル22[[#This Row],[握力]],$AH$20:$AI$29))))</f>
        <v>0</v>
      </c>
      <c r="S503" s="42">
        <f>IF(テーブル22[[#This Row],[上体]]="",0,(IF(テーブル22[[#This Row],[性別]]="男",LOOKUP(テーブル22[[#This Row],[上体]],$AJ$6:$AK$15),LOOKUP(テーブル22[[#This Row],[上体]],$AJ$20:$AK$29))))</f>
        <v>0</v>
      </c>
      <c r="T503" s="42">
        <f>IF(テーブル22[[#This Row],[長座]]="",0,(IF(テーブル22[[#This Row],[性別]]="男",LOOKUP(テーブル22[[#This Row],[長座]],$AL$6:$AM$15),LOOKUP(テーブル22[[#This Row],[長座]],$AL$20:$AM$29))))</f>
        <v>0</v>
      </c>
      <c r="U503" s="42">
        <f>IF(テーブル22[[#This Row],[反復]]="",0,(IF(テーブル22[[#This Row],[性別]]="男",LOOKUP(テーブル22[[#This Row],[反復]],$AN$6:$AO$15),LOOKUP(テーブル22[[#This Row],[反復]],$AN$20:$AO$29))))</f>
        <v>0</v>
      </c>
      <c r="V503" s="42">
        <f>IF(テーブル22[[#This Row],[ｼｬﾄﾙﾗﾝ]]="",0,(IF(テーブル22[[#This Row],[性別]]="男",LOOKUP(テーブル22[[#This Row],[ｼｬﾄﾙﾗﾝ]],$AR$6:$AS$15),LOOKUP(テーブル22[[#This Row],[ｼｬﾄﾙﾗﾝ]],$AR$20:$AS$29))))</f>
        <v>0</v>
      </c>
      <c r="W503" s="42">
        <f>IF(テーブル22[[#This Row],[50m走]]="",0,(IF(テーブル22[[#This Row],[性別]]="男",LOOKUP(テーブル22[[#This Row],[50m走]],$AT$6:$AU$15),LOOKUP(テーブル22[[#This Row],[50m走]],$AT$20:$AU$29))))</f>
        <v>0</v>
      </c>
      <c r="X503" s="42">
        <f>IF(テーブル22[[#This Row],[立幅とび]]="",0,(IF(テーブル22[[#This Row],[性別]]="男",LOOKUP(テーブル22[[#This Row],[立幅とび]],$AV$6:$AW$15),LOOKUP(テーブル22[[#This Row],[立幅とび]],$AV$20:$AW$29))))</f>
        <v>0</v>
      </c>
      <c r="Y503" s="42">
        <f>IF(テーブル22[[#This Row],[ボール投げ]]="",0,(IF(テーブル22[[#This Row],[性別]]="男",LOOKUP(テーブル22[[#This Row],[ボール投げ]],$AX$6:$AY$15),LOOKUP(テーブル22[[#This Row],[ボール投げ]],$AX$20:$AY$29))))</f>
        <v>0</v>
      </c>
      <c r="Z503" s="19" t="str">
        <f>IF(テーブル22[[#This Row],[学年]]=1,6,IF(テーブル22[[#This Row],[学年]]=2,7,IF(テーブル22[[#This Row],[学年]]=3,8,IF(テーブル22[[#This Row],[学年]]=4,9,IF(テーブル22[[#This Row],[学年]]=5,10,IF(テーブル22[[#This Row],[学年]]=6,11," "))))))</f>
        <v xml:space="preserve"> </v>
      </c>
      <c r="AA503" s="125" t="str">
        <f>IF(テーブル22[[#This Row],[肥満度数値]]="","",LOOKUP(AC503,$AW$39:$AW$44,$AX$39:$AX$44))</f>
        <v/>
      </c>
      <c r="AB503"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3" s="124" t="str">
        <f>IF(テーブル22[[#This Row],[体重]]="","",(テーブル22[[#This Row],[体重]]-テーブル22[[#This Row],[標準体重]])/テーブル22[[#This Row],[標準体重]]*100)</f>
        <v/>
      </c>
      <c r="AD503" s="1">
        <f>COUNTA(テーブル22[[#This Row],[握力]:[ボール投げ]])</f>
        <v>0</v>
      </c>
      <c r="AE503" s="1" t="str">
        <f>IF(テーブル22[[#This Row],[判定]]=$BD$10,"○","")</f>
        <v/>
      </c>
      <c r="AF503" s="1" t="str">
        <f>IF(AE503="","",COUNTIF($AE$6:AE503,"○"))</f>
        <v/>
      </c>
    </row>
    <row r="504" spans="1:32" x14ac:dyDescent="0.2">
      <c r="A504" s="40">
        <v>499</v>
      </c>
      <c r="B504" s="145"/>
      <c r="C504" s="148"/>
      <c r="D504" s="145"/>
      <c r="E504" s="156"/>
      <c r="F504" s="145"/>
      <c r="G504" s="145"/>
      <c r="H504" s="146"/>
      <c r="I504" s="146"/>
      <c r="J504" s="148"/>
      <c r="K504" s="145"/>
      <c r="L504" s="148"/>
      <c r="M504" s="149"/>
      <c r="N504" s="148"/>
      <c r="O504" s="150"/>
      <c r="P504"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4" s="43" t="str">
        <f>IF(テーブル22[[#This Row],[得点]]="","",IF(テーブル22[[#This Row],[年齢]]&gt;10,LOOKUP(P504,$BG$6:$BG$10,$BD$6:$BD$10),IF(テーブル22[[#This Row],[年齢]]&gt;9,LOOKUP(P504,$BF$6:$BF$10,$BD$6:$BD$10),IF(テーブル22[[#This Row],[年齢]]&gt;8,LOOKUP(P504,$BE$6:$BE$10,$BD$6:$BD$10),IF(テーブル22[[#This Row],[年齢]]&gt;7,LOOKUP(P504,$BC$6:$BC$10,$BD$6:$BD$10),IF(テーブル22[[#This Row],[年齢]]&gt;6,LOOKUP(P504,$BB$6:$BB$10,$BD$6:$BD$10),LOOKUP(P504,$BA$6:$BA$10,$BD$6:$BD$10)))))))</f>
        <v/>
      </c>
      <c r="R504" s="42">
        <f>IF(H504="",0,(IF(テーブル22[[#This Row],[性別]]="男",LOOKUP(テーブル22[[#This Row],[握力]],$AH$6:$AI$15),LOOKUP(テーブル22[[#This Row],[握力]],$AH$20:$AI$29))))</f>
        <v>0</v>
      </c>
      <c r="S504" s="42">
        <f>IF(テーブル22[[#This Row],[上体]]="",0,(IF(テーブル22[[#This Row],[性別]]="男",LOOKUP(テーブル22[[#This Row],[上体]],$AJ$6:$AK$15),LOOKUP(テーブル22[[#This Row],[上体]],$AJ$20:$AK$29))))</f>
        <v>0</v>
      </c>
      <c r="T504" s="42">
        <f>IF(テーブル22[[#This Row],[長座]]="",0,(IF(テーブル22[[#This Row],[性別]]="男",LOOKUP(テーブル22[[#This Row],[長座]],$AL$6:$AM$15),LOOKUP(テーブル22[[#This Row],[長座]],$AL$20:$AM$29))))</f>
        <v>0</v>
      </c>
      <c r="U504" s="42">
        <f>IF(テーブル22[[#This Row],[反復]]="",0,(IF(テーブル22[[#This Row],[性別]]="男",LOOKUP(テーブル22[[#This Row],[反復]],$AN$6:$AO$15),LOOKUP(テーブル22[[#This Row],[反復]],$AN$20:$AO$29))))</f>
        <v>0</v>
      </c>
      <c r="V504" s="42">
        <f>IF(テーブル22[[#This Row],[ｼｬﾄﾙﾗﾝ]]="",0,(IF(テーブル22[[#This Row],[性別]]="男",LOOKUP(テーブル22[[#This Row],[ｼｬﾄﾙﾗﾝ]],$AR$6:$AS$15),LOOKUP(テーブル22[[#This Row],[ｼｬﾄﾙﾗﾝ]],$AR$20:$AS$29))))</f>
        <v>0</v>
      </c>
      <c r="W504" s="42">
        <f>IF(テーブル22[[#This Row],[50m走]]="",0,(IF(テーブル22[[#This Row],[性別]]="男",LOOKUP(テーブル22[[#This Row],[50m走]],$AT$6:$AU$15),LOOKUP(テーブル22[[#This Row],[50m走]],$AT$20:$AU$29))))</f>
        <v>0</v>
      </c>
      <c r="X504" s="42">
        <f>IF(テーブル22[[#This Row],[立幅とび]]="",0,(IF(テーブル22[[#This Row],[性別]]="男",LOOKUP(テーブル22[[#This Row],[立幅とび]],$AV$6:$AW$15),LOOKUP(テーブル22[[#This Row],[立幅とび]],$AV$20:$AW$29))))</f>
        <v>0</v>
      </c>
      <c r="Y504" s="42">
        <f>IF(テーブル22[[#This Row],[ボール投げ]]="",0,(IF(テーブル22[[#This Row],[性別]]="男",LOOKUP(テーブル22[[#This Row],[ボール投げ]],$AX$6:$AY$15),LOOKUP(テーブル22[[#This Row],[ボール投げ]],$AX$20:$AY$29))))</f>
        <v>0</v>
      </c>
      <c r="Z504" s="19" t="str">
        <f>IF(テーブル22[[#This Row],[学年]]=1,6,IF(テーブル22[[#This Row],[学年]]=2,7,IF(テーブル22[[#This Row],[学年]]=3,8,IF(テーブル22[[#This Row],[学年]]=4,9,IF(テーブル22[[#This Row],[学年]]=5,10,IF(テーブル22[[#This Row],[学年]]=6,11," "))))))</f>
        <v xml:space="preserve"> </v>
      </c>
      <c r="AA504" s="125" t="str">
        <f>IF(テーブル22[[#This Row],[肥満度数値]]="","",LOOKUP(AC504,$AW$39:$AW$44,$AX$39:$AX$44))</f>
        <v/>
      </c>
      <c r="AB504"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4" s="124" t="str">
        <f>IF(テーブル22[[#This Row],[体重]]="","",(テーブル22[[#This Row],[体重]]-テーブル22[[#This Row],[標準体重]])/テーブル22[[#This Row],[標準体重]]*100)</f>
        <v/>
      </c>
      <c r="AD504" s="1">
        <f>COUNTA(テーブル22[[#This Row],[握力]:[ボール投げ]])</f>
        <v>0</v>
      </c>
      <c r="AE504" s="1" t="str">
        <f>IF(テーブル22[[#This Row],[判定]]=$BD$10,"○","")</f>
        <v/>
      </c>
      <c r="AF504" s="1" t="str">
        <f>IF(AE504="","",COUNTIF($AE$6:AE504,"○"))</f>
        <v/>
      </c>
    </row>
    <row r="505" spans="1:32" x14ac:dyDescent="0.2">
      <c r="A505" s="40">
        <v>500</v>
      </c>
      <c r="B505" s="145"/>
      <c r="C505" s="148"/>
      <c r="D505" s="145"/>
      <c r="E505" s="156"/>
      <c r="F505" s="145"/>
      <c r="G505" s="145"/>
      <c r="H505" s="146"/>
      <c r="I505" s="146"/>
      <c r="J505" s="148"/>
      <c r="K505" s="145"/>
      <c r="L505" s="148"/>
      <c r="M505" s="149"/>
      <c r="N505" s="148"/>
      <c r="O505" s="150"/>
      <c r="P505" s="27" t="str">
        <f>IF((テーブル22[[#This Row],[握力2]]+テーブル22[[#This Row],[上体3]]+テーブル22[[#This Row],[長座4]]+テーブル22[[#This Row],[反復5]]+テーブル22[[#This Row],[シャトル]]+テーブル22[[#This Row],[50ｍ]]+テーブル22[[#This Row],[立幅]]+テーブル22[[#This Row],[ボール]])=0,"",テーブル22[[#This Row],[握力2]]+テーブル22[[#This Row],[上体3]]+テーブル22[[#This Row],[長座4]]+テーブル22[[#This Row],[反復5]]+テーブル22[[#This Row],[シャトル]]+テーブル22[[#This Row],[50ｍ]]+テーブル22[[#This Row],[立幅]]+テーブル22[[#This Row],[ボール]])</f>
        <v/>
      </c>
      <c r="Q505" s="43" t="str">
        <f>IF(テーブル22[[#This Row],[得点]]="","",IF(テーブル22[[#This Row],[年齢]]&gt;10,LOOKUP(P505,$BG$6:$BG$10,$BD$6:$BD$10),IF(テーブル22[[#This Row],[年齢]]&gt;9,LOOKUP(P505,$BF$6:$BF$10,$BD$6:$BD$10),IF(テーブル22[[#This Row],[年齢]]&gt;8,LOOKUP(P505,$BE$6:$BE$10,$BD$6:$BD$10),IF(テーブル22[[#This Row],[年齢]]&gt;7,LOOKUP(P505,$BC$6:$BC$10,$BD$6:$BD$10),IF(テーブル22[[#This Row],[年齢]]&gt;6,LOOKUP(P505,$BB$6:$BB$10,$BD$6:$BD$10),LOOKUP(P505,$BA$6:$BA$10,$BD$6:$BD$10)))))))</f>
        <v/>
      </c>
      <c r="R505" s="42">
        <f>IF(H505="",0,(IF(テーブル22[[#This Row],[性別]]="男",LOOKUP(テーブル22[[#This Row],[握力]],$AH$6:$AI$15),LOOKUP(テーブル22[[#This Row],[握力]],$AH$20:$AI$29))))</f>
        <v>0</v>
      </c>
      <c r="S505" s="42">
        <f>IF(テーブル22[[#This Row],[上体]]="",0,(IF(テーブル22[[#This Row],[性別]]="男",LOOKUP(テーブル22[[#This Row],[上体]],$AJ$6:$AK$15),LOOKUP(テーブル22[[#This Row],[上体]],$AJ$20:$AK$29))))</f>
        <v>0</v>
      </c>
      <c r="T505" s="42">
        <f>IF(テーブル22[[#This Row],[長座]]="",0,(IF(テーブル22[[#This Row],[性別]]="男",LOOKUP(テーブル22[[#This Row],[長座]],$AL$6:$AM$15),LOOKUP(テーブル22[[#This Row],[長座]],$AL$20:$AM$29))))</f>
        <v>0</v>
      </c>
      <c r="U505" s="42">
        <f>IF(テーブル22[[#This Row],[反復]]="",0,(IF(テーブル22[[#This Row],[性別]]="男",LOOKUP(テーブル22[[#This Row],[反復]],$AN$6:$AO$15),LOOKUP(テーブル22[[#This Row],[反復]],$AN$20:$AO$29))))</f>
        <v>0</v>
      </c>
      <c r="V505" s="42">
        <f>IF(テーブル22[[#This Row],[ｼｬﾄﾙﾗﾝ]]="",0,(IF(テーブル22[[#This Row],[性別]]="男",LOOKUP(テーブル22[[#This Row],[ｼｬﾄﾙﾗﾝ]],$AR$6:$AS$15),LOOKUP(テーブル22[[#This Row],[ｼｬﾄﾙﾗﾝ]],$AR$20:$AS$29))))</f>
        <v>0</v>
      </c>
      <c r="W505" s="42">
        <f>IF(テーブル22[[#This Row],[50m走]]="",0,(IF(テーブル22[[#This Row],[性別]]="男",LOOKUP(テーブル22[[#This Row],[50m走]],$AT$6:$AU$15),LOOKUP(テーブル22[[#This Row],[50m走]],$AT$20:$AU$29))))</f>
        <v>0</v>
      </c>
      <c r="X505" s="42">
        <f>IF(テーブル22[[#This Row],[立幅とび]]="",0,(IF(テーブル22[[#This Row],[性別]]="男",LOOKUP(テーブル22[[#This Row],[立幅とび]],$AV$6:$AW$15),LOOKUP(テーブル22[[#This Row],[立幅とび]],$AV$20:$AW$29))))</f>
        <v>0</v>
      </c>
      <c r="Y505" s="42">
        <f>IF(テーブル22[[#This Row],[ボール投げ]]="",0,(IF(テーブル22[[#This Row],[性別]]="男",LOOKUP(テーブル22[[#This Row],[ボール投げ]],$AX$6:$AY$15),LOOKUP(テーブル22[[#This Row],[ボール投げ]],$AX$20:$AY$29))))</f>
        <v>0</v>
      </c>
      <c r="Z505" s="19" t="str">
        <f>IF(テーブル22[[#This Row],[学年]]=1,6,IF(テーブル22[[#This Row],[学年]]=2,7,IF(テーブル22[[#This Row],[学年]]=3,8,IF(テーブル22[[#This Row],[学年]]=4,9,IF(テーブル22[[#This Row],[学年]]=5,10,IF(テーブル22[[#This Row],[学年]]=6,11," "))))))</f>
        <v xml:space="preserve"> </v>
      </c>
      <c r="AA505" s="125" t="str">
        <f>IF(テーブル22[[#This Row],[肥満度数値]]="","",LOOKUP(AC505,$AW$39:$AW$44,$AX$39:$AX$44))</f>
        <v/>
      </c>
      <c r="AB505" s="153" t="str">
        <f>IF(テーブル22[[#This Row],[体重]]="","",IF(テーブル22[[#This Row],[性別]]="男",IF(テーブル22[[#This Row],[年齢]]=11,(0.782*テーブル22[[#This Row],[身長]]-75.106),IF(テーブル22[[#This Row],[年齢]]=10,(0.752*テーブル22[[#This Row],[身長]]-70.461),IF(テーブル22[[#This Row],[年齢]]=9,(0.687*テーブル22[[#This Row],[身長]]-61.39),IF(テーブル22[[#This Row],[年齢]]=8,(0.592*テーブル22[[#This Row],[身長]]-48.804),IF(テーブル22[[#This Row],[年齢]]=7,(0.513*テーブル22[[#This Row],[身長]]-38.378),IF(テーブル22[[#This Row],[年齢]]=6,(0.461*テーブル22[[#This Row],[身長]]-32.382),0)))))),IF(テーブル22[[#This Row],[年齢]]=11,(0.803*テーブル22[[#This Row],[身長]]-78.846),IF(テーブル22[[#This Row],[年齢]]=10,(0.73*テーブル22[[#This Row],[身長]]-68.091),IF(テーブル22[[#This Row],[年齢]]=9,(0.652*テーブル22[[#This Row],[身長]]-56.992),IF(テーブル22[[#This Row],[年齢]]=8,(0.561*テーブル22[[#This Row],[身長]]-45.006),IF(テーブル22[[#This Row],[年齢]]=7,(0.508*テーブル22[[#This Row],[身長]]-38.367),IF(テーブル22[[#This Row],[年齢]]=6,(0.458*テーブル22[[#This Row],[身長]]-32.079)))))))))</f>
        <v/>
      </c>
      <c r="AC505" s="124" t="str">
        <f>IF(テーブル22[[#This Row],[体重]]="","",(テーブル22[[#This Row],[体重]]-テーブル22[[#This Row],[標準体重]])/テーブル22[[#This Row],[標準体重]]*100)</f>
        <v/>
      </c>
      <c r="AD505" s="1">
        <f>COUNTA(テーブル22[[#This Row],[握力]:[ボール投げ]])</f>
        <v>0</v>
      </c>
      <c r="AE505" s="1" t="str">
        <f>IF(テーブル22[[#This Row],[判定]]=$BD$10,"○","")</f>
        <v/>
      </c>
      <c r="AF505" s="1" t="str">
        <f>IF(AE505="","",COUNTIF($AE$6:AE505,"○"))</f>
        <v/>
      </c>
    </row>
    <row r="506" spans="1:32" x14ac:dyDescent="0.2">
      <c r="AE506" s="1"/>
      <c r="AF506" s="1"/>
    </row>
    <row r="507" spans="1:32" x14ac:dyDescent="0.2">
      <c r="AE507" s="1"/>
      <c r="AF507" s="1"/>
    </row>
    <row r="508" spans="1:32" x14ac:dyDescent="0.2">
      <c r="AE508" s="1"/>
      <c r="AF508" s="1"/>
    </row>
    <row r="509" spans="1:32" x14ac:dyDescent="0.2">
      <c r="AE509" s="1"/>
      <c r="AF509" s="1"/>
    </row>
    <row r="510" spans="1:32" x14ac:dyDescent="0.2">
      <c r="AE510" s="1"/>
      <c r="AF510" s="1"/>
    </row>
    <row r="511" spans="1:32" x14ac:dyDescent="0.2">
      <c r="AE511" s="1"/>
      <c r="AF511" s="1"/>
    </row>
    <row r="512" spans="1:32" x14ac:dyDescent="0.2">
      <c r="AE512" s="1"/>
      <c r="AF512" s="1"/>
    </row>
    <row r="513" spans="31:32" x14ac:dyDescent="0.2">
      <c r="AE513" s="1"/>
      <c r="AF513" s="1"/>
    </row>
    <row r="514" spans="31:32" x14ac:dyDescent="0.2">
      <c r="AE514" s="1"/>
      <c r="AF514" s="1"/>
    </row>
    <row r="515" spans="31:32" x14ac:dyDescent="0.2">
      <c r="AE515" s="1"/>
      <c r="AF515" s="1"/>
    </row>
    <row r="516" spans="31:32" x14ac:dyDescent="0.2">
      <c r="AE516" s="1"/>
      <c r="AF516" s="1"/>
    </row>
    <row r="517" spans="31:32" x14ac:dyDescent="0.2">
      <c r="AE517" s="1"/>
      <c r="AF517" s="1"/>
    </row>
    <row r="518" spans="31:32" x14ac:dyDescent="0.2">
      <c r="AE518" s="1"/>
      <c r="AF518" s="1"/>
    </row>
    <row r="519" spans="31:32" x14ac:dyDescent="0.2">
      <c r="AE519" s="1"/>
      <c r="AF519" s="1"/>
    </row>
    <row r="520" spans="31:32" x14ac:dyDescent="0.2">
      <c r="AE520" s="1"/>
      <c r="AF520" s="1"/>
    </row>
    <row r="521" spans="31:32" x14ac:dyDescent="0.2">
      <c r="AE521" s="1"/>
      <c r="AF521" s="1"/>
    </row>
    <row r="522" spans="31:32" x14ac:dyDescent="0.2">
      <c r="AE522" s="1"/>
      <c r="AF522" s="1"/>
    </row>
    <row r="523" spans="31:32" x14ac:dyDescent="0.2">
      <c r="AE523" s="1"/>
      <c r="AF523" s="1"/>
    </row>
    <row r="524" spans="31:32" x14ac:dyDescent="0.2">
      <c r="AE524" s="1"/>
      <c r="AF524" s="1"/>
    </row>
    <row r="525" spans="31:32" x14ac:dyDescent="0.2">
      <c r="AE525" s="1"/>
      <c r="AF525" s="1"/>
    </row>
    <row r="526" spans="31:32" x14ac:dyDescent="0.2">
      <c r="AE526" s="1"/>
      <c r="AF526" s="1"/>
    </row>
    <row r="527" spans="31:32" x14ac:dyDescent="0.2">
      <c r="AE527" s="1"/>
      <c r="AF527" s="1"/>
    </row>
    <row r="528" spans="31:32" x14ac:dyDescent="0.2">
      <c r="AE528" s="1"/>
      <c r="AF528" s="1"/>
    </row>
    <row r="529" spans="31:32" x14ac:dyDescent="0.2">
      <c r="AE529" s="1"/>
      <c r="AF529" s="1"/>
    </row>
    <row r="530" spans="31:32" x14ac:dyDescent="0.2">
      <c r="AE530" s="1"/>
      <c r="AF530" s="1"/>
    </row>
    <row r="531" spans="31:32" x14ac:dyDescent="0.2">
      <c r="AE531" s="1"/>
      <c r="AF531" s="1"/>
    </row>
    <row r="532" spans="31:32" x14ac:dyDescent="0.2">
      <c r="AE532" s="1"/>
      <c r="AF532" s="1"/>
    </row>
    <row r="533" spans="31:32" x14ac:dyDescent="0.2">
      <c r="AE533" s="1"/>
      <c r="AF533" s="1"/>
    </row>
    <row r="534" spans="31:32" x14ac:dyDescent="0.2">
      <c r="AE534" s="1"/>
      <c r="AF534" s="1"/>
    </row>
    <row r="535" spans="31:32" x14ac:dyDescent="0.2">
      <c r="AE535" s="1"/>
      <c r="AF535" s="1"/>
    </row>
    <row r="536" spans="31:32" x14ac:dyDescent="0.2">
      <c r="AE536" s="1"/>
      <c r="AF536" s="1"/>
    </row>
    <row r="537" spans="31:32" x14ac:dyDescent="0.2">
      <c r="AE537" s="1"/>
      <c r="AF537" s="1"/>
    </row>
    <row r="538" spans="31:32" x14ac:dyDescent="0.2">
      <c r="AE538" s="1"/>
      <c r="AF538" s="1"/>
    </row>
    <row r="539" spans="31:32" x14ac:dyDescent="0.2">
      <c r="AE539" s="1"/>
      <c r="AF539" s="1"/>
    </row>
    <row r="540" spans="31:32" x14ac:dyDescent="0.2">
      <c r="AE540" s="1"/>
      <c r="AF540" s="1"/>
    </row>
    <row r="541" spans="31:32" x14ac:dyDescent="0.2">
      <c r="AE541" s="1"/>
      <c r="AF541" s="1"/>
    </row>
    <row r="542" spans="31:32" x14ac:dyDescent="0.2">
      <c r="AE542" s="1"/>
      <c r="AF542" s="1"/>
    </row>
    <row r="543" spans="31:32" x14ac:dyDescent="0.2">
      <c r="AE543" s="1"/>
      <c r="AF543" s="1"/>
    </row>
    <row r="544" spans="31:32" x14ac:dyDescent="0.2">
      <c r="AE544" s="1"/>
      <c r="AF544" s="1"/>
    </row>
    <row r="545" spans="31:32" x14ac:dyDescent="0.2">
      <c r="AE545" s="1"/>
      <c r="AF545" s="1"/>
    </row>
    <row r="546" spans="31:32" x14ac:dyDescent="0.2">
      <c r="AE546" s="1"/>
      <c r="AF546" s="1"/>
    </row>
    <row r="547" spans="31:32" x14ac:dyDescent="0.2">
      <c r="AE547" s="1"/>
      <c r="AF547" s="1"/>
    </row>
    <row r="548" spans="31:32" x14ac:dyDescent="0.2">
      <c r="AE548" s="1"/>
      <c r="AF548" s="1"/>
    </row>
    <row r="549" spans="31:32" x14ac:dyDescent="0.2">
      <c r="AE549" s="1"/>
      <c r="AF549" s="1"/>
    </row>
    <row r="550" spans="31:32" x14ac:dyDescent="0.2">
      <c r="AE550" s="1"/>
      <c r="AF550" s="1"/>
    </row>
    <row r="551" spans="31:32" x14ac:dyDescent="0.2">
      <c r="AE551" s="1"/>
      <c r="AF551" s="1"/>
    </row>
    <row r="552" spans="31:32" x14ac:dyDescent="0.2">
      <c r="AE552" s="1"/>
      <c r="AF552" s="1"/>
    </row>
    <row r="553" spans="31:32" x14ac:dyDescent="0.2">
      <c r="AE553" s="1"/>
      <c r="AF553" s="1"/>
    </row>
    <row r="554" spans="31:32" x14ac:dyDescent="0.2">
      <c r="AE554" s="1"/>
      <c r="AF554" s="1"/>
    </row>
    <row r="555" spans="31:32" x14ac:dyDescent="0.2">
      <c r="AE555" s="1"/>
      <c r="AF555" s="1"/>
    </row>
    <row r="556" spans="31:32" x14ac:dyDescent="0.2">
      <c r="AE556" s="1"/>
      <c r="AF556" s="1"/>
    </row>
    <row r="557" spans="31:32" x14ac:dyDescent="0.2">
      <c r="AE557" s="1"/>
      <c r="AF557" s="1"/>
    </row>
    <row r="558" spans="31:32" x14ac:dyDescent="0.2">
      <c r="AE558" s="1"/>
      <c r="AF558" s="1"/>
    </row>
    <row r="559" spans="31:32" x14ac:dyDescent="0.2">
      <c r="AE559" s="1"/>
      <c r="AF559" s="1"/>
    </row>
    <row r="560" spans="31:32" x14ac:dyDescent="0.2">
      <c r="AE560" s="1"/>
      <c r="AF560" s="1"/>
    </row>
    <row r="561" spans="31:32" x14ac:dyDescent="0.2">
      <c r="AE561" s="1"/>
      <c r="AF561" s="1"/>
    </row>
    <row r="562" spans="31:32" x14ac:dyDescent="0.2">
      <c r="AE562" s="1"/>
      <c r="AF562" s="1"/>
    </row>
    <row r="563" spans="31:32" x14ac:dyDescent="0.2">
      <c r="AE563" s="1"/>
      <c r="AF563" s="1"/>
    </row>
    <row r="564" spans="31:32" x14ac:dyDescent="0.2">
      <c r="AE564" s="1"/>
      <c r="AF564" s="1"/>
    </row>
    <row r="565" spans="31:32" x14ac:dyDescent="0.2">
      <c r="AE565" s="1"/>
      <c r="AF565" s="1"/>
    </row>
    <row r="566" spans="31:32" x14ac:dyDescent="0.2">
      <c r="AE566" s="1"/>
      <c r="AF566" s="1"/>
    </row>
    <row r="567" spans="31:32" x14ac:dyDescent="0.2">
      <c r="AE567" s="1"/>
      <c r="AF567" s="1"/>
    </row>
    <row r="568" spans="31:32" x14ac:dyDescent="0.2">
      <c r="AE568" s="1"/>
      <c r="AF568" s="1"/>
    </row>
    <row r="569" spans="31:32" x14ac:dyDescent="0.2">
      <c r="AE569" s="1"/>
      <c r="AF569" s="1"/>
    </row>
    <row r="570" spans="31:32" x14ac:dyDescent="0.2">
      <c r="AE570" s="1"/>
      <c r="AF570" s="1"/>
    </row>
    <row r="571" spans="31:32" x14ac:dyDescent="0.2">
      <c r="AE571" s="1"/>
      <c r="AF571" s="1"/>
    </row>
    <row r="572" spans="31:32" x14ac:dyDescent="0.2">
      <c r="AE572" s="1"/>
      <c r="AF572" s="1"/>
    </row>
    <row r="573" spans="31:32" x14ac:dyDescent="0.2">
      <c r="AE573" s="1"/>
      <c r="AF573" s="1"/>
    </row>
    <row r="574" spans="31:32" x14ac:dyDescent="0.2">
      <c r="AE574" s="1"/>
      <c r="AF574" s="1"/>
    </row>
    <row r="575" spans="31:32" x14ac:dyDescent="0.2">
      <c r="AE575" s="1"/>
      <c r="AF575" s="1"/>
    </row>
    <row r="576" spans="31:32" x14ac:dyDescent="0.2">
      <c r="AE576" s="1"/>
      <c r="AF576" s="1"/>
    </row>
    <row r="577" spans="31:32" x14ac:dyDescent="0.2">
      <c r="AE577" s="1"/>
      <c r="AF577" s="1"/>
    </row>
    <row r="578" spans="31:32" x14ac:dyDescent="0.2">
      <c r="AE578" s="1"/>
      <c r="AF578" s="1"/>
    </row>
    <row r="579" spans="31:32" x14ac:dyDescent="0.2">
      <c r="AE579" s="1"/>
      <c r="AF579" s="1"/>
    </row>
    <row r="580" spans="31:32" x14ac:dyDescent="0.2">
      <c r="AE580" s="1"/>
      <c r="AF580" s="1"/>
    </row>
    <row r="581" spans="31:32" x14ac:dyDescent="0.2">
      <c r="AE581" s="1"/>
      <c r="AF581" s="1"/>
    </row>
    <row r="582" spans="31:32" x14ac:dyDescent="0.2">
      <c r="AE582" s="1"/>
      <c r="AF582" s="1"/>
    </row>
    <row r="583" spans="31:32" x14ac:dyDescent="0.2">
      <c r="AE583" s="1"/>
      <c r="AF583" s="1"/>
    </row>
    <row r="584" spans="31:32" x14ac:dyDescent="0.2">
      <c r="AE584" s="1"/>
      <c r="AF584" s="1"/>
    </row>
    <row r="585" spans="31:32" x14ac:dyDescent="0.2">
      <c r="AE585" s="1"/>
      <c r="AF585" s="1"/>
    </row>
    <row r="586" spans="31:32" x14ac:dyDescent="0.2">
      <c r="AE586" s="1"/>
      <c r="AF586" s="1"/>
    </row>
    <row r="587" spans="31:32" x14ac:dyDescent="0.2">
      <c r="AE587" s="1"/>
      <c r="AF587" s="1"/>
    </row>
    <row r="588" spans="31:32" x14ac:dyDescent="0.2">
      <c r="AE588" s="1"/>
      <c r="AF588" s="1"/>
    </row>
    <row r="589" spans="31:32" x14ac:dyDescent="0.2">
      <c r="AE589" s="1"/>
      <c r="AF589" s="1"/>
    </row>
    <row r="590" spans="31:32" x14ac:dyDescent="0.2">
      <c r="AE590" s="1"/>
      <c r="AF590" s="1"/>
    </row>
    <row r="591" spans="31:32" x14ac:dyDescent="0.2">
      <c r="AE591" s="1"/>
      <c r="AF591" s="1"/>
    </row>
    <row r="592" spans="31:32" x14ac:dyDescent="0.2">
      <c r="AE592" s="1"/>
      <c r="AF592" s="1"/>
    </row>
    <row r="593" spans="31:32" x14ac:dyDescent="0.2">
      <c r="AE593" s="1"/>
      <c r="AF593" s="1"/>
    </row>
    <row r="594" spans="31:32" x14ac:dyDescent="0.2">
      <c r="AE594" s="1"/>
      <c r="AF594" s="1"/>
    </row>
    <row r="595" spans="31:32" x14ac:dyDescent="0.2">
      <c r="AE595" s="1"/>
      <c r="AF595" s="1"/>
    </row>
    <row r="596" spans="31:32" x14ac:dyDescent="0.2">
      <c r="AE596" s="1"/>
      <c r="AF596" s="1"/>
    </row>
    <row r="597" spans="31:32" x14ac:dyDescent="0.2">
      <c r="AE597" s="1"/>
      <c r="AF597" s="1"/>
    </row>
    <row r="598" spans="31:32" x14ac:dyDescent="0.2">
      <c r="AE598" s="1"/>
      <c r="AF598" s="1"/>
    </row>
    <row r="599" spans="31:32" x14ac:dyDescent="0.2">
      <c r="AE599" s="1"/>
      <c r="AF599" s="1"/>
    </row>
    <row r="600" spans="31:32" x14ac:dyDescent="0.2">
      <c r="AE600" s="1"/>
      <c r="AF600" s="1"/>
    </row>
    <row r="601" spans="31:32" x14ac:dyDescent="0.2">
      <c r="AE601" s="1"/>
      <c r="AF601" s="1"/>
    </row>
    <row r="602" spans="31:32" x14ac:dyDescent="0.2">
      <c r="AE602" s="1"/>
      <c r="AF602" s="1"/>
    </row>
    <row r="603" spans="31:32" x14ac:dyDescent="0.2">
      <c r="AE603" s="1"/>
      <c r="AF603" s="1"/>
    </row>
    <row r="604" spans="31:32" x14ac:dyDescent="0.2">
      <c r="AE604" s="1"/>
      <c r="AF604" s="1"/>
    </row>
    <row r="605" spans="31:32" x14ac:dyDescent="0.2">
      <c r="AE605" s="1"/>
      <c r="AF605" s="1"/>
    </row>
    <row r="606" spans="31:32" x14ac:dyDescent="0.2">
      <c r="AE606" s="1"/>
      <c r="AF606" s="1"/>
    </row>
    <row r="607" spans="31:32" x14ac:dyDescent="0.2">
      <c r="AE607" s="1"/>
      <c r="AF607" s="1"/>
    </row>
    <row r="608" spans="31:32" x14ac:dyDescent="0.2">
      <c r="AE608" s="1"/>
      <c r="AF608" s="1"/>
    </row>
    <row r="609" spans="31:32" x14ac:dyDescent="0.2">
      <c r="AE609" s="1"/>
      <c r="AF609" s="1"/>
    </row>
    <row r="610" spans="31:32" x14ac:dyDescent="0.2">
      <c r="AE610" s="1"/>
      <c r="AF610" s="1"/>
    </row>
    <row r="611" spans="31:32" x14ac:dyDescent="0.2">
      <c r="AE611" s="1"/>
      <c r="AF611" s="1"/>
    </row>
    <row r="612" spans="31:32" x14ac:dyDescent="0.2">
      <c r="AE612" s="1"/>
      <c r="AF612" s="1"/>
    </row>
    <row r="613" spans="31:32" x14ac:dyDescent="0.2">
      <c r="AE613" s="1"/>
      <c r="AF613" s="1"/>
    </row>
    <row r="614" spans="31:32" x14ac:dyDescent="0.2">
      <c r="AE614" s="1"/>
      <c r="AF614" s="1"/>
    </row>
    <row r="615" spans="31:32" x14ac:dyDescent="0.2">
      <c r="AE615" s="1"/>
      <c r="AF615" s="1"/>
    </row>
    <row r="616" spans="31:32" x14ac:dyDescent="0.2">
      <c r="AE616" s="1"/>
      <c r="AF616" s="1"/>
    </row>
    <row r="617" spans="31:32" x14ac:dyDescent="0.2">
      <c r="AE617" s="1"/>
      <c r="AF617" s="1"/>
    </row>
    <row r="618" spans="31:32" x14ac:dyDescent="0.2">
      <c r="AE618" s="1"/>
      <c r="AF618" s="1"/>
    </row>
    <row r="619" spans="31:32" x14ac:dyDescent="0.2">
      <c r="AE619" s="1"/>
      <c r="AF619" s="1"/>
    </row>
    <row r="620" spans="31:32" x14ac:dyDescent="0.2">
      <c r="AE620" s="1"/>
      <c r="AF620" s="1"/>
    </row>
    <row r="621" spans="31:32" x14ac:dyDescent="0.2">
      <c r="AE621" s="1"/>
      <c r="AF621" s="1"/>
    </row>
    <row r="622" spans="31:32" x14ac:dyDescent="0.2">
      <c r="AE622" s="1"/>
      <c r="AF622" s="1"/>
    </row>
    <row r="623" spans="31:32" x14ac:dyDescent="0.2">
      <c r="AE623" s="1"/>
      <c r="AF623" s="1"/>
    </row>
    <row r="624" spans="31:32" x14ac:dyDescent="0.2">
      <c r="AE624" s="1"/>
      <c r="AF624" s="1"/>
    </row>
    <row r="625" spans="31:32" x14ac:dyDescent="0.2">
      <c r="AE625" s="1"/>
      <c r="AF625" s="1"/>
    </row>
    <row r="626" spans="31:32" x14ac:dyDescent="0.2">
      <c r="AE626" s="1"/>
      <c r="AF626" s="1"/>
    </row>
    <row r="627" spans="31:32" x14ac:dyDescent="0.2">
      <c r="AE627" s="1"/>
      <c r="AF627" s="1"/>
    </row>
    <row r="628" spans="31:32" x14ac:dyDescent="0.2">
      <c r="AE628" s="1"/>
      <c r="AF628" s="1"/>
    </row>
    <row r="629" spans="31:32" x14ac:dyDescent="0.2">
      <c r="AE629" s="1"/>
      <c r="AF629" s="1"/>
    </row>
    <row r="630" spans="31:32" x14ac:dyDescent="0.2">
      <c r="AE630" s="1"/>
      <c r="AF630" s="1"/>
    </row>
    <row r="631" spans="31:32" x14ac:dyDescent="0.2">
      <c r="AE631" s="1"/>
      <c r="AF631" s="1"/>
    </row>
    <row r="632" spans="31:32" x14ac:dyDescent="0.2">
      <c r="AE632" s="1"/>
      <c r="AF632" s="1"/>
    </row>
    <row r="633" spans="31:32" x14ac:dyDescent="0.2">
      <c r="AE633" s="1"/>
      <c r="AF633" s="1"/>
    </row>
    <row r="634" spans="31:32" x14ac:dyDescent="0.2">
      <c r="AE634" s="1"/>
      <c r="AF634" s="1"/>
    </row>
    <row r="635" spans="31:32" x14ac:dyDescent="0.2">
      <c r="AE635" s="1"/>
      <c r="AF635" s="1"/>
    </row>
    <row r="636" spans="31:32" x14ac:dyDescent="0.2">
      <c r="AE636" s="1"/>
      <c r="AF636" s="1"/>
    </row>
    <row r="637" spans="31:32" x14ac:dyDescent="0.2">
      <c r="AE637" s="1"/>
      <c r="AF637" s="1"/>
    </row>
    <row r="638" spans="31:32" x14ac:dyDescent="0.2">
      <c r="AE638" s="1"/>
      <c r="AF638" s="1"/>
    </row>
    <row r="639" spans="31:32" x14ac:dyDescent="0.2">
      <c r="AE639" s="1"/>
      <c r="AF639" s="1"/>
    </row>
    <row r="640" spans="31:32" x14ac:dyDescent="0.2">
      <c r="AE640" s="1"/>
      <c r="AF640" s="1"/>
    </row>
    <row r="641" spans="31:32" x14ac:dyDescent="0.2">
      <c r="AE641" s="1"/>
      <c r="AF641" s="1"/>
    </row>
    <row r="642" spans="31:32" x14ac:dyDescent="0.2">
      <c r="AE642" s="1"/>
      <c r="AF642" s="1"/>
    </row>
    <row r="643" spans="31:32" x14ac:dyDescent="0.2">
      <c r="AE643" s="1"/>
      <c r="AF643" s="1"/>
    </row>
    <row r="644" spans="31:32" x14ac:dyDescent="0.2">
      <c r="AE644" s="1"/>
      <c r="AF644" s="1"/>
    </row>
    <row r="645" spans="31:32" x14ac:dyDescent="0.2">
      <c r="AE645" s="1"/>
      <c r="AF645" s="1"/>
    </row>
    <row r="646" spans="31:32" x14ac:dyDescent="0.2">
      <c r="AE646" s="1"/>
      <c r="AF646" s="1"/>
    </row>
    <row r="647" spans="31:32" x14ac:dyDescent="0.2">
      <c r="AE647" s="1"/>
      <c r="AF647" s="1"/>
    </row>
    <row r="648" spans="31:32" x14ac:dyDescent="0.2">
      <c r="AE648" s="1"/>
      <c r="AF648" s="1"/>
    </row>
    <row r="649" spans="31:32" x14ac:dyDescent="0.2">
      <c r="AE649" s="1"/>
      <c r="AF649" s="1"/>
    </row>
    <row r="650" spans="31:32" x14ac:dyDescent="0.2">
      <c r="AE650" s="1"/>
      <c r="AF650" s="1"/>
    </row>
    <row r="651" spans="31:32" x14ac:dyDescent="0.2">
      <c r="AE651" s="1"/>
      <c r="AF651" s="1"/>
    </row>
    <row r="652" spans="31:32" x14ac:dyDescent="0.2">
      <c r="AE652" s="1"/>
      <c r="AF652" s="1"/>
    </row>
    <row r="653" spans="31:32" x14ac:dyDescent="0.2">
      <c r="AE653" s="1"/>
      <c r="AF653" s="1"/>
    </row>
    <row r="654" spans="31:32" x14ac:dyDescent="0.2">
      <c r="AE654" s="1"/>
      <c r="AF654" s="1"/>
    </row>
    <row r="655" spans="31:32" x14ac:dyDescent="0.2">
      <c r="AE655" s="1"/>
      <c r="AF655" s="1"/>
    </row>
    <row r="656" spans="31:32" x14ac:dyDescent="0.2">
      <c r="AE656" s="1"/>
      <c r="AF656" s="1"/>
    </row>
    <row r="657" spans="31:32" x14ac:dyDescent="0.2">
      <c r="AE657" s="1"/>
      <c r="AF657" s="1"/>
    </row>
    <row r="658" spans="31:32" x14ac:dyDescent="0.2">
      <c r="AE658" s="1"/>
      <c r="AF658" s="1"/>
    </row>
    <row r="659" spans="31:32" x14ac:dyDescent="0.2">
      <c r="AE659" s="1"/>
      <c r="AF659" s="1"/>
    </row>
    <row r="660" spans="31:32" x14ac:dyDescent="0.2">
      <c r="AE660" s="1"/>
      <c r="AF660" s="1"/>
    </row>
    <row r="661" spans="31:32" x14ac:dyDescent="0.2">
      <c r="AE661" s="1"/>
      <c r="AF661" s="1"/>
    </row>
    <row r="662" spans="31:32" x14ac:dyDescent="0.2">
      <c r="AE662" s="1"/>
      <c r="AF662" s="1"/>
    </row>
    <row r="663" spans="31:32" x14ac:dyDescent="0.2">
      <c r="AE663" s="1"/>
      <c r="AF663" s="1"/>
    </row>
    <row r="664" spans="31:32" x14ac:dyDescent="0.2">
      <c r="AE664" s="1"/>
      <c r="AF664" s="1"/>
    </row>
    <row r="665" spans="31:32" x14ac:dyDescent="0.2">
      <c r="AE665" s="1"/>
      <c r="AF665" s="1"/>
    </row>
    <row r="666" spans="31:32" x14ac:dyDescent="0.2">
      <c r="AE666" s="1"/>
      <c r="AF666" s="1"/>
    </row>
    <row r="667" spans="31:32" x14ac:dyDescent="0.2">
      <c r="AE667" s="1"/>
      <c r="AF667" s="1"/>
    </row>
    <row r="668" spans="31:32" x14ac:dyDescent="0.2">
      <c r="AE668" s="1"/>
      <c r="AF668" s="1"/>
    </row>
    <row r="669" spans="31:32" x14ac:dyDescent="0.2">
      <c r="AE669" s="1"/>
      <c r="AF669" s="1"/>
    </row>
    <row r="670" spans="31:32" x14ac:dyDescent="0.2">
      <c r="AE670" s="1"/>
      <c r="AF670" s="1"/>
    </row>
    <row r="671" spans="31:32" x14ac:dyDescent="0.2">
      <c r="AE671" s="1"/>
      <c r="AF671" s="1"/>
    </row>
    <row r="672" spans="31:32" x14ac:dyDescent="0.2">
      <c r="AE672" s="1"/>
      <c r="AF672" s="1"/>
    </row>
    <row r="673" spans="31:32" x14ac:dyDescent="0.2">
      <c r="AE673" s="1"/>
      <c r="AF673" s="1"/>
    </row>
    <row r="674" spans="31:32" x14ac:dyDescent="0.2">
      <c r="AE674" s="1"/>
      <c r="AF674" s="1"/>
    </row>
    <row r="675" spans="31:32" x14ac:dyDescent="0.2">
      <c r="AE675" s="1"/>
      <c r="AF675" s="1"/>
    </row>
    <row r="676" spans="31:32" x14ac:dyDescent="0.2">
      <c r="AE676" s="1"/>
      <c r="AF676" s="1"/>
    </row>
    <row r="677" spans="31:32" x14ac:dyDescent="0.2">
      <c r="AE677" s="1"/>
      <c r="AF677" s="1"/>
    </row>
    <row r="678" spans="31:32" x14ac:dyDescent="0.2">
      <c r="AE678" s="1"/>
      <c r="AF678" s="1"/>
    </row>
    <row r="679" spans="31:32" x14ac:dyDescent="0.2">
      <c r="AE679" s="1"/>
      <c r="AF679" s="1"/>
    </row>
    <row r="680" spans="31:32" x14ac:dyDescent="0.2">
      <c r="AE680" s="1"/>
      <c r="AF680" s="1"/>
    </row>
    <row r="681" spans="31:32" x14ac:dyDescent="0.2">
      <c r="AE681" s="1"/>
      <c r="AF681" s="1"/>
    </row>
    <row r="682" spans="31:32" x14ac:dyDescent="0.2">
      <c r="AE682" s="1"/>
      <c r="AF682" s="1"/>
    </row>
    <row r="683" spans="31:32" x14ac:dyDescent="0.2">
      <c r="AE683" s="1"/>
      <c r="AF683" s="1"/>
    </row>
    <row r="684" spans="31:32" x14ac:dyDescent="0.2">
      <c r="AE684" s="1"/>
      <c r="AF684" s="1"/>
    </row>
    <row r="685" spans="31:32" x14ac:dyDescent="0.2">
      <c r="AE685" s="1"/>
      <c r="AF685" s="1"/>
    </row>
    <row r="686" spans="31:32" x14ac:dyDescent="0.2">
      <c r="AE686" s="1"/>
      <c r="AF686" s="1"/>
    </row>
    <row r="687" spans="31:32" x14ac:dyDescent="0.2">
      <c r="AE687" s="1"/>
      <c r="AF687" s="1"/>
    </row>
    <row r="688" spans="31:32" x14ac:dyDescent="0.2">
      <c r="AE688" s="1"/>
      <c r="AF688" s="1"/>
    </row>
    <row r="689" spans="31:32" x14ac:dyDescent="0.2">
      <c r="AE689" s="1"/>
      <c r="AF689" s="1"/>
    </row>
    <row r="690" spans="31:32" x14ac:dyDescent="0.2">
      <c r="AE690" s="1"/>
      <c r="AF690" s="1"/>
    </row>
    <row r="691" spans="31:32" x14ac:dyDescent="0.2">
      <c r="AE691" s="1"/>
      <c r="AF691" s="1"/>
    </row>
    <row r="692" spans="31:32" x14ac:dyDescent="0.2">
      <c r="AE692" s="1"/>
      <c r="AF692" s="1"/>
    </row>
    <row r="693" spans="31:32" x14ac:dyDescent="0.2">
      <c r="AE693" s="1"/>
      <c r="AF693" s="1"/>
    </row>
    <row r="694" spans="31:32" x14ac:dyDescent="0.2">
      <c r="AE694" s="1"/>
      <c r="AF694" s="1"/>
    </row>
    <row r="695" spans="31:32" x14ac:dyDescent="0.2">
      <c r="AE695" s="1"/>
      <c r="AF695" s="1"/>
    </row>
    <row r="696" spans="31:32" x14ac:dyDescent="0.2">
      <c r="AE696" s="1"/>
      <c r="AF696" s="1"/>
    </row>
    <row r="697" spans="31:32" x14ac:dyDescent="0.2">
      <c r="AE697" s="1"/>
      <c r="AF697" s="1"/>
    </row>
    <row r="698" spans="31:32" x14ac:dyDescent="0.2">
      <c r="AE698" s="1"/>
      <c r="AF698" s="1"/>
    </row>
    <row r="699" spans="31:32" x14ac:dyDescent="0.2">
      <c r="AE699" s="1"/>
      <c r="AF699" s="1"/>
    </row>
    <row r="700" spans="31:32" x14ac:dyDescent="0.2">
      <c r="AE700" s="1"/>
      <c r="AF700" s="1"/>
    </row>
    <row r="701" spans="31:32" x14ac:dyDescent="0.2">
      <c r="AE701" s="1"/>
      <c r="AF701" s="1"/>
    </row>
    <row r="702" spans="31:32" x14ac:dyDescent="0.2">
      <c r="AE702" s="1"/>
      <c r="AF702" s="1"/>
    </row>
    <row r="703" spans="31:32" x14ac:dyDescent="0.2">
      <c r="AE703" s="1"/>
      <c r="AF703" s="1"/>
    </row>
    <row r="704" spans="31:32" x14ac:dyDescent="0.2">
      <c r="AE704" s="1"/>
      <c r="AF704" s="1"/>
    </row>
    <row r="705" spans="31:32" x14ac:dyDescent="0.2">
      <c r="AE705" s="1"/>
      <c r="AF705" s="1"/>
    </row>
    <row r="706" spans="31:32" x14ac:dyDescent="0.2">
      <c r="AE706" s="1"/>
      <c r="AF706" s="1"/>
    </row>
    <row r="707" spans="31:32" x14ac:dyDescent="0.2">
      <c r="AE707" s="1"/>
      <c r="AF707" s="1"/>
    </row>
    <row r="708" spans="31:32" x14ac:dyDescent="0.2">
      <c r="AE708" s="1"/>
      <c r="AF708" s="1"/>
    </row>
    <row r="709" spans="31:32" x14ac:dyDescent="0.2">
      <c r="AE709" s="1"/>
      <c r="AF709" s="1"/>
    </row>
    <row r="710" spans="31:32" x14ac:dyDescent="0.2">
      <c r="AE710" s="1"/>
      <c r="AF710" s="1"/>
    </row>
    <row r="711" spans="31:32" x14ac:dyDescent="0.2">
      <c r="AE711" s="1"/>
      <c r="AF711" s="1"/>
    </row>
    <row r="712" spans="31:32" x14ac:dyDescent="0.2">
      <c r="AE712" s="1"/>
      <c r="AF712" s="1"/>
    </row>
    <row r="713" spans="31:32" x14ac:dyDescent="0.2">
      <c r="AE713" s="1"/>
      <c r="AF713" s="1"/>
    </row>
    <row r="714" spans="31:32" x14ac:dyDescent="0.2">
      <c r="AE714" s="1"/>
      <c r="AF714" s="1"/>
    </row>
    <row r="715" spans="31:32" x14ac:dyDescent="0.2">
      <c r="AE715" s="1"/>
      <c r="AF715" s="1"/>
    </row>
    <row r="716" spans="31:32" x14ac:dyDescent="0.2">
      <c r="AE716" s="1"/>
      <c r="AF716" s="1"/>
    </row>
    <row r="717" spans="31:32" x14ac:dyDescent="0.2">
      <c r="AE717" s="1"/>
      <c r="AF717" s="1"/>
    </row>
    <row r="718" spans="31:32" x14ac:dyDescent="0.2">
      <c r="AE718" s="1"/>
      <c r="AF718" s="1"/>
    </row>
    <row r="719" spans="31:32" x14ac:dyDescent="0.2">
      <c r="AE719" s="1"/>
      <c r="AF719" s="1"/>
    </row>
    <row r="720" spans="31:32" x14ac:dyDescent="0.2">
      <c r="AE720" s="1"/>
      <c r="AF720" s="1"/>
    </row>
    <row r="721" spans="31:32" x14ac:dyDescent="0.2">
      <c r="AE721" s="1"/>
      <c r="AF721" s="1"/>
    </row>
    <row r="722" spans="31:32" x14ac:dyDescent="0.2">
      <c r="AE722" s="1"/>
      <c r="AF722" s="1"/>
    </row>
    <row r="723" spans="31:32" x14ac:dyDescent="0.2">
      <c r="AE723" s="1"/>
      <c r="AF723" s="1"/>
    </row>
    <row r="724" spans="31:32" x14ac:dyDescent="0.2">
      <c r="AE724" s="1"/>
      <c r="AF724" s="1"/>
    </row>
    <row r="725" spans="31:32" x14ac:dyDescent="0.2">
      <c r="AE725" s="1"/>
      <c r="AF725" s="1"/>
    </row>
    <row r="726" spans="31:32" x14ac:dyDescent="0.2">
      <c r="AE726" s="1"/>
      <c r="AF726" s="1"/>
    </row>
    <row r="727" spans="31:32" x14ac:dyDescent="0.2">
      <c r="AE727" s="1"/>
      <c r="AF727" s="1"/>
    </row>
    <row r="728" spans="31:32" x14ac:dyDescent="0.2">
      <c r="AE728" s="1"/>
      <c r="AF728" s="1"/>
    </row>
    <row r="729" spans="31:32" x14ac:dyDescent="0.2">
      <c r="AE729" s="1"/>
      <c r="AF729" s="1"/>
    </row>
    <row r="730" spans="31:32" x14ac:dyDescent="0.2">
      <c r="AE730" s="1"/>
      <c r="AF730" s="1"/>
    </row>
    <row r="731" spans="31:32" x14ac:dyDescent="0.2">
      <c r="AE731" s="1"/>
      <c r="AF731" s="1"/>
    </row>
    <row r="732" spans="31:32" x14ac:dyDescent="0.2">
      <c r="AE732" s="1"/>
      <c r="AF732" s="1"/>
    </row>
    <row r="733" spans="31:32" x14ac:dyDescent="0.2">
      <c r="AE733" s="1"/>
      <c r="AF733" s="1"/>
    </row>
    <row r="734" spans="31:32" x14ac:dyDescent="0.2">
      <c r="AE734" s="1"/>
      <c r="AF734" s="1"/>
    </row>
    <row r="735" spans="31:32" x14ac:dyDescent="0.2">
      <c r="AE735" s="1"/>
      <c r="AF735" s="1"/>
    </row>
    <row r="736" spans="31:32" x14ac:dyDescent="0.2">
      <c r="AE736" s="1"/>
      <c r="AF736" s="1"/>
    </row>
    <row r="737" spans="31:32" x14ac:dyDescent="0.2">
      <c r="AE737" s="1"/>
      <c r="AF737" s="1"/>
    </row>
    <row r="738" spans="31:32" x14ac:dyDescent="0.2">
      <c r="AE738" s="1"/>
      <c r="AF738" s="1"/>
    </row>
    <row r="739" spans="31:32" x14ac:dyDescent="0.2">
      <c r="AE739" s="1"/>
      <c r="AF739" s="1"/>
    </row>
    <row r="740" spans="31:32" x14ac:dyDescent="0.2">
      <c r="AE740" s="1"/>
      <c r="AF740" s="1"/>
    </row>
    <row r="741" spans="31:32" x14ac:dyDescent="0.2">
      <c r="AE741" s="1"/>
      <c r="AF741" s="1"/>
    </row>
    <row r="742" spans="31:32" x14ac:dyDescent="0.2">
      <c r="AE742" s="1"/>
      <c r="AF742" s="1"/>
    </row>
    <row r="743" spans="31:32" x14ac:dyDescent="0.2">
      <c r="AE743" s="1"/>
      <c r="AF743" s="1"/>
    </row>
    <row r="744" spans="31:32" x14ac:dyDescent="0.2">
      <c r="AE744" s="1"/>
      <c r="AF744" s="1"/>
    </row>
    <row r="745" spans="31:32" x14ac:dyDescent="0.2">
      <c r="AE745" s="1"/>
      <c r="AF745" s="1"/>
    </row>
    <row r="746" spans="31:32" x14ac:dyDescent="0.2">
      <c r="AE746" s="1"/>
      <c r="AF746" s="1"/>
    </row>
    <row r="747" spans="31:32" x14ac:dyDescent="0.2">
      <c r="AE747" s="1"/>
      <c r="AF747" s="1"/>
    </row>
    <row r="748" spans="31:32" x14ac:dyDescent="0.2">
      <c r="AE748" s="1"/>
      <c r="AF748" s="1"/>
    </row>
    <row r="749" spans="31:32" x14ac:dyDescent="0.2">
      <c r="AE749" s="1"/>
      <c r="AF749" s="1"/>
    </row>
    <row r="750" spans="31:32" x14ac:dyDescent="0.2">
      <c r="AE750" s="1"/>
      <c r="AF750" s="1"/>
    </row>
    <row r="751" spans="31:32" x14ac:dyDescent="0.2">
      <c r="AE751" s="1"/>
      <c r="AF751" s="1"/>
    </row>
    <row r="752" spans="31:32" x14ac:dyDescent="0.2">
      <c r="AE752" s="1"/>
      <c r="AF752" s="1"/>
    </row>
    <row r="753" spans="31:32" x14ac:dyDescent="0.2">
      <c r="AE753" s="1"/>
      <c r="AF753" s="1"/>
    </row>
    <row r="754" spans="31:32" x14ac:dyDescent="0.2">
      <c r="AE754" s="1"/>
      <c r="AF754" s="1"/>
    </row>
    <row r="755" spans="31:32" x14ac:dyDescent="0.2">
      <c r="AE755" s="1"/>
      <c r="AF755" s="1"/>
    </row>
    <row r="756" spans="31:32" x14ac:dyDescent="0.2">
      <c r="AE756" s="1"/>
      <c r="AF756" s="1"/>
    </row>
    <row r="757" spans="31:32" x14ac:dyDescent="0.2">
      <c r="AE757" s="1"/>
      <c r="AF757" s="1"/>
    </row>
    <row r="758" spans="31:32" x14ac:dyDescent="0.2">
      <c r="AE758" s="1"/>
      <c r="AF758" s="1"/>
    </row>
    <row r="759" spans="31:32" x14ac:dyDescent="0.2">
      <c r="AE759" s="1"/>
      <c r="AF759" s="1"/>
    </row>
    <row r="760" spans="31:32" x14ac:dyDescent="0.2">
      <c r="AE760" s="1"/>
      <c r="AF760" s="1"/>
    </row>
    <row r="761" spans="31:32" x14ac:dyDescent="0.2">
      <c r="AE761" s="1"/>
      <c r="AF761" s="1"/>
    </row>
    <row r="762" spans="31:32" x14ac:dyDescent="0.2">
      <c r="AE762" s="1"/>
      <c r="AF762" s="1"/>
    </row>
    <row r="763" spans="31:32" x14ac:dyDescent="0.2">
      <c r="AE763" s="1"/>
      <c r="AF763" s="1"/>
    </row>
    <row r="764" spans="31:32" x14ac:dyDescent="0.2">
      <c r="AE764" s="1"/>
      <c r="AF764" s="1"/>
    </row>
    <row r="765" spans="31:32" x14ac:dyDescent="0.2">
      <c r="AE765" s="1"/>
      <c r="AF765" s="1"/>
    </row>
    <row r="766" spans="31:32" x14ac:dyDescent="0.2">
      <c r="AE766" s="1"/>
      <c r="AF766" s="1"/>
    </row>
    <row r="767" spans="31:32" x14ac:dyDescent="0.2">
      <c r="AE767" s="1"/>
      <c r="AF767" s="1"/>
    </row>
    <row r="768" spans="31:32" x14ac:dyDescent="0.2">
      <c r="AE768" s="1"/>
      <c r="AF768" s="1"/>
    </row>
    <row r="769" spans="31:32" x14ac:dyDescent="0.2">
      <c r="AE769" s="1"/>
      <c r="AF769" s="1"/>
    </row>
    <row r="770" spans="31:32" x14ac:dyDescent="0.2">
      <c r="AE770" s="1"/>
      <c r="AF770" s="1"/>
    </row>
    <row r="771" spans="31:32" x14ac:dyDescent="0.2">
      <c r="AE771" s="1"/>
      <c r="AF771" s="1"/>
    </row>
    <row r="772" spans="31:32" x14ac:dyDescent="0.2">
      <c r="AE772" s="1"/>
      <c r="AF772" s="1"/>
    </row>
    <row r="773" spans="31:32" x14ac:dyDescent="0.2">
      <c r="AE773" s="1"/>
      <c r="AF773" s="1"/>
    </row>
    <row r="774" spans="31:32" x14ac:dyDescent="0.2">
      <c r="AE774" s="1"/>
      <c r="AF774" s="1"/>
    </row>
    <row r="775" spans="31:32" x14ac:dyDescent="0.2">
      <c r="AE775" s="1"/>
      <c r="AF775" s="1"/>
    </row>
    <row r="776" spans="31:32" x14ac:dyDescent="0.2">
      <c r="AE776" s="1"/>
      <c r="AF776" s="1"/>
    </row>
    <row r="777" spans="31:32" x14ac:dyDescent="0.2">
      <c r="AE777" s="1"/>
      <c r="AF777" s="1"/>
    </row>
    <row r="778" spans="31:32" x14ac:dyDescent="0.2">
      <c r="AE778" s="1"/>
      <c r="AF778" s="1"/>
    </row>
    <row r="779" spans="31:32" x14ac:dyDescent="0.2">
      <c r="AE779" s="1"/>
      <c r="AF779" s="1"/>
    </row>
    <row r="780" spans="31:32" x14ac:dyDescent="0.2">
      <c r="AE780" s="1"/>
      <c r="AF780" s="1"/>
    </row>
    <row r="781" spans="31:32" x14ac:dyDescent="0.2">
      <c r="AE781" s="1"/>
      <c r="AF781" s="1"/>
    </row>
    <row r="782" spans="31:32" x14ac:dyDescent="0.2">
      <c r="AE782" s="1"/>
      <c r="AF782" s="1"/>
    </row>
    <row r="783" spans="31:32" x14ac:dyDescent="0.2">
      <c r="AE783" s="1"/>
      <c r="AF783" s="1"/>
    </row>
    <row r="784" spans="31:32" x14ac:dyDescent="0.2">
      <c r="AE784" s="1"/>
      <c r="AF784" s="1"/>
    </row>
    <row r="785" spans="31:32" x14ac:dyDescent="0.2">
      <c r="AE785" s="1"/>
      <c r="AF785" s="1"/>
    </row>
    <row r="786" spans="31:32" x14ac:dyDescent="0.2">
      <c r="AE786" s="1"/>
      <c r="AF786" s="1"/>
    </row>
    <row r="787" spans="31:32" x14ac:dyDescent="0.2">
      <c r="AE787" s="1"/>
      <c r="AF787" s="1"/>
    </row>
    <row r="788" spans="31:32" x14ac:dyDescent="0.2">
      <c r="AE788" s="1"/>
      <c r="AF788" s="1"/>
    </row>
    <row r="789" spans="31:32" x14ac:dyDescent="0.2">
      <c r="AE789" s="1"/>
      <c r="AF789" s="1"/>
    </row>
    <row r="790" spans="31:32" x14ac:dyDescent="0.2">
      <c r="AE790" s="1"/>
      <c r="AF790" s="1"/>
    </row>
    <row r="791" spans="31:32" x14ac:dyDescent="0.2">
      <c r="AE791" s="1"/>
      <c r="AF791" s="1"/>
    </row>
    <row r="792" spans="31:32" x14ac:dyDescent="0.2">
      <c r="AE792" s="1"/>
      <c r="AF792" s="1"/>
    </row>
    <row r="793" spans="31:32" x14ac:dyDescent="0.2">
      <c r="AE793" s="1"/>
      <c r="AF793" s="1"/>
    </row>
    <row r="794" spans="31:32" x14ac:dyDescent="0.2">
      <c r="AE794" s="1"/>
      <c r="AF794" s="1"/>
    </row>
    <row r="795" spans="31:32" x14ac:dyDescent="0.2">
      <c r="AE795" s="1"/>
      <c r="AF795" s="1"/>
    </row>
    <row r="796" spans="31:32" x14ac:dyDescent="0.2">
      <c r="AE796" s="1"/>
      <c r="AF796" s="1"/>
    </row>
    <row r="797" spans="31:32" x14ac:dyDescent="0.2">
      <c r="AE797" s="1"/>
      <c r="AF797" s="1"/>
    </row>
    <row r="798" spans="31:32" x14ac:dyDescent="0.2">
      <c r="AE798" s="1"/>
      <c r="AF798" s="1"/>
    </row>
    <row r="799" spans="31:32" x14ac:dyDescent="0.2">
      <c r="AE799" s="1"/>
      <c r="AF799" s="1"/>
    </row>
    <row r="800" spans="31:32" x14ac:dyDescent="0.2">
      <c r="AE800" s="1"/>
      <c r="AF800" s="1"/>
    </row>
    <row r="801" spans="31:32" x14ac:dyDescent="0.2">
      <c r="AE801" s="1"/>
      <c r="AF801" s="1"/>
    </row>
    <row r="802" spans="31:32" x14ac:dyDescent="0.2">
      <c r="AE802" s="1"/>
      <c r="AF802" s="1"/>
    </row>
    <row r="803" spans="31:32" x14ac:dyDescent="0.2">
      <c r="AE803" s="1"/>
      <c r="AF803" s="1"/>
    </row>
    <row r="804" spans="31:32" x14ac:dyDescent="0.2">
      <c r="AE804" s="1"/>
      <c r="AF804" s="1"/>
    </row>
    <row r="805" spans="31:32" x14ac:dyDescent="0.2">
      <c r="AE805" s="1"/>
      <c r="AF805" s="1"/>
    </row>
    <row r="806" spans="31:32" x14ac:dyDescent="0.2">
      <c r="AE806" s="1"/>
      <c r="AF806" s="1"/>
    </row>
    <row r="807" spans="31:32" x14ac:dyDescent="0.2">
      <c r="AE807" s="1"/>
      <c r="AF807" s="1"/>
    </row>
    <row r="808" spans="31:32" x14ac:dyDescent="0.2">
      <c r="AE808" s="1"/>
      <c r="AF808" s="1"/>
    </row>
    <row r="809" spans="31:32" x14ac:dyDescent="0.2">
      <c r="AE809" s="1"/>
      <c r="AF809" s="1"/>
    </row>
    <row r="810" spans="31:32" x14ac:dyDescent="0.2">
      <c r="AE810" s="1"/>
      <c r="AF810" s="1"/>
    </row>
    <row r="811" spans="31:32" x14ac:dyDescent="0.2">
      <c r="AE811" s="1"/>
      <c r="AF811" s="1"/>
    </row>
    <row r="812" spans="31:32" x14ac:dyDescent="0.2">
      <c r="AE812" s="1"/>
      <c r="AF812" s="1"/>
    </row>
    <row r="813" spans="31:32" x14ac:dyDescent="0.2">
      <c r="AE813" s="1"/>
      <c r="AF813" s="1"/>
    </row>
    <row r="814" spans="31:32" x14ac:dyDescent="0.2">
      <c r="AE814" s="1"/>
      <c r="AF814" s="1"/>
    </row>
    <row r="815" spans="31:32" x14ac:dyDescent="0.2">
      <c r="AE815" s="1"/>
      <c r="AF815" s="1"/>
    </row>
    <row r="816" spans="31:32" x14ac:dyDescent="0.2">
      <c r="AE816" s="1"/>
      <c r="AF816" s="1"/>
    </row>
    <row r="817" spans="31:32" x14ac:dyDescent="0.2">
      <c r="AE817" s="1"/>
      <c r="AF817" s="1"/>
    </row>
    <row r="818" spans="31:32" x14ac:dyDescent="0.2">
      <c r="AE818" s="1"/>
      <c r="AF818" s="1"/>
    </row>
    <row r="819" spans="31:32" x14ac:dyDescent="0.2">
      <c r="AE819" s="1"/>
      <c r="AF819" s="1"/>
    </row>
    <row r="820" spans="31:32" x14ac:dyDescent="0.2">
      <c r="AE820" s="1"/>
      <c r="AF820" s="1"/>
    </row>
    <row r="821" spans="31:32" x14ac:dyDescent="0.2">
      <c r="AE821" s="1"/>
      <c r="AF821" s="1"/>
    </row>
    <row r="822" spans="31:32" x14ac:dyDescent="0.2">
      <c r="AE822" s="1"/>
      <c r="AF822" s="1"/>
    </row>
    <row r="823" spans="31:32" x14ac:dyDescent="0.2">
      <c r="AE823" s="1"/>
      <c r="AF823" s="1"/>
    </row>
    <row r="824" spans="31:32" x14ac:dyDescent="0.2">
      <c r="AE824" s="1"/>
      <c r="AF824" s="1"/>
    </row>
    <row r="825" spans="31:32" x14ac:dyDescent="0.2">
      <c r="AE825" s="1"/>
      <c r="AF825" s="1"/>
    </row>
    <row r="826" spans="31:32" x14ac:dyDescent="0.2">
      <c r="AE826" s="1"/>
      <c r="AF826" s="1"/>
    </row>
    <row r="827" spans="31:32" x14ac:dyDescent="0.2">
      <c r="AE827" s="1"/>
      <c r="AF827" s="1"/>
    </row>
    <row r="828" spans="31:32" x14ac:dyDescent="0.2">
      <c r="AE828" s="1"/>
      <c r="AF828" s="1"/>
    </row>
    <row r="829" spans="31:32" x14ac:dyDescent="0.2">
      <c r="AE829" s="1"/>
      <c r="AF829" s="1"/>
    </row>
    <row r="830" spans="31:32" x14ac:dyDescent="0.2">
      <c r="AE830" s="1"/>
      <c r="AF830" s="1"/>
    </row>
    <row r="831" spans="31:32" x14ac:dyDescent="0.2">
      <c r="AE831" s="1"/>
      <c r="AF831" s="1"/>
    </row>
    <row r="832" spans="31:32" x14ac:dyDescent="0.2">
      <c r="AE832" s="1"/>
      <c r="AF832" s="1"/>
    </row>
    <row r="833" spans="31:32" x14ac:dyDescent="0.2">
      <c r="AE833" s="1"/>
      <c r="AF833" s="1"/>
    </row>
    <row r="834" spans="31:32" x14ac:dyDescent="0.2">
      <c r="AE834" s="1"/>
      <c r="AF834" s="1"/>
    </row>
    <row r="835" spans="31:32" x14ac:dyDescent="0.2">
      <c r="AE835" s="1"/>
      <c r="AF835" s="1"/>
    </row>
    <row r="836" spans="31:32" x14ac:dyDescent="0.2">
      <c r="AE836" s="1"/>
      <c r="AF836" s="1"/>
    </row>
    <row r="837" spans="31:32" x14ac:dyDescent="0.2">
      <c r="AE837" s="1"/>
      <c r="AF837" s="1"/>
    </row>
    <row r="838" spans="31:32" x14ac:dyDescent="0.2">
      <c r="AE838" s="1"/>
      <c r="AF838" s="1"/>
    </row>
    <row r="839" spans="31:32" x14ac:dyDescent="0.2">
      <c r="AE839" s="1"/>
      <c r="AF839" s="1"/>
    </row>
    <row r="840" spans="31:32" x14ac:dyDescent="0.2">
      <c r="AE840" s="1"/>
      <c r="AF840" s="1"/>
    </row>
    <row r="841" spans="31:32" x14ac:dyDescent="0.2">
      <c r="AE841" s="1"/>
      <c r="AF841" s="1"/>
    </row>
    <row r="842" spans="31:32" x14ac:dyDescent="0.2">
      <c r="AE842" s="1"/>
      <c r="AF842" s="1"/>
    </row>
    <row r="843" spans="31:32" x14ac:dyDescent="0.2">
      <c r="AE843" s="1"/>
      <c r="AF843" s="1"/>
    </row>
    <row r="844" spans="31:32" x14ac:dyDescent="0.2">
      <c r="AE844" s="1"/>
      <c r="AF844" s="1"/>
    </row>
    <row r="845" spans="31:32" x14ac:dyDescent="0.2">
      <c r="AE845" s="1"/>
      <c r="AF845" s="1"/>
    </row>
    <row r="846" spans="31:32" x14ac:dyDescent="0.2">
      <c r="AE846" s="1"/>
      <c r="AF846" s="1"/>
    </row>
    <row r="847" spans="31:32" x14ac:dyDescent="0.2">
      <c r="AE847" s="1"/>
      <c r="AF847" s="1"/>
    </row>
    <row r="848" spans="31:32" x14ac:dyDescent="0.2">
      <c r="AE848" s="1"/>
      <c r="AF848" s="1"/>
    </row>
    <row r="849" spans="31:32" x14ac:dyDescent="0.2">
      <c r="AE849" s="1"/>
      <c r="AF849" s="1"/>
    </row>
    <row r="850" spans="31:32" x14ac:dyDescent="0.2">
      <c r="AE850" s="1"/>
      <c r="AF850" s="1"/>
    </row>
    <row r="851" spans="31:32" x14ac:dyDescent="0.2">
      <c r="AE851" s="1"/>
      <c r="AF851" s="1"/>
    </row>
    <row r="852" spans="31:32" x14ac:dyDescent="0.2">
      <c r="AE852" s="1"/>
      <c r="AF852" s="1"/>
    </row>
    <row r="853" spans="31:32" x14ac:dyDescent="0.2">
      <c r="AE853" s="1"/>
      <c r="AF853" s="1"/>
    </row>
    <row r="854" spans="31:32" x14ac:dyDescent="0.2">
      <c r="AE854" s="1"/>
      <c r="AF854" s="1"/>
    </row>
    <row r="855" spans="31:32" x14ac:dyDescent="0.2">
      <c r="AE855" s="1"/>
      <c r="AF855" s="1"/>
    </row>
    <row r="856" spans="31:32" x14ac:dyDescent="0.2">
      <c r="AE856" s="1"/>
      <c r="AF856" s="1"/>
    </row>
    <row r="857" spans="31:32" x14ac:dyDescent="0.2">
      <c r="AE857" s="1"/>
      <c r="AF857" s="1"/>
    </row>
    <row r="858" spans="31:32" x14ac:dyDescent="0.2">
      <c r="AE858" s="1"/>
      <c r="AF858" s="1"/>
    </row>
    <row r="859" spans="31:32" x14ac:dyDescent="0.2">
      <c r="AE859" s="1"/>
      <c r="AF859" s="1"/>
    </row>
    <row r="860" spans="31:32" x14ac:dyDescent="0.2">
      <c r="AE860" s="1"/>
      <c r="AF860" s="1"/>
    </row>
    <row r="861" spans="31:32" x14ac:dyDescent="0.2">
      <c r="AE861" s="1"/>
      <c r="AF861" s="1"/>
    </row>
    <row r="862" spans="31:32" x14ac:dyDescent="0.2">
      <c r="AE862" s="1"/>
      <c r="AF862" s="1"/>
    </row>
    <row r="863" spans="31:32" x14ac:dyDescent="0.2">
      <c r="AE863" s="1"/>
      <c r="AF863" s="1"/>
    </row>
    <row r="864" spans="31:32" x14ac:dyDescent="0.2">
      <c r="AE864" s="1"/>
      <c r="AF864" s="1"/>
    </row>
    <row r="865" spans="31:32" x14ac:dyDescent="0.2">
      <c r="AE865" s="1"/>
      <c r="AF865" s="1"/>
    </row>
    <row r="866" spans="31:32" x14ac:dyDescent="0.2">
      <c r="AE866" s="1"/>
      <c r="AF866" s="1"/>
    </row>
    <row r="867" spans="31:32" x14ac:dyDescent="0.2">
      <c r="AE867" s="1"/>
      <c r="AF867" s="1"/>
    </row>
    <row r="868" spans="31:32" x14ac:dyDescent="0.2">
      <c r="AE868" s="1"/>
      <c r="AF868" s="1"/>
    </row>
    <row r="869" spans="31:32" x14ac:dyDescent="0.2">
      <c r="AE869" s="1"/>
      <c r="AF869" s="1"/>
    </row>
    <row r="870" spans="31:32" x14ac:dyDescent="0.2">
      <c r="AE870" s="1"/>
      <c r="AF870" s="1"/>
    </row>
    <row r="871" spans="31:32" x14ac:dyDescent="0.2">
      <c r="AE871" s="1"/>
      <c r="AF871" s="1"/>
    </row>
    <row r="872" spans="31:32" x14ac:dyDescent="0.2">
      <c r="AE872" s="1"/>
      <c r="AF872" s="1"/>
    </row>
    <row r="873" spans="31:32" x14ac:dyDescent="0.2">
      <c r="AE873" s="1"/>
      <c r="AF873" s="1"/>
    </row>
    <row r="874" spans="31:32" x14ac:dyDescent="0.2">
      <c r="AE874" s="1"/>
      <c r="AF874" s="1"/>
    </row>
    <row r="875" spans="31:32" x14ac:dyDescent="0.2">
      <c r="AE875" s="1"/>
      <c r="AF875" s="1"/>
    </row>
    <row r="876" spans="31:32" x14ac:dyDescent="0.2">
      <c r="AE876" s="1"/>
      <c r="AF876" s="1"/>
    </row>
    <row r="877" spans="31:32" x14ac:dyDescent="0.2">
      <c r="AE877" s="1"/>
      <c r="AF877" s="1"/>
    </row>
    <row r="878" spans="31:32" x14ac:dyDescent="0.2">
      <c r="AE878" s="1"/>
      <c r="AF878" s="1"/>
    </row>
    <row r="879" spans="31:32" x14ac:dyDescent="0.2">
      <c r="AE879" s="1"/>
      <c r="AF879" s="1"/>
    </row>
    <row r="880" spans="31:32" x14ac:dyDescent="0.2">
      <c r="AE880" s="1"/>
      <c r="AF880" s="1"/>
    </row>
    <row r="881" spans="31:32" x14ac:dyDescent="0.2">
      <c r="AE881" s="1"/>
      <c r="AF881" s="1"/>
    </row>
    <row r="882" spans="31:32" x14ac:dyDescent="0.2">
      <c r="AE882" s="1"/>
      <c r="AF882" s="1"/>
    </row>
    <row r="883" spans="31:32" x14ac:dyDescent="0.2">
      <c r="AE883" s="1"/>
      <c r="AF883" s="1"/>
    </row>
    <row r="884" spans="31:32" x14ac:dyDescent="0.2">
      <c r="AE884" s="1"/>
      <c r="AF884" s="1"/>
    </row>
    <row r="885" spans="31:32" x14ac:dyDescent="0.2">
      <c r="AE885" s="1"/>
      <c r="AF885" s="1"/>
    </row>
    <row r="886" spans="31:32" x14ac:dyDescent="0.2">
      <c r="AE886" s="1"/>
      <c r="AF886" s="1"/>
    </row>
    <row r="887" spans="31:32" x14ac:dyDescent="0.2">
      <c r="AE887" s="1"/>
      <c r="AF887" s="1"/>
    </row>
    <row r="888" spans="31:32" x14ac:dyDescent="0.2">
      <c r="AE888" s="1"/>
      <c r="AF888" s="1"/>
    </row>
    <row r="889" spans="31:32" x14ac:dyDescent="0.2">
      <c r="AE889" s="1"/>
      <c r="AF889" s="1"/>
    </row>
    <row r="890" spans="31:32" x14ac:dyDescent="0.2">
      <c r="AE890" s="1"/>
      <c r="AF890" s="1"/>
    </row>
    <row r="891" spans="31:32" x14ac:dyDescent="0.2">
      <c r="AE891" s="1"/>
      <c r="AF891" s="1"/>
    </row>
    <row r="892" spans="31:32" x14ac:dyDescent="0.2">
      <c r="AE892" s="1"/>
      <c r="AF892" s="1"/>
    </row>
    <row r="893" spans="31:32" x14ac:dyDescent="0.2">
      <c r="AE893" s="1"/>
      <c r="AF893" s="1"/>
    </row>
    <row r="894" spans="31:32" x14ac:dyDescent="0.2">
      <c r="AE894" s="1"/>
      <c r="AF894" s="1"/>
    </row>
    <row r="895" spans="31:32" x14ac:dyDescent="0.2">
      <c r="AE895" s="1"/>
      <c r="AF895" s="1"/>
    </row>
    <row r="896" spans="31:32" x14ac:dyDescent="0.2">
      <c r="AE896" s="1"/>
      <c r="AF896" s="1"/>
    </row>
    <row r="897" spans="31:32" x14ac:dyDescent="0.2">
      <c r="AE897" s="1"/>
      <c r="AF897" s="1"/>
    </row>
    <row r="898" spans="31:32" x14ac:dyDescent="0.2">
      <c r="AE898" s="1"/>
      <c r="AF898" s="1"/>
    </row>
    <row r="899" spans="31:32" x14ac:dyDescent="0.2">
      <c r="AE899" s="1"/>
      <c r="AF899" s="1"/>
    </row>
    <row r="900" spans="31:32" x14ac:dyDescent="0.2">
      <c r="AE900" s="1"/>
      <c r="AF900" s="1"/>
    </row>
    <row r="901" spans="31:32" x14ac:dyDescent="0.2">
      <c r="AE901" s="1"/>
      <c r="AF901" s="1"/>
    </row>
    <row r="902" spans="31:32" x14ac:dyDescent="0.2">
      <c r="AE902" s="1"/>
      <c r="AF902" s="1"/>
    </row>
    <row r="903" spans="31:32" x14ac:dyDescent="0.2">
      <c r="AE903" s="1"/>
      <c r="AF903" s="1"/>
    </row>
    <row r="904" spans="31:32" x14ac:dyDescent="0.2">
      <c r="AE904" s="1"/>
      <c r="AF904" s="1"/>
    </row>
    <row r="905" spans="31:32" x14ac:dyDescent="0.2">
      <c r="AE905" s="1"/>
      <c r="AF905" s="1"/>
    </row>
    <row r="906" spans="31:32" x14ac:dyDescent="0.2">
      <c r="AE906" s="1"/>
      <c r="AF906" s="1"/>
    </row>
    <row r="907" spans="31:32" x14ac:dyDescent="0.2">
      <c r="AE907" s="1"/>
      <c r="AF907" s="1"/>
    </row>
    <row r="908" spans="31:32" x14ac:dyDescent="0.2">
      <c r="AE908" s="1"/>
      <c r="AF908" s="1"/>
    </row>
    <row r="909" spans="31:32" x14ac:dyDescent="0.2">
      <c r="AE909" s="1"/>
      <c r="AF909" s="1"/>
    </row>
    <row r="910" spans="31:32" x14ac:dyDescent="0.2">
      <c r="AE910" s="1"/>
      <c r="AF910" s="1"/>
    </row>
    <row r="911" spans="31:32" x14ac:dyDescent="0.2">
      <c r="AE911" s="1"/>
      <c r="AF911" s="1"/>
    </row>
    <row r="912" spans="31:32" x14ac:dyDescent="0.2">
      <c r="AE912" s="1"/>
      <c r="AF912" s="1"/>
    </row>
    <row r="913" spans="31:32" x14ac:dyDescent="0.2">
      <c r="AE913" s="1"/>
      <c r="AF913" s="1"/>
    </row>
    <row r="914" spans="31:32" x14ac:dyDescent="0.2">
      <c r="AE914" s="1"/>
      <c r="AF914" s="1"/>
    </row>
    <row r="915" spans="31:32" x14ac:dyDescent="0.2">
      <c r="AE915" s="1"/>
      <c r="AF915" s="1"/>
    </row>
    <row r="916" spans="31:32" x14ac:dyDescent="0.2">
      <c r="AE916" s="1"/>
      <c r="AF916" s="1"/>
    </row>
    <row r="917" spans="31:32" x14ac:dyDescent="0.2">
      <c r="AE917" s="1"/>
      <c r="AF917" s="1"/>
    </row>
    <row r="918" spans="31:32" x14ac:dyDescent="0.2">
      <c r="AE918" s="1"/>
      <c r="AF918" s="1"/>
    </row>
    <row r="919" spans="31:32" x14ac:dyDescent="0.2">
      <c r="AE919" s="1"/>
      <c r="AF919" s="1"/>
    </row>
    <row r="920" spans="31:32" x14ac:dyDescent="0.2">
      <c r="AE920" s="1"/>
      <c r="AF920" s="1"/>
    </row>
    <row r="921" spans="31:32" x14ac:dyDescent="0.2">
      <c r="AE921" s="1"/>
      <c r="AF921" s="1"/>
    </row>
    <row r="922" spans="31:32" x14ac:dyDescent="0.2">
      <c r="AE922" s="1"/>
      <c r="AF922" s="1"/>
    </row>
    <row r="923" spans="31:32" x14ac:dyDescent="0.2">
      <c r="AE923" s="1"/>
      <c r="AF923" s="1"/>
    </row>
    <row r="924" spans="31:32" x14ac:dyDescent="0.2">
      <c r="AE924" s="1"/>
      <c r="AF924" s="1"/>
    </row>
    <row r="925" spans="31:32" x14ac:dyDescent="0.2">
      <c r="AE925" s="1"/>
      <c r="AF925" s="1"/>
    </row>
    <row r="926" spans="31:32" x14ac:dyDescent="0.2">
      <c r="AE926" s="1"/>
      <c r="AF926" s="1"/>
    </row>
    <row r="927" spans="31:32" x14ac:dyDescent="0.2">
      <c r="AE927" s="1"/>
      <c r="AF927" s="1"/>
    </row>
    <row r="928" spans="31:32" x14ac:dyDescent="0.2">
      <c r="AE928" s="1"/>
      <c r="AF928" s="1"/>
    </row>
    <row r="929" spans="31:32" x14ac:dyDescent="0.2">
      <c r="AE929" s="1"/>
      <c r="AF929" s="1"/>
    </row>
    <row r="930" spans="31:32" x14ac:dyDescent="0.2">
      <c r="AE930" s="1"/>
      <c r="AF930" s="1"/>
    </row>
    <row r="931" spans="31:32" x14ac:dyDescent="0.2">
      <c r="AE931" s="1"/>
      <c r="AF931" s="1"/>
    </row>
    <row r="932" spans="31:32" x14ac:dyDescent="0.2">
      <c r="AE932" s="1"/>
      <c r="AF932" s="1"/>
    </row>
    <row r="933" spans="31:32" x14ac:dyDescent="0.2">
      <c r="AE933" s="1"/>
      <c r="AF933" s="1"/>
    </row>
    <row r="934" spans="31:32" x14ac:dyDescent="0.2">
      <c r="AE934" s="1"/>
      <c r="AF934" s="1"/>
    </row>
    <row r="935" spans="31:32" x14ac:dyDescent="0.2">
      <c r="AE935" s="1"/>
      <c r="AF935" s="1"/>
    </row>
    <row r="936" spans="31:32" x14ac:dyDescent="0.2">
      <c r="AE936" s="1"/>
      <c r="AF936" s="1"/>
    </row>
    <row r="937" spans="31:32" x14ac:dyDescent="0.2">
      <c r="AE937" s="1"/>
      <c r="AF937" s="1"/>
    </row>
    <row r="938" spans="31:32" x14ac:dyDescent="0.2">
      <c r="AE938" s="1"/>
      <c r="AF938" s="1"/>
    </row>
    <row r="939" spans="31:32" x14ac:dyDescent="0.2">
      <c r="AE939" s="1"/>
      <c r="AF939" s="1"/>
    </row>
    <row r="940" spans="31:32" x14ac:dyDescent="0.2">
      <c r="AE940" s="1"/>
      <c r="AF940" s="1"/>
    </row>
    <row r="941" spans="31:32" x14ac:dyDescent="0.2">
      <c r="AE941" s="1"/>
      <c r="AF941" s="1"/>
    </row>
    <row r="942" spans="31:32" x14ac:dyDescent="0.2">
      <c r="AE942" s="1"/>
      <c r="AF942" s="1"/>
    </row>
    <row r="943" spans="31:32" x14ac:dyDescent="0.2">
      <c r="AE943" s="1"/>
      <c r="AF943" s="1"/>
    </row>
    <row r="944" spans="31:32" x14ac:dyDescent="0.2">
      <c r="AE944" s="1"/>
      <c r="AF944" s="1"/>
    </row>
    <row r="945" spans="31:32" x14ac:dyDescent="0.2">
      <c r="AE945" s="1"/>
      <c r="AF945" s="1"/>
    </row>
    <row r="946" spans="31:32" x14ac:dyDescent="0.2">
      <c r="AE946" s="1"/>
      <c r="AF946" s="1"/>
    </row>
    <row r="947" spans="31:32" x14ac:dyDescent="0.2">
      <c r="AE947" s="1"/>
      <c r="AF947" s="1"/>
    </row>
    <row r="948" spans="31:32" x14ac:dyDescent="0.2">
      <c r="AE948" s="1"/>
      <c r="AF948" s="1"/>
    </row>
    <row r="949" spans="31:32" x14ac:dyDescent="0.2">
      <c r="AE949" s="1"/>
      <c r="AF949" s="1"/>
    </row>
    <row r="950" spans="31:32" x14ac:dyDescent="0.2">
      <c r="AE950" s="1"/>
      <c r="AF950" s="1"/>
    </row>
    <row r="951" spans="31:32" x14ac:dyDescent="0.2">
      <c r="AE951" s="1"/>
      <c r="AF951" s="1"/>
    </row>
    <row r="952" spans="31:32" x14ac:dyDescent="0.2">
      <c r="AE952" s="1"/>
      <c r="AF952" s="1"/>
    </row>
    <row r="953" spans="31:32" x14ac:dyDescent="0.2">
      <c r="AE953" s="1"/>
      <c r="AF953" s="1"/>
    </row>
    <row r="954" spans="31:32" x14ac:dyDescent="0.2">
      <c r="AE954" s="1"/>
      <c r="AF954" s="1"/>
    </row>
    <row r="955" spans="31:32" x14ac:dyDescent="0.2">
      <c r="AE955" s="1"/>
      <c r="AF955" s="1"/>
    </row>
    <row r="956" spans="31:32" x14ac:dyDescent="0.2">
      <c r="AE956" s="1"/>
      <c r="AF956" s="1"/>
    </row>
    <row r="957" spans="31:32" x14ac:dyDescent="0.2">
      <c r="AE957" s="1"/>
      <c r="AF957" s="1"/>
    </row>
    <row r="958" spans="31:32" x14ac:dyDescent="0.2">
      <c r="AE958" s="1"/>
      <c r="AF958" s="1"/>
    </row>
    <row r="959" spans="31:32" x14ac:dyDescent="0.2">
      <c r="AE959" s="1"/>
      <c r="AF959" s="1"/>
    </row>
    <row r="960" spans="31:32" x14ac:dyDescent="0.2">
      <c r="AE960" s="1"/>
      <c r="AF960" s="1"/>
    </row>
    <row r="961" spans="31:32" x14ac:dyDescent="0.2">
      <c r="AE961" s="1"/>
      <c r="AF961" s="1"/>
    </row>
    <row r="962" spans="31:32" x14ac:dyDescent="0.2">
      <c r="AE962" s="1"/>
      <c r="AF962" s="1"/>
    </row>
    <row r="963" spans="31:32" x14ac:dyDescent="0.2">
      <c r="AE963" s="1"/>
      <c r="AF963" s="1"/>
    </row>
    <row r="964" spans="31:32" x14ac:dyDescent="0.2">
      <c r="AE964" s="1"/>
      <c r="AF964" s="1"/>
    </row>
    <row r="965" spans="31:32" x14ac:dyDescent="0.2">
      <c r="AE965" s="1"/>
      <c r="AF965" s="1"/>
    </row>
    <row r="966" spans="31:32" x14ac:dyDescent="0.2">
      <c r="AE966" s="1"/>
      <c r="AF966" s="1"/>
    </row>
    <row r="967" spans="31:32" x14ac:dyDescent="0.2">
      <c r="AE967" s="1"/>
      <c r="AF967" s="1"/>
    </row>
    <row r="968" spans="31:32" x14ac:dyDescent="0.2">
      <c r="AE968" s="1"/>
      <c r="AF968" s="1"/>
    </row>
    <row r="969" spans="31:32" x14ac:dyDescent="0.2">
      <c r="AE969" s="1"/>
      <c r="AF969" s="1"/>
    </row>
    <row r="970" spans="31:32" x14ac:dyDescent="0.2">
      <c r="AE970" s="1"/>
      <c r="AF970" s="1"/>
    </row>
    <row r="971" spans="31:32" x14ac:dyDescent="0.2">
      <c r="AE971" s="1"/>
      <c r="AF971" s="1"/>
    </row>
    <row r="972" spans="31:32" x14ac:dyDescent="0.2">
      <c r="AE972" s="1"/>
      <c r="AF972" s="1"/>
    </row>
    <row r="973" spans="31:32" x14ac:dyDescent="0.2">
      <c r="AE973" s="1"/>
      <c r="AF973" s="1"/>
    </row>
    <row r="974" spans="31:32" x14ac:dyDescent="0.2">
      <c r="AE974" s="1"/>
      <c r="AF974" s="1"/>
    </row>
    <row r="975" spans="31:32" x14ac:dyDescent="0.2">
      <c r="AE975" s="1"/>
      <c r="AF975" s="1"/>
    </row>
    <row r="976" spans="31:32" x14ac:dyDescent="0.2">
      <c r="AE976" s="1"/>
      <c r="AF976" s="1"/>
    </row>
    <row r="977" spans="31:32" x14ac:dyDescent="0.2">
      <c r="AE977" s="1"/>
      <c r="AF977" s="1"/>
    </row>
    <row r="978" spans="31:32" x14ac:dyDescent="0.2">
      <c r="AE978" s="1"/>
      <c r="AF978" s="1"/>
    </row>
    <row r="979" spans="31:32" x14ac:dyDescent="0.2">
      <c r="AE979" s="1"/>
      <c r="AF979" s="1"/>
    </row>
    <row r="980" spans="31:32" x14ac:dyDescent="0.2">
      <c r="AE980" s="1"/>
      <c r="AF980" s="1"/>
    </row>
    <row r="981" spans="31:32" x14ac:dyDescent="0.2">
      <c r="AE981" s="1"/>
      <c r="AF981" s="1"/>
    </row>
    <row r="982" spans="31:32" x14ac:dyDescent="0.2">
      <c r="AE982" s="1"/>
      <c r="AF982" s="1"/>
    </row>
    <row r="983" spans="31:32" x14ac:dyDescent="0.2">
      <c r="AE983" s="1"/>
      <c r="AF983" s="1"/>
    </row>
    <row r="984" spans="31:32" x14ac:dyDescent="0.2">
      <c r="AE984" s="1"/>
      <c r="AF984" s="1"/>
    </row>
    <row r="985" spans="31:32" x14ac:dyDescent="0.2">
      <c r="AE985" s="1"/>
      <c r="AF985" s="1"/>
    </row>
    <row r="986" spans="31:32" x14ac:dyDescent="0.2">
      <c r="AE986" s="1"/>
      <c r="AF986" s="1"/>
    </row>
    <row r="987" spans="31:32" x14ac:dyDescent="0.2">
      <c r="AE987" s="1"/>
      <c r="AF987" s="1"/>
    </row>
    <row r="988" spans="31:32" x14ac:dyDescent="0.2">
      <c r="AE988" s="1"/>
      <c r="AF988" s="1"/>
    </row>
    <row r="989" spans="31:32" x14ac:dyDescent="0.2">
      <c r="AE989" s="1"/>
      <c r="AF989" s="1"/>
    </row>
    <row r="990" spans="31:32" x14ac:dyDescent="0.2">
      <c r="AE990" s="1"/>
      <c r="AF990" s="1"/>
    </row>
    <row r="991" spans="31:32" x14ac:dyDescent="0.2">
      <c r="AE991" s="1"/>
      <c r="AF991" s="1"/>
    </row>
    <row r="992" spans="31:32" x14ac:dyDescent="0.2">
      <c r="AE992" s="1"/>
      <c r="AF992" s="1"/>
    </row>
    <row r="993" spans="31:32" x14ac:dyDescent="0.2">
      <c r="AE993" s="1"/>
      <c r="AF993" s="1"/>
    </row>
    <row r="994" spans="31:32" x14ac:dyDescent="0.2">
      <c r="AE994" s="1"/>
      <c r="AF994" s="1"/>
    </row>
    <row r="995" spans="31:32" x14ac:dyDescent="0.2">
      <c r="AE995" s="1"/>
      <c r="AF995" s="1"/>
    </row>
    <row r="996" spans="31:32" x14ac:dyDescent="0.2">
      <c r="AE996" s="1"/>
      <c r="AF996" s="1"/>
    </row>
    <row r="997" spans="31:32" x14ac:dyDescent="0.2">
      <c r="AE997" s="1"/>
      <c r="AF997" s="1"/>
    </row>
    <row r="998" spans="31:32" x14ac:dyDescent="0.2">
      <c r="AE998" s="1"/>
      <c r="AF998" s="1"/>
    </row>
    <row r="999" spans="31:32" x14ac:dyDescent="0.2">
      <c r="AE999" s="1"/>
      <c r="AF999" s="1"/>
    </row>
    <row r="1000" spans="31:32" x14ac:dyDescent="0.2">
      <c r="AE1000" s="1"/>
      <c r="AF1000" s="1"/>
    </row>
    <row r="1001" spans="31:32" x14ac:dyDescent="0.2">
      <c r="AE1001" s="1"/>
      <c r="AF1001" s="1"/>
    </row>
    <row r="1002" spans="31:32" x14ac:dyDescent="0.2">
      <c r="AE1002" s="1"/>
      <c r="AF1002" s="1"/>
    </row>
    <row r="1003" spans="31:32" x14ac:dyDescent="0.2">
      <c r="AE1003" s="1"/>
      <c r="AF1003" s="1"/>
    </row>
    <row r="1004" spans="31:32" x14ac:dyDescent="0.2">
      <c r="AE1004" s="1"/>
      <c r="AF1004" s="1"/>
    </row>
    <row r="1005" spans="31:32" x14ac:dyDescent="0.2">
      <c r="AE1005" s="1"/>
      <c r="AF1005" s="1"/>
    </row>
  </sheetData>
  <mergeCells count="8">
    <mergeCell ref="A1:AA1"/>
    <mergeCell ref="BA20:BA21"/>
    <mergeCell ref="BB20:BC20"/>
    <mergeCell ref="BD20:BE20"/>
    <mergeCell ref="C2:D3"/>
    <mergeCell ref="E2:H3"/>
    <mergeCell ref="K2:K3"/>
    <mergeCell ref="L2:P3"/>
  </mergeCells>
  <phoneticPr fontId="1"/>
  <conditionalFormatting sqref="O506">
    <cfRule type="cellIs" dxfId="75" priority="16" operator="notBetween">
      <formula>0</formula>
      <formula>80</formula>
    </cfRule>
  </conditionalFormatting>
  <conditionalFormatting sqref="H6:I505">
    <cfRule type="expression" dxfId="74" priority="4">
      <formula>H6-INT(H6)&gt;0</formula>
    </cfRule>
    <cfRule type="cellIs" dxfId="73" priority="14" operator="notBetween">
      <formula>1</formula>
      <formula>70</formula>
    </cfRule>
  </conditionalFormatting>
  <conditionalFormatting sqref="I6:I505">
    <cfRule type="cellIs" dxfId="72" priority="13" operator="notBetween">
      <formula>1</formula>
      <formula>60</formula>
    </cfRule>
  </conditionalFormatting>
  <conditionalFormatting sqref="J6:J505">
    <cfRule type="expression" dxfId="71" priority="3">
      <formula>J6-INT(J6)&gt;0</formula>
    </cfRule>
    <cfRule type="cellIs" dxfId="70" priority="12" operator="notBetween">
      <formula>1</formula>
      <formula>100</formula>
    </cfRule>
  </conditionalFormatting>
  <conditionalFormatting sqref="K6:K505">
    <cfRule type="cellIs" dxfId="69" priority="11" operator="notBetween">
      <formula>1</formula>
      <formula>80</formula>
    </cfRule>
  </conditionalFormatting>
  <conditionalFormatting sqref="L6:L505">
    <cfRule type="cellIs" dxfId="68" priority="10" operator="notBetween">
      <formula>1</formula>
      <formula>150</formula>
    </cfRule>
  </conditionalFormatting>
  <conditionalFormatting sqref="M6:M505">
    <cfRule type="cellIs" dxfId="67" priority="9" operator="notBetween">
      <formula>5</formula>
      <formula>20</formula>
    </cfRule>
  </conditionalFormatting>
  <conditionalFormatting sqref="N6:N505">
    <cfRule type="expression" dxfId="66" priority="1">
      <formula>N6-INT(N6)&gt;0</formula>
    </cfRule>
    <cfRule type="cellIs" dxfId="65" priority="7" operator="notBetween">
      <formula>1</formula>
      <formula>300</formula>
    </cfRule>
  </conditionalFormatting>
  <conditionalFormatting sqref="O6:O505">
    <cfRule type="expression" dxfId="64" priority="5">
      <formula>O6-INT(O6)&gt;0</formula>
    </cfRule>
    <cfRule type="cellIs" dxfId="63" priority="8" operator="notBetween">
      <formula>1</formula>
      <formula>80</formula>
    </cfRule>
  </conditionalFormatting>
  <conditionalFormatting sqref="B6:O505">
    <cfRule type="containsErrors" dxfId="62" priority="2">
      <formula>ISERROR(B6)</formula>
    </cfRule>
    <cfRule type="containsBlanks" dxfId="61" priority="6">
      <formula>LEN(TRIM(B6))=0</formula>
    </cfRule>
  </conditionalFormatting>
  <dataValidations count="7">
    <dataValidation type="whole" allowBlank="1" showInputMessage="1" showErrorMessage="1" sqref="H6:H505" xr:uid="{00000000-0002-0000-0100-000000000000}">
      <formula1>0</formula1>
      <formula2>70</formula2>
    </dataValidation>
    <dataValidation type="whole" allowBlank="1" showInputMessage="1" showErrorMessage="1" sqref="I6:I505" xr:uid="{00000000-0002-0000-0100-000001000000}">
      <formula1>0</formula1>
      <formula2>60</formula2>
    </dataValidation>
    <dataValidation type="whole" allowBlank="1" showInputMessage="1" showErrorMessage="1" sqref="J6:J505" xr:uid="{00000000-0002-0000-0100-000002000000}">
      <formula1>0</formula1>
      <formula2>100</formula2>
    </dataValidation>
    <dataValidation type="whole" allowBlank="1" showInputMessage="1" showErrorMessage="1" sqref="O6:O505 K6:K505" xr:uid="{00000000-0002-0000-0100-000003000000}">
      <formula1>0</formula1>
      <formula2>80</formula2>
    </dataValidation>
    <dataValidation type="whole" allowBlank="1" showInputMessage="1" showErrorMessage="1" sqref="L6:L505" xr:uid="{00000000-0002-0000-0100-000004000000}">
      <formula1>0</formula1>
      <formula2>150</formula2>
    </dataValidation>
    <dataValidation type="decimal" allowBlank="1" showInputMessage="1" showErrorMessage="1" sqref="M6:M505" xr:uid="{00000000-0002-0000-0100-000005000000}">
      <formula1>5.3</formula1>
      <formula2>20</formula2>
    </dataValidation>
    <dataValidation type="whole" allowBlank="1" showInputMessage="1" showErrorMessage="1" sqref="N6:N505" xr:uid="{00000000-0002-0000-0100-000006000000}">
      <formula1>0</formula1>
      <formula2>300</formula2>
    </dataValidation>
  </dataValidations>
  <printOptions horizontalCentered="1" verticalCentered="1"/>
  <pageMargins left="0.11811023622047245" right="0.11811023622047245" top="0.74803149606299213" bottom="0.74803149606299213" header="0.31496062992125984" footer="0.31496062992125984"/>
  <pageSetup paperSize="9" scale="69" orientation="portrait" r:id="rId1"/>
  <colBreaks count="1" manualBreakCount="1">
    <brk id="41"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U20"/>
  <sheetViews>
    <sheetView topLeftCell="A4" zoomScale="80" zoomScaleNormal="80" workbookViewId="0">
      <selection activeCell="S12" sqref="S12"/>
    </sheetView>
  </sheetViews>
  <sheetFormatPr defaultRowHeight="13" x14ac:dyDescent="0.2"/>
  <cols>
    <col min="1" max="4" width="4.26953125" customWidth="1"/>
    <col min="5" max="12" width="5.08984375" customWidth="1"/>
    <col min="13" max="13" width="4.90625" customWidth="1"/>
    <col min="14" max="14" width="5.08984375" customWidth="1"/>
    <col min="15" max="15" width="3.453125" bestFit="1" customWidth="1"/>
    <col min="16" max="16" width="3.36328125" bestFit="1" customWidth="1"/>
    <col min="17" max="17" width="3.7265625" customWidth="1"/>
    <col min="18" max="18" width="3.36328125" bestFit="1" customWidth="1"/>
    <col min="19" max="19" width="3.7265625" customWidth="1"/>
    <col min="20" max="20" width="3.453125" bestFit="1" customWidth="1"/>
    <col min="21" max="21" width="5.08984375" customWidth="1"/>
  </cols>
  <sheetData>
    <row r="1" spans="1:20" ht="29.25" customHeight="1" x14ac:dyDescent="0.2">
      <c r="A1" s="239" t="s">
        <v>49</v>
      </c>
      <c r="B1" s="239"/>
      <c r="C1" s="239"/>
      <c r="D1" s="239"/>
      <c r="E1" s="239"/>
      <c r="F1" s="239"/>
      <c r="G1" s="239"/>
      <c r="H1" s="239"/>
      <c r="I1" s="239"/>
      <c r="J1" s="239"/>
      <c r="K1" s="239"/>
      <c r="L1" s="239"/>
      <c r="M1" s="239"/>
      <c r="N1" s="239"/>
      <c r="O1" s="239"/>
      <c r="P1" s="239"/>
      <c r="Q1" s="239"/>
      <c r="R1" s="239"/>
      <c r="S1" s="239"/>
      <c r="T1" s="239"/>
    </row>
    <row r="2" spans="1:20" ht="24.75" customHeight="1" x14ac:dyDescent="0.2">
      <c r="A2" s="23"/>
      <c r="B2" s="23"/>
      <c r="C2" s="23"/>
      <c r="D2" s="23"/>
      <c r="E2" s="23"/>
      <c r="F2" s="23"/>
      <c r="G2" s="23"/>
      <c r="H2" s="23"/>
      <c r="I2" s="23"/>
      <c r="J2" s="23"/>
      <c r="K2" s="23"/>
      <c r="L2" s="23"/>
      <c r="M2" s="23"/>
      <c r="N2" s="23"/>
      <c r="O2" s="23"/>
      <c r="P2" s="23"/>
      <c r="Q2" s="23"/>
      <c r="R2" s="23"/>
      <c r="S2" s="23"/>
      <c r="T2" s="23"/>
    </row>
    <row r="3" spans="1:20" ht="29.25" customHeight="1" x14ac:dyDescent="0.2">
      <c r="A3" s="4"/>
      <c r="B3" s="5"/>
      <c r="C3" s="5"/>
      <c r="D3" s="5"/>
      <c r="E3" s="5"/>
      <c r="F3" s="5"/>
      <c r="G3" s="237"/>
      <c r="H3" s="237"/>
      <c r="I3" s="5"/>
      <c r="J3" s="5"/>
      <c r="K3" s="5"/>
      <c r="L3" s="5"/>
      <c r="M3" s="5"/>
      <c r="N3" s="5" t="s">
        <v>259</v>
      </c>
      <c r="O3" s="5">
        <v>2</v>
      </c>
      <c r="P3" s="21" t="s">
        <v>75</v>
      </c>
      <c r="Q3" s="151"/>
      <c r="R3" s="5" t="s">
        <v>76</v>
      </c>
      <c r="S3" s="151"/>
      <c r="T3" s="22" t="s">
        <v>77</v>
      </c>
    </row>
    <row r="4" spans="1:20" ht="29.25" customHeight="1" x14ac:dyDescent="0.2">
      <c r="A4" s="4"/>
      <c r="B4" s="5"/>
      <c r="C4" s="5"/>
      <c r="D4" s="5"/>
      <c r="E4" s="5"/>
      <c r="F4" s="5"/>
      <c r="G4" s="5"/>
      <c r="H4" s="5"/>
      <c r="I4" s="5"/>
      <c r="J4" s="5"/>
      <c r="K4" s="5"/>
      <c r="L4" s="5"/>
      <c r="M4" s="5"/>
      <c r="N4" s="5"/>
      <c r="O4" s="5"/>
      <c r="P4" s="21"/>
      <c r="Q4" s="21"/>
      <c r="R4" s="5"/>
      <c r="S4" s="21"/>
      <c r="T4" s="5"/>
    </row>
    <row r="5" spans="1:20" ht="29.25" customHeight="1" x14ac:dyDescent="0.2">
      <c r="A5" s="9" t="s">
        <v>47</v>
      </c>
      <c r="B5" s="8"/>
      <c r="C5" s="5"/>
      <c r="D5" s="5"/>
      <c r="E5" s="5"/>
      <c r="F5" s="5"/>
      <c r="G5" s="5"/>
      <c r="H5" s="5"/>
      <c r="I5" s="5"/>
      <c r="J5" s="5"/>
      <c r="K5" s="5"/>
      <c r="L5" s="5"/>
      <c r="M5" s="5"/>
      <c r="N5" s="5"/>
      <c r="O5" s="5"/>
      <c r="P5" s="21"/>
      <c r="Q5" s="21"/>
      <c r="R5" s="5"/>
      <c r="S5" s="21"/>
      <c r="T5" s="5"/>
    </row>
    <row r="6" spans="1:20" ht="29.25" customHeight="1" x14ac:dyDescent="0.2">
      <c r="A6" s="4"/>
      <c r="B6" s="5"/>
      <c r="C6" s="5"/>
      <c r="D6" s="5"/>
      <c r="E6" s="5"/>
      <c r="F6" s="5"/>
      <c r="G6" s="5"/>
      <c r="H6" s="5"/>
      <c r="I6" s="5"/>
      <c r="J6" s="5"/>
      <c r="K6" s="5"/>
      <c r="L6" s="5"/>
      <c r="M6" s="5"/>
      <c r="N6" s="5"/>
      <c r="O6" s="5"/>
      <c r="P6" s="21"/>
      <c r="Q6" s="21"/>
      <c r="R6" s="5"/>
      <c r="S6" s="21"/>
      <c r="T6" s="5"/>
    </row>
    <row r="7" spans="1:20" ht="29.25" customHeight="1" x14ac:dyDescent="0.2">
      <c r="A7" s="4"/>
      <c r="B7" s="5"/>
      <c r="C7" s="5"/>
      <c r="D7" s="5"/>
      <c r="E7" s="5"/>
      <c r="F7" s="5"/>
      <c r="G7" s="5"/>
      <c r="J7" s="240" t="s">
        <v>45</v>
      </c>
      <c r="K7" s="240"/>
      <c r="L7" s="241">
        <f>入力シート!E2</f>
        <v>0</v>
      </c>
      <c r="M7" s="241"/>
      <c r="N7" s="241"/>
      <c r="O7" s="241"/>
      <c r="P7" s="241"/>
      <c r="Q7" s="241"/>
      <c r="R7" s="241"/>
      <c r="S7" s="241"/>
      <c r="T7" s="241"/>
    </row>
    <row r="8" spans="1:20" ht="29.25" customHeight="1" x14ac:dyDescent="0.2">
      <c r="A8" s="4"/>
      <c r="B8" s="5"/>
      <c r="C8" s="5"/>
      <c r="D8" s="5"/>
      <c r="E8" s="5"/>
      <c r="F8" s="5"/>
      <c r="G8" s="5"/>
      <c r="J8" s="240" t="s">
        <v>46</v>
      </c>
      <c r="K8" s="240"/>
      <c r="L8" s="242">
        <f>入力シート!L2</f>
        <v>0</v>
      </c>
      <c r="M8" s="242"/>
      <c r="N8" s="242"/>
      <c r="O8" s="242"/>
      <c r="P8" s="242"/>
      <c r="Q8" s="242"/>
      <c r="R8" s="242"/>
      <c r="S8" s="242"/>
      <c r="T8" s="242"/>
    </row>
    <row r="9" spans="1:20" ht="29.25" customHeight="1" x14ac:dyDescent="0.2">
      <c r="A9" s="4"/>
      <c r="B9" s="6"/>
      <c r="C9" s="6"/>
      <c r="D9" s="6"/>
      <c r="E9" s="6"/>
      <c r="F9" s="6"/>
      <c r="G9" s="6"/>
      <c r="J9" s="10"/>
      <c r="K9" s="10"/>
      <c r="L9" s="7"/>
      <c r="M9" s="7"/>
      <c r="N9" s="7"/>
      <c r="O9" s="7"/>
      <c r="P9" s="24"/>
      <c r="Q9" s="24"/>
      <c r="R9" s="7"/>
      <c r="S9" s="24"/>
      <c r="T9" s="7"/>
    </row>
    <row r="10" spans="1:20" ht="29.25" customHeight="1" x14ac:dyDescent="0.2">
      <c r="A10" s="4"/>
      <c r="B10" s="5"/>
      <c r="C10" s="5"/>
      <c r="D10" s="5"/>
      <c r="E10" s="5"/>
      <c r="F10" s="5"/>
      <c r="G10" s="5"/>
      <c r="H10" s="5"/>
      <c r="I10" s="5"/>
      <c r="J10" s="5"/>
      <c r="K10" s="5"/>
      <c r="L10" s="5"/>
      <c r="M10" s="5"/>
      <c r="N10" s="5"/>
      <c r="O10" s="5"/>
      <c r="P10" s="21"/>
      <c r="Q10" s="21"/>
      <c r="R10" s="5"/>
      <c r="S10" s="21"/>
      <c r="T10" s="5"/>
    </row>
    <row r="11" spans="1:20" ht="29.25" customHeight="1" x14ac:dyDescent="0.2">
      <c r="A11" s="4"/>
      <c r="B11" s="238" t="s">
        <v>50</v>
      </c>
      <c r="C11" s="238"/>
      <c r="D11" s="238"/>
      <c r="E11" s="238"/>
      <c r="F11" s="238"/>
      <c r="G11" s="238"/>
      <c r="H11" s="238"/>
      <c r="I11" s="238"/>
      <c r="J11" s="238"/>
      <c r="K11" s="238"/>
      <c r="L11" s="238"/>
      <c r="M11" s="238"/>
      <c r="N11" s="238"/>
      <c r="O11" s="238"/>
      <c r="P11" s="238"/>
      <c r="Q11" s="238"/>
      <c r="R11" s="238"/>
      <c r="S11" s="22"/>
      <c r="T11" s="5"/>
    </row>
    <row r="19" spans="4:21" x14ac:dyDescent="0.2">
      <c r="D19" s="236" t="s">
        <v>51</v>
      </c>
      <c r="E19" s="236"/>
      <c r="F19" s="236"/>
      <c r="G19" s="236"/>
      <c r="H19" s="236"/>
      <c r="I19" s="236"/>
      <c r="J19" s="237">
        <f>COUNTIF(入力シート!Q6:Q505,"Ａ")</f>
        <v>0</v>
      </c>
      <c r="K19" s="237"/>
      <c r="L19" s="238" t="s">
        <v>48</v>
      </c>
      <c r="M19" s="8"/>
      <c r="N19" s="8"/>
      <c r="O19" s="8"/>
      <c r="P19" s="8"/>
      <c r="Q19" s="8"/>
      <c r="R19" s="8"/>
      <c r="S19" s="8"/>
      <c r="T19" s="8"/>
      <c r="U19" s="8"/>
    </row>
    <row r="20" spans="4:21" x14ac:dyDescent="0.2">
      <c r="D20" s="236"/>
      <c r="E20" s="236"/>
      <c r="F20" s="236"/>
      <c r="G20" s="236"/>
      <c r="H20" s="236"/>
      <c r="I20" s="236"/>
      <c r="J20" s="237"/>
      <c r="K20" s="237"/>
      <c r="L20" s="238"/>
      <c r="M20" s="8"/>
      <c r="N20" s="8"/>
      <c r="O20" s="8"/>
      <c r="P20" s="8"/>
      <c r="Q20" s="8"/>
      <c r="R20" s="8"/>
      <c r="S20" s="8"/>
      <c r="T20" s="8"/>
      <c r="U20" s="8"/>
    </row>
  </sheetData>
  <sheetProtection algorithmName="SHA-512" hashValue="Q/Lt1jL5RZSKh+zgckrBGLTzxW9bo69jiKQbpzV1DYKFOAQQHvybYsNXhBLsCw69k5GgF8zx2jU7qkUbPsEjDQ==" saltValue="vnnsYKnc+qtzPSQGiF9dpg==" spinCount="100000" sheet="1" objects="1" scenarios="1"/>
  <protectedRanges>
    <protectedRange sqref="O3" name="範囲2"/>
    <protectedRange sqref="N3" name="範囲1"/>
  </protectedRanges>
  <mergeCells count="10">
    <mergeCell ref="D19:I20"/>
    <mergeCell ref="J19:K20"/>
    <mergeCell ref="L19:L20"/>
    <mergeCell ref="A1:T1"/>
    <mergeCell ref="G3:H3"/>
    <mergeCell ref="J7:K7"/>
    <mergeCell ref="J8:K8"/>
    <mergeCell ref="B11:R11"/>
    <mergeCell ref="L7:T7"/>
    <mergeCell ref="L8:T8"/>
  </mergeCells>
  <phoneticPr fontId="1"/>
  <dataValidations count="3">
    <dataValidation type="list" allowBlank="1" showInputMessage="1" showErrorMessage="1" sqref="Q3" xr:uid="{00000000-0002-0000-0200-000000000000}">
      <formula1>"4,5,6,7,8,9,10,11,12"</formula1>
    </dataValidation>
    <dataValidation type="list" allowBlank="1" showInputMessage="1" showErrorMessage="1" sqref="S3" xr:uid="{00000000-0002-0000-0200-000001000000}">
      <formula1>"1,2,3,4,5,6,7,8,9,10,11,12,13,14,15,16,17,18,19,20,21,22,23,24,25,26,27,28,29,30,31"</formula1>
    </dataValidation>
    <dataValidation type="list" allowBlank="1" showInputMessage="1" showErrorMessage="1" sqref="O3" xr:uid="{00000000-0002-0000-0200-000002000000}">
      <formula1>"2,3,4,5,6,7,8,9,10,11,12"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O314"/>
  <sheetViews>
    <sheetView showGridLines="0" showZeros="0" zoomScale="90" zoomScaleNormal="100" workbookViewId="0">
      <selection activeCell="N314" sqref="N314"/>
    </sheetView>
  </sheetViews>
  <sheetFormatPr defaultRowHeight="13" x14ac:dyDescent="0.2"/>
  <cols>
    <col min="1" max="1" width="7.26953125" style="12" customWidth="1"/>
    <col min="2" max="2" width="13.08984375" style="12" customWidth="1"/>
    <col min="3" max="4" width="5.26953125" style="12" customWidth="1"/>
    <col min="5" max="8" width="6.08984375" style="12" customWidth="1"/>
    <col min="9" max="9" width="6.08984375" style="29" customWidth="1"/>
    <col min="10" max="13" width="6.08984375" style="12" customWidth="1"/>
    <col min="14" max="14" width="3.7265625" style="12" customWidth="1"/>
    <col min="15" max="15" width="5.90625" style="12" customWidth="1"/>
    <col min="16" max="251" width="9" style="12"/>
    <col min="252" max="252" width="3.453125" style="12" bestFit="1" customWidth="1"/>
    <col min="253" max="253" width="13.08984375" style="12" customWidth="1"/>
    <col min="254" max="265" width="5.26953125" style="12" customWidth="1"/>
    <col min="266" max="266" width="3.7265625" style="12" customWidth="1"/>
    <col min="267" max="267" width="2.6328125" style="12" customWidth="1"/>
    <col min="268" max="270" width="3.7265625" style="12" customWidth="1"/>
    <col min="271" max="271" width="5.90625" style="12" customWidth="1"/>
    <col min="272" max="507" width="9" style="12"/>
    <col min="508" max="508" width="3.453125" style="12" bestFit="1" customWidth="1"/>
    <col min="509" max="509" width="13.08984375" style="12" customWidth="1"/>
    <col min="510" max="521" width="5.26953125" style="12" customWidth="1"/>
    <col min="522" max="522" width="3.7265625" style="12" customWidth="1"/>
    <col min="523" max="523" width="2.6328125" style="12" customWidth="1"/>
    <col min="524" max="526" width="3.7265625" style="12" customWidth="1"/>
    <col min="527" max="527" width="5.90625" style="12" customWidth="1"/>
    <col min="528" max="763" width="9" style="12"/>
    <col min="764" max="764" width="3.453125" style="12" bestFit="1" customWidth="1"/>
    <col min="765" max="765" width="13.08984375" style="12" customWidth="1"/>
    <col min="766" max="777" width="5.26953125" style="12" customWidth="1"/>
    <col min="778" max="778" width="3.7265625" style="12" customWidth="1"/>
    <col min="779" max="779" width="2.6328125" style="12" customWidth="1"/>
    <col min="780" max="782" width="3.7265625" style="12" customWidth="1"/>
    <col min="783" max="783" width="5.90625" style="12" customWidth="1"/>
    <col min="784" max="1019" width="9" style="12"/>
    <col min="1020" max="1020" width="3.453125" style="12" bestFit="1" customWidth="1"/>
    <col min="1021" max="1021" width="13.08984375" style="12" customWidth="1"/>
    <col min="1022" max="1033" width="5.26953125" style="12" customWidth="1"/>
    <col min="1034" max="1034" width="3.7265625" style="12" customWidth="1"/>
    <col min="1035" max="1035" width="2.6328125" style="12" customWidth="1"/>
    <col min="1036" max="1038" width="3.7265625" style="12" customWidth="1"/>
    <col min="1039" max="1039" width="5.90625" style="12" customWidth="1"/>
    <col min="1040" max="1275" width="9" style="12"/>
    <col min="1276" max="1276" width="3.453125" style="12" bestFit="1" customWidth="1"/>
    <col min="1277" max="1277" width="13.08984375" style="12" customWidth="1"/>
    <col min="1278" max="1289" width="5.26953125" style="12" customWidth="1"/>
    <col min="1290" max="1290" width="3.7265625" style="12" customWidth="1"/>
    <col min="1291" max="1291" width="2.6328125" style="12" customWidth="1"/>
    <col min="1292" max="1294" width="3.7265625" style="12" customWidth="1"/>
    <col min="1295" max="1295" width="5.90625" style="12" customWidth="1"/>
    <col min="1296" max="1531" width="9" style="12"/>
    <col min="1532" max="1532" width="3.453125" style="12" bestFit="1" customWidth="1"/>
    <col min="1533" max="1533" width="13.08984375" style="12" customWidth="1"/>
    <col min="1534" max="1545" width="5.26953125" style="12" customWidth="1"/>
    <col min="1546" max="1546" width="3.7265625" style="12" customWidth="1"/>
    <col min="1547" max="1547" width="2.6328125" style="12" customWidth="1"/>
    <col min="1548" max="1550" width="3.7265625" style="12" customWidth="1"/>
    <col min="1551" max="1551" width="5.90625" style="12" customWidth="1"/>
    <col min="1552" max="1787" width="9" style="12"/>
    <col min="1788" max="1788" width="3.453125" style="12" bestFit="1" customWidth="1"/>
    <col min="1789" max="1789" width="13.08984375" style="12" customWidth="1"/>
    <col min="1790" max="1801" width="5.26953125" style="12" customWidth="1"/>
    <col min="1802" max="1802" width="3.7265625" style="12" customWidth="1"/>
    <col min="1803" max="1803" width="2.6328125" style="12" customWidth="1"/>
    <col min="1804" max="1806" width="3.7265625" style="12" customWidth="1"/>
    <col min="1807" max="1807" width="5.90625" style="12" customWidth="1"/>
    <col min="1808" max="2043" width="9" style="12"/>
    <col min="2044" max="2044" width="3.453125" style="12" bestFit="1" customWidth="1"/>
    <col min="2045" max="2045" width="13.08984375" style="12" customWidth="1"/>
    <col min="2046" max="2057" width="5.26953125" style="12" customWidth="1"/>
    <col min="2058" max="2058" width="3.7265625" style="12" customWidth="1"/>
    <col min="2059" max="2059" width="2.6328125" style="12" customWidth="1"/>
    <col min="2060" max="2062" width="3.7265625" style="12" customWidth="1"/>
    <col min="2063" max="2063" width="5.90625" style="12" customWidth="1"/>
    <col min="2064" max="2299" width="9" style="12"/>
    <col min="2300" max="2300" width="3.453125" style="12" bestFit="1" customWidth="1"/>
    <col min="2301" max="2301" width="13.08984375" style="12" customWidth="1"/>
    <col min="2302" max="2313" width="5.26953125" style="12" customWidth="1"/>
    <col min="2314" max="2314" width="3.7265625" style="12" customWidth="1"/>
    <col min="2315" max="2315" width="2.6328125" style="12" customWidth="1"/>
    <col min="2316" max="2318" width="3.7265625" style="12" customWidth="1"/>
    <col min="2319" max="2319" width="5.90625" style="12" customWidth="1"/>
    <col min="2320" max="2555" width="9" style="12"/>
    <col min="2556" max="2556" width="3.453125" style="12" bestFit="1" customWidth="1"/>
    <col min="2557" max="2557" width="13.08984375" style="12" customWidth="1"/>
    <col min="2558" max="2569" width="5.26953125" style="12" customWidth="1"/>
    <col min="2570" max="2570" width="3.7265625" style="12" customWidth="1"/>
    <col min="2571" max="2571" width="2.6328125" style="12" customWidth="1"/>
    <col min="2572" max="2574" width="3.7265625" style="12" customWidth="1"/>
    <col min="2575" max="2575" width="5.90625" style="12" customWidth="1"/>
    <col min="2576" max="2811" width="9" style="12"/>
    <col min="2812" max="2812" width="3.453125" style="12" bestFit="1" customWidth="1"/>
    <col min="2813" max="2813" width="13.08984375" style="12" customWidth="1"/>
    <col min="2814" max="2825" width="5.26953125" style="12" customWidth="1"/>
    <col min="2826" max="2826" width="3.7265625" style="12" customWidth="1"/>
    <col min="2827" max="2827" width="2.6328125" style="12" customWidth="1"/>
    <col min="2828" max="2830" width="3.7265625" style="12" customWidth="1"/>
    <col min="2831" max="2831" width="5.90625" style="12" customWidth="1"/>
    <col min="2832" max="3067" width="9" style="12"/>
    <col min="3068" max="3068" width="3.453125" style="12" bestFit="1" customWidth="1"/>
    <col min="3069" max="3069" width="13.08984375" style="12" customWidth="1"/>
    <col min="3070" max="3081" width="5.26953125" style="12" customWidth="1"/>
    <col min="3082" max="3082" width="3.7265625" style="12" customWidth="1"/>
    <col min="3083" max="3083" width="2.6328125" style="12" customWidth="1"/>
    <col min="3084" max="3086" width="3.7265625" style="12" customWidth="1"/>
    <col min="3087" max="3087" width="5.90625" style="12" customWidth="1"/>
    <col min="3088" max="3323" width="9" style="12"/>
    <col min="3324" max="3324" width="3.453125" style="12" bestFit="1" customWidth="1"/>
    <col min="3325" max="3325" width="13.08984375" style="12" customWidth="1"/>
    <col min="3326" max="3337" width="5.26953125" style="12" customWidth="1"/>
    <col min="3338" max="3338" width="3.7265625" style="12" customWidth="1"/>
    <col min="3339" max="3339" width="2.6328125" style="12" customWidth="1"/>
    <col min="3340" max="3342" width="3.7265625" style="12" customWidth="1"/>
    <col min="3343" max="3343" width="5.90625" style="12" customWidth="1"/>
    <col min="3344" max="3579" width="9" style="12"/>
    <col min="3580" max="3580" width="3.453125" style="12" bestFit="1" customWidth="1"/>
    <col min="3581" max="3581" width="13.08984375" style="12" customWidth="1"/>
    <col min="3582" max="3593" width="5.26953125" style="12" customWidth="1"/>
    <col min="3594" max="3594" width="3.7265625" style="12" customWidth="1"/>
    <col min="3595" max="3595" width="2.6328125" style="12" customWidth="1"/>
    <col min="3596" max="3598" width="3.7265625" style="12" customWidth="1"/>
    <col min="3599" max="3599" width="5.90625" style="12" customWidth="1"/>
    <col min="3600" max="3835" width="9" style="12"/>
    <col min="3836" max="3836" width="3.453125" style="12" bestFit="1" customWidth="1"/>
    <col min="3837" max="3837" width="13.08984375" style="12" customWidth="1"/>
    <col min="3838" max="3849" width="5.26953125" style="12" customWidth="1"/>
    <col min="3850" max="3850" width="3.7265625" style="12" customWidth="1"/>
    <col min="3851" max="3851" width="2.6328125" style="12" customWidth="1"/>
    <col min="3852" max="3854" width="3.7265625" style="12" customWidth="1"/>
    <col min="3855" max="3855" width="5.90625" style="12" customWidth="1"/>
    <col min="3856" max="4091" width="9" style="12"/>
    <col min="4092" max="4092" width="3.453125" style="12" bestFit="1" customWidth="1"/>
    <col min="4093" max="4093" width="13.08984375" style="12" customWidth="1"/>
    <col min="4094" max="4105" width="5.26953125" style="12" customWidth="1"/>
    <col min="4106" max="4106" width="3.7265625" style="12" customWidth="1"/>
    <col min="4107" max="4107" width="2.6328125" style="12" customWidth="1"/>
    <col min="4108" max="4110" width="3.7265625" style="12" customWidth="1"/>
    <col min="4111" max="4111" width="5.90625" style="12" customWidth="1"/>
    <col min="4112" max="4347" width="9" style="12"/>
    <col min="4348" max="4348" width="3.453125" style="12" bestFit="1" customWidth="1"/>
    <col min="4349" max="4349" width="13.08984375" style="12" customWidth="1"/>
    <col min="4350" max="4361" width="5.26953125" style="12" customWidth="1"/>
    <col min="4362" max="4362" width="3.7265625" style="12" customWidth="1"/>
    <col min="4363" max="4363" width="2.6328125" style="12" customWidth="1"/>
    <col min="4364" max="4366" width="3.7265625" style="12" customWidth="1"/>
    <col min="4367" max="4367" width="5.90625" style="12" customWidth="1"/>
    <col min="4368" max="4603" width="9" style="12"/>
    <col min="4604" max="4604" width="3.453125" style="12" bestFit="1" customWidth="1"/>
    <col min="4605" max="4605" width="13.08984375" style="12" customWidth="1"/>
    <col min="4606" max="4617" width="5.26953125" style="12" customWidth="1"/>
    <col min="4618" max="4618" width="3.7265625" style="12" customWidth="1"/>
    <col min="4619" max="4619" width="2.6328125" style="12" customWidth="1"/>
    <col min="4620" max="4622" width="3.7265625" style="12" customWidth="1"/>
    <col min="4623" max="4623" width="5.90625" style="12" customWidth="1"/>
    <col min="4624" max="4859" width="9" style="12"/>
    <col min="4860" max="4860" width="3.453125" style="12" bestFit="1" customWidth="1"/>
    <col min="4861" max="4861" width="13.08984375" style="12" customWidth="1"/>
    <col min="4862" max="4873" width="5.26953125" style="12" customWidth="1"/>
    <col min="4874" max="4874" width="3.7265625" style="12" customWidth="1"/>
    <col min="4875" max="4875" width="2.6328125" style="12" customWidth="1"/>
    <col min="4876" max="4878" width="3.7265625" style="12" customWidth="1"/>
    <col min="4879" max="4879" width="5.90625" style="12" customWidth="1"/>
    <col min="4880" max="5115" width="9" style="12"/>
    <col min="5116" max="5116" width="3.453125" style="12" bestFit="1" customWidth="1"/>
    <col min="5117" max="5117" width="13.08984375" style="12" customWidth="1"/>
    <col min="5118" max="5129" width="5.26953125" style="12" customWidth="1"/>
    <col min="5130" max="5130" width="3.7265625" style="12" customWidth="1"/>
    <col min="5131" max="5131" width="2.6328125" style="12" customWidth="1"/>
    <col min="5132" max="5134" width="3.7265625" style="12" customWidth="1"/>
    <col min="5135" max="5135" width="5.90625" style="12" customWidth="1"/>
    <col min="5136" max="5371" width="9" style="12"/>
    <col min="5372" max="5372" width="3.453125" style="12" bestFit="1" customWidth="1"/>
    <col min="5373" max="5373" width="13.08984375" style="12" customWidth="1"/>
    <col min="5374" max="5385" width="5.26953125" style="12" customWidth="1"/>
    <col min="5386" max="5386" width="3.7265625" style="12" customWidth="1"/>
    <col min="5387" max="5387" width="2.6328125" style="12" customWidth="1"/>
    <col min="5388" max="5390" width="3.7265625" style="12" customWidth="1"/>
    <col min="5391" max="5391" width="5.90625" style="12" customWidth="1"/>
    <col min="5392" max="5627" width="9" style="12"/>
    <col min="5628" max="5628" width="3.453125" style="12" bestFit="1" customWidth="1"/>
    <col min="5629" max="5629" width="13.08984375" style="12" customWidth="1"/>
    <col min="5630" max="5641" width="5.26953125" style="12" customWidth="1"/>
    <col min="5642" max="5642" width="3.7265625" style="12" customWidth="1"/>
    <col min="5643" max="5643" width="2.6328125" style="12" customWidth="1"/>
    <col min="5644" max="5646" width="3.7265625" style="12" customWidth="1"/>
    <col min="5647" max="5647" width="5.90625" style="12" customWidth="1"/>
    <col min="5648" max="5883" width="9" style="12"/>
    <col min="5884" max="5884" width="3.453125" style="12" bestFit="1" customWidth="1"/>
    <col min="5885" max="5885" width="13.08984375" style="12" customWidth="1"/>
    <col min="5886" max="5897" width="5.26953125" style="12" customWidth="1"/>
    <col min="5898" max="5898" width="3.7265625" style="12" customWidth="1"/>
    <col min="5899" max="5899" width="2.6328125" style="12" customWidth="1"/>
    <col min="5900" max="5902" width="3.7265625" style="12" customWidth="1"/>
    <col min="5903" max="5903" width="5.90625" style="12" customWidth="1"/>
    <col min="5904" max="6139" width="9" style="12"/>
    <col min="6140" max="6140" width="3.453125" style="12" bestFit="1" customWidth="1"/>
    <col min="6141" max="6141" width="13.08984375" style="12" customWidth="1"/>
    <col min="6142" max="6153" width="5.26953125" style="12" customWidth="1"/>
    <col min="6154" max="6154" width="3.7265625" style="12" customWidth="1"/>
    <col min="6155" max="6155" width="2.6328125" style="12" customWidth="1"/>
    <col min="6156" max="6158" width="3.7265625" style="12" customWidth="1"/>
    <col min="6159" max="6159" width="5.90625" style="12" customWidth="1"/>
    <col min="6160" max="6395" width="9" style="12"/>
    <col min="6396" max="6396" width="3.453125" style="12" bestFit="1" customWidth="1"/>
    <col min="6397" max="6397" width="13.08984375" style="12" customWidth="1"/>
    <col min="6398" max="6409" width="5.26953125" style="12" customWidth="1"/>
    <col min="6410" max="6410" width="3.7265625" style="12" customWidth="1"/>
    <col min="6411" max="6411" width="2.6328125" style="12" customWidth="1"/>
    <col min="6412" max="6414" width="3.7265625" style="12" customWidth="1"/>
    <col min="6415" max="6415" width="5.90625" style="12" customWidth="1"/>
    <col min="6416" max="6651" width="9" style="12"/>
    <col min="6652" max="6652" width="3.453125" style="12" bestFit="1" customWidth="1"/>
    <col min="6653" max="6653" width="13.08984375" style="12" customWidth="1"/>
    <col min="6654" max="6665" width="5.26953125" style="12" customWidth="1"/>
    <col min="6666" max="6666" width="3.7265625" style="12" customWidth="1"/>
    <col min="6667" max="6667" width="2.6328125" style="12" customWidth="1"/>
    <col min="6668" max="6670" width="3.7265625" style="12" customWidth="1"/>
    <col min="6671" max="6671" width="5.90625" style="12" customWidth="1"/>
    <col min="6672" max="6907" width="9" style="12"/>
    <col min="6908" max="6908" width="3.453125" style="12" bestFit="1" customWidth="1"/>
    <col min="6909" max="6909" width="13.08984375" style="12" customWidth="1"/>
    <col min="6910" max="6921" width="5.26953125" style="12" customWidth="1"/>
    <col min="6922" max="6922" width="3.7265625" style="12" customWidth="1"/>
    <col min="6923" max="6923" width="2.6328125" style="12" customWidth="1"/>
    <col min="6924" max="6926" width="3.7265625" style="12" customWidth="1"/>
    <col min="6927" max="6927" width="5.90625" style="12" customWidth="1"/>
    <col min="6928" max="7163" width="9" style="12"/>
    <col min="7164" max="7164" width="3.453125" style="12" bestFit="1" customWidth="1"/>
    <col min="7165" max="7165" width="13.08984375" style="12" customWidth="1"/>
    <col min="7166" max="7177" width="5.26953125" style="12" customWidth="1"/>
    <col min="7178" max="7178" width="3.7265625" style="12" customWidth="1"/>
    <col min="7179" max="7179" width="2.6328125" style="12" customWidth="1"/>
    <col min="7180" max="7182" width="3.7265625" style="12" customWidth="1"/>
    <col min="7183" max="7183" width="5.90625" style="12" customWidth="1"/>
    <col min="7184" max="7419" width="9" style="12"/>
    <col min="7420" max="7420" width="3.453125" style="12" bestFit="1" customWidth="1"/>
    <col min="7421" max="7421" width="13.08984375" style="12" customWidth="1"/>
    <col min="7422" max="7433" width="5.26953125" style="12" customWidth="1"/>
    <col min="7434" max="7434" width="3.7265625" style="12" customWidth="1"/>
    <col min="7435" max="7435" width="2.6328125" style="12" customWidth="1"/>
    <col min="7436" max="7438" width="3.7265625" style="12" customWidth="1"/>
    <col min="7439" max="7439" width="5.90625" style="12" customWidth="1"/>
    <col min="7440" max="7675" width="9" style="12"/>
    <col min="7676" max="7676" width="3.453125" style="12" bestFit="1" customWidth="1"/>
    <col min="7677" max="7677" width="13.08984375" style="12" customWidth="1"/>
    <col min="7678" max="7689" width="5.26953125" style="12" customWidth="1"/>
    <col min="7690" max="7690" width="3.7265625" style="12" customWidth="1"/>
    <col min="7691" max="7691" width="2.6328125" style="12" customWidth="1"/>
    <col min="7692" max="7694" width="3.7265625" style="12" customWidth="1"/>
    <col min="7695" max="7695" width="5.90625" style="12" customWidth="1"/>
    <col min="7696" max="7931" width="9" style="12"/>
    <col min="7932" max="7932" width="3.453125" style="12" bestFit="1" customWidth="1"/>
    <col min="7933" max="7933" width="13.08984375" style="12" customWidth="1"/>
    <col min="7934" max="7945" width="5.26953125" style="12" customWidth="1"/>
    <col min="7946" max="7946" width="3.7265625" style="12" customWidth="1"/>
    <col min="7947" max="7947" width="2.6328125" style="12" customWidth="1"/>
    <col min="7948" max="7950" width="3.7265625" style="12" customWidth="1"/>
    <col min="7951" max="7951" width="5.90625" style="12" customWidth="1"/>
    <col min="7952" max="8187" width="9" style="12"/>
    <col min="8188" max="8188" width="3.453125" style="12" bestFit="1" customWidth="1"/>
    <col min="8189" max="8189" width="13.08984375" style="12" customWidth="1"/>
    <col min="8190" max="8201" width="5.26953125" style="12" customWidth="1"/>
    <col min="8202" max="8202" width="3.7265625" style="12" customWidth="1"/>
    <col min="8203" max="8203" width="2.6328125" style="12" customWidth="1"/>
    <col min="8204" max="8206" width="3.7265625" style="12" customWidth="1"/>
    <col min="8207" max="8207" width="5.90625" style="12" customWidth="1"/>
    <col min="8208" max="8443" width="9" style="12"/>
    <col min="8444" max="8444" width="3.453125" style="12" bestFit="1" customWidth="1"/>
    <col min="8445" max="8445" width="13.08984375" style="12" customWidth="1"/>
    <col min="8446" max="8457" width="5.26953125" style="12" customWidth="1"/>
    <col min="8458" max="8458" width="3.7265625" style="12" customWidth="1"/>
    <col min="8459" max="8459" width="2.6328125" style="12" customWidth="1"/>
    <col min="8460" max="8462" width="3.7265625" style="12" customWidth="1"/>
    <col min="8463" max="8463" width="5.90625" style="12" customWidth="1"/>
    <col min="8464" max="8699" width="9" style="12"/>
    <col min="8700" max="8700" width="3.453125" style="12" bestFit="1" customWidth="1"/>
    <col min="8701" max="8701" width="13.08984375" style="12" customWidth="1"/>
    <col min="8702" max="8713" width="5.26953125" style="12" customWidth="1"/>
    <col min="8714" max="8714" width="3.7265625" style="12" customWidth="1"/>
    <col min="8715" max="8715" width="2.6328125" style="12" customWidth="1"/>
    <col min="8716" max="8718" width="3.7265625" style="12" customWidth="1"/>
    <col min="8719" max="8719" width="5.90625" style="12" customWidth="1"/>
    <col min="8720" max="8955" width="9" style="12"/>
    <col min="8956" max="8956" width="3.453125" style="12" bestFit="1" customWidth="1"/>
    <col min="8957" max="8957" width="13.08984375" style="12" customWidth="1"/>
    <col min="8958" max="8969" width="5.26953125" style="12" customWidth="1"/>
    <col min="8970" max="8970" width="3.7265625" style="12" customWidth="1"/>
    <col min="8971" max="8971" width="2.6328125" style="12" customWidth="1"/>
    <col min="8972" max="8974" width="3.7265625" style="12" customWidth="1"/>
    <col min="8975" max="8975" width="5.90625" style="12" customWidth="1"/>
    <col min="8976" max="9211" width="9" style="12"/>
    <col min="9212" max="9212" width="3.453125" style="12" bestFit="1" customWidth="1"/>
    <col min="9213" max="9213" width="13.08984375" style="12" customWidth="1"/>
    <col min="9214" max="9225" width="5.26953125" style="12" customWidth="1"/>
    <col min="9226" max="9226" width="3.7265625" style="12" customWidth="1"/>
    <col min="9227" max="9227" width="2.6328125" style="12" customWidth="1"/>
    <col min="9228" max="9230" width="3.7265625" style="12" customWidth="1"/>
    <col min="9231" max="9231" width="5.90625" style="12" customWidth="1"/>
    <col min="9232" max="9467" width="9" style="12"/>
    <col min="9468" max="9468" width="3.453125" style="12" bestFit="1" customWidth="1"/>
    <col min="9469" max="9469" width="13.08984375" style="12" customWidth="1"/>
    <col min="9470" max="9481" width="5.26953125" style="12" customWidth="1"/>
    <col min="9482" max="9482" width="3.7265625" style="12" customWidth="1"/>
    <col min="9483" max="9483" width="2.6328125" style="12" customWidth="1"/>
    <col min="9484" max="9486" width="3.7265625" style="12" customWidth="1"/>
    <col min="9487" max="9487" width="5.90625" style="12" customWidth="1"/>
    <col min="9488" max="9723" width="9" style="12"/>
    <col min="9724" max="9724" width="3.453125" style="12" bestFit="1" customWidth="1"/>
    <col min="9725" max="9725" width="13.08984375" style="12" customWidth="1"/>
    <col min="9726" max="9737" width="5.26953125" style="12" customWidth="1"/>
    <col min="9738" max="9738" width="3.7265625" style="12" customWidth="1"/>
    <col min="9739" max="9739" width="2.6328125" style="12" customWidth="1"/>
    <col min="9740" max="9742" width="3.7265625" style="12" customWidth="1"/>
    <col min="9743" max="9743" width="5.90625" style="12" customWidth="1"/>
    <col min="9744" max="9979" width="9" style="12"/>
    <col min="9980" max="9980" width="3.453125" style="12" bestFit="1" customWidth="1"/>
    <col min="9981" max="9981" width="13.08984375" style="12" customWidth="1"/>
    <col min="9982" max="9993" width="5.26953125" style="12" customWidth="1"/>
    <col min="9994" max="9994" width="3.7265625" style="12" customWidth="1"/>
    <col min="9995" max="9995" width="2.6328125" style="12" customWidth="1"/>
    <col min="9996" max="9998" width="3.7265625" style="12" customWidth="1"/>
    <col min="9999" max="9999" width="5.90625" style="12" customWidth="1"/>
    <col min="10000" max="10235" width="9" style="12"/>
    <col min="10236" max="10236" width="3.453125" style="12" bestFit="1" customWidth="1"/>
    <col min="10237" max="10237" width="13.08984375" style="12" customWidth="1"/>
    <col min="10238" max="10249" width="5.26953125" style="12" customWidth="1"/>
    <col min="10250" max="10250" width="3.7265625" style="12" customWidth="1"/>
    <col min="10251" max="10251" width="2.6328125" style="12" customWidth="1"/>
    <col min="10252" max="10254" width="3.7265625" style="12" customWidth="1"/>
    <col min="10255" max="10255" width="5.90625" style="12" customWidth="1"/>
    <col min="10256" max="10491" width="9" style="12"/>
    <col min="10492" max="10492" width="3.453125" style="12" bestFit="1" customWidth="1"/>
    <col min="10493" max="10493" width="13.08984375" style="12" customWidth="1"/>
    <col min="10494" max="10505" width="5.26953125" style="12" customWidth="1"/>
    <col min="10506" max="10506" width="3.7265625" style="12" customWidth="1"/>
    <col min="10507" max="10507" width="2.6328125" style="12" customWidth="1"/>
    <col min="10508" max="10510" width="3.7265625" style="12" customWidth="1"/>
    <col min="10511" max="10511" width="5.90625" style="12" customWidth="1"/>
    <col min="10512" max="10747" width="9" style="12"/>
    <col min="10748" max="10748" width="3.453125" style="12" bestFit="1" customWidth="1"/>
    <col min="10749" max="10749" width="13.08984375" style="12" customWidth="1"/>
    <col min="10750" max="10761" width="5.26953125" style="12" customWidth="1"/>
    <col min="10762" max="10762" width="3.7265625" style="12" customWidth="1"/>
    <col min="10763" max="10763" width="2.6328125" style="12" customWidth="1"/>
    <col min="10764" max="10766" width="3.7265625" style="12" customWidth="1"/>
    <col min="10767" max="10767" width="5.90625" style="12" customWidth="1"/>
    <col min="10768" max="11003" width="9" style="12"/>
    <col min="11004" max="11004" width="3.453125" style="12" bestFit="1" customWidth="1"/>
    <col min="11005" max="11005" width="13.08984375" style="12" customWidth="1"/>
    <col min="11006" max="11017" width="5.26953125" style="12" customWidth="1"/>
    <col min="11018" max="11018" width="3.7265625" style="12" customWidth="1"/>
    <col min="11019" max="11019" width="2.6328125" style="12" customWidth="1"/>
    <col min="11020" max="11022" width="3.7265625" style="12" customWidth="1"/>
    <col min="11023" max="11023" width="5.90625" style="12" customWidth="1"/>
    <col min="11024" max="11259" width="9" style="12"/>
    <col min="11260" max="11260" width="3.453125" style="12" bestFit="1" customWidth="1"/>
    <col min="11261" max="11261" width="13.08984375" style="12" customWidth="1"/>
    <col min="11262" max="11273" width="5.26953125" style="12" customWidth="1"/>
    <col min="11274" max="11274" width="3.7265625" style="12" customWidth="1"/>
    <col min="11275" max="11275" width="2.6328125" style="12" customWidth="1"/>
    <col min="11276" max="11278" width="3.7265625" style="12" customWidth="1"/>
    <col min="11279" max="11279" width="5.90625" style="12" customWidth="1"/>
    <col min="11280" max="11515" width="9" style="12"/>
    <col min="11516" max="11516" width="3.453125" style="12" bestFit="1" customWidth="1"/>
    <col min="11517" max="11517" width="13.08984375" style="12" customWidth="1"/>
    <col min="11518" max="11529" width="5.26953125" style="12" customWidth="1"/>
    <col min="11530" max="11530" width="3.7265625" style="12" customWidth="1"/>
    <col min="11531" max="11531" width="2.6328125" style="12" customWidth="1"/>
    <col min="11532" max="11534" width="3.7265625" style="12" customWidth="1"/>
    <col min="11535" max="11535" width="5.90625" style="12" customWidth="1"/>
    <col min="11536" max="11771" width="9" style="12"/>
    <col min="11772" max="11772" width="3.453125" style="12" bestFit="1" customWidth="1"/>
    <col min="11773" max="11773" width="13.08984375" style="12" customWidth="1"/>
    <col min="11774" max="11785" width="5.26953125" style="12" customWidth="1"/>
    <col min="11786" max="11786" width="3.7265625" style="12" customWidth="1"/>
    <col min="11787" max="11787" width="2.6328125" style="12" customWidth="1"/>
    <col min="11788" max="11790" width="3.7265625" style="12" customWidth="1"/>
    <col min="11791" max="11791" width="5.90625" style="12" customWidth="1"/>
    <col min="11792" max="12027" width="9" style="12"/>
    <col min="12028" max="12028" width="3.453125" style="12" bestFit="1" customWidth="1"/>
    <col min="12029" max="12029" width="13.08984375" style="12" customWidth="1"/>
    <col min="12030" max="12041" width="5.26953125" style="12" customWidth="1"/>
    <col min="12042" max="12042" width="3.7265625" style="12" customWidth="1"/>
    <col min="12043" max="12043" width="2.6328125" style="12" customWidth="1"/>
    <col min="12044" max="12046" width="3.7265625" style="12" customWidth="1"/>
    <col min="12047" max="12047" width="5.90625" style="12" customWidth="1"/>
    <col min="12048" max="12283" width="9" style="12"/>
    <col min="12284" max="12284" width="3.453125" style="12" bestFit="1" customWidth="1"/>
    <col min="12285" max="12285" width="13.08984375" style="12" customWidth="1"/>
    <col min="12286" max="12297" width="5.26953125" style="12" customWidth="1"/>
    <col min="12298" max="12298" width="3.7265625" style="12" customWidth="1"/>
    <col min="12299" max="12299" width="2.6328125" style="12" customWidth="1"/>
    <col min="12300" max="12302" width="3.7265625" style="12" customWidth="1"/>
    <col min="12303" max="12303" width="5.90625" style="12" customWidth="1"/>
    <col min="12304" max="12539" width="9" style="12"/>
    <col min="12540" max="12540" width="3.453125" style="12" bestFit="1" customWidth="1"/>
    <col min="12541" max="12541" width="13.08984375" style="12" customWidth="1"/>
    <col min="12542" max="12553" width="5.26953125" style="12" customWidth="1"/>
    <col min="12554" max="12554" width="3.7265625" style="12" customWidth="1"/>
    <col min="12555" max="12555" width="2.6328125" style="12" customWidth="1"/>
    <col min="12556" max="12558" width="3.7265625" style="12" customWidth="1"/>
    <col min="12559" max="12559" width="5.90625" style="12" customWidth="1"/>
    <col min="12560" max="12795" width="9" style="12"/>
    <col min="12796" max="12796" width="3.453125" style="12" bestFit="1" customWidth="1"/>
    <col min="12797" max="12797" width="13.08984375" style="12" customWidth="1"/>
    <col min="12798" max="12809" width="5.26953125" style="12" customWidth="1"/>
    <col min="12810" max="12810" width="3.7265625" style="12" customWidth="1"/>
    <col min="12811" max="12811" width="2.6328125" style="12" customWidth="1"/>
    <col min="12812" max="12814" width="3.7265625" style="12" customWidth="1"/>
    <col min="12815" max="12815" width="5.90625" style="12" customWidth="1"/>
    <col min="12816" max="13051" width="9" style="12"/>
    <col min="13052" max="13052" width="3.453125" style="12" bestFit="1" customWidth="1"/>
    <col min="13053" max="13053" width="13.08984375" style="12" customWidth="1"/>
    <col min="13054" max="13065" width="5.26953125" style="12" customWidth="1"/>
    <col min="13066" max="13066" width="3.7265625" style="12" customWidth="1"/>
    <col min="13067" max="13067" width="2.6328125" style="12" customWidth="1"/>
    <col min="13068" max="13070" width="3.7265625" style="12" customWidth="1"/>
    <col min="13071" max="13071" width="5.90625" style="12" customWidth="1"/>
    <col min="13072" max="13307" width="9" style="12"/>
    <col min="13308" max="13308" width="3.453125" style="12" bestFit="1" customWidth="1"/>
    <col min="13309" max="13309" width="13.08984375" style="12" customWidth="1"/>
    <col min="13310" max="13321" width="5.26953125" style="12" customWidth="1"/>
    <col min="13322" max="13322" width="3.7265625" style="12" customWidth="1"/>
    <col min="13323" max="13323" width="2.6328125" style="12" customWidth="1"/>
    <col min="13324" max="13326" width="3.7265625" style="12" customWidth="1"/>
    <col min="13327" max="13327" width="5.90625" style="12" customWidth="1"/>
    <col min="13328" max="13563" width="9" style="12"/>
    <col min="13564" max="13564" width="3.453125" style="12" bestFit="1" customWidth="1"/>
    <col min="13565" max="13565" width="13.08984375" style="12" customWidth="1"/>
    <col min="13566" max="13577" width="5.26953125" style="12" customWidth="1"/>
    <col min="13578" max="13578" width="3.7265625" style="12" customWidth="1"/>
    <col min="13579" max="13579" width="2.6328125" style="12" customWidth="1"/>
    <col min="13580" max="13582" width="3.7265625" style="12" customWidth="1"/>
    <col min="13583" max="13583" width="5.90625" style="12" customWidth="1"/>
    <col min="13584" max="13819" width="9" style="12"/>
    <col min="13820" max="13820" width="3.453125" style="12" bestFit="1" customWidth="1"/>
    <col min="13821" max="13821" width="13.08984375" style="12" customWidth="1"/>
    <col min="13822" max="13833" width="5.26953125" style="12" customWidth="1"/>
    <col min="13834" max="13834" width="3.7265625" style="12" customWidth="1"/>
    <col min="13835" max="13835" width="2.6328125" style="12" customWidth="1"/>
    <col min="13836" max="13838" width="3.7265625" style="12" customWidth="1"/>
    <col min="13839" max="13839" width="5.90625" style="12" customWidth="1"/>
    <col min="13840" max="14075" width="9" style="12"/>
    <col min="14076" max="14076" width="3.453125" style="12" bestFit="1" customWidth="1"/>
    <col min="14077" max="14077" width="13.08984375" style="12" customWidth="1"/>
    <col min="14078" max="14089" width="5.26953125" style="12" customWidth="1"/>
    <col min="14090" max="14090" width="3.7265625" style="12" customWidth="1"/>
    <col min="14091" max="14091" width="2.6328125" style="12" customWidth="1"/>
    <col min="14092" max="14094" width="3.7265625" style="12" customWidth="1"/>
    <col min="14095" max="14095" width="5.90625" style="12" customWidth="1"/>
    <col min="14096" max="14331" width="9" style="12"/>
    <col min="14332" max="14332" width="3.453125" style="12" bestFit="1" customWidth="1"/>
    <col min="14333" max="14333" width="13.08984375" style="12" customWidth="1"/>
    <col min="14334" max="14345" width="5.26953125" style="12" customWidth="1"/>
    <col min="14346" max="14346" width="3.7265625" style="12" customWidth="1"/>
    <col min="14347" max="14347" width="2.6328125" style="12" customWidth="1"/>
    <col min="14348" max="14350" width="3.7265625" style="12" customWidth="1"/>
    <col min="14351" max="14351" width="5.90625" style="12" customWidth="1"/>
    <col min="14352" max="14587" width="9" style="12"/>
    <col min="14588" max="14588" width="3.453125" style="12" bestFit="1" customWidth="1"/>
    <col min="14589" max="14589" width="13.08984375" style="12" customWidth="1"/>
    <col min="14590" max="14601" width="5.26953125" style="12" customWidth="1"/>
    <col min="14602" max="14602" width="3.7265625" style="12" customWidth="1"/>
    <col min="14603" max="14603" width="2.6328125" style="12" customWidth="1"/>
    <col min="14604" max="14606" width="3.7265625" style="12" customWidth="1"/>
    <col min="14607" max="14607" width="5.90625" style="12" customWidth="1"/>
    <col min="14608" max="14843" width="9" style="12"/>
    <col min="14844" max="14844" width="3.453125" style="12" bestFit="1" customWidth="1"/>
    <col min="14845" max="14845" width="13.08984375" style="12" customWidth="1"/>
    <col min="14846" max="14857" width="5.26953125" style="12" customWidth="1"/>
    <col min="14858" max="14858" width="3.7265625" style="12" customWidth="1"/>
    <col min="14859" max="14859" width="2.6328125" style="12" customWidth="1"/>
    <col min="14860" max="14862" width="3.7265625" style="12" customWidth="1"/>
    <col min="14863" max="14863" width="5.90625" style="12" customWidth="1"/>
    <col min="14864" max="15099" width="9" style="12"/>
    <col min="15100" max="15100" width="3.453125" style="12" bestFit="1" customWidth="1"/>
    <col min="15101" max="15101" width="13.08984375" style="12" customWidth="1"/>
    <col min="15102" max="15113" width="5.26953125" style="12" customWidth="1"/>
    <col min="15114" max="15114" width="3.7265625" style="12" customWidth="1"/>
    <col min="15115" max="15115" width="2.6328125" style="12" customWidth="1"/>
    <col min="15116" max="15118" width="3.7265625" style="12" customWidth="1"/>
    <col min="15119" max="15119" width="5.90625" style="12" customWidth="1"/>
    <col min="15120" max="15355" width="9" style="12"/>
    <col min="15356" max="15356" width="3.453125" style="12" bestFit="1" customWidth="1"/>
    <col min="15357" max="15357" width="13.08984375" style="12" customWidth="1"/>
    <col min="15358" max="15369" width="5.26953125" style="12" customWidth="1"/>
    <col min="15370" max="15370" width="3.7265625" style="12" customWidth="1"/>
    <col min="15371" max="15371" width="2.6328125" style="12" customWidth="1"/>
    <col min="15372" max="15374" width="3.7265625" style="12" customWidth="1"/>
    <col min="15375" max="15375" width="5.90625" style="12" customWidth="1"/>
    <col min="15376" max="15611" width="9" style="12"/>
    <col min="15612" max="15612" width="3.453125" style="12" bestFit="1" customWidth="1"/>
    <col min="15613" max="15613" width="13.08984375" style="12" customWidth="1"/>
    <col min="15614" max="15625" width="5.26953125" style="12" customWidth="1"/>
    <col min="15626" max="15626" width="3.7265625" style="12" customWidth="1"/>
    <col min="15627" max="15627" width="2.6328125" style="12" customWidth="1"/>
    <col min="15628" max="15630" width="3.7265625" style="12" customWidth="1"/>
    <col min="15631" max="15631" width="5.90625" style="12" customWidth="1"/>
    <col min="15632" max="15867" width="9" style="12"/>
    <col min="15868" max="15868" width="3.453125" style="12" bestFit="1" customWidth="1"/>
    <col min="15869" max="15869" width="13.08984375" style="12" customWidth="1"/>
    <col min="15870" max="15881" width="5.26953125" style="12" customWidth="1"/>
    <col min="15882" max="15882" width="3.7265625" style="12" customWidth="1"/>
    <col min="15883" max="15883" width="2.6328125" style="12" customWidth="1"/>
    <col min="15884" max="15886" width="3.7265625" style="12" customWidth="1"/>
    <col min="15887" max="15887" width="5.90625" style="12" customWidth="1"/>
    <col min="15888" max="16123" width="9" style="12"/>
    <col min="16124" max="16124" width="3.453125" style="12" bestFit="1" customWidth="1"/>
    <col min="16125" max="16125" width="13.08984375" style="12" customWidth="1"/>
    <col min="16126" max="16137" width="5.26953125" style="12" customWidth="1"/>
    <col min="16138" max="16138" width="3.7265625" style="12" customWidth="1"/>
    <col min="16139" max="16139" width="2.6328125" style="12" customWidth="1"/>
    <col min="16140" max="16142" width="3.7265625" style="12" customWidth="1"/>
    <col min="16143" max="16143" width="5.90625" style="12" customWidth="1"/>
    <col min="16144" max="16384" width="9" style="12"/>
  </cols>
  <sheetData>
    <row r="1" spans="1:15" x14ac:dyDescent="0.2">
      <c r="A1" s="11" t="s">
        <v>52</v>
      </c>
    </row>
    <row r="2" spans="1:15" ht="20.25" customHeight="1" x14ac:dyDescent="0.2">
      <c r="A2" s="247" t="s">
        <v>53</v>
      </c>
      <c r="B2" s="247"/>
      <c r="C2" s="247"/>
      <c r="D2" s="247"/>
      <c r="E2" s="247"/>
      <c r="F2" s="247"/>
      <c r="G2" s="247"/>
      <c r="H2" s="247"/>
      <c r="I2" s="247"/>
      <c r="J2" s="247"/>
      <c r="K2" s="247"/>
      <c r="L2" s="247"/>
      <c r="M2" s="247"/>
      <c r="N2" s="14"/>
      <c r="O2" s="14"/>
    </row>
    <row r="3" spans="1:15" s="15" customFormat="1" ht="11.25" customHeight="1" x14ac:dyDescent="0.2">
      <c r="A3" s="13"/>
      <c r="B3" s="13"/>
      <c r="C3" s="13"/>
      <c r="D3" s="13"/>
      <c r="E3" s="13"/>
      <c r="F3" s="13"/>
      <c r="G3" s="13"/>
      <c r="H3" s="13"/>
      <c r="I3" s="31"/>
      <c r="J3" s="13"/>
      <c r="K3" s="13"/>
      <c r="L3" s="13"/>
      <c r="M3" s="13"/>
      <c r="N3" s="14"/>
      <c r="O3" s="14"/>
    </row>
    <row r="4" spans="1:15" ht="14" x14ac:dyDescent="0.2">
      <c r="A4" s="11"/>
      <c r="G4" s="15"/>
      <c r="H4" s="249" t="s">
        <v>260</v>
      </c>
      <c r="I4" s="249"/>
      <c r="J4" s="152"/>
      <c r="K4" s="46" t="s">
        <v>87</v>
      </c>
      <c r="L4" s="152"/>
      <c r="M4" s="47" t="s">
        <v>88</v>
      </c>
    </row>
    <row r="5" spans="1:15" x14ac:dyDescent="0.2">
      <c r="A5" s="11"/>
    </row>
    <row r="6" spans="1:15" x14ac:dyDescent="0.2">
      <c r="A6" s="246" t="s">
        <v>47</v>
      </c>
      <c r="B6" s="246"/>
      <c r="C6" s="246"/>
    </row>
    <row r="7" spans="1:15" x14ac:dyDescent="0.2">
      <c r="A7" s="11"/>
    </row>
    <row r="8" spans="1:15" ht="19.5" customHeight="1" x14ac:dyDescent="0.2">
      <c r="A8" s="11"/>
      <c r="G8" s="248" t="s">
        <v>45</v>
      </c>
      <c r="H8" s="248"/>
      <c r="I8" s="250">
        <f>入力シート!E2</f>
        <v>0</v>
      </c>
      <c r="J8" s="250"/>
      <c r="K8" s="250"/>
      <c r="L8" s="250"/>
      <c r="M8" s="250"/>
      <c r="N8" s="250"/>
    </row>
    <row r="9" spans="1:15" ht="19.5" customHeight="1" x14ac:dyDescent="0.2">
      <c r="A9" s="11"/>
      <c r="G9" s="248" t="s">
        <v>46</v>
      </c>
      <c r="H9" s="248"/>
      <c r="I9" s="251">
        <f>入力シート!L2</f>
        <v>0</v>
      </c>
      <c r="J9" s="251"/>
      <c r="K9" s="251"/>
      <c r="L9" s="251"/>
      <c r="M9" s="251"/>
      <c r="N9" s="251"/>
    </row>
    <row r="10" spans="1:15" ht="9" customHeight="1" x14ac:dyDescent="0.2">
      <c r="A10" s="11"/>
    </row>
    <row r="11" spans="1:15" x14ac:dyDescent="0.2">
      <c r="A11" s="11"/>
      <c r="B11" s="11" t="s">
        <v>54</v>
      </c>
    </row>
    <row r="12" spans="1:15" ht="10.5" customHeight="1" x14ac:dyDescent="0.2"/>
    <row r="13" spans="1:15" ht="21" customHeight="1" x14ac:dyDescent="0.2">
      <c r="A13" s="108"/>
      <c r="B13" s="109"/>
      <c r="C13" s="110"/>
      <c r="D13" s="110"/>
      <c r="E13" s="243" t="s">
        <v>56</v>
      </c>
      <c r="F13" s="244"/>
      <c r="G13" s="244"/>
      <c r="H13" s="244"/>
      <c r="I13" s="244"/>
      <c r="J13" s="244"/>
      <c r="K13" s="244"/>
      <c r="L13" s="244"/>
      <c r="M13" s="245"/>
    </row>
    <row r="14" spans="1:15" ht="33" customHeight="1" x14ac:dyDescent="0.2">
      <c r="A14" s="111" t="s">
        <v>143</v>
      </c>
      <c r="B14" s="103" t="s">
        <v>86</v>
      </c>
      <c r="C14" s="112" t="s">
        <v>144</v>
      </c>
      <c r="D14" s="112" t="s">
        <v>145</v>
      </c>
      <c r="E14" s="30" t="s">
        <v>57</v>
      </c>
      <c r="F14" s="25" t="s">
        <v>146</v>
      </c>
      <c r="G14" s="25" t="s">
        <v>147</v>
      </c>
      <c r="H14" s="30" t="s">
        <v>148</v>
      </c>
      <c r="I14" s="26" t="s">
        <v>149</v>
      </c>
      <c r="J14" s="32" t="s">
        <v>58</v>
      </c>
      <c r="K14" s="30" t="s">
        <v>150</v>
      </c>
      <c r="L14" s="30" t="s">
        <v>59</v>
      </c>
      <c r="M14" s="113" t="s">
        <v>112</v>
      </c>
    </row>
    <row r="15" spans="1:15" ht="15" customHeight="1" x14ac:dyDescent="0.2">
      <c r="A15" s="16">
        <v>1</v>
      </c>
      <c r="B15" s="130" t="str">
        <f>IF($A15&gt;MAX(入力シート!$AF$6:$AF$505),"",INDEX(テーブル22[[学年]:[得点]],MATCH(体力優良証交付申請!$A15,入力シート!$AF$6:$AF$505,0),MATCH(体力優良証交付申請!B$14,テーブル22[[#Headers],[学年]:[得点]],0)))</f>
        <v/>
      </c>
      <c r="C15" s="102" t="str">
        <f>IF($A15&gt;MAX(入力シート!$AF$6:$AF$505),"",INDEX(テーブル22[[学年]:[得点]],MATCH(体力優良証交付申請!$A15,入力シート!$AF$6:$AF$505,0),MATCH(体力優良証交付申請!C$14,テーブル22[[#Headers],[学年]:[得点]],0)))</f>
        <v/>
      </c>
      <c r="D15" s="102" t="str">
        <f>IF($A15&gt;MAX(入力シート!$AF$6:$AF$505),"",INDEX(テーブル22[[学年]:[得点]],MATCH(体力優良証交付申請!$A15,入力シート!$AF$6:$AF$505,0),MATCH(体力優良証交付申請!D$14,テーブル22[[#Headers],[学年]:[得点]],0)))</f>
        <v/>
      </c>
      <c r="E15" s="102" t="str">
        <f>IF($A15&gt;MAX(入力シート!$AF$6:$AF$505),"",INDEX(テーブル22[[学年]:[得点]],MATCH(体力優良証交付申請!$A15,入力シート!$AF$6:$AF$505,0),MATCH(体力優良証交付申請!E$14,テーブル22[[#Headers],[学年]:[得点]],0)))</f>
        <v/>
      </c>
      <c r="F15" s="102" t="str">
        <f>IF($A15&gt;MAX(入力シート!$AF$6:$AF$505),"",INDEX(テーブル22[[学年]:[得点]],MATCH(体力優良証交付申請!$A15,入力シート!$AF$6:$AF$505,0),MATCH(体力優良証交付申請!F$14,テーブル22[[#Headers],[学年]:[得点]],0)))</f>
        <v/>
      </c>
      <c r="G15" s="102" t="str">
        <f>IF($A15&gt;MAX(入力シート!$AF$6:$AF$505),"",INDEX(テーブル22[[学年]:[得点]],MATCH(体力優良証交付申請!$A15,入力シート!$AF$6:$AF$505,0),MATCH(体力優良証交付申請!G$14,テーブル22[[#Headers],[学年]:[得点]],0)))</f>
        <v/>
      </c>
      <c r="H15" s="102" t="str">
        <f>IF($A15&gt;MAX(入力シート!$AF$6:$AF$505),"",INDEX(テーブル22[[学年]:[得点]],MATCH(体力優良証交付申請!$A15,入力シート!$AF$6:$AF$505,0),MATCH(体力優良証交付申請!H$14,テーブル22[[#Headers],[学年]:[得点]],0)))</f>
        <v/>
      </c>
      <c r="I15" s="102" t="str">
        <f>IF($A15&gt;MAX(入力シート!$AF$6:$AF$505),"",INDEX(テーブル22[[学年]:[得点]],MATCH(体力優良証交付申請!$A15,入力シート!$AF$6:$AF$505,0),MATCH(体力優良証交付申請!I$14,テーブル22[[#Headers],[学年]:[得点]],0)))</f>
        <v/>
      </c>
      <c r="J15" s="114" t="str">
        <f>IF($A15&gt;MAX(入力シート!$AF$6:$AF$505),"",INDEX(テーブル22[[学年]:[得点]],MATCH(体力優良証交付申請!$A15,入力シート!$AF$6:$AF$505,0),MATCH(体力優良証交付申請!J$14,テーブル22[[#Headers],[学年]:[得点]],0)))</f>
        <v/>
      </c>
      <c r="K15" s="102" t="str">
        <f>IF($A15&gt;MAX(入力シート!$AF$6:$AF$505),"",INDEX(テーブル22[[学年]:[得点]],MATCH(体力優良証交付申請!$A15,入力シート!$AF$6:$AF$505,0),MATCH(体力優良証交付申請!K$14,テーブル22[[#Headers],[学年]:[得点]],0)))</f>
        <v/>
      </c>
      <c r="L15" s="102" t="str">
        <f>IF($A15&gt;MAX(入力シート!$AF$6:$AF$505),"",INDEX(テーブル22[[学年]:[得点]],MATCH(体力優良証交付申請!$A15,入力シート!$AF$6:$AF$505,0),MATCH(体力優良証交付申請!L$14,テーブル22[[#Headers],[学年]:[得点]],0)))</f>
        <v/>
      </c>
      <c r="M15" s="28" t="str">
        <f>IF($A15&gt;MAX(入力シート!$AF$6:$AF$505),"",INDEX(テーブル22[[学年]:[得点]],MATCH(体力優良証交付申請!$A15,入力シート!$AF$6:$AF$505,0),MATCH(体力優良証交付申請!M$14,テーブル22[[#Headers],[学年]:[得点]],0)))</f>
        <v/>
      </c>
    </row>
    <row r="16" spans="1:15" ht="15" customHeight="1" x14ac:dyDescent="0.2">
      <c r="A16" s="16">
        <v>2</v>
      </c>
      <c r="B16" s="130" t="str">
        <f>IF($A16&gt;MAX(入力シート!$AF$6:$AF$505),"",INDEX(テーブル22[[学年]:[得点]],MATCH(体力優良証交付申請!$A16,入力シート!$AF$6:$AF$505,0),MATCH(体力優良証交付申請!B$14,テーブル22[[#Headers],[学年]:[得点]],0)))</f>
        <v/>
      </c>
      <c r="C16" s="203" t="str">
        <f>IF($A16&gt;MAX(入力シート!$AF$6:$AF$505),"",INDEX(テーブル22[[学年]:[得点]],MATCH(体力優良証交付申請!$A16,入力シート!$AF$6:$AF$505,0),MATCH(体力優良証交付申請!C$14,テーブル22[[#Headers],[学年]:[得点]],0)))</f>
        <v/>
      </c>
      <c r="D16" s="203" t="str">
        <f>IF($A16&gt;MAX(入力シート!$AF$6:$AF$505),"",INDEX(テーブル22[[学年]:[得点]],MATCH(体力優良証交付申請!$A16,入力シート!$AF$6:$AF$505,0),MATCH(体力優良証交付申請!D$14,テーブル22[[#Headers],[学年]:[得点]],0)))</f>
        <v/>
      </c>
      <c r="E16" s="203" t="str">
        <f>IF($A16&gt;MAX(入力シート!$AF$6:$AF$505),"",INDEX(テーブル22[[学年]:[得点]],MATCH(体力優良証交付申請!$A16,入力シート!$AF$6:$AF$505,0),MATCH(体力優良証交付申請!E$14,テーブル22[[#Headers],[学年]:[得点]],0)))</f>
        <v/>
      </c>
      <c r="F16" s="203" t="str">
        <f>IF($A16&gt;MAX(入力シート!$AF$6:$AF$505),"",INDEX(テーブル22[[学年]:[得点]],MATCH(体力優良証交付申請!$A16,入力シート!$AF$6:$AF$505,0),MATCH(体力優良証交付申請!F$14,テーブル22[[#Headers],[学年]:[得点]],0)))</f>
        <v/>
      </c>
      <c r="G16" s="203" t="str">
        <f>IF($A16&gt;MAX(入力シート!$AF$6:$AF$505),"",INDEX(テーブル22[[学年]:[得点]],MATCH(体力優良証交付申請!$A16,入力シート!$AF$6:$AF$505,0),MATCH(体力優良証交付申請!G$14,テーブル22[[#Headers],[学年]:[得点]],0)))</f>
        <v/>
      </c>
      <c r="H16" s="203" t="str">
        <f>IF($A16&gt;MAX(入力シート!$AF$6:$AF$505),"",INDEX(テーブル22[[学年]:[得点]],MATCH(体力優良証交付申請!$A16,入力シート!$AF$6:$AF$505,0),MATCH(体力優良証交付申請!H$14,テーブル22[[#Headers],[学年]:[得点]],0)))</f>
        <v/>
      </c>
      <c r="I16" s="203" t="str">
        <f>IF($A16&gt;MAX(入力シート!$AF$6:$AF$505),"",INDEX(テーブル22[[学年]:[得点]],MATCH(体力優良証交付申請!$A16,入力シート!$AF$6:$AF$505,0),MATCH(体力優良証交付申請!I$14,テーブル22[[#Headers],[学年]:[得点]],0)))</f>
        <v/>
      </c>
      <c r="J16" s="114" t="str">
        <f>IF($A16&gt;MAX(入力シート!$AF$6:$AF$505),"",INDEX(テーブル22[[学年]:[得点]],MATCH(体力優良証交付申請!$A16,入力シート!$AF$6:$AF$505,0),MATCH(体力優良証交付申請!J$14,テーブル22[[#Headers],[学年]:[得点]],0)))</f>
        <v/>
      </c>
      <c r="K16" s="203" t="str">
        <f>IF($A16&gt;MAX(入力シート!$AF$6:$AF$505),"",INDEX(テーブル22[[学年]:[得点]],MATCH(体力優良証交付申請!$A16,入力シート!$AF$6:$AF$505,0),MATCH(体力優良証交付申請!K$14,テーブル22[[#Headers],[学年]:[得点]],0)))</f>
        <v/>
      </c>
      <c r="L16" s="203" t="str">
        <f>IF($A16&gt;MAX(入力シート!$AF$6:$AF$505),"",INDEX(テーブル22[[学年]:[得点]],MATCH(体力優良証交付申請!$A16,入力シート!$AF$6:$AF$505,0),MATCH(体力優良証交付申請!L$14,テーブル22[[#Headers],[学年]:[得点]],0)))</f>
        <v/>
      </c>
      <c r="M16" s="28" t="str">
        <f>IF($A16&gt;MAX(入力シート!$AF$6:$AF$505),"",INDEX(テーブル22[[学年]:[得点]],MATCH(体力優良証交付申請!$A16,入力シート!$AF$6:$AF$505,0),MATCH(体力優良証交付申請!M$14,テーブル22[[#Headers],[学年]:[得点]],0)))</f>
        <v/>
      </c>
    </row>
    <row r="17" spans="1:13" ht="15" customHeight="1" x14ac:dyDescent="0.2">
      <c r="A17" s="16">
        <v>3</v>
      </c>
      <c r="B17" s="130" t="str">
        <f>IF($A17&gt;MAX(入力シート!$AF$6:$AF$505),"",INDEX(テーブル22[[学年]:[得点]],MATCH(体力優良証交付申請!$A17,入力シート!$AF$6:$AF$505,0),MATCH(体力優良証交付申請!B$14,テーブル22[[#Headers],[学年]:[得点]],0)))</f>
        <v/>
      </c>
      <c r="C17" s="203" t="str">
        <f>IF($A17&gt;MAX(入力シート!$AF$6:$AF$505),"",INDEX(テーブル22[[学年]:[得点]],MATCH(体力優良証交付申請!$A17,入力シート!$AF$6:$AF$505,0),MATCH(体力優良証交付申請!C$14,テーブル22[[#Headers],[学年]:[得点]],0)))</f>
        <v/>
      </c>
      <c r="D17" s="203" t="str">
        <f>IF($A17&gt;MAX(入力シート!$AF$6:$AF$505),"",INDEX(テーブル22[[学年]:[得点]],MATCH(体力優良証交付申請!$A17,入力シート!$AF$6:$AF$505,0),MATCH(体力優良証交付申請!D$14,テーブル22[[#Headers],[学年]:[得点]],0)))</f>
        <v/>
      </c>
      <c r="E17" s="203" t="str">
        <f>IF($A17&gt;MAX(入力シート!$AF$6:$AF$505),"",INDEX(テーブル22[[学年]:[得点]],MATCH(体力優良証交付申請!$A17,入力シート!$AF$6:$AF$505,0),MATCH(体力優良証交付申請!E$14,テーブル22[[#Headers],[学年]:[得点]],0)))</f>
        <v/>
      </c>
      <c r="F17" s="203" t="str">
        <f>IF($A17&gt;MAX(入力シート!$AF$6:$AF$505),"",INDEX(テーブル22[[学年]:[得点]],MATCH(体力優良証交付申請!$A17,入力シート!$AF$6:$AF$505,0),MATCH(体力優良証交付申請!F$14,テーブル22[[#Headers],[学年]:[得点]],0)))</f>
        <v/>
      </c>
      <c r="G17" s="203" t="str">
        <f>IF($A17&gt;MAX(入力シート!$AF$6:$AF$505),"",INDEX(テーブル22[[学年]:[得点]],MATCH(体力優良証交付申請!$A17,入力シート!$AF$6:$AF$505,0),MATCH(体力優良証交付申請!G$14,テーブル22[[#Headers],[学年]:[得点]],0)))</f>
        <v/>
      </c>
      <c r="H17" s="203" t="str">
        <f>IF($A17&gt;MAX(入力シート!$AF$6:$AF$505),"",INDEX(テーブル22[[学年]:[得点]],MATCH(体力優良証交付申請!$A17,入力シート!$AF$6:$AF$505,0),MATCH(体力優良証交付申請!H$14,テーブル22[[#Headers],[学年]:[得点]],0)))</f>
        <v/>
      </c>
      <c r="I17" s="203" t="str">
        <f>IF($A17&gt;MAX(入力シート!$AF$6:$AF$505),"",INDEX(テーブル22[[学年]:[得点]],MATCH(体力優良証交付申請!$A17,入力シート!$AF$6:$AF$505,0),MATCH(体力優良証交付申請!I$14,テーブル22[[#Headers],[学年]:[得点]],0)))</f>
        <v/>
      </c>
      <c r="J17" s="114" t="str">
        <f>IF($A17&gt;MAX(入力シート!$AF$6:$AF$505),"",INDEX(テーブル22[[学年]:[得点]],MATCH(体力優良証交付申請!$A17,入力シート!$AF$6:$AF$505,0),MATCH(体力優良証交付申請!J$14,テーブル22[[#Headers],[学年]:[得点]],0)))</f>
        <v/>
      </c>
      <c r="K17" s="203" t="str">
        <f>IF($A17&gt;MAX(入力シート!$AF$6:$AF$505),"",INDEX(テーブル22[[学年]:[得点]],MATCH(体力優良証交付申請!$A17,入力シート!$AF$6:$AF$505,0),MATCH(体力優良証交付申請!K$14,テーブル22[[#Headers],[学年]:[得点]],0)))</f>
        <v/>
      </c>
      <c r="L17" s="203" t="str">
        <f>IF($A17&gt;MAX(入力シート!$AF$6:$AF$505),"",INDEX(テーブル22[[学年]:[得点]],MATCH(体力優良証交付申請!$A17,入力シート!$AF$6:$AF$505,0),MATCH(体力優良証交付申請!L$14,テーブル22[[#Headers],[学年]:[得点]],0)))</f>
        <v/>
      </c>
      <c r="M17" s="28" t="str">
        <f>IF($A17&gt;MAX(入力シート!$AF$6:$AF$505),"",INDEX(テーブル22[[学年]:[得点]],MATCH(体力優良証交付申請!$A17,入力シート!$AF$6:$AF$505,0),MATCH(体力優良証交付申請!M$14,テーブル22[[#Headers],[学年]:[得点]],0)))</f>
        <v/>
      </c>
    </row>
    <row r="18" spans="1:13" ht="15" customHeight="1" x14ac:dyDescent="0.2">
      <c r="A18" s="16">
        <v>4</v>
      </c>
      <c r="B18" s="130" t="str">
        <f>IF($A18&gt;MAX(入力シート!$AF$6:$AF$505),"",INDEX(テーブル22[[学年]:[得点]],MATCH(体力優良証交付申請!$A18,入力シート!$AF$6:$AF$505,0),MATCH(体力優良証交付申請!B$14,テーブル22[[#Headers],[学年]:[得点]],0)))</f>
        <v/>
      </c>
      <c r="C18" s="203" t="str">
        <f>IF($A18&gt;MAX(入力シート!$AF$6:$AF$505),"",INDEX(テーブル22[[学年]:[得点]],MATCH(体力優良証交付申請!$A18,入力シート!$AF$6:$AF$505,0),MATCH(体力優良証交付申請!C$14,テーブル22[[#Headers],[学年]:[得点]],0)))</f>
        <v/>
      </c>
      <c r="D18" s="203" t="str">
        <f>IF($A18&gt;MAX(入力シート!$AF$6:$AF$505),"",INDEX(テーブル22[[学年]:[得点]],MATCH(体力優良証交付申請!$A18,入力シート!$AF$6:$AF$505,0),MATCH(体力優良証交付申請!D$14,テーブル22[[#Headers],[学年]:[得点]],0)))</f>
        <v/>
      </c>
      <c r="E18" s="203" t="str">
        <f>IF($A18&gt;MAX(入力シート!$AF$6:$AF$505),"",INDEX(テーブル22[[学年]:[得点]],MATCH(体力優良証交付申請!$A18,入力シート!$AF$6:$AF$505,0),MATCH(体力優良証交付申請!E$14,テーブル22[[#Headers],[学年]:[得点]],0)))</f>
        <v/>
      </c>
      <c r="F18" s="203" t="str">
        <f>IF($A18&gt;MAX(入力シート!$AF$6:$AF$505),"",INDEX(テーブル22[[学年]:[得点]],MATCH(体力優良証交付申請!$A18,入力シート!$AF$6:$AF$505,0),MATCH(体力優良証交付申請!F$14,テーブル22[[#Headers],[学年]:[得点]],0)))</f>
        <v/>
      </c>
      <c r="G18" s="203" t="str">
        <f>IF($A18&gt;MAX(入力シート!$AF$6:$AF$505),"",INDEX(テーブル22[[学年]:[得点]],MATCH(体力優良証交付申請!$A18,入力シート!$AF$6:$AF$505,0),MATCH(体力優良証交付申請!G$14,テーブル22[[#Headers],[学年]:[得点]],0)))</f>
        <v/>
      </c>
      <c r="H18" s="203" t="str">
        <f>IF($A18&gt;MAX(入力シート!$AF$6:$AF$505),"",INDEX(テーブル22[[学年]:[得点]],MATCH(体力優良証交付申請!$A18,入力シート!$AF$6:$AF$505,0),MATCH(体力優良証交付申請!H$14,テーブル22[[#Headers],[学年]:[得点]],0)))</f>
        <v/>
      </c>
      <c r="I18" s="203" t="str">
        <f>IF($A18&gt;MAX(入力シート!$AF$6:$AF$505),"",INDEX(テーブル22[[学年]:[得点]],MATCH(体力優良証交付申請!$A18,入力シート!$AF$6:$AF$505,0),MATCH(体力優良証交付申請!I$14,テーブル22[[#Headers],[学年]:[得点]],0)))</f>
        <v/>
      </c>
      <c r="J18" s="114" t="str">
        <f>IF($A18&gt;MAX(入力シート!$AF$6:$AF$505),"",INDEX(テーブル22[[学年]:[得点]],MATCH(体力優良証交付申請!$A18,入力シート!$AF$6:$AF$505,0),MATCH(体力優良証交付申請!J$14,テーブル22[[#Headers],[学年]:[得点]],0)))</f>
        <v/>
      </c>
      <c r="K18" s="203" t="str">
        <f>IF($A18&gt;MAX(入力シート!$AF$6:$AF$505),"",INDEX(テーブル22[[学年]:[得点]],MATCH(体力優良証交付申請!$A18,入力シート!$AF$6:$AF$505,0),MATCH(体力優良証交付申請!K$14,テーブル22[[#Headers],[学年]:[得点]],0)))</f>
        <v/>
      </c>
      <c r="L18" s="203" t="str">
        <f>IF($A18&gt;MAX(入力シート!$AF$6:$AF$505),"",INDEX(テーブル22[[学年]:[得点]],MATCH(体力優良証交付申請!$A18,入力シート!$AF$6:$AF$505,0),MATCH(体力優良証交付申請!L$14,テーブル22[[#Headers],[学年]:[得点]],0)))</f>
        <v/>
      </c>
      <c r="M18" s="28" t="str">
        <f>IF($A18&gt;MAX(入力シート!$AF$6:$AF$505),"",INDEX(テーブル22[[学年]:[得点]],MATCH(体力優良証交付申請!$A18,入力シート!$AF$6:$AF$505,0),MATCH(体力優良証交付申請!M$14,テーブル22[[#Headers],[学年]:[得点]],0)))</f>
        <v/>
      </c>
    </row>
    <row r="19" spans="1:13" ht="15" customHeight="1" x14ac:dyDescent="0.2">
      <c r="A19" s="16">
        <v>5</v>
      </c>
      <c r="B19" s="130" t="str">
        <f>IF($A19&gt;MAX(入力シート!$AF$6:$AF$505),"",INDEX(テーブル22[[学年]:[得点]],MATCH(体力優良証交付申請!$A19,入力シート!$AF$6:$AF$505,0),MATCH(体力優良証交付申請!B$14,テーブル22[[#Headers],[学年]:[得点]],0)))</f>
        <v/>
      </c>
      <c r="C19" s="203" t="str">
        <f>IF($A19&gt;MAX(入力シート!$AF$6:$AF$505),"",INDEX(テーブル22[[学年]:[得点]],MATCH(体力優良証交付申請!$A19,入力シート!$AF$6:$AF$505,0),MATCH(体力優良証交付申請!C$14,テーブル22[[#Headers],[学年]:[得点]],0)))</f>
        <v/>
      </c>
      <c r="D19" s="203" t="str">
        <f>IF($A19&gt;MAX(入力シート!$AF$6:$AF$505),"",INDEX(テーブル22[[学年]:[得点]],MATCH(体力優良証交付申請!$A19,入力シート!$AF$6:$AF$505,0),MATCH(体力優良証交付申請!D$14,テーブル22[[#Headers],[学年]:[得点]],0)))</f>
        <v/>
      </c>
      <c r="E19" s="203" t="str">
        <f>IF($A19&gt;MAX(入力シート!$AF$6:$AF$505),"",INDEX(テーブル22[[学年]:[得点]],MATCH(体力優良証交付申請!$A19,入力シート!$AF$6:$AF$505,0),MATCH(体力優良証交付申請!E$14,テーブル22[[#Headers],[学年]:[得点]],0)))</f>
        <v/>
      </c>
      <c r="F19" s="203" t="str">
        <f>IF($A19&gt;MAX(入力シート!$AF$6:$AF$505),"",INDEX(テーブル22[[学年]:[得点]],MATCH(体力優良証交付申請!$A19,入力シート!$AF$6:$AF$505,0),MATCH(体力優良証交付申請!F$14,テーブル22[[#Headers],[学年]:[得点]],0)))</f>
        <v/>
      </c>
      <c r="G19" s="203" t="str">
        <f>IF($A19&gt;MAX(入力シート!$AF$6:$AF$505),"",INDEX(テーブル22[[学年]:[得点]],MATCH(体力優良証交付申請!$A19,入力シート!$AF$6:$AF$505,0),MATCH(体力優良証交付申請!G$14,テーブル22[[#Headers],[学年]:[得点]],0)))</f>
        <v/>
      </c>
      <c r="H19" s="203" t="str">
        <f>IF($A19&gt;MAX(入力シート!$AF$6:$AF$505),"",INDEX(テーブル22[[学年]:[得点]],MATCH(体力優良証交付申請!$A19,入力シート!$AF$6:$AF$505,0),MATCH(体力優良証交付申請!H$14,テーブル22[[#Headers],[学年]:[得点]],0)))</f>
        <v/>
      </c>
      <c r="I19" s="203" t="str">
        <f>IF($A19&gt;MAX(入力シート!$AF$6:$AF$505),"",INDEX(テーブル22[[学年]:[得点]],MATCH(体力優良証交付申請!$A19,入力シート!$AF$6:$AF$505,0),MATCH(体力優良証交付申請!I$14,テーブル22[[#Headers],[学年]:[得点]],0)))</f>
        <v/>
      </c>
      <c r="J19" s="114" t="str">
        <f>IF($A19&gt;MAX(入力シート!$AF$6:$AF$505),"",INDEX(テーブル22[[学年]:[得点]],MATCH(体力優良証交付申請!$A19,入力シート!$AF$6:$AF$505,0),MATCH(体力優良証交付申請!J$14,テーブル22[[#Headers],[学年]:[得点]],0)))</f>
        <v/>
      </c>
      <c r="K19" s="203" t="str">
        <f>IF($A19&gt;MAX(入力シート!$AF$6:$AF$505),"",INDEX(テーブル22[[学年]:[得点]],MATCH(体力優良証交付申請!$A19,入力シート!$AF$6:$AF$505,0),MATCH(体力優良証交付申請!K$14,テーブル22[[#Headers],[学年]:[得点]],0)))</f>
        <v/>
      </c>
      <c r="L19" s="203" t="str">
        <f>IF($A19&gt;MAX(入力シート!$AF$6:$AF$505),"",INDEX(テーブル22[[学年]:[得点]],MATCH(体力優良証交付申請!$A19,入力シート!$AF$6:$AF$505,0),MATCH(体力優良証交付申請!L$14,テーブル22[[#Headers],[学年]:[得点]],0)))</f>
        <v/>
      </c>
      <c r="M19" s="28" t="str">
        <f>IF($A19&gt;MAX(入力シート!$AF$6:$AF$505),"",INDEX(テーブル22[[学年]:[得点]],MATCH(体力優良証交付申請!$A19,入力シート!$AF$6:$AF$505,0),MATCH(体力優良証交付申請!M$14,テーブル22[[#Headers],[学年]:[得点]],0)))</f>
        <v/>
      </c>
    </row>
    <row r="20" spans="1:13" ht="15" customHeight="1" x14ac:dyDescent="0.2">
      <c r="A20" s="16">
        <v>6</v>
      </c>
      <c r="B20" s="130" t="str">
        <f>IF($A20&gt;MAX(入力シート!$AF$6:$AF$505),"",INDEX(テーブル22[[学年]:[得点]],MATCH(体力優良証交付申請!$A20,入力シート!$AF$6:$AF$505,0),MATCH(体力優良証交付申請!B$14,テーブル22[[#Headers],[学年]:[得点]],0)))</f>
        <v/>
      </c>
      <c r="C20" s="203" t="str">
        <f>IF($A20&gt;MAX(入力シート!$AF$6:$AF$505),"",INDEX(テーブル22[[学年]:[得点]],MATCH(体力優良証交付申請!$A20,入力シート!$AF$6:$AF$505,0),MATCH(体力優良証交付申請!C$14,テーブル22[[#Headers],[学年]:[得点]],0)))</f>
        <v/>
      </c>
      <c r="D20" s="203" t="str">
        <f>IF($A20&gt;MAX(入力シート!$AF$6:$AF$505),"",INDEX(テーブル22[[学年]:[得点]],MATCH(体力優良証交付申請!$A20,入力シート!$AF$6:$AF$505,0),MATCH(体力優良証交付申請!D$14,テーブル22[[#Headers],[学年]:[得点]],0)))</f>
        <v/>
      </c>
      <c r="E20" s="203" t="str">
        <f>IF($A20&gt;MAX(入力シート!$AF$6:$AF$505),"",INDEX(テーブル22[[学年]:[得点]],MATCH(体力優良証交付申請!$A20,入力シート!$AF$6:$AF$505,0),MATCH(体力優良証交付申請!E$14,テーブル22[[#Headers],[学年]:[得点]],0)))</f>
        <v/>
      </c>
      <c r="F20" s="203" t="str">
        <f>IF($A20&gt;MAX(入力シート!$AF$6:$AF$505),"",INDEX(テーブル22[[学年]:[得点]],MATCH(体力優良証交付申請!$A20,入力シート!$AF$6:$AF$505,0),MATCH(体力優良証交付申請!F$14,テーブル22[[#Headers],[学年]:[得点]],0)))</f>
        <v/>
      </c>
      <c r="G20" s="203" t="str">
        <f>IF($A20&gt;MAX(入力シート!$AF$6:$AF$505),"",INDEX(テーブル22[[学年]:[得点]],MATCH(体力優良証交付申請!$A20,入力シート!$AF$6:$AF$505,0),MATCH(体力優良証交付申請!G$14,テーブル22[[#Headers],[学年]:[得点]],0)))</f>
        <v/>
      </c>
      <c r="H20" s="203" t="str">
        <f>IF($A20&gt;MAX(入力シート!$AF$6:$AF$505),"",INDEX(テーブル22[[学年]:[得点]],MATCH(体力優良証交付申請!$A20,入力シート!$AF$6:$AF$505,0),MATCH(体力優良証交付申請!H$14,テーブル22[[#Headers],[学年]:[得点]],0)))</f>
        <v/>
      </c>
      <c r="I20" s="203" t="str">
        <f>IF($A20&gt;MAX(入力シート!$AF$6:$AF$505),"",INDEX(テーブル22[[学年]:[得点]],MATCH(体力優良証交付申請!$A20,入力シート!$AF$6:$AF$505,0),MATCH(体力優良証交付申請!I$14,テーブル22[[#Headers],[学年]:[得点]],0)))</f>
        <v/>
      </c>
      <c r="J20" s="114" t="str">
        <f>IF($A20&gt;MAX(入力シート!$AF$6:$AF$505),"",INDEX(テーブル22[[学年]:[得点]],MATCH(体力優良証交付申請!$A20,入力シート!$AF$6:$AF$505,0),MATCH(体力優良証交付申請!J$14,テーブル22[[#Headers],[学年]:[得点]],0)))</f>
        <v/>
      </c>
      <c r="K20" s="203" t="str">
        <f>IF($A20&gt;MAX(入力シート!$AF$6:$AF$505),"",INDEX(テーブル22[[学年]:[得点]],MATCH(体力優良証交付申請!$A20,入力シート!$AF$6:$AF$505,0),MATCH(体力優良証交付申請!K$14,テーブル22[[#Headers],[学年]:[得点]],0)))</f>
        <v/>
      </c>
      <c r="L20" s="203" t="str">
        <f>IF($A20&gt;MAX(入力シート!$AF$6:$AF$505),"",INDEX(テーブル22[[学年]:[得点]],MATCH(体力優良証交付申請!$A20,入力シート!$AF$6:$AF$505,0),MATCH(体力優良証交付申請!L$14,テーブル22[[#Headers],[学年]:[得点]],0)))</f>
        <v/>
      </c>
      <c r="M20" s="28" t="str">
        <f>IF($A20&gt;MAX(入力シート!$AF$6:$AF$505),"",INDEX(テーブル22[[学年]:[得点]],MATCH(体力優良証交付申請!$A20,入力シート!$AF$6:$AF$505,0),MATCH(体力優良証交付申請!M$14,テーブル22[[#Headers],[学年]:[得点]],0)))</f>
        <v/>
      </c>
    </row>
    <row r="21" spans="1:13" ht="15" customHeight="1" x14ac:dyDescent="0.2">
      <c r="A21" s="16">
        <v>7</v>
      </c>
      <c r="B21" s="130" t="str">
        <f>IF($A21&gt;MAX(入力シート!$AF$6:$AF$505),"",INDEX(テーブル22[[学年]:[得点]],MATCH(体力優良証交付申請!$A21,入力シート!$AF$6:$AF$505,0),MATCH(体力優良証交付申請!B$14,テーブル22[[#Headers],[学年]:[得点]],0)))</f>
        <v/>
      </c>
      <c r="C21" s="203" t="str">
        <f>IF($A21&gt;MAX(入力シート!$AF$6:$AF$505),"",INDEX(テーブル22[[学年]:[得点]],MATCH(体力優良証交付申請!$A21,入力シート!$AF$6:$AF$505,0),MATCH(体力優良証交付申請!C$14,テーブル22[[#Headers],[学年]:[得点]],0)))</f>
        <v/>
      </c>
      <c r="D21" s="203" t="str">
        <f>IF($A21&gt;MAX(入力シート!$AF$6:$AF$505),"",INDEX(テーブル22[[学年]:[得点]],MATCH(体力優良証交付申請!$A21,入力シート!$AF$6:$AF$505,0),MATCH(体力優良証交付申請!D$14,テーブル22[[#Headers],[学年]:[得点]],0)))</f>
        <v/>
      </c>
      <c r="E21" s="203" t="str">
        <f>IF($A21&gt;MAX(入力シート!$AF$6:$AF$505),"",INDEX(テーブル22[[学年]:[得点]],MATCH(体力優良証交付申請!$A21,入力シート!$AF$6:$AF$505,0),MATCH(体力優良証交付申請!E$14,テーブル22[[#Headers],[学年]:[得点]],0)))</f>
        <v/>
      </c>
      <c r="F21" s="203" t="str">
        <f>IF($A21&gt;MAX(入力シート!$AF$6:$AF$505),"",INDEX(テーブル22[[学年]:[得点]],MATCH(体力優良証交付申請!$A21,入力シート!$AF$6:$AF$505,0),MATCH(体力優良証交付申請!F$14,テーブル22[[#Headers],[学年]:[得点]],0)))</f>
        <v/>
      </c>
      <c r="G21" s="203" t="str">
        <f>IF($A21&gt;MAX(入力シート!$AF$6:$AF$505),"",INDEX(テーブル22[[学年]:[得点]],MATCH(体力優良証交付申請!$A21,入力シート!$AF$6:$AF$505,0),MATCH(体力優良証交付申請!G$14,テーブル22[[#Headers],[学年]:[得点]],0)))</f>
        <v/>
      </c>
      <c r="H21" s="203" t="str">
        <f>IF($A21&gt;MAX(入力シート!$AF$6:$AF$505),"",INDEX(テーブル22[[学年]:[得点]],MATCH(体力優良証交付申請!$A21,入力シート!$AF$6:$AF$505,0),MATCH(体力優良証交付申請!H$14,テーブル22[[#Headers],[学年]:[得点]],0)))</f>
        <v/>
      </c>
      <c r="I21" s="203" t="str">
        <f>IF($A21&gt;MAX(入力シート!$AF$6:$AF$505),"",INDEX(テーブル22[[学年]:[得点]],MATCH(体力優良証交付申請!$A21,入力シート!$AF$6:$AF$505,0),MATCH(体力優良証交付申請!I$14,テーブル22[[#Headers],[学年]:[得点]],0)))</f>
        <v/>
      </c>
      <c r="J21" s="114" t="str">
        <f>IF($A21&gt;MAX(入力シート!$AF$6:$AF$505),"",INDEX(テーブル22[[学年]:[得点]],MATCH(体力優良証交付申請!$A21,入力シート!$AF$6:$AF$505,0),MATCH(体力優良証交付申請!J$14,テーブル22[[#Headers],[学年]:[得点]],0)))</f>
        <v/>
      </c>
      <c r="K21" s="203" t="str">
        <f>IF($A21&gt;MAX(入力シート!$AF$6:$AF$505),"",INDEX(テーブル22[[学年]:[得点]],MATCH(体力優良証交付申請!$A21,入力シート!$AF$6:$AF$505,0),MATCH(体力優良証交付申請!K$14,テーブル22[[#Headers],[学年]:[得点]],0)))</f>
        <v/>
      </c>
      <c r="L21" s="203" t="str">
        <f>IF($A21&gt;MAX(入力シート!$AF$6:$AF$505),"",INDEX(テーブル22[[学年]:[得点]],MATCH(体力優良証交付申請!$A21,入力シート!$AF$6:$AF$505,0),MATCH(体力優良証交付申請!L$14,テーブル22[[#Headers],[学年]:[得点]],0)))</f>
        <v/>
      </c>
      <c r="M21" s="28" t="str">
        <f>IF($A21&gt;MAX(入力シート!$AF$6:$AF$505),"",INDEX(テーブル22[[学年]:[得点]],MATCH(体力優良証交付申請!$A21,入力シート!$AF$6:$AF$505,0),MATCH(体力優良証交付申請!M$14,テーブル22[[#Headers],[学年]:[得点]],0)))</f>
        <v/>
      </c>
    </row>
    <row r="22" spans="1:13" ht="15" customHeight="1" x14ac:dyDescent="0.2">
      <c r="A22" s="16">
        <v>8</v>
      </c>
      <c r="B22" s="130" t="str">
        <f>IF($A22&gt;MAX(入力シート!$AF$6:$AF$505),"",INDEX(テーブル22[[学年]:[得点]],MATCH(体力優良証交付申請!$A22,入力シート!$AF$6:$AF$505,0),MATCH(体力優良証交付申請!B$14,テーブル22[[#Headers],[学年]:[得点]],0)))</f>
        <v/>
      </c>
      <c r="C22" s="203" t="str">
        <f>IF($A22&gt;MAX(入力シート!$AF$6:$AF$505),"",INDEX(テーブル22[[学年]:[得点]],MATCH(体力優良証交付申請!$A22,入力シート!$AF$6:$AF$505,0),MATCH(体力優良証交付申請!C$14,テーブル22[[#Headers],[学年]:[得点]],0)))</f>
        <v/>
      </c>
      <c r="D22" s="203" t="str">
        <f>IF($A22&gt;MAX(入力シート!$AF$6:$AF$505),"",INDEX(テーブル22[[学年]:[得点]],MATCH(体力優良証交付申請!$A22,入力シート!$AF$6:$AF$505,0),MATCH(体力優良証交付申請!D$14,テーブル22[[#Headers],[学年]:[得点]],0)))</f>
        <v/>
      </c>
      <c r="E22" s="203" t="str">
        <f>IF($A22&gt;MAX(入力シート!$AF$6:$AF$505),"",INDEX(テーブル22[[学年]:[得点]],MATCH(体力優良証交付申請!$A22,入力シート!$AF$6:$AF$505,0),MATCH(体力優良証交付申請!E$14,テーブル22[[#Headers],[学年]:[得点]],0)))</f>
        <v/>
      </c>
      <c r="F22" s="203" t="str">
        <f>IF($A22&gt;MAX(入力シート!$AF$6:$AF$505),"",INDEX(テーブル22[[学年]:[得点]],MATCH(体力優良証交付申請!$A22,入力シート!$AF$6:$AF$505,0),MATCH(体力優良証交付申請!F$14,テーブル22[[#Headers],[学年]:[得点]],0)))</f>
        <v/>
      </c>
      <c r="G22" s="203" t="str">
        <f>IF($A22&gt;MAX(入力シート!$AF$6:$AF$505),"",INDEX(テーブル22[[学年]:[得点]],MATCH(体力優良証交付申請!$A22,入力シート!$AF$6:$AF$505,0),MATCH(体力優良証交付申請!G$14,テーブル22[[#Headers],[学年]:[得点]],0)))</f>
        <v/>
      </c>
      <c r="H22" s="203" t="str">
        <f>IF($A22&gt;MAX(入力シート!$AF$6:$AF$505),"",INDEX(テーブル22[[学年]:[得点]],MATCH(体力優良証交付申請!$A22,入力シート!$AF$6:$AF$505,0),MATCH(体力優良証交付申請!H$14,テーブル22[[#Headers],[学年]:[得点]],0)))</f>
        <v/>
      </c>
      <c r="I22" s="203" t="str">
        <f>IF($A22&gt;MAX(入力シート!$AF$6:$AF$505),"",INDEX(テーブル22[[学年]:[得点]],MATCH(体力優良証交付申請!$A22,入力シート!$AF$6:$AF$505,0),MATCH(体力優良証交付申請!I$14,テーブル22[[#Headers],[学年]:[得点]],0)))</f>
        <v/>
      </c>
      <c r="J22" s="114" t="str">
        <f>IF($A22&gt;MAX(入力シート!$AF$6:$AF$505),"",INDEX(テーブル22[[学年]:[得点]],MATCH(体力優良証交付申請!$A22,入力シート!$AF$6:$AF$505,0),MATCH(体力優良証交付申請!J$14,テーブル22[[#Headers],[学年]:[得点]],0)))</f>
        <v/>
      </c>
      <c r="K22" s="203" t="str">
        <f>IF($A22&gt;MAX(入力シート!$AF$6:$AF$505),"",INDEX(テーブル22[[学年]:[得点]],MATCH(体力優良証交付申請!$A22,入力シート!$AF$6:$AF$505,0),MATCH(体力優良証交付申請!K$14,テーブル22[[#Headers],[学年]:[得点]],0)))</f>
        <v/>
      </c>
      <c r="L22" s="203" t="str">
        <f>IF($A22&gt;MAX(入力シート!$AF$6:$AF$505),"",INDEX(テーブル22[[学年]:[得点]],MATCH(体力優良証交付申請!$A22,入力シート!$AF$6:$AF$505,0),MATCH(体力優良証交付申請!L$14,テーブル22[[#Headers],[学年]:[得点]],0)))</f>
        <v/>
      </c>
      <c r="M22" s="28" t="str">
        <f>IF($A22&gt;MAX(入力シート!$AF$6:$AF$505),"",INDEX(テーブル22[[学年]:[得点]],MATCH(体力優良証交付申請!$A22,入力シート!$AF$6:$AF$505,0),MATCH(体力優良証交付申請!M$14,テーブル22[[#Headers],[学年]:[得点]],0)))</f>
        <v/>
      </c>
    </row>
    <row r="23" spans="1:13" ht="15" customHeight="1" x14ac:dyDescent="0.2">
      <c r="A23" s="16">
        <v>9</v>
      </c>
      <c r="B23" s="130" t="str">
        <f>IF($A23&gt;MAX(入力シート!$AF$6:$AF$505),"",INDEX(テーブル22[[学年]:[得点]],MATCH(体力優良証交付申請!$A23,入力シート!$AF$6:$AF$505,0),MATCH(体力優良証交付申請!B$14,テーブル22[[#Headers],[学年]:[得点]],0)))</f>
        <v/>
      </c>
      <c r="C23" s="203" t="str">
        <f>IF($A23&gt;MAX(入力シート!$AF$6:$AF$505),"",INDEX(テーブル22[[学年]:[得点]],MATCH(体力優良証交付申請!$A23,入力シート!$AF$6:$AF$505,0),MATCH(体力優良証交付申請!C$14,テーブル22[[#Headers],[学年]:[得点]],0)))</f>
        <v/>
      </c>
      <c r="D23" s="203" t="str">
        <f>IF($A23&gt;MAX(入力シート!$AF$6:$AF$505),"",INDEX(テーブル22[[学年]:[得点]],MATCH(体力優良証交付申請!$A23,入力シート!$AF$6:$AF$505,0),MATCH(体力優良証交付申請!D$14,テーブル22[[#Headers],[学年]:[得点]],0)))</f>
        <v/>
      </c>
      <c r="E23" s="203" t="str">
        <f>IF($A23&gt;MAX(入力シート!$AF$6:$AF$505),"",INDEX(テーブル22[[学年]:[得点]],MATCH(体力優良証交付申請!$A23,入力シート!$AF$6:$AF$505,0),MATCH(体力優良証交付申請!E$14,テーブル22[[#Headers],[学年]:[得点]],0)))</f>
        <v/>
      </c>
      <c r="F23" s="203" t="str">
        <f>IF($A23&gt;MAX(入力シート!$AF$6:$AF$505),"",INDEX(テーブル22[[学年]:[得点]],MATCH(体力優良証交付申請!$A23,入力シート!$AF$6:$AF$505,0),MATCH(体力優良証交付申請!F$14,テーブル22[[#Headers],[学年]:[得点]],0)))</f>
        <v/>
      </c>
      <c r="G23" s="203" t="str">
        <f>IF($A23&gt;MAX(入力シート!$AF$6:$AF$505),"",INDEX(テーブル22[[学年]:[得点]],MATCH(体力優良証交付申請!$A23,入力シート!$AF$6:$AF$505,0),MATCH(体力優良証交付申請!G$14,テーブル22[[#Headers],[学年]:[得点]],0)))</f>
        <v/>
      </c>
      <c r="H23" s="203" t="str">
        <f>IF($A23&gt;MAX(入力シート!$AF$6:$AF$505),"",INDEX(テーブル22[[学年]:[得点]],MATCH(体力優良証交付申請!$A23,入力シート!$AF$6:$AF$505,0),MATCH(体力優良証交付申請!H$14,テーブル22[[#Headers],[学年]:[得点]],0)))</f>
        <v/>
      </c>
      <c r="I23" s="203" t="str">
        <f>IF($A23&gt;MAX(入力シート!$AF$6:$AF$505),"",INDEX(テーブル22[[学年]:[得点]],MATCH(体力優良証交付申請!$A23,入力シート!$AF$6:$AF$505,0),MATCH(体力優良証交付申請!I$14,テーブル22[[#Headers],[学年]:[得点]],0)))</f>
        <v/>
      </c>
      <c r="J23" s="114" t="str">
        <f>IF($A23&gt;MAX(入力シート!$AF$6:$AF$505),"",INDEX(テーブル22[[学年]:[得点]],MATCH(体力優良証交付申請!$A23,入力シート!$AF$6:$AF$505,0),MATCH(体力優良証交付申請!J$14,テーブル22[[#Headers],[学年]:[得点]],0)))</f>
        <v/>
      </c>
      <c r="K23" s="203" t="str">
        <f>IF($A23&gt;MAX(入力シート!$AF$6:$AF$505),"",INDEX(テーブル22[[学年]:[得点]],MATCH(体力優良証交付申請!$A23,入力シート!$AF$6:$AF$505,0),MATCH(体力優良証交付申請!K$14,テーブル22[[#Headers],[学年]:[得点]],0)))</f>
        <v/>
      </c>
      <c r="L23" s="203" t="str">
        <f>IF($A23&gt;MAX(入力シート!$AF$6:$AF$505),"",INDEX(テーブル22[[学年]:[得点]],MATCH(体力優良証交付申請!$A23,入力シート!$AF$6:$AF$505,0),MATCH(体力優良証交付申請!L$14,テーブル22[[#Headers],[学年]:[得点]],0)))</f>
        <v/>
      </c>
      <c r="M23" s="28" t="str">
        <f>IF($A23&gt;MAX(入力シート!$AF$6:$AF$505),"",INDEX(テーブル22[[学年]:[得点]],MATCH(体力優良証交付申請!$A23,入力シート!$AF$6:$AF$505,0),MATCH(体力優良証交付申請!M$14,テーブル22[[#Headers],[学年]:[得点]],0)))</f>
        <v/>
      </c>
    </row>
    <row r="24" spans="1:13" ht="15" customHeight="1" x14ac:dyDescent="0.2">
      <c r="A24" s="16">
        <v>10</v>
      </c>
      <c r="B24" s="130" t="str">
        <f>IF($A24&gt;MAX(入力シート!$AF$6:$AF$505),"",INDEX(テーブル22[[学年]:[得点]],MATCH(体力優良証交付申請!$A24,入力シート!$AF$6:$AF$505,0),MATCH(体力優良証交付申請!B$14,テーブル22[[#Headers],[学年]:[得点]],0)))</f>
        <v/>
      </c>
      <c r="C24" s="203" t="str">
        <f>IF($A24&gt;MAX(入力シート!$AF$6:$AF$505),"",INDEX(テーブル22[[学年]:[得点]],MATCH(体力優良証交付申請!$A24,入力シート!$AF$6:$AF$505,0),MATCH(体力優良証交付申請!C$14,テーブル22[[#Headers],[学年]:[得点]],0)))</f>
        <v/>
      </c>
      <c r="D24" s="203" t="str">
        <f>IF($A24&gt;MAX(入力シート!$AF$6:$AF$505),"",INDEX(テーブル22[[学年]:[得点]],MATCH(体力優良証交付申請!$A24,入力シート!$AF$6:$AF$505,0),MATCH(体力優良証交付申請!D$14,テーブル22[[#Headers],[学年]:[得点]],0)))</f>
        <v/>
      </c>
      <c r="E24" s="203" t="str">
        <f>IF($A24&gt;MAX(入力シート!$AF$6:$AF$505),"",INDEX(テーブル22[[学年]:[得点]],MATCH(体力優良証交付申請!$A24,入力シート!$AF$6:$AF$505,0),MATCH(体力優良証交付申請!E$14,テーブル22[[#Headers],[学年]:[得点]],0)))</f>
        <v/>
      </c>
      <c r="F24" s="203" t="str">
        <f>IF($A24&gt;MAX(入力シート!$AF$6:$AF$505),"",INDEX(テーブル22[[学年]:[得点]],MATCH(体力優良証交付申請!$A24,入力シート!$AF$6:$AF$505,0),MATCH(体力優良証交付申請!F$14,テーブル22[[#Headers],[学年]:[得点]],0)))</f>
        <v/>
      </c>
      <c r="G24" s="203" t="str">
        <f>IF($A24&gt;MAX(入力シート!$AF$6:$AF$505),"",INDEX(テーブル22[[学年]:[得点]],MATCH(体力優良証交付申請!$A24,入力シート!$AF$6:$AF$505,0),MATCH(体力優良証交付申請!G$14,テーブル22[[#Headers],[学年]:[得点]],0)))</f>
        <v/>
      </c>
      <c r="H24" s="203" t="str">
        <f>IF($A24&gt;MAX(入力シート!$AF$6:$AF$505),"",INDEX(テーブル22[[学年]:[得点]],MATCH(体力優良証交付申請!$A24,入力シート!$AF$6:$AF$505,0),MATCH(体力優良証交付申請!H$14,テーブル22[[#Headers],[学年]:[得点]],0)))</f>
        <v/>
      </c>
      <c r="I24" s="203" t="str">
        <f>IF($A24&gt;MAX(入力シート!$AF$6:$AF$505),"",INDEX(テーブル22[[学年]:[得点]],MATCH(体力優良証交付申請!$A24,入力シート!$AF$6:$AF$505,0),MATCH(体力優良証交付申請!I$14,テーブル22[[#Headers],[学年]:[得点]],0)))</f>
        <v/>
      </c>
      <c r="J24" s="114" t="str">
        <f>IF($A24&gt;MAX(入力シート!$AF$6:$AF$505),"",INDEX(テーブル22[[学年]:[得点]],MATCH(体力優良証交付申請!$A24,入力シート!$AF$6:$AF$505,0),MATCH(体力優良証交付申請!J$14,テーブル22[[#Headers],[学年]:[得点]],0)))</f>
        <v/>
      </c>
      <c r="K24" s="203" t="str">
        <f>IF($A24&gt;MAX(入力シート!$AF$6:$AF$505),"",INDEX(テーブル22[[学年]:[得点]],MATCH(体力優良証交付申請!$A24,入力シート!$AF$6:$AF$505,0),MATCH(体力優良証交付申請!K$14,テーブル22[[#Headers],[学年]:[得点]],0)))</f>
        <v/>
      </c>
      <c r="L24" s="203" t="str">
        <f>IF($A24&gt;MAX(入力シート!$AF$6:$AF$505),"",INDEX(テーブル22[[学年]:[得点]],MATCH(体力優良証交付申請!$A24,入力シート!$AF$6:$AF$505,0),MATCH(体力優良証交付申請!L$14,テーブル22[[#Headers],[学年]:[得点]],0)))</f>
        <v/>
      </c>
      <c r="M24" s="28" t="str">
        <f>IF($A24&gt;MAX(入力シート!$AF$6:$AF$505),"",INDEX(テーブル22[[学年]:[得点]],MATCH(体力優良証交付申請!$A24,入力シート!$AF$6:$AF$505,0),MATCH(体力優良証交付申請!M$14,テーブル22[[#Headers],[学年]:[得点]],0)))</f>
        <v/>
      </c>
    </row>
    <row r="25" spans="1:13" ht="15" customHeight="1" x14ac:dyDescent="0.2">
      <c r="A25" s="16">
        <v>11</v>
      </c>
      <c r="B25" s="130" t="str">
        <f>IF($A25&gt;MAX(入力シート!$AF$6:$AF$505),"",INDEX(テーブル22[[学年]:[得点]],MATCH(体力優良証交付申請!$A25,入力シート!$AF$6:$AF$505,0),MATCH(体力優良証交付申請!B$14,テーブル22[[#Headers],[学年]:[得点]],0)))</f>
        <v/>
      </c>
      <c r="C25" s="203" t="str">
        <f>IF($A25&gt;MAX(入力シート!$AF$6:$AF$505),"",INDEX(テーブル22[[学年]:[得点]],MATCH(体力優良証交付申請!$A25,入力シート!$AF$6:$AF$505,0),MATCH(体力優良証交付申請!C$14,テーブル22[[#Headers],[学年]:[得点]],0)))</f>
        <v/>
      </c>
      <c r="D25" s="203" t="str">
        <f>IF($A25&gt;MAX(入力シート!$AF$6:$AF$505),"",INDEX(テーブル22[[学年]:[得点]],MATCH(体力優良証交付申請!$A25,入力シート!$AF$6:$AF$505,0),MATCH(体力優良証交付申請!D$14,テーブル22[[#Headers],[学年]:[得点]],0)))</f>
        <v/>
      </c>
      <c r="E25" s="203" t="str">
        <f>IF($A25&gt;MAX(入力シート!$AF$6:$AF$505),"",INDEX(テーブル22[[学年]:[得点]],MATCH(体力優良証交付申請!$A25,入力シート!$AF$6:$AF$505,0),MATCH(体力優良証交付申請!E$14,テーブル22[[#Headers],[学年]:[得点]],0)))</f>
        <v/>
      </c>
      <c r="F25" s="203" t="str">
        <f>IF($A25&gt;MAX(入力シート!$AF$6:$AF$505),"",INDEX(テーブル22[[学年]:[得点]],MATCH(体力優良証交付申請!$A25,入力シート!$AF$6:$AF$505,0),MATCH(体力優良証交付申請!F$14,テーブル22[[#Headers],[学年]:[得点]],0)))</f>
        <v/>
      </c>
      <c r="G25" s="203" t="str">
        <f>IF($A25&gt;MAX(入力シート!$AF$6:$AF$505),"",INDEX(テーブル22[[学年]:[得点]],MATCH(体力優良証交付申請!$A25,入力シート!$AF$6:$AF$505,0),MATCH(体力優良証交付申請!G$14,テーブル22[[#Headers],[学年]:[得点]],0)))</f>
        <v/>
      </c>
      <c r="H25" s="203" t="str">
        <f>IF($A25&gt;MAX(入力シート!$AF$6:$AF$505),"",INDEX(テーブル22[[学年]:[得点]],MATCH(体力優良証交付申請!$A25,入力シート!$AF$6:$AF$505,0),MATCH(体力優良証交付申請!H$14,テーブル22[[#Headers],[学年]:[得点]],0)))</f>
        <v/>
      </c>
      <c r="I25" s="203" t="str">
        <f>IF($A25&gt;MAX(入力シート!$AF$6:$AF$505),"",INDEX(テーブル22[[学年]:[得点]],MATCH(体力優良証交付申請!$A25,入力シート!$AF$6:$AF$505,0),MATCH(体力優良証交付申請!I$14,テーブル22[[#Headers],[学年]:[得点]],0)))</f>
        <v/>
      </c>
      <c r="J25" s="114" t="str">
        <f>IF($A25&gt;MAX(入力シート!$AF$6:$AF$505),"",INDEX(テーブル22[[学年]:[得点]],MATCH(体力優良証交付申請!$A25,入力シート!$AF$6:$AF$505,0),MATCH(体力優良証交付申請!J$14,テーブル22[[#Headers],[学年]:[得点]],0)))</f>
        <v/>
      </c>
      <c r="K25" s="203" t="str">
        <f>IF($A25&gt;MAX(入力シート!$AF$6:$AF$505),"",INDEX(テーブル22[[学年]:[得点]],MATCH(体力優良証交付申請!$A25,入力シート!$AF$6:$AF$505,0),MATCH(体力優良証交付申請!K$14,テーブル22[[#Headers],[学年]:[得点]],0)))</f>
        <v/>
      </c>
      <c r="L25" s="203" t="str">
        <f>IF($A25&gt;MAX(入力シート!$AF$6:$AF$505),"",INDEX(テーブル22[[学年]:[得点]],MATCH(体力優良証交付申請!$A25,入力シート!$AF$6:$AF$505,0),MATCH(体力優良証交付申請!L$14,テーブル22[[#Headers],[学年]:[得点]],0)))</f>
        <v/>
      </c>
      <c r="M25" s="28" t="str">
        <f>IF($A25&gt;MAX(入力シート!$AF$6:$AF$505),"",INDEX(テーブル22[[学年]:[得点]],MATCH(体力優良証交付申請!$A25,入力シート!$AF$6:$AF$505,0),MATCH(体力優良証交付申請!M$14,テーブル22[[#Headers],[学年]:[得点]],0)))</f>
        <v/>
      </c>
    </row>
    <row r="26" spans="1:13" ht="15" customHeight="1" x14ac:dyDescent="0.2">
      <c r="A26" s="16">
        <v>12</v>
      </c>
      <c r="B26" s="130" t="str">
        <f>IF($A26&gt;MAX(入力シート!$AF$6:$AF$505),"",INDEX(テーブル22[[学年]:[得点]],MATCH(体力優良証交付申請!$A26,入力シート!$AF$6:$AF$505,0),MATCH(体力優良証交付申請!B$14,テーブル22[[#Headers],[学年]:[得点]],0)))</f>
        <v/>
      </c>
      <c r="C26" s="203" t="str">
        <f>IF($A26&gt;MAX(入力シート!$AF$6:$AF$505),"",INDEX(テーブル22[[学年]:[得点]],MATCH(体力優良証交付申請!$A26,入力シート!$AF$6:$AF$505,0),MATCH(体力優良証交付申請!C$14,テーブル22[[#Headers],[学年]:[得点]],0)))</f>
        <v/>
      </c>
      <c r="D26" s="203" t="str">
        <f>IF($A26&gt;MAX(入力シート!$AF$6:$AF$505),"",INDEX(テーブル22[[学年]:[得点]],MATCH(体力優良証交付申請!$A26,入力シート!$AF$6:$AF$505,0),MATCH(体力優良証交付申請!D$14,テーブル22[[#Headers],[学年]:[得点]],0)))</f>
        <v/>
      </c>
      <c r="E26" s="203" t="str">
        <f>IF($A26&gt;MAX(入力シート!$AF$6:$AF$505),"",INDEX(テーブル22[[学年]:[得点]],MATCH(体力優良証交付申請!$A26,入力シート!$AF$6:$AF$505,0),MATCH(体力優良証交付申請!E$14,テーブル22[[#Headers],[学年]:[得点]],0)))</f>
        <v/>
      </c>
      <c r="F26" s="203" t="str">
        <f>IF($A26&gt;MAX(入力シート!$AF$6:$AF$505),"",INDEX(テーブル22[[学年]:[得点]],MATCH(体力優良証交付申請!$A26,入力シート!$AF$6:$AF$505,0),MATCH(体力優良証交付申請!F$14,テーブル22[[#Headers],[学年]:[得点]],0)))</f>
        <v/>
      </c>
      <c r="G26" s="203" t="str">
        <f>IF($A26&gt;MAX(入力シート!$AF$6:$AF$505),"",INDEX(テーブル22[[学年]:[得点]],MATCH(体力優良証交付申請!$A26,入力シート!$AF$6:$AF$505,0),MATCH(体力優良証交付申請!G$14,テーブル22[[#Headers],[学年]:[得点]],0)))</f>
        <v/>
      </c>
      <c r="H26" s="203" t="str">
        <f>IF($A26&gt;MAX(入力シート!$AF$6:$AF$505),"",INDEX(テーブル22[[学年]:[得点]],MATCH(体力優良証交付申請!$A26,入力シート!$AF$6:$AF$505,0),MATCH(体力優良証交付申請!H$14,テーブル22[[#Headers],[学年]:[得点]],0)))</f>
        <v/>
      </c>
      <c r="I26" s="203" t="str">
        <f>IF($A26&gt;MAX(入力シート!$AF$6:$AF$505),"",INDEX(テーブル22[[学年]:[得点]],MATCH(体力優良証交付申請!$A26,入力シート!$AF$6:$AF$505,0),MATCH(体力優良証交付申請!I$14,テーブル22[[#Headers],[学年]:[得点]],0)))</f>
        <v/>
      </c>
      <c r="J26" s="114" t="str">
        <f>IF($A26&gt;MAX(入力シート!$AF$6:$AF$505),"",INDEX(テーブル22[[学年]:[得点]],MATCH(体力優良証交付申請!$A26,入力シート!$AF$6:$AF$505,0),MATCH(体力優良証交付申請!J$14,テーブル22[[#Headers],[学年]:[得点]],0)))</f>
        <v/>
      </c>
      <c r="K26" s="203" t="str">
        <f>IF($A26&gt;MAX(入力シート!$AF$6:$AF$505),"",INDEX(テーブル22[[学年]:[得点]],MATCH(体力優良証交付申請!$A26,入力シート!$AF$6:$AF$505,0),MATCH(体力優良証交付申請!K$14,テーブル22[[#Headers],[学年]:[得点]],0)))</f>
        <v/>
      </c>
      <c r="L26" s="203" t="str">
        <f>IF($A26&gt;MAX(入力シート!$AF$6:$AF$505),"",INDEX(テーブル22[[学年]:[得点]],MATCH(体力優良証交付申請!$A26,入力シート!$AF$6:$AF$505,0),MATCH(体力優良証交付申請!L$14,テーブル22[[#Headers],[学年]:[得点]],0)))</f>
        <v/>
      </c>
      <c r="M26" s="28" t="str">
        <f>IF($A26&gt;MAX(入力シート!$AF$6:$AF$505),"",INDEX(テーブル22[[学年]:[得点]],MATCH(体力優良証交付申請!$A26,入力シート!$AF$6:$AF$505,0),MATCH(体力優良証交付申請!M$14,テーブル22[[#Headers],[学年]:[得点]],0)))</f>
        <v/>
      </c>
    </row>
    <row r="27" spans="1:13" ht="15" customHeight="1" x14ac:dyDescent="0.2">
      <c r="A27" s="16">
        <v>13</v>
      </c>
      <c r="B27" s="130" t="str">
        <f>IF($A27&gt;MAX(入力シート!$AF$6:$AF$505),"",INDEX(テーブル22[[学年]:[得点]],MATCH(体力優良証交付申請!$A27,入力シート!$AF$6:$AF$505,0),MATCH(体力優良証交付申請!B$14,テーブル22[[#Headers],[学年]:[得点]],0)))</f>
        <v/>
      </c>
      <c r="C27" s="203" t="str">
        <f>IF($A27&gt;MAX(入力シート!$AF$6:$AF$505),"",INDEX(テーブル22[[学年]:[得点]],MATCH(体力優良証交付申請!$A27,入力シート!$AF$6:$AF$505,0),MATCH(体力優良証交付申請!C$14,テーブル22[[#Headers],[学年]:[得点]],0)))</f>
        <v/>
      </c>
      <c r="D27" s="203" t="str">
        <f>IF($A27&gt;MAX(入力シート!$AF$6:$AF$505),"",INDEX(テーブル22[[学年]:[得点]],MATCH(体力優良証交付申請!$A27,入力シート!$AF$6:$AF$505,0),MATCH(体力優良証交付申請!D$14,テーブル22[[#Headers],[学年]:[得点]],0)))</f>
        <v/>
      </c>
      <c r="E27" s="203" t="str">
        <f>IF($A27&gt;MAX(入力シート!$AF$6:$AF$505),"",INDEX(テーブル22[[学年]:[得点]],MATCH(体力優良証交付申請!$A27,入力シート!$AF$6:$AF$505,0),MATCH(体力優良証交付申請!E$14,テーブル22[[#Headers],[学年]:[得点]],0)))</f>
        <v/>
      </c>
      <c r="F27" s="203" t="str">
        <f>IF($A27&gt;MAX(入力シート!$AF$6:$AF$505),"",INDEX(テーブル22[[学年]:[得点]],MATCH(体力優良証交付申請!$A27,入力シート!$AF$6:$AF$505,0),MATCH(体力優良証交付申請!F$14,テーブル22[[#Headers],[学年]:[得点]],0)))</f>
        <v/>
      </c>
      <c r="G27" s="203" t="str">
        <f>IF($A27&gt;MAX(入力シート!$AF$6:$AF$505),"",INDEX(テーブル22[[学年]:[得点]],MATCH(体力優良証交付申請!$A27,入力シート!$AF$6:$AF$505,0),MATCH(体力優良証交付申請!G$14,テーブル22[[#Headers],[学年]:[得点]],0)))</f>
        <v/>
      </c>
      <c r="H27" s="203" t="str">
        <f>IF($A27&gt;MAX(入力シート!$AF$6:$AF$505),"",INDEX(テーブル22[[学年]:[得点]],MATCH(体力優良証交付申請!$A27,入力シート!$AF$6:$AF$505,0),MATCH(体力優良証交付申請!H$14,テーブル22[[#Headers],[学年]:[得点]],0)))</f>
        <v/>
      </c>
      <c r="I27" s="203" t="str">
        <f>IF($A27&gt;MAX(入力シート!$AF$6:$AF$505),"",INDEX(テーブル22[[学年]:[得点]],MATCH(体力優良証交付申請!$A27,入力シート!$AF$6:$AF$505,0),MATCH(体力優良証交付申請!I$14,テーブル22[[#Headers],[学年]:[得点]],0)))</f>
        <v/>
      </c>
      <c r="J27" s="114" t="str">
        <f>IF($A27&gt;MAX(入力シート!$AF$6:$AF$505),"",INDEX(テーブル22[[学年]:[得点]],MATCH(体力優良証交付申請!$A27,入力シート!$AF$6:$AF$505,0),MATCH(体力優良証交付申請!J$14,テーブル22[[#Headers],[学年]:[得点]],0)))</f>
        <v/>
      </c>
      <c r="K27" s="203" t="str">
        <f>IF($A27&gt;MAX(入力シート!$AF$6:$AF$505),"",INDEX(テーブル22[[学年]:[得点]],MATCH(体力優良証交付申請!$A27,入力シート!$AF$6:$AF$505,0),MATCH(体力優良証交付申請!K$14,テーブル22[[#Headers],[学年]:[得点]],0)))</f>
        <v/>
      </c>
      <c r="L27" s="203" t="str">
        <f>IF($A27&gt;MAX(入力シート!$AF$6:$AF$505),"",INDEX(テーブル22[[学年]:[得点]],MATCH(体力優良証交付申請!$A27,入力シート!$AF$6:$AF$505,0),MATCH(体力優良証交付申請!L$14,テーブル22[[#Headers],[学年]:[得点]],0)))</f>
        <v/>
      </c>
      <c r="M27" s="28" t="str">
        <f>IF($A27&gt;MAX(入力シート!$AF$6:$AF$505),"",INDEX(テーブル22[[学年]:[得点]],MATCH(体力優良証交付申請!$A27,入力シート!$AF$6:$AF$505,0),MATCH(体力優良証交付申請!M$14,テーブル22[[#Headers],[学年]:[得点]],0)))</f>
        <v/>
      </c>
    </row>
    <row r="28" spans="1:13" ht="15" customHeight="1" x14ac:dyDescent="0.2">
      <c r="A28" s="16">
        <v>14</v>
      </c>
      <c r="B28" s="130" t="str">
        <f>IF($A28&gt;MAX(入力シート!$AF$6:$AF$505),"",INDEX(テーブル22[[学年]:[得点]],MATCH(体力優良証交付申請!$A28,入力シート!$AF$6:$AF$505,0),MATCH(体力優良証交付申請!B$14,テーブル22[[#Headers],[学年]:[得点]],0)))</f>
        <v/>
      </c>
      <c r="C28" s="203" t="str">
        <f>IF($A28&gt;MAX(入力シート!$AF$6:$AF$505),"",INDEX(テーブル22[[学年]:[得点]],MATCH(体力優良証交付申請!$A28,入力シート!$AF$6:$AF$505,0),MATCH(体力優良証交付申請!C$14,テーブル22[[#Headers],[学年]:[得点]],0)))</f>
        <v/>
      </c>
      <c r="D28" s="203" t="str">
        <f>IF($A28&gt;MAX(入力シート!$AF$6:$AF$505),"",INDEX(テーブル22[[学年]:[得点]],MATCH(体力優良証交付申請!$A28,入力シート!$AF$6:$AF$505,0),MATCH(体力優良証交付申請!D$14,テーブル22[[#Headers],[学年]:[得点]],0)))</f>
        <v/>
      </c>
      <c r="E28" s="203" t="str">
        <f>IF($A28&gt;MAX(入力シート!$AF$6:$AF$505),"",INDEX(テーブル22[[学年]:[得点]],MATCH(体力優良証交付申請!$A28,入力シート!$AF$6:$AF$505,0),MATCH(体力優良証交付申請!E$14,テーブル22[[#Headers],[学年]:[得点]],0)))</f>
        <v/>
      </c>
      <c r="F28" s="203" t="str">
        <f>IF($A28&gt;MAX(入力シート!$AF$6:$AF$505),"",INDEX(テーブル22[[学年]:[得点]],MATCH(体力優良証交付申請!$A28,入力シート!$AF$6:$AF$505,0),MATCH(体力優良証交付申請!F$14,テーブル22[[#Headers],[学年]:[得点]],0)))</f>
        <v/>
      </c>
      <c r="G28" s="203" t="str">
        <f>IF($A28&gt;MAX(入力シート!$AF$6:$AF$505),"",INDEX(テーブル22[[学年]:[得点]],MATCH(体力優良証交付申請!$A28,入力シート!$AF$6:$AF$505,0),MATCH(体力優良証交付申請!G$14,テーブル22[[#Headers],[学年]:[得点]],0)))</f>
        <v/>
      </c>
      <c r="H28" s="203" t="str">
        <f>IF($A28&gt;MAX(入力シート!$AF$6:$AF$505),"",INDEX(テーブル22[[学年]:[得点]],MATCH(体力優良証交付申請!$A28,入力シート!$AF$6:$AF$505,0),MATCH(体力優良証交付申請!H$14,テーブル22[[#Headers],[学年]:[得点]],0)))</f>
        <v/>
      </c>
      <c r="I28" s="203" t="str">
        <f>IF($A28&gt;MAX(入力シート!$AF$6:$AF$505),"",INDEX(テーブル22[[学年]:[得点]],MATCH(体力優良証交付申請!$A28,入力シート!$AF$6:$AF$505,0),MATCH(体力優良証交付申請!I$14,テーブル22[[#Headers],[学年]:[得点]],0)))</f>
        <v/>
      </c>
      <c r="J28" s="114" t="str">
        <f>IF($A28&gt;MAX(入力シート!$AF$6:$AF$505),"",INDEX(テーブル22[[学年]:[得点]],MATCH(体力優良証交付申請!$A28,入力シート!$AF$6:$AF$505,0),MATCH(体力優良証交付申請!J$14,テーブル22[[#Headers],[学年]:[得点]],0)))</f>
        <v/>
      </c>
      <c r="K28" s="203" t="str">
        <f>IF($A28&gt;MAX(入力シート!$AF$6:$AF$505),"",INDEX(テーブル22[[学年]:[得点]],MATCH(体力優良証交付申請!$A28,入力シート!$AF$6:$AF$505,0),MATCH(体力優良証交付申請!K$14,テーブル22[[#Headers],[学年]:[得点]],0)))</f>
        <v/>
      </c>
      <c r="L28" s="203" t="str">
        <f>IF($A28&gt;MAX(入力シート!$AF$6:$AF$505),"",INDEX(テーブル22[[学年]:[得点]],MATCH(体力優良証交付申請!$A28,入力シート!$AF$6:$AF$505,0),MATCH(体力優良証交付申請!L$14,テーブル22[[#Headers],[学年]:[得点]],0)))</f>
        <v/>
      </c>
      <c r="M28" s="28" t="str">
        <f>IF($A28&gt;MAX(入力シート!$AF$6:$AF$505),"",INDEX(テーブル22[[学年]:[得点]],MATCH(体力優良証交付申請!$A28,入力シート!$AF$6:$AF$505,0),MATCH(体力優良証交付申請!M$14,テーブル22[[#Headers],[学年]:[得点]],0)))</f>
        <v/>
      </c>
    </row>
    <row r="29" spans="1:13" ht="15" customHeight="1" x14ac:dyDescent="0.2">
      <c r="A29" s="16">
        <v>15</v>
      </c>
      <c r="B29" s="130" t="str">
        <f>IF($A29&gt;MAX(入力シート!$AF$6:$AF$505),"",INDEX(テーブル22[[学年]:[得点]],MATCH(体力優良証交付申請!$A29,入力シート!$AF$6:$AF$505,0),MATCH(体力優良証交付申請!B$14,テーブル22[[#Headers],[学年]:[得点]],0)))</f>
        <v/>
      </c>
      <c r="C29" s="203" t="str">
        <f>IF($A29&gt;MAX(入力シート!$AF$6:$AF$505),"",INDEX(テーブル22[[学年]:[得点]],MATCH(体力優良証交付申請!$A29,入力シート!$AF$6:$AF$505,0),MATCH(体力優良証交付申請!C$14,テーブル22[[#Headers],[学年]:[得点]],0)))</f>
        <v/>
      </c>
      <c r="D29" s="203" t="str">
        <f>IF($A29&gt;MAX(入力シート!$AF$6:$AF$505),"",INDEX(テーブル22[[学年]:[得点]],MATCH(体力優良証交付申請!$A29,入力シート!$AF$6:$AF$505,0),MATCH(体力優良証交付申請!D$14,テーブル22[[#Headers],[学年]:[得点]],0)))</f>
        <v/>
      </c>
      <c r="E29" s="203" t="str">
        <f>IF($A29&gt;MAX(入力シート!$AF$6:$AF$505),"",INDEX(テーブル22[[学年]:[得点]],MATCH(体力優良証交付申請!$A29,入力シート!$AF$6:$AF$505,0),MATCH(体力優良証交付申請!E$14,テーブル22[[#Headers],[学年]:[得点]],0)))</f>
        <v/>
      </c>
      <c r="F29" s="203" t="str">
        <f>IF($A29&gt;MAX(入力シート!$AF$6:$AF$505),"",INDEX(テーブル22[[学年]:[得点]],MATCH(体力優良証交付申請!$A29,入力シート!$AF$6:$AF$505,0),MATCH(体力優良証交付申請!F$14,テーブル22[[#Headers],[学年]:[得点]],0)))</f>
        <v/>
      </c>
      <c r="G29" s="203" t="str">
        <f>IF($A29&gt;MAX(入力シート!$AF$6:$AF$505),"",INDEX(テーブル22[[学年]:[得点]],MATCH(体力優良証交付申請!$A29,入力シート!$AF$6:$AF$505,0),MATCH(体力優良証交付申請!G$14,テーブル22[[#Headers],[学年]:[得点]],0)))</f>
        <v/>
      </c>
      <c r="H29" s="203" t="str">
        <f>IF($A29&gt;MAX(入力シート!$AF$6:$AF$505),"",INDEX(テーブル22[[学年]:[得点]],MATCH(体力優良証交付申請!$A29,入力シート!$AF$6:$AF$505,0),MATCH(体力優良証交付申請!H$14,テーブル22[[#Headers],[学年]:[得点]],0)))</f>
        <v/>
      </c>
      <c r="I29" s="203" t="str">
        <f>IF($A29&gt;MAX(入力シート!$AF$6:$AF$505),"",INDEX(テーブル22[[学年]:[得点]],MATCH(体力優良証交付申請!$A29,入力シート!$AF$6:$AF$505,0),MATCH(体力優良証交付申請!I$14,テーブル22[[#Headers],[学年]:[得点]],0)))</f>
        <v/>
      </c>
      <c r="J29" s="114" t="str">
        <f>IF($A29&gt;MAX(入力シート!$AF$6:$AF$505),"",INDEX(テーブル22[[学年]:[得点]],MATCH(体力優良証交付申請!$A29,入力シート!$AF$6:$AF$505,0),MATCH(体力優良証交付申請!J$14,テーブル22[[#Headers],[学年]:[得点]],0)))</f>
        <v/>
      </c>
      <c r="K29" s="203" t="str">
        <f>IF($A29&gt;MAX(入力シート!$AF$6:$AF$505),"",INDEX(テーブル22[[学年]:[得点]],MATCH(体力優良証交付申請!$A29,入力シート!$AF$6:$AF$505,0),MATCH(体力優良証交付申請!K$14,テーブル22[[#Headers],[学年]:[得点]],0)))</f>
        <v/>
      </c>
      <c r="L29" s="203" t="str">
        <f>IF($A29&gt;MAX(入力シート!$AF$6:$AF$505),"",INDEX(テーブル22[[学年]:[得点]],MATCH(体力優良証交付申請!$A29,入力シート!$AF$6:$AF$505,0),MATCH(体力優良証交付申請!L$14,テーブル22[[#Headers],[学年]:[得点]],0)))</f>
        <v/>
      </c>
      <c r="M29" s="28" t="str">
        <f>IF($A29&gt;MAX(入力シート!$AF$6:$AF$505),"",INDEX(テーブル22[[学年]:[得点]],MATCH(体力優良証交付申請!$A29,入力シート!$AF$6:$AF$505,0),MATCH(体力優良証交付申請!M$14,テーブル22[[#Headers],[学年]:[得点]],0)))</f>
        <v/>
      </c>
    </row>
    <row r="30" spans="1:13" ht="15" customHeight="1" x14ac:dyDescent="0.2">
      <c r="A30" s="16">
        <v>16</v>
      </c>
      <c r="B30" s="130" t="str">
        <f>IF($A30&gt;MAX(入力シート!$AF$6:$AF$505),"",INDEX(テーブル22[[学年]:[得点]],MATCH(体力優良証交付申請!$A30,入力シート!$AF$6:$AF$505,0),MATCH(体力優良証交付申請!B$14,テーブル22[[#Headers],[学年]:[得点]],0)))</f>
        <v/>
      </c>
      <c r="C30" s="203" t="str">
        <f>IF($A30&gt;MAX(入力シート!$AF$6:$AF$505),"",INDEX(テーブル22[[学年]:[得点]],MATCH(体力優良証交付申請!$A30,入力シート!$AF$6:$AF$505,0),MATCH(体力優良証交付申請!C$14,テーブル22[[#Headers],[学年]:[得点]],0)))</f>
        <v/>
      </c>
      <c r="D30" s="203" t="str">
        <f>IF($A30&gt;MAX(入力シート!$AF$6:$AF$505),"",INDEX(テーブル22[[学年]:[得点]],MATCH(体力優良証交付申請!$A30,入力シート!$AF$6:$AF$505,0),MATCH(体力優良証交付申請!D$14,テーブル22[[#Headers],[学年]:[得点]],0)))</f>
        <v/>
      </c>
      <c r="E30" s="203" t="str">
        <f>IF($A30&gt;MAX(入力シート!$AF$6:$AF$505),"",INDEX(テーブル22[[学年]:[得点]],MATCH(体力優良証交付申請!$A30,入力シート!$AF$6:$AF$505,0),MATCH(体力優良証交付申請!E$14,テーブル22[[#Headers],[学年]:[得点]],0)))</f>
        <v/>
      </c>
      <c r="F30" s="203" t="str">
        <f>IF($A30&gt;MAX(入力シート!$AF$6:$AF$505),"",INDEX(テーブル22[[学年]:[得点]],MATCH(体力優良証交付申請!$A30,入力シート!$AF$6:$AF$505,0),MATCH(体力優良証交付申請!F$14,テーブル22[[#Headers],[学年]:[得点]],0)))</f>
        <v/>
      </c>
      <c r="G30" s="203" t="str">
        <f>IF($A30&gt;MAX(入力シート!$AF$6:$AF$505),"",INDEX(テーブル22[[学年]:[得点]],MATCH(体力優良証交付申請!$A30,入力シート!$AF$6:$AF$505,0),MATCH(体力優良証交付申請!G$14,テーブル22[[#Headers],[学年]:[得点]],0)))</f>
        <v/>
      </c>
      <c r="H30" s="203" t="str">
        <f>IF($A30&gt;MAX(入力シート!$AF$6:$AF$505),"",INDEX(テーブル22[[学年]:[得点]],MATCH(体力優良証交付申請!$A30,入力シート!$AF$6:$AF$505,0),MATCH(体力優良証交付申請!H$14,テーブル22[[#Headers],[学年]:[得点]],0)))</f>
        <v/>
      </c>
      <c r="I30" s="203" t="str">
        <f>IF($A30&gt;MAX(入力シート!$AF$6:$AF$505),"",INDEX(テーブル22[[学年]:[得点]],MATCH(体力優良証交付申請!$A30,入力シート!$AF$6:$AF$505,0),MATCH(体力優良証交付申請!I$14,テーブル22[[#Headers],[学年]:[得点]],0)))</f>
        <v/>
      </c>
      <c r="J30" s="114" t="str">
        <f>IF($A30&gt;MAX(入力シート!$AF$6:$AF$505),"",INDEX(テーブル22[[学年]:[得点]],MATCH(体力優良証交付申請!$A30,入力シート!$AF$6:$AF$505,0),MATCH(体力優良証交付申請!J$14,テーブル22[[#Headers],[学年]:[得点]],0)))</f>
        <v/>
      </c>
      <c r="K30" s="203" t="str">
        <f>IF($A30&gt;MAX(入力シート!$AF$6:$AF$505),"",INDEX(テーブル22[[学年]:[得点]],MATCH(体力優良証交付申請!$A30,入力シート!$AF$6:$AF$505,0),MATCH(体力優良証交付申請!K$14,テーブル22[[#Headers],[学年]:[得点]],0)))</f>
        <v/>
      </c>
      <c r="L30" s="203" t="str">
        <f>IF($A30&gt;MAX(入力シート!$AF$6:$AF$505),"",INDEX(テーブル22[[学年]:[得点]],MATCH(体力優良証交付申請!$A30,入力シート!$AF$6:$AF$505,0),MATCH(体力優良証交付申請!L$14,テーブル22[[#Headers],[学年]:[得点]],0)))</f>
        <v/>
      </c>
      <c r="M30" s="28" t="str">
        <f>IF($A30&gt;MAX(入力シート!$AF$6:$AF$505),"",INDEX(テーブル22[[学年]:[得点]],MATCH(体力優良証交付申請!$A30,入力シート!$AF$6:$AF$505,0),MATCH(体力優良証交付申請!M$14,テーブル22[[#Headers],[学年]:[得点]],0)))</f>
        <v/>
      </c>
    </row>
    <row r="31" spans="1:13" ht="15" customHeight="1" x14ac:dyDescent="0.2">
      <c r="A31" s="16">
        <v>17</v>
      </c>
      <c r="B31" s="130" t="str">
        <f>IF($A31&gt;MAX(入力シート!$AF$6:$AF$505),"",INDEX(テーブル22[[学年]:[得点]],MATCH(体力優良証交付申請!$A31,入力シート!$AF$6:$AF$505,0),MATCH(体力優良証交付申請!B$14,テーブル22[[#Headers],[学年]:[得点]],0)))</f>
        <v/>
      </c>
      <c r="C31" s="203" t="str">
        <f>IF($A31&gt;MAX(入力シート!$AF$6:$AF$505),"",INDEX(テーブル22[[学年]:[得点]],MATCH(体力優良証交付申請!$A31,入力シート!$AF$6:$AF$505,0),MATCH(体力優良証交付申請!C$14,テーブル22[[#Headers],[学年]:[得点]],0)))</f>
        <v/>
      </c>
      <c r="D31" s="203" t="str">
        <f>IF($A31&gt;MAX(入力シート!$AF$6:$AF$505),"",INDEX(テーブル22[[学年]:[得点]],MATCH(体力優良証交付申請!$A31,入力シート!$AF$6:$AF$505,0),MATCH(体力優良証交付申請!D$14,テーブル22[[#Headers],[学年]:[得点]],0)))</f>
        <v/>
      </c>
      <c r="E31" s="203" t="str">
        <f>IF($A31&gt;MAX(入力シート!$AF$6:$AF$505),"",INDEX(テーブル22[[学年]:[得点]],MATCH(体力優良証交付申請!$A31,入力シート!$AF$6:$AF$505,0),MATCH(体力優良証交付申請!E$14,テーブル22[[#Headers],[学年]:[得点]],0)))</f>
        <v/>
      </c>
      <c r="F31" s="203" t="str">
        <f>IF($A31&gt;MAX(入力シート!$AF$6:$AF$505),"",INDEX(テーブル22[[学年]:[得点]],MATCH(体力優良証交付申請!$A31,入力シート!$AF$6:$AF$505,0),MATCH(体力優良証交付申請!F$14,テーブル22[[#Headers],[学年]:[得点]],0)))</f>
        <v/>
      </c>
      <c r="G31" s="203" t="str">
        <f>IF($A31&gt;MAX(入力シート!$AF$6:$AF$505),"",INDEX(テーブル22[[学年]:[得点]],MATCH(体力優良証交付申請!$A31,入力シート!$AF$6:$AF$505,0),MATCH(体力優良証交付申請!G$14,テーブル22[[#Headers],[学年]:[得点]],0)))</f>
        <v/>
      </c>
      <c r="H31" s="203" t="str">
        <f>IF($A31&gt;MAX(入力シート!$AF$6:$AF$505),"",INDEX(テーブル22[[学年]:[得点]],MATCH(体力優良証交付申請!$A31,入力シート!$AF$6:$AF$505,0),MATCH(体力優良証交付申請!H$14,テーブル22[[#Headers],[学年]:[得点]],0)))</f>
        <v/>
      </c>
      <c r="I31" s="203" t="str">
        <f>IF($A31&gt;MAX(入力シート!$AF$6:$AF$505),"",INDEX(テーブル22[[学年]:[得点]],MATCH(体力優良証交付申請!$A31,入力シート!$AF$6:$AF$505,0),MATCH(体力優良証交付申請!I$14,テーブル22[[#Headers],[学年]:[得点]],0)))</f>
        <v/>
      </c>
      <c r="J31" s="114" t="str">
        <f>IF($A31&gt;MAX(入力シート!$AF$6:$AF$505),"",INDEX(テーブル22[[学年]:[得点]],MATCH(体力優良証交付申請!$A31,入力シート!$AF$6:$AF$505,0),MATCH(体力優良証交付申請!J$14,テーブル22[[#Headers],[学年]:[得点]],0)))</f>
        <v/>
      </c>
      <c r="K31" s="203" t="str">
        <f>IF($A31&gt;MAX(入力シート!$AF$6:$AF$505),"",INDEX(テーブル22[[学年]:[得点]],MATCH(体力優良証交付申請!$A31,入力シート!$AF$6:$AF$505,0),MATCH(体力優良証交付申請!K$14,テーブル22[[#Headers],[学年]:[得点]],0)))</f>
        <v/>
      </c>
      <c r="L31" s="203" t="str">
        <f>IF($A31&gt;MAX(入力シート!$AF$6:$AF$505),"",INDEX(テーブル22[[学年]:[得点]],MATCH(体力優良証交付申請!$A31,入力シート!$AF$6:$AF$505,0),MATCH(体力優良証交付申請!L$14,テーブル22[[#Headers],[学年]:[得点]],0)))</f>
        <v/>
      </c>
      <c r="M31" s="28" t="str">
        <f>IF($A31&gt;MAX(入力シート!$AF$6:$AF$505),"",INDEX(テーブル22[[学年]:[得点]],MATCH(体力優良証交付申請!$A31,入力シート!$AF$6:$AF$505,0),MATCH(体力優良証交付申請!M$14,テーブル22[[#Headers],[学年]:[得点]],0)))</f>
        <v/>
      </c>
    </row>
    <row r="32" spans="1:13" x14ac:dyDescent="0.2">
      <c r="A32" s="16">
        <v>18</v>
      </c>
      <c r="B32" s="130" t="str">
        <f>IF($A32&gt;MAX(入力シート!$AF$6:$AF$505),"",INDEX(テーブル22[[学年]:[得点]],MATCH(体力優良証交付申請!$A32,入力シート!$AF$6:$AF$505,0),MATCH(体力優良証交付申請!B$14,テーブル22[[#Headers],[学年]:[得点]],0)))</f>
        <v/>
      </c>
      <c r="C32" s="203" t="str">
        <f>IF($A32&gt;MAX(入力シート!$AF$6:$AF$505),"",INDEX(テーブル22[[学年]:[得点]],MATCH(体力優良証交付申請!$A32,入力シート!$AF$6:$AF$505,0),MATCH(体力優良証交付申請!C$14,テーブル22[[#Headers],[学年]:[得点]],0)))</f>
        <v/>
      </c>
      <c r="D32" s="203" t="str">
        <f>IF($A32&gt;MAX(入力シート!$AF$6:$AF$505),"",INDEX(テーブル22[[学年]:[得点]],MATCH(体力優良証交付申請!$A32,入力シート!$AF$6:$AF$505,0),MATCH(体力優良証交付申請!D$14,テーブル22[[#Headers],[学年]:[得点]],0)))</f>
        <v/>
      </c>
      <c r="E32" s="203" t="str">
        <f>IF($A32&gt;MAX(入力シート!$AF$6:$AF$505),"",INDEX(テーブル22[[学年]:[得点]],MATCH(体力優良証交付申請!$A32,入力シート!$AF$6:$AF$505,0),MATCH(体力優良証交付申請!E$14,テーブル22[[#Headers],[学年]:[得点]],0)))</f>
        <v/>
      </c>
      <c r="F32" s="203" t="str">
        <f>IF($A32&gt;MAX(入力シート!$AF$6:$AF$505),"",INDEX(テーブル22[[学年]:[得点]],MATCH(体力優良証交付申請!$A32,入力シート!$AF$6:$AF$505,0),MATCH(体力優良証交付申請!F$14,テーブル22[[#Headers],[学年]:[得点]],0)))</f>
        <v/>
      </c>
      <c r="G32" s="203" t="str">
        <f>IF($A32&gt;MAX(入力シート!$AF$6:$AF$505),"",INDEX(テーブル22[[学年]:[得点]],MATCH(体力優良証交付申請!$A32,入力シート!$AF$6:$AF$505,0),MATCH(体力優良証交付申請!G$14,テーブル22[[#Headers],[学年]:[得点]],0)))</f>
        <v/>
      </c>
      <c r="H32" s="203" t="str">
        <f>IF($A32&gt;MAX(入力シート!$AF$6:$AF$505),"",INDEX(テーブル22[[学年]:[得点]],MATCH(体力優良証交付申請!$A32,入力シート!$AF$6:$AF$505,0),MATCH(体力優良証交付申請!H$14,テーブル22[[#Headers],[学年]:[得点]],0)))</f>
        <v/>
      </c>
      <c r="I32" s="203" t="str">
        <f>IF($A32&gt;MAX(入力シート!$AF$6:$AF$505),"",INDEX(テーブル22[[学年]:[得点]],MATCH(体力優良証交付申請!$A32,入力シート!$AF$6:$AF$505,0),MATCH(体力優良証交付申請!I$14,テーブル22[[#Headers],[学年]:[得点]],0)))</f>
        <v/>
      </c>
      <c r="J32" s="114" t="str">
        <f>IF($A32&gt;MAX(入力シート!$AF$6:$AF$505),"",INDEX(テーブル22[[学年]:[得点]],MATCH(体力優良証交付申請!$A32,入力シート!$AF$6:$AF$505,0),MATCH(体力優良証交付申請!J$14,テーブル22[[#Headers],[学年]:[得点]],0)))</f>
        <v/>
      </c>
      <c r="K32" s="203" t="str">
        <f>IF($A32&gt;MAX(入力シート!$AF$6:$AF$505),"",INDEX(テーブル22[[学年]:[得点]],MATCH(体力優良証交付申請!$A32,入力シート!$AF$6:$AF$505,0),MATCH(体力優良証交付申請!K$14,テーブル22[[#Headers],[学年]:[得点]],0)))</f>
        <v/>
      </c>
      <c r="L32" s="203" t="str">
        <f>IF($A32&gt;MAX(入力シート!$AF$6:$AF$505),"",INDEX(テーブル22[[学年]:[得点]],MATCH(体力優良証交付申請!$A32,入力シート!$AF$6:$AF$505,0),MATCH(体力優良証交付申請!L$14,テーブル22[[#Headers],[学年]:[得点]],0)))</f>
        <v/>
      </c>
      <c r="M32" s="28" t="str">
        <f>IF($A32&gt;MAX(入力シート!$AF$6:$AF$505),"",INDEX(テーブル22[[学年]:[得点]],MATCH(体力優良証交付申請!$A32,入力シート!$AF$6:$AF$505,0),MATCH(体力優良証交付申請!M$14,テーブル22[[#Headers],[学年]:[得点]],0)))</f>
        <v/>
      </c>
    </row>
    <row r="33" spans="1:13" x14ac:dyDescent="0.2">
      <c r="A33" s="16">
        <v>19</v>
      </c>
      <c r="B33" s="130" t="str">
        <f>IF($A33&gt;MAX(入力シート!$AF$6:$AF$505),"",INDEX(テーブル22[[学年]:[得点]],MATCH(体力優良証交付申請!$A33,入力シート!$AF$6:$AF$505,0),MATCH(体力優良証交付申請!B$14,テーブル22[[#Headers],[学年]:[得点]],0)))</f>
        <v/>
      </c>
      <c r="C33" s="203" t="str">
        <f>IF($A33&gt;MAX(入力シート!$AF$6:$AF$505),"",INDEX(テーブル22[[学年]:[得点]],MATCH(体力優良証交付申請!$A33,入力シート!$AF$6:$AF$505,0),MATCH(体力優良証交付申請!C$14,テーブル22[[#Headers],[学年]:[得点]],0)))</f>
        <v/>
      </c>
      <c r="D33" s="203" t="str">
        <f>IF($A33&gt;MAX(入力シート!$AF$6:$AF$505),"",INDEX(テーブル22[[学年]:[得点]],MATCH(体力優良証交付申請!$A33,入力シート!$AF$6:$AF$505,0),MATCH(体力優良証交付申請!D$14,テーブル22[[#Headers],[学年]:[得点]],0)))</f>
        <v/>
      </c>
      <c r="E33" s="203" t="str">
        <f>IF($A33&gt;MAX(入力シート!$AF$6:$AF$505),"",INDEX(テーブル22[[学年]:[得点]],MATCH(体力優良証交付申請!$A33,入力シート!$AF$6:$AF$505,0),MATCH(体力優良証交付申請!E$14,テーブル22[[#Headers],[学年]:[得点]],0)))</f>
        <v/>
      </c>
      <c r="F33" s="203" t="str">
        <f>IF($A33&gt;MAX(入力シート!$AF$6:$AF$505),"",INDEX(テーブル22[[学年]:[得点]],MATCH(体力優良証交付申請!$A33,入力シート!$AF$6:$AF$505,0),MATCH(体力優良証交付申請!F$14,テーブル22[[#Headers],[学年]:[得点]],0)))</f>
        <v/>
      </c>
      <c r="G33" s="203" t="str">
        <f>IF($A33&gt;MAX(入力シート!$AF$6:$AF$505),"",INDEX(テーブル22[[学年]:[得点]],MATCH(体力優良証交付申請!$A33,入力シート!$AF$6:$AF$505,0),MATCH(体力優良証交付申請!G$14,テーブル22[[#Headers],[学年]:[得点]],0)))</f>
        <v/>
      </c>
      <c r="H33" s="203" t="str">
        <f>IF($A33&gt;MAX(入力シート!$AF$6:$AF$505),"",INDEX(テーブル22[[学年]:[得点]],MATCH(体力優良証交付申請!$A33,入力シート!$AF$6:$AF$505,0),MATCH(体力優良証交付申請!H$14,テーブル22[[#Headers],[学年]:[得点]],0)))</f>
        <v/>
      </c>
      <c r="I33" s="203" t="str">
        <f>IF($A33&gt;MAX(入力シート!$AF$6:$AF$505),"",INDEX(テーブル22[[学年]:[得点]],MATCH(体力優良証交付申請!$A33,入力シート!$AF$6:$AF$505,0),MATCH(体力優良証交付申請!I$14,テーブル22[[#Headers],[学年]:[得点]],0)))</f>
        <v/>
      </c>
      <c r="J33" s="114" t="str">
        <f>IF($A33&gt;MAX(入力シート!$AF$6:$AF$505),"",INDEX(テーブル22[[学年]:[得点]],MATCH(体力優良証交付申請!$A33,入力シート!$AF$6:$AF$505,0),MATCH(体力優良証交付申請!J$14,テーブル22[[#Headers],[学年]:[得点]],0)))</f>
        <v/>
      </c>
      <c r="K33" s="203" t="str">
        <f>IF($A33&gt;MAX(入力シート!$AF$6:$AF$505),"",INDEX(テーブル22[[学年]:[得点]],MATCH(体力優良証交付申請!$A33,入力シート!$AF$6:$AF$505,0),MATCH(体力優良証交付申請!K$14,テーブル22[[#Headers],[学年]:[得点]],0)))</f>
        <v/>
      </c>
      <c r="L33" s="203" t="str">
        <f>IF($A33&gt;MAX(入力シート!$AF$6:$AF$505),"",INDEX(テーブル22[[学年]:[得点]],MATCH(体力優良証交付申請!$A33,入力シート!$AF$6:$AF$505,0),MATCH(体力優良証交付申請!L$14,テーブル22[[#Headers],[学年]:[得点]],0)))</f>
        <v/>
      </c>
      <c r="M33" s="28" t="str">
        <f>IF($A33&gt;MAX(入力シート!$AF$6:$AF$505),"",INDEX(テーブル22[[学年]:[得点]],MATCH(体力優良証交付申請!$A33,入力シート!$AF$6:$AF$505,0),MATCH(体力優良証交付申請!M$14,テーブル22[[#Headers],[学年]:[得点]],0)))</f>
        <v/>
      </c>
    </row>
    <row r="34" spans="1:13" x14ac:dyDescent="0.2">
      <c r="A34" s="16">
        <v>20</v>
      </c>
      <c r="B34" s="130" t="str">
        <f>IF($A34&gt;MAX(入力シート!$AF$6:$AF$505),"",INDEX(テーブル22[[学年]:[得点]],MATCH(体力優良証交付申請!$A34,入力シート!$AF$6:$AF$505,0),MATCH(体力優良証交付申請!B$14,テーブル22[[#Headers],[学年]:[得点]],0)))</f>
        <v/>
      </c>
      <c r="C34" s="203" t="str">
        <f>IF($A34&gt;MAX(入力シート!$AF$6:$AF$505),"",INDEX(テーブル22[[学年]:[得点]],MATCH(体力優良証交付申請!$A34,入力シート!$AF$6:$AF$505,0),MATCH(体力優良証交付申請!C$14,テーブル22[[#Headers],[学年]:[得点]],0)))</f>
        <v/>
      </c>
      <c r="D34" s="203" t="str">
        <f>IF($A34&gt;MAX(入力シート!$AF$6:$AF$505),"",INDEX(テーブル22[[学年]:[得点]],MATCH(体力優良証交付申請!$A34,入力シート!$AF$6:$AF$505,0),MATCH(体力優良証交付申請!D$14,テーブル22[[#Headers],[学年]:[得点]],0)))</f>
        <v/>
      </c>
      <c r="E34" s="203" t="str">
        <f>IF($A34&gt;MAX(入力シート!$AF$6:$AF$505),"",INDEX(テーブル22[[学年]:[得点]],MATCH(体力優良証交付申請!$A34,入力シート!$AF$6:$AF$505,0),MATCH(体力優良証交付申請!E$14,テーブル22[[#Headers],[学年]:[得点]],0)))</f>
        <v/>
      </c>
      <c r="F34" s="203" t="str">
        <f>IF($A34&gt;MAX(入力シート!$AF$6:$AF$505),"",INDEX(テーブル22[[学年]:[得点]],MATCH(体力優良証交付申請!$A34,入力シート!$AF$6:$AF$505,0),MATCH(体力優良証交付申請!F$14,テーブル22[[#Headers],[学年]:[得点]],0)))</f>
        <v/>
      </c>
      <c r="G34" s="203" t="str">
        <f>IF($A34&gt;MAX(入力シート!$AF$6:$AF$505),"",INDEX(テーブル22[[学年]:[得点]],MATCH(体力優良証交付申請!$A34,入力シート!$AF$6:$AF$505,0),MATCH(体力優良証交付申請!G$14,テーブル22[[#Headers],[学年]:[得点]],0)))</f>
        <v/>
      </c>
      <c r="H34" s="203" t="str">
        <f>IF($A34&gt;MAX(入力シート!$AF$6:$AF$505),"",INDEX(テーブル22[[学年]:[得点]],MATCH(体力優良証交付申請!$A34,入力シート!$AF$6:$AF$505,0),MATCH(体力優良証交付申請!H$14,テーブル22[[#Headers],[学年]:[得点]],0)))</f>
        <v/>
      </c>
      <c r="I34" s="203" t="str">
        <f>IF($A34&gt;MAX(入力シート!$AF$6:$AF$505),"",INDEX(テーブル22[[学年]:[得点]],MATCH(体力優良証交付申請!$A34,入力シート!$AF$6:$AF$505,0),MATCH(体力優良証交付申請!I$14,テーブル22[[#Headers],[学年]:[得点]],0)))</f>
        <v/>
      </c>
      <c r="J34" s="114" t="str">
        <f>IF($A34&gt;MAX(入力シート!$AF$6:$AF$505),"",INDEX(テーブル22[[学年]:[得点]],MATCH(体力優良証交付申請!$A34,入力シート!$AF$6:$AF$505,0),MATCH(体力優良証交付申請!J$14,テーブル22[[#Headers],[学年]:[得点]],0)))</f>
        <v/>
      </c>
      <c r="K34" s="203" t="str">
        <f>IF($A34&gt;MAX(入力シート!$AF$6:$AF$505),"",INDEX(テーブル22[[学年]:[得点]],MATCH(体力優良証交付申請!$A34,入力シート!$AF$6:$AF$505,0),MATCH(体力優良証交付申請!K$14,テーブル22[[#Headers],[学年]:[得点]],0)))</f>
        <v/>
      </c>
      <c r="L34" s="203" t="str">
        <f>IF($A34&gt;MAX(入力シート!$AF$6:$AF$505),"",INDEX(テーブル22[[学年]:[得点]],MATCH(体力優良証交付申請!$A34,入力シート!$AF$6:$AF$505,0),MATCH(体力優良証交付申請!L$14,テーブル22[[#Headers],[学年]:[得点]],0)))</f>
        <v/>
      </c>
      <c r="M34" s="28" t="str">
        <f>IF($A34&gt;MAX(入力シート!$AF$6:$AF$505),"",INDEX(テーブル22[[学年]:[得点]],MATCH(体力優良証交付申請!$A34,入力シート!$AF$6:$AF$505,0),MATCH(体力優良証交付申請!M$14,テーブル22[[#Headers],[学年]:[得点]],0)))</f>
        <v/>
      </c>
    </row>
    <row r="35" spans="1:13" x14ac:dyDescent="0.2">
      <c r="A35" s="16">
        <v>21</v>
      </c>
      <c r="B35" s="130" t="str">
        <f>IF($A35&gt;MAX(入力シート!$AF$6:$AF$505),"",INDEX(テーブル22[[学年]:[得点]],MATCH(体力優良証交付申請!$A35,入力シート!$AF$6:$AF$505,0),MATCH(体力優良証交付申請!B$14,テーブル22[[#Headers],[学年]:[得点]],0)))</f>
        <v/>
      </c>
      <c r="C35" s="203" t="str">
        <f>IF($A35&gt;MAX(入力シート!$AF$6:$AF$505),"",INDEX(テーブル22[[学年]:[得点]],MATCH(体力優良証交付申請!$A35,入力シート!$AF$6:$AF$505,0),MATCH(体力優良証交付申請!C$14,テーブル22[[#Headers],[学年]:[得点]],0)))</f>
        <v/>
      </c>
      <c r="D35" s="203" t="str">
        <f>IF($A35&gt;MAX(入力シート!$AF$6:$AF$505),"",INDEX(テーブル22[[学年]:[得点]],MATCH(体力優良証交付申請!$A35,入力シート!$AF$6:$AF$505,0),MATCH(体力優良証交付申請!D$14,テーブル22[[#Headers],[学年]:[得点]],0)))</f>
        <v/>
      </c>
      <c r="E35" s="203" t="str">
        <f>IF($A35&gt;MAX(入力シート!$AF$6:$AF$505),"",INDEX(テーブル22[[学年]:[得点]],MATCH(体力優良証交付申請!$A35,入力シート!$AF$6:$AF$505,0),MATCH(体力優良証交付申請!E$14,テーブル22[[#Headers],[学年]:[得点]],0)))</f>
        <v/>
      </c>
      <c r="F35" s="203" t="str">
        <f>IF($A35&gt;MAX(入力シート!$AF$6:$AF$505),"",INDEX(テーブル22[[学年]:[得点]],MATCH(体力優良証交付申請!$A35,入力シート!$AF$6:$AF$505,0),MATCH(体力優良証交付申請!F$14,テーブル22[[#Headers],[学年]:[得点]],0)))</f>
        <v/>
      </c>
      <c r="G35" s="203" t="str">
        <f>IF($A35&gt;MAX(入力シート!$AF$6:$AF$505),"",INDEX(テーブル22[[学年]:[得点]],MATCH(体力優良証交付申請!$A35,入力シート!$AF$6:$AF$505,0),MATCH(体力優良証交付申請!G$14,テーブル22[[#Headers],[学年]:[得点]],0)))</f>
        <v/>
      </c>
      <c r="H35" s="203" t="str">
        <f>IF($A35&gt;MAX(入力シート!$AF$6:$AF$505),"",INDEX(テーブル22[[学年]:[得点]],MATCH(体力優良証交付申請!$A35,入力シート!$AF$6:$AF$505,0),MATCH(体力優良証交付申請!H$14,テーブル22[[#Headers],[学年]:[得点]],0)))</f>
        <v/>
      </c>
      <c r="I35" s="203" t="str">
        <f>IF($A35&gt;MAX(入力シート!$AF$6:$AF$505),"",INDEX(テーブル22[[学年]:[得点]],MATCH(体力優良証交付申請!$A35,入力シート!$AF$6:$AF$505,0),MATCH(体力優良証交付申請!I$14,テーブル22[[#Headers],[学年]:[得点]],0)))</f>
        <v/>
      </c>
      <c r="J35" s="114" t="str">
        <f>IF($A35&gt;MAX(入力シート!$AF$6:$AF$505),"",INDEX(テーブル22[[学年]:[得点]],MATCH(体力優良証交付申請!$A35,入力シート!$AF$6:$AF$505,0),MATCH(体力優良証交付申請!J$14,テーブル22[[#Headers],[学年]:[得点]],0)))</f>
        <v/>
      </c>
      <c r="K35" s="203" t="str">
        <f>IF($A35&gt;MAX(入力シート!$AF$6:$AF$505),"",INDEX(テーブル22[[学年]:[得点]],MATCH(体力優良証交付申請!$A35,入力シート!$AF$6:$AF$505,0),MATCH(体力優良証交付申請!K$14,テーブル22[[#Headers],[学年]:[得点]],0)))</f>
        <v/>
      </c>
      <c r="L35" s="203" t="str">
        <f>IF($A35&gt;MAX(入力シート!$AF$6:$AF$505),"",INDEX(テーブル22[[学年]:[得点]],MATCH(体力優良証交付申請!$A35,入力シート!$AF$6:$AF$505,0),MATCH(体力優良証交付申請!L$14,テーブル22[[#Headers],[学年]:[得点]],0)))</f>
        <v/>
      </c>
      <c r="M35" s="28" t="str">
        <f>IF($A35&gt;MAX(入力シート!$AF$6:$AF$505),"",INDEX(テーブル22[[学年]:[得点]],MATCH(体力優良証交付申請!$A35,入力シート!$AF$6:$AF$505,0),MATCH(体力優良証交付申請!M$14,テーブル22[[#Headers],[学年]:[得点]],0)))</f>
        <v/>
      </c>
    </row>
    <row r="36" spans="1:13" x14ac:dyDescent="0.2">
      <c r="A36" s="16">
        <v>22</v>
      </c>
      <c r="B36" s="130" t="str">
        <f>IF($A36&gt;MAX(入力シート!$AF$6:$AF$505),"",INDEX(テーブル22[[学年]:[得点]],MATCH(体力優良証交付申請!$A36,入力シート!$AF$6:$AF$505,0),MATCH(体力優良証交付申請!B$14,テーブル22[[#Headers],[学年]:[得点]],0)))</f>
        <v/>
      </c>
      <c r="C36" s="203" t="str">
        <f>IF($A36&gt;MAX(入力シート!$AF$6:$AF$505),"",INDEX(テーブル22[[学年]:[得点]],MATCH(体力優良証交付申請!$A36,入力シート!$AF$6:$AF$505,0),MATCH(体力優良証交付申請!C$14,テーブル22[[#Headers],[学年]:[得点]],0)))</f>
        <v/>
      </c>
      <c r="D36" s="203" t="str">
        <f>IF($A36&gt;MAX(入力シート!$AF$6:$AF$505),"",INDEX(テーブル22[[学年]:[得点]],MATCH(体力優良証交付申請!$A36,入力シート!$AF$6:$AF$505,0),MATCH(体力優良証交付申請!D$14,テーブル22[[#Headers],[学年]:[得点]],0)))</f>
        <v/>
      </c>
      <c r="E36" s="203" t="str">
        <f>IF($A36&gt;MAX(入力シート!$AF$6:$AF$505),"",INDEX(テーブル22[[学年]:[得点]],MATCH(体力優良証交付申請!$A36,入力シート!$AF$6:$AF$505,0),MATCH(体力優良証交付申請!E$14,テーブル22[[#Headers],[学年]:[得点]],0)))</f>
        <v/>
      </c>
      <c r="F36" s="203" t="str">
        <f>IF($A36&gt;MAX(入力シート!$AF$6:$AF$505),"",INDEX(テーブル22[[学年]:[得点]],MATCH(体力優良証交付申請!$A36,入力シート!$AF$6:$AF$505,0),MATCH(体力優良証交付申請!F$14,テーブル22[[#Headers],[学年]:[得点]],0)))</f>
        <v/>
      </c>
      <c r="G36" s="203" t="str">
        <f>IF($A36&gt;MAX(入力シート!$AF$6:$AF$505),"",INDEX(テーブル22[[学年]:[得点]],MATCH(体力優良証交付申請!$A36,入力シート!$AF$6:$AF$505,0),MATCH(体力優良証交付申請!G$14,テーブル22[[#Headers],[学年]:[得点]],0)))</f>
        <v/>
      </c>
      <c r="H36" s="203" t="str">
        <f>IF($A36&gt;MAX(入力シート!$AF$6:$AF$505),"",INDEX(テーブル22[[学年]:[得点]],MATCH(体力優良証交付申請!$A36,入力シート!$AF$6:$AF$505,0),MATCH(体力優良証交付申請!H$14,テーブル22[[#Headers],[学年]:[得点]],0)))</f>
        <v/>
      </c>
      <c r="I36" s="203" t="str">
        <f>IF($A36&gt;MAX(入力シート!$AF$6:$AF$505),"",INDEX(テーブル22[[学年]:[得点]],MATCH(体力優良証交付申請!$A36,入力シート!$AF$6:$AF$505,0),MATCH(体力優良証交付申請!I$14,テーブル22[[#Headers],[学年]:[得点]],0)))</f>
        <v/>
      </c>
      <c r="J36" s="114" t="str">
        <f>IF($A36&gt;MAX(入力シート!$AF$6:$AF$505),"",INDEX(テーブル22[[学年]:[得点]],MATCH(体力優良証交付申請!$A36,入力シート!$AF$6:$AF$505,0),MATCH(体力優良証交付申請!J$14,テーブル22[[#Headers],[学年]:[得点]],0)))</f>
        <v/>
      </c>
      <c r="K36" s="203" t="str">
        <f>IF($A36&gt;MAX(入力シート!$AF$6:$AF$505),"",INDEX(テーブル22[[学年]:[得点]],MATCH(体力優良証交付申請!$A36,入力シート!$AF$6:$AF$505,0),MATCH(体力優良証交付申請!K$14,テーブル22[[#Headers],[学年]:[得点]],0)))</f>
        <v/>
      </c>
      <c r="L36" s="203" t="str">
        <f>IF($A36&gt;MAX(入力シート!$AF$6:$AF$505),"",INDEX(テーブル22[[学年]:[得点]],MATCH(体力優良証交付申請!$A36,入力シート!$AF$6:$AF$505,0),MATCH(体力優良証交付申請!L$14,テーブル22[[#Headers],[学年]:[得点]],0)))</f>
        <v/>
      </c>
      <c r="M36" s="28" t="str">
        <f>IF($A36&gt;MAX(入力シート!$AF$6:$AF$505),"",INDEX(テーブル22[[学年]:[得点]],MATCH(体力優良証交付申請!$A36,入力シート!$AF$6:$AF$505,0),MATCH(体力優良証交付申請!M$14,テーブル22[[#Headers],[学年]:[得点]],0)))</f>
        <v/>
      </c>
    </row>
    <row r="37" spans="1:13" x14ac:dyDescent="0.2">
      <c r="A37" s="16">
        <v>23</v>
      </c>
      <c r="B37" s="130" t="str">
        <f>IF($A37&gt;MAX(入力シート!$AF$6:$AF$505),"",INDEX(テーブル22[[学年]:[得点]],MATCH(体力優良証交付申請!$A37,入力シート!$AF$6:$AF$505,0),MATCH(体力優良証交付申請!B$14,テーブル22[[#Headers],[学年]:[得点]],0)))</f>
        <v/>
      </c>
      <c r="C37" s="203" t="str">
        <f>IF($A37&gt;MAX(入力シート!$AF$6:$AF$505),"",INDEX(テーブル22[[学年]:[得点]],MATCH(体力優良証交付申請!$A37,入力シート!$AF$6:$AF$505,0),MATCH(体力優良証交付申請!C$14,テーブル22[[#Headers],[学年]:[得点]],0)))</f>
        <v/>
      </c>
      <c r="D37" s="203" t="str">
        <f>IF($A37&gt;MAX(入力シート!$AF$6:$AF$505),"",INDEX(テーブル22[[学年]:[得点]],MATCH(体力優良証交付申請!$A37,入力シート!$AF$6:$AF$505,0),MATCH(体力優良証交付申請!D$14,テーブル22[[#Headers],[学年]:[得点]],0)))</f>
        <v/>
      </c>
      <c r="E37" s="203" t="str">
        <f>IF($A37&gt;MAX(入力シート!$AF$6:$AF$505),"",INDEX(テーブル22[[学年]:[得点]],MATCH(体力優良証交付申請!$A37,入力シート!$AF$6:$AF$505,0),MATCH(体力優良証交付申請!E$14,テーブル22[[#Headers],[学年]:[得点]],0)))</f>
        <v/>
      </c>
      <c r="F37" s="203" t="str">
        <f>IF($A37&gt;MAX(入力シート!$AF$6:$AF$505),"",INDEX(テーブル22[[学年]:[得点]],MATCH(体力優良証交付申請!$A37,入力シート!$AF$6:$AF$505,0),MATCH(体力優良証交付申請!F$14,テーブル22[[#Headers],[学年]:[得点]],0)))</f>
        <v/>
      </c>
      <c r="G37" s="203" t="str">
        <f>IF($A37&gt;MAX(入力シート!$AF$6:$AF$505),"",INDEX(テーブル22[[学年]:[得点]],MATCH(体力優良証交付申請!$A37,入力シート!$AF$6:$AF$505,0),MATCH(体力優良証交付申請!G$14,テーブル22[[#Headers],[学年]:[得点]],0)))</f>
        <v/>
      </c>
      <c r="H37" s="203" t="str">
        <f>IF($A37&gt;MAX(入力シート!$AF$6:$AF$505),"",INDEX(テーブル22[[学年]:[得点]],MATCH(体力優良証交付申請!$A37,入力シート!$AF$6:$AF$505,0),MATCH(体力優良証交付申請!H$14,テーブル22[[#Headers],[学年]:[得点]],0)))</f>
        <v/>
      </c>
      <c r="I37" s="203" t="str">
        <f>IF($A37&gt;MAX(入力シート!$AF$6:$AF$505),"",INDEX(テーブル22[[学年]:[得点]],MATCH(体力優良証交付申請!$A37,入力シート!$AF$6:$AF$505,0),MATCH(体力優良証交付申請!I$14,テーブル22[[#Headers],[学年]:[得点]],0)))</f>
        <v/>
      </c>
      <c r="J37" s="114" t="str">
        <f>IF($A37&gt;MAX(入力シート!$AF$6:$AF$505),"",INDEX(テーブル22[[学年]:[得点]],MATCH(体力優良証交付申請!$A37,入力シート!$AF$6:$AF$505,0),MATCH(体力優良証交付申請!J$14,テーブル22[[#Headers],[学年]:[得点]],0)))</f>
        <v/>
      </c>
      <c r="K37" s="203" t="str">
        <f>IF($A37&gt;MAX(入力シート!$AF$6:$AF$505),"",INDEX(テーブル22[[学年]:[得点]],MATCH(体力優良証交付申請!$A37,入力シート!$AF$6:$AF$505,0),MATCH(体力優良証交付申請!K$14,テーブル22[[#Headers],[学年]:[得点]],0)))</f>
        <v/>
      </c>
      <c r="L37" s="203" t="str">
        <f>IF($A37&gt;MAX(入力シート!$AF$6:$AF$505),"",INDEX(テーブル22[[学年]:[得点]],MATCH(体力優良証交付申請!$A37,入力シート!$AF$6:$AF$505,0),MATCH(体力優良証交付申請!L$14,テーブル22[[#Headers],[学年]:[得点]],0)))</f>
        <v/>
      </c>
      <c r="M37" s="28" t="str">
        <f>IF($A37&gt;MAX(入力シート!$AF$6:$AF$505),"",INDEX(テーブル22[[学年]:[得点]],MATCH(体力優良証交付申請!$A37,入力シート!$AF$6:$AF$505,0),MATCH(体力優良証交付申請!M$14,テーブル22[[#Headers],[学年]:[得点]],0)))</f>
        <v/>
      </c>
    </row>
    <row r="38" spans="1:13" x14ac:dyDescent="0.2">
      <c r="A38" s="16">
        <v>24</v>
      </c>
      <c r="B38" s="130" t="str">
        <f>IF($A38&gt;MAX(入力シート!$AF$6:$AF$505),"",INDEX(テーブル22[[学年]:[得点]],MATCH(体力優良証交付申請!$A38,入力シート!$AF$6:$AF$505,0),MATCH(体力優良証交付申請!B$14,テーブル22[[#Headers],[学年]:[得点]],0)))</f>
        <v/>
      </c>
      <c r="C38" s="203" t="str">
        <f>IF($A38&gt;MAX(入力シート!$AF$6:$AF$505),"",INDEX(テーブル22[[学年]:[得点]],MATCH(体力優良証交付申請!$A38,入力シート!$AF$6:$AF$505,0),MATCH(体力優良証交付申請!C$14,テーブル22[[#Headers],[学年]:[得点]],0)))</f>
        <v/>
      </c>
      <c r="D38" s="203" t="str">
        <f>IF($A38&gt;MAX(入力シート!$AF$6:$AF$505),"",INDEX(テーブル22[[学年]:[得点]],MATCH(体力優良証交付申請!$A38,入力シート!$AF$6:$AF$505,0),MATCH(体力優良証交付申請!D$14,テーブル22[[#Headers],[学年]:[得点]],0)))</f>
        <v/>
      </c>
      <c r="E38" s="203" t="str">
        <f>IF($A38&gt;MAX(入力シート!$AF$6:$AF$505),"",INDEX(テーブル22[[学年]:[得点]],MATCH(体力優良証交付申請!$A38,入力シート!$AF$6:$AF$505,0),MATCH(体力優良証交付申請!E$14,テーブル22[[#Headers],[学年]:[得点]],0)))</f>
        <v/>
      </c>
      <c r="F38" s="203" t="str">
        <f>IF($A38&gt;MAX(入力シート!$AF$6:$AF$505),"",INDEX(テーブル22[[学年]:[得点]],MATCH(体力優良証交付申請!$A38,入力シート!$AF$6:$AF$505,0),MATCH(体力優良証交付申請!F$14,テーブル22[[#Headers],[学年]:[得点]],0)))</f>
        <v/>
      </c>
      <c r="G38" s="203" t="str">
        <f>IF($A38&gt;MAX(入力シート!$AF$6:$AF$505),"",INDEX(テーブル22[[学年]:[得点]],MATCH(体力優良証交付申請!$A38,入力シート!$AF$6:$AF$505,0),MATCH(体力優良証交付申請!G$14,テーブル22[[#Headers],[学年]:[得点]],0)))</f>
        <v/>
      </c>
      <c r="H38" s="203" t="str">
        <f>IF($A38&gt;MAX(入力シート!$AF$6:$AF$505),"",INDEX(テーブル22[[学年]:[得点]],MATCH(体力優良証交付申請!$A38,入力シート!$AF$6:$AF$505,0),MATCH(体力優良証交付申請!H$14,テーブル22[[#Headers],[学年]:[得点]],0)))</f>
        <v/>
      </c>
      <c r="I38" s="203" t="str">
        <f>IF($A38&gt;MAX(入力シート!$AF$6:$AF$505),"",INDEX(テーブル22[[学年]:[得点]],MATCH(体力優良証交付申請!$A38,入力シート!$AF$6:$AF$505,0),MATCH(体力優良証交付申請!I$14,テーブル22[[#Headers],[学年]:[得点]],0)))</f>
        <v/>
      </c>
      <c r="J38" s="114" t="str">
        <f>IF($A38&gt;MAX(入力シート!$AF$6:$AF$505),"",INDEX(テーブル22[[学年]:[得点]],MATCH(体力優良証交付申請!$A38,入力シート!$AF$6:$AF$505,0),MATCH(体力優良証交付申請!J$14,テーブル22[[#Headers],[学年]:[得点]],0)))</f>
        <v/>
      </c>
      <c r="K38" s="203" t="str">
        <f>IF($A38&gt;MAX(入力シート!$AF$6:$AF$505),"",INDEX(テーブル22[[学年]:[得点]],MATCH(体力優良証交付申請!$A38,入力シート!$AF$6:$AF$505,0),MATCH(体力優良証交付申請!K$14,テーブル22[[#Headers],[学年]:[得点]],0)))</f>
        <v/>
      </c>
      <c r="L38" s="203" t="str">
        <f>IF($A38&gt;MAX(入力シート!$AF$6:$AF$505),"",INDEX(テーブル22[[学年]:[得点]],MATCH(体力優良証交付申請!$A38,入力シート!$AF$6:$AF$505,0),MATCH(体力優良証交付申請!L$14,テーブル22[[#Headers],[学年]:[得点]],0)))</f>
        <v/>
      </c>
      <c r="M38" s="28" t="str">
        <f>IF($A38&gt;MAX(入力シート!$AF$6:$AF$505),"",INDEX(テーブル22[[学年]:[得点]],MATCH(体力優良証交付申請!$A38,入力シート!$AF$6:$AF$505,0),MATCH(体力優良証交付申請!M$14,テーブル22[[#Headers],[学年]:[得点]],0)))</f>
        <v/>
      </c>
    </row>
    <row r="39" spans="1:13" x14ac:dyDescent="0.2">
      <c r="A39" s="16">
        <v>25</v>
      </c>
      <c r="B39" s="130" t="str">
        <f>IF($A39&gt;MAX(入力シート!$AF$6:$AF$505),"",INDEX(テーブル22[[学年]:[得点]],MATCH(体力優良証交付申請!$A39,入力シート!$AF$6:$AF$505,0),MATCH(体力優良証交付申請!B$14,テーブル22[[#Headers],[学年]:[得点]],0)))</f>
        <v/>
      </c>
      <c r="C39" s="203" t="str">
        <f>IF($A39&gt;MAX(入力シート!$AF$6:$AF$505),"",INDEX(テーブル22[[学年]:[得点]],MATCH(体力優良証交付申請!$A39,入力シート!$AF$6:$AF$505,0),MATCH(体力優良証交付申請!C$14,テーブル22[[#Headers],[学年]:[得点]],0)))</f>
        <v/>
      </c>
      <c r="D39" s="203" t="str">
        <f>IF($A39&gt;MAX(入力シート!$AF$6:$AF$505),"",INDEX(テーブル22[[学年]:[得点]],MATCH(体力優良証交付申請!$A39,入力シート!$AF$6:$AF$505,0),MATCH(体力優良証交付申請!D$14,テーブル22[[#Headers],[学年]:[得点]],0)))</f>
        <v/>
      </c>
      <c r="E39" s="203" t="str">
        <f>IF($A39&gt;MAX(入力シート!$AF$6:$AF$505),"",INDEX(テーブル22[[学年]:[得点]],MATCH(体力優良証交付申請!$A39,入力シート!$AF$6:$AF$505,0),MATCH(体力優良証交付申請!E$14,テーブル22[[#Headers],[学年]:[得点]],0)))</f>
        <v/>
      </c>
      <c r="F39" s="203" t="str">
        <f>IF($A39&gt;MAX(入力シート!$AF$6:$AF$505),"",INDEX(テーブル22[[学年]:[得点]],MATCH(体力優良証交付申請!$A39,入力シート!$AF$6:$AF$505,0),MATCH(体力優良証交付申請!F$14,テーブル22[[#Headers],[学年]:[得点]],0)))</f>
        <v/>
      </c>
      <c r="G39" s="203" t="str">
        <f>IF($A39&gt;MAX(入力シート!$AF$6:$AF$505),"",INDEX(テーブル22[[学年]:[得点]],MATCH(体力優良証交付申請!$A39,入力シート!$AF$6:$AF$505,0),MATCH(体力優良証交付申請!G$14,テーブル22[[#Headers],[学年]:[得点]],0)))</f>
        <v/>
      </c>
      <c r="H39" s="203" t="str">
        <f>IF($A39&gt;MAX(入力シート!$AF$6:$AF$505),"",INDEX(テーブル22[[学年]:[得点]],MATCH(体力優良証交付申請!$A39,入力シート!$AF$6:$AF$505,0),MATCH(体力優良証交付申請!H$14,テーブル22[[#Headers],[学年]:[得点]],0)))</f>
        <v/>
      </c>
      <c r="I39" s="203" t="str">
        <f>IF($A39&gt;MAX(入力シート!$AF$6:$AF$505),"",INDEX(テーブル22[[学年]:[得点]],MATCH(体力優良証交付申請!$A39,入力シート!$AF$6:$AF$505,0),MATCH(体力優良証交付申請!I$14,テーブル22[[#Headers],[学年]:[得点]],0)))</f>
        <v/>
      </c>
      <c r="J39" s="114" t="str">
        <f>IF($A39&gt;MAX(入力シート!$AF$6:$AF$505),"",INDEX(テーブル22[[学年]:[得点]],MATCH(体力優良証交付申請!$A39,入力シート!$AF$6:$AF$505,0),MATCH(体力優良証交付申請!J$14,テーブル22[[#Headers],[学年]:[得点]],0)))</f>
        <v/>
      </c>
      <c r="K39" s="203" t="str">
        <f>IF($A39&gt;MAX(入力シート!$AF$6:$AF$505),"",INDEX(テーブル22[[学年]:[得点]],MATCH(体力優良証交付申請!$A39,入力シート!$AF$6:$AF$505,0),MATCH(体力優良証交付申請!K$14,テーブル22[[#Headers],[学年]:[得点]],0)))</f>
        <v/>
      </c>
      <c r="L39" s="203" t="str">
        <f>IF($A39&gt;MAX(入力シート!$AF$6:$AF$505),"",INDEX(テーブル22[[学年]:[得点]],MATCH(体力優良証交付申請!$A39,入力シート!$AF$6:$AF$505,0),MATCH(体力優良証交付申請!L$14,テーブル22[[#Headers],[学年]:[得点]],0)))</f>
        <v/>
      </c>
      <c r="M39" s="28" t="str">
        <f>IF($A39&gt;MAX(入力シート!$AF$6:$AF$505),"",INDEX(テーブル22[[学年]:[得点]],MATCH(体力優良証交付申請!$A39,入力シート!$AF$6:$AF$505,0),MATCH(体力優良証交付申請!M$14,テーブル22[[#Headers],[学年]:[得点]],0)))</f>
        <v/>
      </c>
    </row>
    <row r="40" spans="1:13" x14ac:dyDescent="0.2">
      <c r="A40" s="16">
        <v>26</v>
      </c>
      <c r="B40" s="130" t="str">
        <f>IF($A40&gt;MAX(入力シート!$AF$6:$AF$505),"",INDEX(テーブル22[[学年]:[得点]],MATCH(体力優良証交付申請!$A40,入力シート!$AF$6:$AF$505,0),MATCH(体力優良証交付申請!B$14,テーブル22[[#Headers],[学年]:[得点]],0)))</f>
        <v/>
      </c>
      <c r="C40" s="203" t="str">
        <f>IF($A40&gt;MAX(入力シート!$AF$6:$AF$505),"",INDEX(テーブル22[[学年]:[得点]],MATCH(体力優良証交付申請!$A40,入力シート!$AF$6:$AF$505,0),MATCH(体力優良証交付申請!C$14,テーブル22[[#Headers],[学年]:[得点]],0)))</f>
        <v/>
      </c>
      <c r="D40" s="203" t="str">
        <f>IF($A40&gt;MAX(入力シート!$AF$6:$AF$505),"",INDEX(テーブル22[[学年]:[得点]],MATCH(体力優良証交付申請!$A40,入力シート!$AF$6:$AF$505,0),MATCH(体力優良証交付申請!D$14,テーブル22[[#Headers],[学年]:[得点]],0)))</f>
        <v/>
      </c>
      <c r="E40" s="203" t="str">
        <f>IF($A40&gt;MAX(入力シート!$AF$6:$AF$505),"",INDEX(テーブル22[[学年]:[得点]],MATCH(体力優良証交付申請!$A40,入力シート!$AF$6:$AF$505,0),MATCH(体力優良証交付申請!E$14,テーブル22[[#Headers],[学年]:[得点]],0)))</f>
        <v/>
      </c>
      <c r="F40" s="203" t="str">
        <f>IF($A40&gt;MAX(入力シート!$AF$6:$AF$505),"",INDEX(テーブル22[[学年]:[得点]],MATCH(体力優良証交付申請!$A40,入力シート!$AF$6:$AF$505,0),MATCH(体力優良証交付申請!F$14,テーブル22[[#Headers],[学年]:[得点]],0)))</f>
        <v/>
      </c>
      <c r="G40" s="203" t="str">
        <f>IF($A40&gt;MAX(入力シート!$AF$6:$AF$505),"",INDEX(テーブル22[[学年]:[得点]],MATCH(体力優良証交付申請!$A40,入力シート!$AF$6:$AF$505,0),MATCH(体力優良証交付申請!G$14,テーブル22[[#Headers],[学年]:[得点]],0)))</f>
        <v/>
      </c>
      <c r="H40" s="203" t="str">
        <f>IF($A40&gt;MAX(入力シート!$AF$6:$AF$505),"",INDEX(テーブル22[[学年]:[得点]],MATCH(体力優良証交付申請!$A40,入力シート!$AF$6:$AF$505,0),MATCH(体力優良証交付申請!H$14,テーブル22[[#Headers],[学年]:[得点]],0)))</f>
        <v/>
      </c>
      <c r="I40" s="203" t="str">
        <f>IF($A40&gt;MAX(入力シート!$AF$6:$AF$505),"",INDEX(テーブル22[[学年]:[得点]],MATCH(体力優良証交付申請!$A40,入力シート!$AF$6:$AF$505,0),MATCH(体力優良証交付申請!I$14,テーブル22[[#Headers],[学年]:[得点]],0)))</f>
        <v/>
      </c>
      <c r="J40" s="114" t="str">
        <f>IF($A40&gt;MAX(入力シート!$AF$6:$AF$505),"",INDEX(テーブル22[[学年]:[得点]],MATCH(体力優良証交付申請!$A40,入力シート!$AF$6:$AF$505,0),MATCH(体力優良証交付申請!J$14,テーブル22[[#Headers],[学年]:[得点]],0)))</f>
        <v/>
      </c>
      <c r="K40" s="203" t="str">
        <f>IF($A40&gt;MAX(入力シート!$AF$6:$AF$505),"",INDEX(テーブル22[[学年]:[得点]],MATCH(体力優良証交付申請!$A40,入力シート!$AF$6:$AF$505,0),MATCH(体力優良証交付申請!K$14,テーブル22[[#Headers],[学年]:[得点]],0)))</f>
        <v/>
      </c>
      <c r="L40" s="203" t="str">
        <f>IF($A40&gt;MAX(入力シート!$AF$6:$AF$505),"",INDEX(テーブル22[[学年]:[得点]],MATCH(体力優良証交付申請!$A40,入力シート!$AF$6:$AF$505,0),MATCH(体力優良証交付申請!L$14,テーブル22[[#Headers],[学年]:[得点]],0)))</f>
        <v/>
      </c>
      <c r="M40" s="28" t="str">
        <f>IF($A40&gt;MAX(入力シート!$AF$6:$AF$505),"",INDEX(テーブル22[[学年]:[得点]],MATCH(体力優良証交付申請!$A40,入力シート!$AF$6:$AF$505,0),MATCH(体力優良証交付申請!M$14,テーブル22[[#Headers],[学年]:[得点]],0)))</f>
        <v/>
      </c>
    </row>
    <row r="41" spans="1:13" x14ac:dyDescent="0.2">
      <c r="A41" s="16">
        <v>27</v>
      </c>
      <c r="B41" s="130" t="str">
        <f>IF($A41&gt;MAX(入力シート!$AF$6:$AF$505),"",INDEX(テーブル22[[学年]:[得点]],MATCH(体力優良証交付申請!$A41,入力シート!$AF$6:$AF$505,0),MATCH(体力優良証交付申請!B$14,テーブル22[[#Headers],[学年]:[得点]],0)))</f>
        <v/>
      </c>
      <c r="C41" s="203" t="str">
        <f>IF($A41&gt;MAX(入力シート!$AF$6:$AF$505),"",INDEX(テーブル22[[学年]:[得点]],MATCH(体力優良証交付申請!$A41,入力シート!$AF$6:$AF$505,0),MATCH(体力優良証交付申請!C$14,テーブル22[[#Headers],[学年]:[得点]],0)))</f>
        <v/>
      </c>
      <c r="D41" s="203" t="str">
        <f>IF($A41&gt;MAX(入力シート!$AF$6:$AF$505),"",INDEX(テーブル22[[学年]:[得点]],MATCH(体力優良証交付申請!$A41,入力シート!$AF$6:$AF$505,0),MATCH(体力優良証交付申請!D$14,テーブル22[[#Headers],[学年]:[得点]],0)))</f>
        <v/>
      </c>
      <c r="E41" s="203" t="str">
        <f>IF($A41&gt;MAX(入力シート!$AF$6:$AF$505),"",INDEX(テーブル22[[学年]:[得点]],MATCH(体力優良証交付申請!$A41,入力シート!$AF$6:$AF$505,0),MATCH(体力優良証交付申請!E$14,テーブル22[[#Headers],[学年]:[得点]],0)))</f>
        <v/>
      </c>
      <c r="F41" s="203" t="str">
        <f>IF($A41&gt;MAX(入力シート!$AF$6:$AF$505),"",INDEX(テーブル22[[学年]:[得点]],MATCH(体力優良証交付申請!$A41,入力シート!$AF$6:$AF$505,0),MATCH(体力優良証交付申請!F$14,テーブル22[[#Headers],[学年]:[得点]],0)))</f>
        <v/>
      </c>
      <c r="G41" s="203" t="str">
        <f>IF($A41&gt;MAX(入力シート!$AF$6:$AF$505),"",INDEX(テーブル22[[学年]:[得点]],MATCH(体力優良証交付申請!$A41,入力シート!$AF$6:$AF$505,0),MATCH(体力優良証交付申請!G$14,テーブル22[[#Headers],[学年]:[得点]],0)))</f>
        <v/>
      </c>
      <c r="H41" s="203" t="str">
        <f>IF($A41&gt;MAX(入力シート!$AF$6:$AF$505),"",INDEX(テーブル22[[学年]:[得点]],MATCH(体力優良証交付申請!$A41,入力シート!$AF$6:$AF$505,0),MATCH(体力優良証交付申請!H$14,テーブル22[[#Headers],[学年]:[得点]],0)))</f>
        <v/>
      </c>
      <c r="I41" s="203" t="str">
        <f>IF($A41&gt;MAX(入力シート!$AF$6:$AF$505),"",INDEX(テーブル22[[学年]:[得点]],MATCH(体力優良証交付申請!$A41,入力シート!$AF$6:$AF$505,0),MATCH(体力優良証交付申請!I$14,テーブル22[[#Headers],[学年]:[得点]],0)))</f>
        <v/>
      </c>
      <c r="J41" s="114" t="str">
        <f>IF($A41&gt;MAX(入力シート!$AF$6:$AF$505),"",INDEX(テーブル22[[学年]:[得点]],MATCH(体力優良証交付申請!$A41,入力シート!$AF$6:$AF$505,0),MATCH(体力優良証交付申請!J$14,テーブル22[[#Headers],[学年]:[得点]],0)))</f>
        <v/>
      </c>
      <c r="K41" s="203" t="str">
        <f>IF($A41&gt;MAX(入力シート!$AF$6:$AF$505),"",INDEX(テーブル22[[学年]:[得点]],MATCH(体力優良証交付申請!$A41,入力シート!$AF$6:$AF$505,0),MATCH(体力優良証交付申請!K$14,テーブル22[[#Headers],[学年]:[得点]],0)))</f>
        <v/>
      </c>
      <c r="L41" s="203" t="str">
        <f>IF($A41&gt;MAX(入力シート!$AF$6:$AF$505),"",INDEX(テーブル22[[学年]:[得点]],MATCH(体力優良証交付申請!$A41,入力シート!$AF$6:$AF$505,0),MATCH(体力優良証交付申請!L$14,テーブル22[[#Headers],[学年]:[得点]],0)))</f>
        <v/>
      </c>
      <c r="M41" s="28" t="str">
        <f>IF($A41&gt;MAX(入力シート!$AF$6:$AF$505),"",INDEX(テーブル22[[学年]:[得点]],MATCH(体力優良証交付申請!$A41,入力シート!$AF$6:$AF$505,0),MATCH(体力優良証交付申請!M$14,テーブル22[[#Headers],[学年]:[得点]],0)))</f>
        <v/>
      </c>
    </row>
    <row r="42" spans="1:13" x14ac:dyDescent="0.2">
      <c r="A42" s="16">
        <v>28</v>
      </c>
      <c r="B42" s="130" t="str">
        <f>IF($A42&gt;MAX(入力シート!$AF$6:$AF$505),"",INDEX(テーブル22[[学年]:[得点]],MATCH(体力優良証交付申請!$A42,入力シート!$AF$6:$AF$505,0),MATCH(体力優良証交付申請!B$14,テーブル22[[#Headers],[学年]:[得点]],0)))</f>
        <v/>
      </c>
      <c r="C42" s="203" t="str">
        <f>IF($A42&gt;MAX(入力シート!$AF$6:$AF$505),"",INDEX(テーブル22[[学年]:[得点]],MATCH(体力優良証交付申請!$A42,入力シート!$AF$6:$AF$505,0),MATCH(体力優良証交付申請!C$14,テーブル22[[#Headers],[学年]:[得点]],0)))</f>
        <v/>
      </c>
      <c r="D42" s="203" t="str">
        <f>IF($A42&gt;MAX(入力シート!$AF$6:$AF$505),"",INDEX(テーブル22[[学年]:[得点]],MATCH(体力優良証交付申請!$A42,入力シート!$AF$6:$AF$505,0),MATCH(体力優良証交付申請!D$14,テーブル22[[#Headers],[学年]:[得点]],0)))</f>
        <v/>
      </c>
      <c r="E42" s="203" t="str">
        <f>IF($A42&gt;MAX(入力シート!$AF$6:$AF$505),"",INDEX(テーブル22[[学年]:[得点]],MATCH(体力優良証交付申請!$A42,入力シート!$AF$6:$AF$505,0),MATCH(体力優良証交付申請!E$14,テーブル22[[#Headers],[学年]:[得点]],0)))</f>
        <v/>
      </c>
      <c r="F42" s="203" t="str">
        <f>IF($A42&gt;MAX(入力シート!$AF$6:$AF$505),"",INDEX(テーブル22[[学年]:[得点]],MATCH(体力優良証交付申請!$A42,入力シート!$AF$6:$AF$505,0),MATCH(体力優良証交付申請!F$14,テーブル22[[#Headers],[学年]:[得点]],0)))</f>
        <v/>
      </c>
      <c r="G42" s="203" t="str">
        <f>IF($A42&gt;MAX(入力シート!$AF$6:$AF$505),"",INDEX(テーブル22[[学年]:[得点]],MATCH(体力優良証交付申請!$A42,入力シート!$AF$6:$AF$505,0),MATCH(体力優良証交付申請!G$14,テーブル22[[#Headers],[学年]:[得点]],0)))</f>
        <v/>
      </c>
      <c r="H42" s="203" t="str">
        <f>IF($A42&gt;MAX(入力シート!$AF$6:$AF$505),"",INDEX(テーブル22[[学年]:[得点]],MATCH(体力優良証交付申請!$A42,入力シート!$AF$6:$AF$505,0),MATCH(体力優良証交付申請!H$14,テーブル22[[#Headers],[学年]:[得点]],0)))</f>
        <v/>
      </c>
      <c r="I42" s="203" t="str">
        <f>IF($A42&gt;MAX(入力シート!$AF$6:$AF$505),"",INDEX(テーブル22[[学年]:[得点]],MATCH(体力優良証交付申請!$A42,入力シート!$AF$6:$AF$505,0),MATCH(体力優良証交付申請!I$14,テーブル22[[#Headers],[学年]:[得点]],0)))</f>
        <v/>
      </c>
      <c r="J42" s="114" t="str">
        <f>IF($A42&gt;MAX(入力シート!$AF$6:$AF$505),"",INDEX(テーブル22[[学年]:[得点]],MATCH(体力優良証交付申請!$A42,入力シート!$AF$6:$AF$505,0),MATCH(体力優良証交付申請!J$14,テーブル22[[#Headers],[学年]:[得点]],0)))</f>
        <v/>
      </c>
      <c r="K42" s="203" t="str">
        <f>IF($A42&gt;MAX(入力シート!$AF$6:$AF$505),"",INDEX(テーブル22[[学年]:[得点]],MATCH(体力優良証交付申請!$A42,入力シート!$AF$6:$AF$505,0),MATCH(体力優良証交付申請!K$14,テーブル22[[#Headers],[学年]:[得点]],0)))</f>
        <v/>
      </c>
      <c r="L42" s="203" t="str">
        <f>IF($A42&gt;MAX(入力シート!$AF$6:$AF$505),"",INDEX(テーブル22[[学年]:[得点]],MATCH(体力優良証交付申請!$A42,入力シート!$AF$6:$AF$505,0),MATCH(体力優良証交付申請!L$14,テーブル22[[#Headers],[学年]:[得点]],0)))</f>
        <v/>
      </c>
      <c r="M42" s="28" t="str">
        <f>IF($A42&gt;MAX(入力シート!$AF$6:$AF$505),"",INDEX(テーブル22[[学年]:[得点]],MATCH(体力優良証交付申請!$A42,入力シート!$AF$6:$AF$505,0),MATCH(体力優良証交付申請!M$14,テーブル22[[#Headers],[学年]:[得点]],0)))</f>
        <v/>
      </c>
    </row>
    <row r="43" spans="1:13" x14ac:dyDescent="0.2">
      <c r="A43" s="16">
        <v>29</v>
      </c>
      <c r="B43" s="130" t="str">
        <f>IF($A43&gt;MAX(入力シート!$AF$6:$AF$505),"",INDEX(テーブル22[[学年]:[得点]],MATCH(体力優良証交付申請!$A43,入力シート!$AF$6:$AF$505,0),MATCH(体力優良証交付申請!B$14,テーブル22[[#Headers],[学年]:[得点]],0)))</f>
        <v/>
      </c>
      <c r="C43" s="203" t="str">
        <f>IF($A43&gt;MAX(入力シート!$AF$6:$AF$505),"",INDEX(テーブル22[[学年]:[得点]],MATCH(体力優良証交付申請!$A43,入力シート!$AF$6:$AF$505,0),MATCH(体力優良証交付申請!C$14,テーブル22[[#Headers],[学年]:[得点]],0)))</f>
        <v/>
      </c>
      <c r="D43" s="203" t="str">
        <f>IF($A43&gt;MAX(入力シート!$AF$6:$AF$505),"",INDEX(テーブル22[[学年]:[得点]],MATCH(体力優良証交付申請!$A43,入力シート!$AF$6:$AF$505,0),MATCH(体力優良証交付申請!D$14,テーブル22[[#Headers],[学年]:[得点]],0)))</f>
        <v/>
      </c>
      <c r="E43" s="203" t="str">
        <f>IF($A43&gt;MAX(入力シート!$AF$6:$AF$505),"",INDEX(テーブル22[[学年]:[得点]],MATCH(体力優良証交付申請!$A43,入力シート!$AF$6:$AF$505,0),MATCH(体力優良証交付申請!E$14,テーブル22[[#Headers],[学年]:[得点]],0)))</f>
        <v/>
      </c>
      <c r="F43" s="203" t="str">
        <f>IF($A43&gt;MAX(入力シート!$AF$6:$AF$505),"",INDEX(テーブル22[[学年]:[得点]],MATCH(体力優良証交付申請!$A43,入力シート!$AF$6:$AF$505,0),MATCH(体力優良証交付申請!F$14,テーブル22[[#Headers],[学年]:[得点]],0)))</f>
        <v/>
      </c>
      <c r="G43" s="203" t="str">
        <f>IF($A43&gt;MAX(入力シート!$AF$6:$AF$505),"",INDEX(テーブル22[[学年]:[得点]],MATCH(体力優良証交付申請!$A43,入力シート!$AF$6:$AF$505,0),MATCH(体力優良証交付申請!G$14,テーブル22[[#Headers],[学年]:[得点]],0)))</f>
        <v/>
      </c>
      <c r="H43" s="203" t="str">
        <f>IF($A43&gt;MAX(入力シート!$AF$6:$AF$505),"",INDEX(テーブル22[[学年]:[得点]],MATCH(体力優良証交付申請!$A43,入力シート!$AF$6:$AF$505,0),MATCH(体力優良証交付申請!H$14,テーブル22[[#Headers],[学年]:[得点]],0)))</f>
        <v/>
      </c>
      <c r="I43" s="203" t="str">
        <f>IF($A43&gt;MAX(入力シート!$AF$6:$AF$505),"",INDEX(テーブル22[[学年]:[得点]],MATCH(体力優良証交付申請!$A43,入力シート!$AF$6:$AF$505,0),MATCH(体力優良証交付申請!I$14,テーブル22[[#Headers],[学年]:[得点]],0)))</f>
        <v/>
      </c>
      <c r="J43" s="114" t="str">
        <f>IF($A43&gt;MAX(入力シート!$AF$6:$AF$505),"",INDEX(テーブル22[[学年]:[得点]],MATCH(体力優良証交付申請!$A43,入力シート!$AF$6:$AF$505,0),MATCH(体力優良証交付申請!J$14,テーブル22[[#Headers],[学年]:[得点]],0)))</f>
        <v/>
      </c>
      <c r="K43" s="203" t="str">
        <f>IF($A43&gt;MAX(入力シート!$AF$6:$AF$505),"",INDEX(テーブル22[[学年]:[得点]],MATCH(体力優良証交付申請!$A43,入力シート!$AF$6:$AF$505,0),MATCH(体力優良証交付申請!K$14,テーブル22[[#Headers],[学年]:[得点]],0)))</f>
        <v/>
      </c>
      <c r="L43" s="203" t="str">
        <f>IF($A43&gt;MAX(入力シート!$AF$6:$AF$505),"",INDEX(テーブル22[[学年]:[得点]],MATCH(体力優良証交付申請!$A43,入力シート!$AF$6:$AF$505,0),MATCH(体力優良証交付申請!L$14,テーブル22[[#Headers],[学年]:[得点]],0)))</f>
        <v/>
      </c>
      <c r="M43" s="28" t="str">
        <f>IF($A43&gt;MAX(入力シート!$AF$6:$AF$505),"",INDEX(テーブル22[[学年]:[得点]],MATCH(体力優良証交付申請!$A43,入力シート!$AF$6:$AF$505,0),MATCH(体力優良証交付申請!M$14,テーブル22[[#Headers],[学年]:[得点]],0)))</f>
        <v/>
      </c>
    </row>
    <row r="44" spans="1:13" x14ac:dyDescent="0.2">
      <c r="A44" s="16">
        <v>30</v>
      </c>
      <c r="B44" s="130" t="str">
        <f>IF($A44&gt;MAX(入力シート!$AF$6:$AF$505),"",INDEX(テーブル22[[学年]:[得点]],MATCH(体力優良証交付申請!$A44,入力シート!$AF$6:$AF$505,0),MATCH(体力優良証交付申請!B$14,テーブル22[[#Headers],[学年]:[得点]],0)))</f>
        <v/>
      </c>
      <c r="C44" s="203" t="str">
        <f>IF($A44&gt;MAX(入力シート!$AF$6:$AF$505),"",INDEX(テーブル22[[学年]:[得点]],MATCH(体力優良証交付申請!$A44,入力シート!$AF$6:$AF$505,0),MATCH(体力優良証交付申請!C$14,テーブル22[[#Headers],[学年]:[得点]],0)))</f>
        <v/>
      </c>
      <c r="D44" s="203" t="str">
        <f>IF($A44&gt;MAX(入力シート!$AF$6:$AF$505),"",INDEX(テーブル22[[学年]:[得点]],MATCH(体力優良証交付申請!$A44,入力シート!$AF$6:$AF$505,0),MATCH(体力優良証交付申請!D$14,テーブル22[[#Headers],[学年]:[得点]],0)))</f>
        <v/>
      </c>
      <c r="E44" s="203" t="str">
        <f>IF($A44&gt;MAX(入力シート!$AF$6:$AF$505),"",INDEX(テーブル22[[学年]:[得点]],MATCH(体力優良証交付申請!$A44,入力シート!$AF$6:$AF$505,0),MATCH(体力優良証交付申請!E$14,テーブル22[[#Headers],[学年]:[得点]],0)))</f>
        <v/>
      </c>
      <c r="F44" s="203" t="str">
        <f>IF($A44&gt;MAX(入力シート!$AF$6:$AF$505),"",INDEX(テーブル22[[学年]:[得点]],MATCH(体力優良証交付申請!$A44,入力シート!$AF$6:$AF$505,0),MATCH(体力優良証交付申請!F$14,テーブル22[[#Headers],[学年]:[得点]],0)))</f>
        <v/>
      </c>
      <c r="G44" s="203" t="str">
        <f>IF($A44&gt;MAX(入力シート!$AF$6:$AF$505),"",INDEX(テーブル22[[学年]:[得点]],MATCH(体力優良証交付申請!$A44,入力シート!$AF$6:$AF$505,0),MATCH(体力優良証交付申請!G$14,テーブル22[[#Headers],[学年]:[得点]],0)))</f>
        <v/>
      </c>
      <c r="H44" s="203" t="str">
        <f>IF($A44&gt;MAX(入力シート!$AF$6:$AF$505),"",INDEX(テーブル22[[学年]:[得点]],MATCH(体力優良証交付申請!$A44,入力シート!$AF$6:$AF$505,0),MATCH(体力優良証交付申請!H$14,テーブル22[[#Headers],[学年]:[得点]],0)))</f>
        <v/>
      </c>
      <c r="I44" s="203" t="str">
        <f>IF($A44&gt;MAX(入力シート!$AF$6:$AF$505),"",INDEX(テーブル22[[学年]:[得点]],MATCH(体力優良証交付申請!$A44,入力シート!$AF$6:$AF$505,0),MATCH(体力優良証交付申請!I$14,テーブル22[[#Headers],[学年]:[得点]],0)))</f>
        <v/>
      </c>
      <c r="J44" s="114" t="str">
        <f>IF($A44&gt;MAX(入力シート!$AF$6:$AF$505),"",INDEX(テーブル22[[学年]:[得点]],MATCH(体力優良証交付申請!$A44,入力シート!$AF$6:$AF$505,0),MATCH(体力優良証交付申請!J$14,テーブル22[[#Headers],[学年]:[得点]],0)))</f>
        <v/>
      </c>
      <c r="K44" s="203" t="str">
        <f>IF($A44&gt;MAX(入力シート!$AF$6:$AF$505),"",INDEX(テーブル22[[学年]:[得点]],MATCH(体力優良証交付申請!$A44,入力シート!$AF$6:$AF$505,0),MATCH(体力優良証交付申請!K$14,テーブル22[[#Headers],[学年]:[得点]],0)))</f>
        <v/>
      </c>
      <c r="L44" s="203" t="str">
        <f>IF($A44&gt;MAX(入力シート!$AF$6:$AF$505),"",INDEX(テーブル22[[学年]:[得点]],MATCH(体力優良証交付申請!$A44,入力シート!$AF$6:$AF$505,0),MATCH(体力優良証交付申請!L$14,テーブル22[[#Headers],[学年]:[得点]],0)))</f>
        <v/>
      </c>
      <c r="M44" s="28" t="str">
        <f>IF($A44&gt;MAX(入力シート!$AF$6:$AF$505),"",INDEX(テーブル22[[学年]:[得点]],MATCH(体力優良証交付申請!$A44,入力シート!$AF$6:$AF$505,0),MATCH(体力優良証交付申請!M$14,テーブル22[[#Headers],[学年]:[得点]],0)))</f>
        <v/>
      </c>
    </row>
    <row r="45" spans="1:13" x14ac:dyDescent="0.2">
      <c r="A45" s="16">
        <v>31</v>
      </c>
      <c r="B45" s="130" t="str">
        <f>IF($A45&gt;MAX(入力シート!$AF$6:$AF$505),"",INDEX(テーブル22[[学年]:[得点]],MATCH(体力優良証交付申請!$A45,入力シート!$AF$6:$AF$505,0),MATCH(体力優良証交付申請!B$14,テーブル22[[#Headers],[学年]:[得点]],0)))</f>
        <v/>
      </c>
      <c r="C45" s="203" t="str">
        <f>IF($A45&gt;MAX(入力シート!$AF$6:$AF$505),"",INDEX(テーブル22[[学年]:[得点]],MATCH(体力優良証交付申請!$A45,入力シート!$AF$6:$AF$505,0),MATCH(体力優良証交付申請!C$14,テーブル22[[#Headers],[学年]:[得点]],0)))</f>
        <v/>
      </c>
      <c r="D45" s="203" t="str">
        <f>IF($A45&gt;MAX(入力シート!$AF$6:$AF$505),"",INDEX(テーブル22[[学年]:[得点]],MATCH(体力優良証交付申請!$A45,入力シート!$AF$6:$AF$505,0),MATCH(体力優良証交付申請!D$14,テーブル22[[#Headers],[学年]:[得点]],0)))</f>
        <v/>
      </c>
      <c r="E45" s="203" t="str">
        <f>IF($A45&gt;MAX(入力シート!$AF$6:$AF$505),"",INDEX(テーブル22[[学年]:[得点]],MATCH(体力優良証交付申請!$A45,入力シート!$AF$6:$AF$505,0),MATCH(体力優良証交付申請!E$14,テーブル22[[#Headers],[学年]:[得点]],0)))</f>
        <v/>
      </c>
      <c r="F45" s="203" t="str">
        <f>IF($A45&gt;MAX(入力シート!$AF$6:$AF$505),"",INDEX(テーブル22[[学年]:[得点]],MATCH(体力優良証交付申請!$A45,入力シート!$AF$6:$AF$505,0),MATCH(体力優良証交付申請!F$14,テーブル22[[#Headers],[学年]:[得点]],0)))</f>
        <v/>
      </c>
      <c r="G45" s="203" t="str">
        <f>IF($A45&gt;MAX(入力シート!$AF$6:$AF$505),"",INDEX(テーブル22[[学年]:[得点]],MATCH(体力優良証交付申請!$A45,入力シート!$AF$6:$AF$505,0),MATCH(体力優良証交付申請!G$14,テーブル22[[#Headers],[学年]:[得点]],0)))</f>
        <v/>
      </c>
      <c r="H45" s="203" t="str">
        <f>IF($A45&gt;MAX(入力シート!$AF$6:$AF$505),"",INDEX(テーブル22[[学年]:[得点]],MATCH(体力優良証交付申請!$A45,入力シート!$AF$6:$AF$505,0),MATCH(体力優良証交付申請!H$14,テーブル22[[#Headers],[学年]:[得点]],0)))</f>
        <v/>
      </c>
      <c r="I45" s="203" t="str">
        <f>IF($A45&gt;MAX(入力シート!$AF$6:$AF$505),"",INDEX(テーブル22[[学年]:[得点]],MATCH(体力優良証交付申請!$A45,入力シート!$AF$6:$AF$505,0),MATCH(体力優良証交付申請!I$14,テーブル22[[#Headers],[学年]:[得点]],0)))</f>
        <v/>
      </c>
      <c r="J45" s="114" t="str">
        <f>IF($A45&gt;MAX(入力シート!$AF$6:$AF$505),"",INDEX(テーブル22[[学年]:[得点]],MATCH(体力優良証交付申請!$A45,入力シート!$AF$6:$AF$505,0),MATCH(体力優良証交付申請!J$14,テーブル22[[#Headers],[学年]:[得点]],0)))</f>
        <v/>
      </c>
      <c r="K45" s="203" t="str">
        <f>IF($A45&gt;MAX(入力シート!$AF$6:$AF$505),"",INDEX(テーブル22[[学年]:[得点]],MATCH(体力優良証交付申請!$A45,入力シート!$AF$6:$AF$505,0),MATCH(体力優良証交付申請!K$14,テーブル22[[#Headers],[学年]:[得点]],0)))</f>
        <v/>
      </c>
      <c r="L45" s="203" t="str">
        <f>IF($A45&gt;MAX(入力シート!$AF$6:$AF$505),"",INDEX(テーブル22[[学年]:[得点]],MATCH(体力優良証交付申請!$A45,入力シート!$AF$6:$AF$505,0),MATCH(体力優良証交付申請!L$14,テーブル22[[#Headers],[学年]:[得点]],0)))</f>
        <v/>
      </c>
      <c r="M45" s="28" t="str">
        <f>IF($A45&gt;MAX(入力シート!$AF$6:$AF$505),"",INDEX(テーブル22[[学年]:[得点]],MATCH(体力優良証交付申請!$A45,入力シート!$AF$6:$AF$505,0),MATCH(体力優良証交付申請!M$14,テーブル22[[#Headers],[学年]:[得点]],0)))</f>
        <v/>
      </c>
    </row>
    <row r="46" spans="1:13" x14ac:dyDescent="0.2">
      <c r="A46" s="16">
        <v>32</v>
      </c>
      <c r="B46" s="130" t="str">
        <f>IF($A46&gt;MAX(入力シート!$AF$6:$AF$505),"",INDEX(テーブル22[[学年]:[得点]],MATCH(体力優良証交付申請!$A46,入力シート!$AF$6:$AF$505,0),MATCH(体力優良証交付申請!B$14,テーブル22[[#Headers],[学年]:[得点]],0)))</f>
        <v/>
      </c>
      <c r="C46" s="203" t="str">
        <f>IF($A46&gt;MAX(入力シート!$AF$6:$AF$505),"",INDEX(テーブル22[[学年]:[得点]],MATCH(体力優良証交付申請!$A46,入力シート!$AF$6:$AF$505,0),MATCH(体力優良証交付申請!C$14,テーブル22[[#Headers],[学年]:[得点]],0)))</f>
        <v/>
      </c>
      <c r="D46" s="203" t="str">
        <f>IF($A46&gt;MAX(入力シート!$AF$6:$AF$505),"",INDEX(テーブル22[[学年]:[得点]],MATCH(体力優良証交付申請!$A46,入力シート!$AF$6:$AF$505,0),MATCH(体力優良証交付申請!D$14,テーブル22[[#Headers],[学年]:[得点]],0)))</f>
        <v/>
      </c>
      <c r="E46" s="203" t="str">
        <f>IF($A46&gt;MAX(入力シート!$AF$6:$AF$505),"",INDEX(テーブル22[[学年]:[得点]],MATCH(体力優良証交付申請!$A46,入力シート!$AF$6:$AF$505,0),MATCH(体力優良証交付申請!E$14,テーブル22[[#Headers],[学年]:[得点]],0)))</f>
        <v/>
      </c>
      <c r="F46" s="203" t="str">
        <f>IF($A46&gt;MAX(入力シート!$AF$6:$AF$505),"",INDEX(テーブル22[[学年]:[得点]],MATCH(体力優良証交付申請!$A46,入力シート!$AF$6:$AF$505,0),MATCH(体力優良証交付申請!F$14,テーブル22[[#Headers],[学年]:[得点]],0)))</f>
        <v/>
      </c>
      <c r="G46" s="203" t="str">
        <f>IF($A46&gt;MAX(入力シート!$AF$6:$AF$505),"",INDEX(テーブル22[[学年]:[得点]],MATCH(体力優良証交付申請!$A46,入力シート!$AF$6:$AF$505,0),MATCH(体力優良証交付申請!G$14,テーブル22[[#Headers],[学年]:[得点]],0)))</f>
        <v/>
      </c>
      <c r="H46" s="203" t="str">
        <f>IF($A46&gt;MAX(入力シート!$AF$6:$AF$505),"",INDEX(テーブル22[[学年]:[得点]],MATCH(体力優良証交付申請!$A46,入力シート!$AF$6:$AF$505,0),MATCH(体力優良証交付申請!H$14,テーブル22[[#Headers],[学年]:[得点]],0)))</f>
        <v/>
      </c>
      <c r="I46" s="203" t="str">
        <f>IF($A46&gt;MAX(入力シート!$AF$6:$AF$505),"",INDEX(テーブル22[[学年]:[得点]],MATCH(体力優良証交付申請!$A46,入力シート!$AF$6:$AF$505,0),MATCH(体力優良証交付申請!I$14,テーブル22[[#Headers],[学年]:[得点]],0)))</f>
        <v/>
      </c>
      <c r="J46" s="114" t="str">
        <f>IF($A46&gt;MAX(入力シート!$AF$6:$AF$505),"",INDEX(テーブル22[[学年]:[得点]],MATCH(体力優良証交付申請!$A46,入力シート!$AF$6:$AF$505,0),MATCH(体力優良証交付申請!J$14,テーブル22[[#Headers],[学年]:[得点]],0)))</f>
        <v/>
      </c>
      <c r="K46" s="203" t="str">
        <f>IF($A46&gt;MAX(入力シート!$AF$6:$AF$505),"",INDEX(テーブル22[[学年]:[得点]],MATCH(体力優良証交付申請!$A46,入力シート!$AF$6:$AF$505,0),MATCH(体力優良証交付申請!K$14,テーブル22[[#Headers],[学年]:[得点]],0)))</f>
        <v/>
      </c>
      <c r="L46" s="203" t="str">
        <f>IF($A46&gt;MAX(入力シート!$AF$6:$AF$505),"",INDEX(テーブル22[[学年]:[得点]],MATCH(体力優良証交付申請!$A46,入力シート!$AF$6:$AF$505,0),MATCH(体力優良証交付申請!L$14,テーブル22[[#Headers],[学年]:[得点]],0)))</f>
        <v/>
      </c>
      <c r="M46" s="28" t="str">
        <f>IF($A46&gt;MAX(入力シート!$AF$6:$AF$505),"",INDEX(テーブル22[[学年]:[得点]],MATCH(体力優良証交付申請!$A46,入力シート!$AF$6:$AF$505,0),MATCH(体力優良証交付申請!M$14,テーブル22[[#Headers],[学年]:[得点]],0)))</f>
        <v/>
      </c>
    </row>
    <row r="47" spans="1:13" x14ac:dyDescent="0.2">
      <c r="A47" s="16">
        <v>33</v>
      </c>
      <c r="B47" s="130" t="str">
        <f>IF($A47&gt;MAX(入力シート!$AF$6:$AF$505),"",INDEX(テーブル22[[学年]:[得点]],MATCH(体力優良証交付申請!$A47,入力シート!$AF$6:$AF$505,0),MATCH(体力優良証交付申請!B$14,テーブル22[[#Headers],[学年]:[得点]],0)))</f>
        <v/>
      </c>
      <c r="C47" s="203" t="str">
        <f>IF($A47&gt;MAX(入力シート!$AF$6:$AF$505),"",INDEX(テーブル22[[学年]:[得点]],MATCH(体力優良証交付申請!$A47,入力シート!$AF$6:$AF$505,0),MATCH(体力優良証交付申請!C$14,テーブル22[[#Headers],[学年]:[得点]],0)))</f>
        <v/>
      </c>
      <c r="D47" s="203" t="str">
        <f>IF($A47&gt;MAX(入力シート!$AF$6:$AF$505),"",INDEX(テーブル22[[学年]:[得点]],MATCH(体力優良証交付申請!$A47,入力シート!$AF$6:$AF$505,0),MATCH(体力優良証交付申請!D$14,テーブル22[[#Headers],[学年]:[得点]],0)))</f>
        <v/>
      </c>
      <c r="E47" s="203" t="str">
        <f>IF($A47&gt;MAX(入力シート!$AF$6:$AF$505),"",INDEX(テーブル22[[学年]:[得点]],MATCH(体力優良証交付申請!$A47,入力シート!$AF$6:$AF$505,0),MATCH(体力優良証交付申請!E$14,テーブル22[[#Headers],[学年]:[得点]],0)))</f>
        <v/>
      </c>
      <c r="F47" s="203" t="str">
        <f>IF($A47&gt;MAX(入力シート!$AF$6:$AF$505),"",INDEX(テーブル22[[学年]:[得点]],MATCH(体力優良証交付申請!$A47,入力シート!$AF$6:$AF$505,0),MATCH(体力優良証交付申請!F$14,テーブル22[[#Headers],[学年]:[得点]],0)))</f>
        <v/>
      </c>
      <c r="G47" s="203" t="str">
        <f>IF($A47&gt;MAX(入力シート!$AF$6:$AF$505),"",INDEX(テーブル22[[学年]:[得点]],MATCH(体力優良証交付申請!$A47,入力シート!$AF$6:$AF$505,0),MATCH(体力優良証交付申請!G$14,テーブル22[[#Headers],[学年]:[得点]],0)))</f>
        <v/>
      </c>
      <c r="H47" s="203" t="str">
        <f>IF($A47&gt;MAX(入力シート!$AF$6:$AF$505),"",INDEX(テーブル22[[学年]:[得点]],MATCH(体力優良証交付申請!$A47,入力シート!$AF$6:$AF$505,0),MATCH(体力優良証交付申請!H$14,テーブル22[[#Headers],[学年]:[得点]],0)))</f>
        <v/>
      </c>
      <c r="I47" s="203" t="str">
        <f>IF($A47&gt;MAX(入力シート!$AF$6:$AF$505),"",INDEX(テーブル22[[学年]:[得点]],MATCH(体力優良証交付申請!$A47,入力シート!$AF$6:$AF$505,0),MATCH(体力優良証交付申請!I$14,テーブル22[[#Headers],[学年]:[得点]],0)))</f>
        <v/>
      </c>
      <c r="J47" s="114" t="str">
        <f>IF($A47&gt;MAX(入力シート!$AF$6:$AF$505),"",INDEX(テーブル22[[学年]:[得点]],MATCH(体力優良証交付申請!$A47,入力シート!$AF$6:$AF$505,0),MATCH(体力優良証交付申請!J$14,テーブル22[[#Headers],[学年]:[得点]],0)))</f>
        <v/>
      </c>
      <c r="K47" s="203" t="str">
        <f>IF($A47&gt;MAX(入力シート!$AF$6:$AF$505),"",INDEX(テーブル22[[学年]:[得点]],MATCH(体力優良証交付申請!$A47,入力シート!$AF$6:$AF$505,0),MATCH(体力優良証交付申請!K$14,テーブル22[[#Headers],[学年]:[得点]],0)))</f>
        <v/>
      </c>
      <c r="L47" s="203" t="str">
        <f>IF($A47&gt;MAX(入力シート!$AF$6:$AF$505),"",INDEX(テーブル22[[学年]:[得点]],MATCH(体力優良証交付申請!$A47,入力シート!$AF$6:$AF$505,0),MATCH(体力優良証交付申請!L$14,テーブル22[[#Headers],[学年]:[得点]],0)))</f>
        <v/>
      </c>
      <c r="M47" s="28" t="str">
        <f>IF($A47&gt;MAX(入力シート!$AF$6:$AF$505),"",INDEX(テーブル22[[学年]:[得点]],MATCH(体力優良証交付申請!$A47,入力シート!$AF$6:$AF$505,0),MATCH(体力優良証交付申請!M$14,テーブル22[[#Headers],[学年]:[得点]],0)))</f>
        <v/>
      </c>
    </row>
    <row r="48" spans="1:13" x14ac:dyDescent="0.2">
      <c r="A48" s="16">
        <v>34</v>
      </c>
      <c r="B48" s="130" t="str">
        <f>IF($A48&gt;MAX(入力シート!$AF$6:$AF$505),"",INDEX(テーブル22[[学年]:[得点]],MATCH(体力優良証交付申請!$A48,入力シート!$AF$6:$AF$505,0),MATCH(体力優良証交付申請!B$14,テーブル22[[#Headers],[学年]:[得点]],0)))</f>
        <v/>
      </c>
      <c r="C48" s="203" t="str">
        <f>IF($A48&gt;MAX(入力シート!$AF$6:$AF$505),"",INDEX(テーブル22[[学年]:[得点]],MATCH(体力優良証交付申請!$A48,入力シート!$AF$6:$AF$505,0),MATCH(体力優良証交付申請!C$14,テーブル22[[#Headers],[学年]:[得点]],0)))</f>
        <v/>
      </c>
      <c r="D48" s="203" t="str">
        <f>IF($A48&gt;MAX(入力シート!$AF$6:$AF$505),"",INDEX(テーブル22[[学年]:[得点]],MATCH(体力優良証交付申請!$A48,入力シート!$AF$6:$AF$505,0),MATCH(体力優良証交付申請!D$14,テーブル22[[#Headers],[学年]:[得点]],0)))</f>
        <v/>
      </c>
      <c r="E48" s="203" t="str">
        <f>IF($A48&gt;MAX(入力シート!$AF$6:$AF$505),"",INDEX(テーブル22[[学年]:[得点]],MATCH(体力優良証交付申請!$A48,入力シート!$AF$6:$AF$505,0),MATCH(体力優良証交付申請!E$14,テーブル22[[#Headers],[学年]:[得点]],0)))</f>
        <v/>
      </c>
      <c r="F48" s="203" t="str">
        <f>IF($A48&gt;MAX(入力シート!$AF$6:$AF$505),"",INDEX(テーブル22[[学年]:[得点]],MATCH(体力優良証交付申請!$A48,入力シート!$AF$6:$AF$505,0),MATCH(体力優良証交付申請!F$14,テーブル22[[#Headers],[学年]:[得点]],0)))</f>
        <v/>
      </c>
      <c r="G48" s="203" t="str">
        <f>IF($A48&gt;MAX(入力シート!$AF$6:$AF$505),"",INDEX(テーブル22[[学年]:[得点]],MATCH(体力優良証交付申請!$A48,入力シート!$AF$6:$AF$505,0),MATCH(体力優良証交付申請!G$14,テーブル22[[#Headers],[学年]:[得点]],0)))</f>
        <v/>
      </c>
      <c r="H48" s="203" t="str">
        <f>IF($A48&gt;MAX(入力シート!$AF$6:$AF$505),"",INDEX(テーブル22[[学年]:[得点]],MATCH(体力優良証交付申請!$A48,入力シート!$AF$6:$AF$505,0),MATCH(体力優良証交付申請!H$14,テーブル22[[#Headers],[学年]:[得点]],0)))</f>
        <v/>
      </c>
      <c r="I48" s="203" t="str">
        <f>IF($A48&gt;MAX(入力シート!$AF$6:$AF$505),"",INDEX(テーブル22[[学年]:[得点]],MATCH(体力優良証交付申請!$A48,入力シート!$AF$6:$AF$505,0),MATCH(体力優良証交付申請!I$14,テーブル22[[#Headers],[学年]:[得点]],0)))</f>
        <v/>
      </c>
      <c r="J48" s="114" t="str">
        <f>IF($A48&gt;MAX(入力シート!$AF$6:$AF$505),"",INDEX(テーブル22[[学年]:[得点]],MATCH(体力優良証交付申請!$A48,入力シート!$AF$6:$AF$505,0),MATCH(体力優良証交付申請!J$14,テーブル22[[#Headers],[学年]:[得点]],0)))</f>
        <v/>
      </c>
      <c r="K48" s="203" t="str">
        <f>IF($A48&gt;MAX(入力シート!$AF$6:$AF$505),"",INDEX(テーブル22[[学年]:[得点]],MATCH(体力優良証交付申請!$A48,入力シート!$AF$6:$AF$505,0),MATCH(体力優良証交付申請!K$14,テーブル22[[#Headers],[学年]:[得点]],0)))</f>
        <v/>
      </c>
      <c r="L48" s="203" t="str">
        <f>IF($A48&gt;MAX(入力シート!$AF$6:$AF$505),"",INDEX(テーブル22[[学年]:[得点]],MATCH(体力優良証交付申請!$A48,入力シート!$AF$6:$AF$505,0),MATCH(体力優良証交付申請!L$14,テーブル22[[#Headers],[学年]:[得点]],0)))</f>
        <v/>
      </c>
      <c r="M48" s="28" t="str">
        <f>IF($A48&gt;MAX(入力シート!$AF$6:$AF$505),"",INDEX(テーブル22[[学年]:[得点]],MATCH(体力優良証交付申請!$A48,入力シート!$AF$6:$AF$505,0),MATCH(体力優良証交付申請!M$14,テーブル22[[#Headers],[学年]:[得点]],0)))</f>
        <v/>
      </c>
    </row>
    <row r="49" spans="1:13" x14ac:dyDescent="0.2">
      <c r="A49" s="16">
        <v>35</v>
      </c>
      <c r="B49" s="130" t="str">
        <f>IF($A49&gt;MAX(入力シート!$AF$6:$AF$505),"",INDEX(テーブル22[[学年]:[得点]],MATCH(体力優良証交付申請!$A49,入力シート!$AF$6:$AF$505,0),MATCH(体力優良証交付申請!B$14,テーブル22[[#Headers],[学年]:[得点]],0)))</f>
        <v/>
      </c>
      <c r="C49" s="203" t="str">
        <f>IF($A49&gt;MAX(入力シート!$AF$6:$AF$505),"",INDEX(テーブル22[[学年]:[得点]],MATCH(体力優良証交付申請!$A49,入力シート!$AF$6:$AF$505,0),MATCH(体力優良証交付申請!C$14,テーブル22[[#Headers],[学年]:[得点]],0)))</f>
        <v/>
      </c>
      <c r="D49" s="203" t="str">
        <f>IF($A49&gt;MAX(入力シート!$AF$6:$AF$505),"",INDEX(テーブル22[[学年]:[得点]],MATCH(体力優良証交付申請!$A49,入力シート!$AF$6:$AF$505,0),MATCH(体力優良証交付申請!D$14,テーブル22[[#Headers],[学年]:[得点]],0)))</f>
        <v/>
      </c>
      <c r="E49" s="203" t="str">
        <f>IF($A49&gt;MAX(入力シート!$AF$6:$AF$505),"",INDEX(テーブル22[[学年]:[得点]],MATCH(体力優良証交付申請!$A49,入力シート!$AF$6:$AF$505,0),MATCH(体力優良証交付申請!E$14,テーブル22[[#Headers],[学年]:[得点]],0)))</f>
        <v/>
      </c>
      <c r="F49" s="203" t="str">
        <f>IF($A49&gt;MAX(入力シート!$AF$6:$AF$505),"",INDEX(テーブル22[[学年]:[得点]],MATCH(体力優良証交付申請!$A49,入力シート!$AF$6:$AF$505,0),MATCH(体力優良証交付申請!F$14,テーブル22[[#Headers],[学年]:[得点]],0)))</f>
        <v/>
      </c>
      <c r="G49" s="203" t="str">
        <f>IF($A49&gt;MAX(入力シート!$AF$6:$AF$505),"",INDEX(テーブル22[[学年]:[得点]],MATCH(体力優良証交付申請!$A49,入力シート!$AF$6:$AF$505,0),MATCH(体力優良証交付申請!G$14,テーブル22[[#Headers],[学年]:[得点]],0)))</f>
        <v/>
      </c>
      <c r="H49" s="203" t="str">
        <f>IF($A49&gt;MAX(入力シート!$AF$6:$AF$505),"",INDEX(テーブル22[[学年]:[得点]],MATCH(体力優良証交付申請!$A49,入力シート!$AF$6:$AF$505,0),MATCH(体力優良証交付申請!H$14,テーブル22[[#Headers],[学年]:[得点]],0)))</f>
        <v/>
      </c>
      <c r="I49" s="203" t="str">
        <f>IF($A49&gt;MAX(入力シート!$AF$6:$AF$505),"",INDEX(テーブル22[[学年]:[得点]],MATCH(体力優良証交付申請!$A49,入力シート!$AF$6:$AF$505,0),MATCH(体力優良証交付申請!I$14,テーブル22[[#Headers],[学年]:[得点]],0)))</f>
        <v/>
      </c>
      <c r="J49" s="114" t="str">
        <f>IF($A49&gt;MAX(入力シート!$AF$6:$AF$505),"",INDEX(テーブル22[[学年]:[得点]],MATCH(体力優良証交付申請!$A49,入力シート!$AF$6:$AF$505,0),MATCH(体力優良証交付申請!J$14,テーブル22[[#Headers],[学年]:[得点]],0)))</f>
        <v/>
      </c>
      <c r="K49" s="203" t="str">
        <f>IF($A49&gt;MAX(入力シート!$AF$6:$AF$505),"",INDEX(テーブル22[[学年]:[得点]],MATCH(体力優良証交付申請!$A49,入力シート!$AF$6:$AF$505,0),MATCH(体力優良証交付申請!K$14,テーブル22[[#Headers],[学年]:[得点]],0)))</f>
        <v/>
      </c>
      <c r="L49" s="203" t="str">
        <f>IF($A49&gt;MAX(入力シート!$AF$6:$AF$505),"",INDEX(テーブル22[[学年]:[得点]],MATCH(体力優良証交付申請!$A49,入力シート!$AF$6:$AF$505,0),MATCH(体力優良証交付申請!L$14,テーブル22[[#Headers],[学年]:[得点]],0)))</f>
        <v/>
      </c>
      <c r="M49" s="28" t="str">
        <f>IF($A49&gt;MAX(入力シート!$AF$6:$AF$505),"",INDEX(テーブル22[[学年]:[得点]],MATCH(体力優良証交付申請!$A49,入力シート!$AF$6:$AF$505,0),MATCH(体力優良証交付申請!M$14,テーブル22[[#Headers],[学年]:[得点]],0)))</f>
        <v/>
      </c>
    </row>
    <row r="50" spans="1:13" x14ac:dyDescent="0.2">
      <c r="A50" s="16">
        <v>36</v>
      </c>
      <c r="B50" s="130" t="str">
        <f>IF($A50&gt;MAX(入力シート!$AF$6:$AF$505),"",INDEX(テーブル22[[学年]:[得点]],MATCH(体力優良証交付申請!$A50,入力シート!$AF$6:$AF$505,0),MATCH(体力優良証交付申請!B$14,テーブル22[[#Headers],[学年]:[得点]],0)))</f>
        <v/>
      </c>
      <c r="C50" s="203" t="str">
        <f>IF($A50&gt;MAX(入力シート!$AF$6:$AF$505),"",INDEX(テーブル22[[学年]:[得点]],MATCH(体力優良証交付申請!$A50,入力シート!$AF$6:$AF$505,0),MATCH(体力優良証交付申請!C$14,テーブル22[[#Headers],[学年]:[得点]],0)))</f>
        <v/>
      </c>
      <c r="D50" s="203" t="str">
        <f>IF($A50&gt;MAX(入力シート!$AF$6:$AF$505),"",INDEX(テーブル22[[学年]:[得点]],MATCH(体力優良証交付申請!$A50,入力シート!$AF$6:$AF$505,0),MATCH(体力優良証交付申請!D$14,テーブル22[[#Headers],[学年]:[得点]],0)))</f>
        <v/>
      </c>
      <c r="E50" s="203" t="str">
        <f>IF($A50&gt;MAX(入力シート!$AF$6:$AF$505),"",INDEX(テーブル22[[学年]:[得点]],MATCH(体力優良証交付申請!$A50,入力シート!$AF$6:$AF$505,0),MATCH(体力優良証交付申請!E$14,テーブル22[[#Headers],[学年]:[得点]],0)))</f>
        <v/>
      </c>
      <c r="F50" s="203" t="str">
        <f>IF($A50&gt;MAX(入力シート!$AF$6:$AF$505),"",INDEX(テーブル22[[学年]:[得点]],MATCH(体力優良証交付申請!$A50,入力シート!$AF$6:$AF$505,0),MATCH(体力優良証交付申請!F$14,テーブル22[[#Headers],[学年]:[得点]],0)))</f>
        <v/>
      </c>
      <c r="G50" s="203" t="str">
        <f>IF($A50&gt;MAX(入力シート!$AF$6:$AF$505),"",INDEX(テーブル22[[学年]:[得点]],MATCH(体力優良証交付申請!$A50,入力シート!$AF$6:$AF$505,0),MATCH(体力優良証交付申請!G$14,テーブル22[[#Headers],[学年]:[得点]],0)))</f>
        <v/>
      </c>
      <c r="H50" s="203" t="str">
        <f>IF($A50&gt;MAX(入力シート!$AF$6:$AF$505),"",INDEX(テーブル22[[学年]:[得点]],MATCH(体力優良証交付申請!$A50,入力シート!$AF$6:$AF$505,0),MATCH(体力優良証交付申請!H$14,テーブル22[[#Headers],[学年]:[得点]],0)))</f>
        <v/>
      </c>
      <c r="I50" s="203" t="str">
        <f>IF($A50&gt;MAX(入力シート!$AF$6:$AF$505),"",INDEX(テーブル22[[学年]:[得点]],MATCH(体力優良証交付申請!$A50,入力シート!$AF$6:$AF$505,0),MATCH(体力優良証交付申請!I$14,テーブル22[[#Headers],[学年]:[得点]],0)))</f>
        <v/>
      </c>
      <c r="J50" s="114" t="str">
        <f>IF($A50&gt;MAX(入力シート!$AF$6:$AF$505),"",INDEX(テーブル22[[学年]:[得点]],MATCH(体力優良証交付申請!$A50,入力シート!$AF$6:$AF$505,0),MATCH(体力優良証交付申請!J$14,テーブル22[[#Headers],[学年]:[得点]],0)))</f>
        <v/>
      </c>
      <c r="K50" s="203" t="str">
        <f>IF($A50&gt;MAX(入力シート!$AF$6:$AF$505),"",INDEX(テーブル22[[学年]:[得点]],MATCH(体力優良証交付申請!$A50,入力シート!$AF$6:$AF$505,0),MATCH(体力優良証交付申請!K$14,テーブル22[[#Headers],[学年]:[得点]],0)))</f>
        <v/>
      </c>
      <c r="L50" s="203" t="str">
        <f>IF($A50&gt;MAX(入力シート!$AF$6:$AF$505),"",INDEX(テーブル22[[学年]:[得点]],MATCH(体力優良証交付申請!$A50,入力シート!$AF$6:$AF$505,0),MATCH(体力優良証交付申請!L$14,テーブル22[[#Headers],[学年]:[得点]],0)))</f>
        <v/>
      </c>
      <c r="M50" s="28" t="str">
        <f>IF($A50&gt;MAX(入力シート!$AF$6:$AF$505),"",INDEX(テーブル22[[学年]:[得点]],MATCH(体力優良証交付申請!$A50,入力シート!$AF$6:$AF$505,0),MATCH(体力優良証交付申請!M$14,テーブル22[[#Headers],[学年]:[得点]],0)))</f>
        <v/>
      </c>
    </row>
    <row r="51" spans="1:13" x14ac:dyDescent="0.2">
      <c r="A51" s="16">
        <v>37</v>
      </c>
      <c r="B51" s="130" t="str">
        <f>IF($A51&gt;MAX(入力シート!$AF$6:$AF$505),"",INDEX(テーブル22[[学年]:[得点]],MATCH(体力優良証交付申請!$A51,入力シート!$AF$6:$AF$505,0),MATCH(体力優良証交付申請!B$14,テーブル22[[#Headers],[学年]:[得点]],0)))</f>
        <v/>
      </c>
      <c r="C51" s="203" t="str">
        <f>IF($A51&gt;MAX(入力シート!$AF$6:$AF$505),"",INDEX(テーブル22[[学年]:[得点]],MATCH(体力優良証交付申請!$A51,入力シート!$AF$6:$AF$505,0),MATCH(体力優良証交付申請!C$14,テーブル22[[#Headers],[学年]:[得点]],0)))</f>
        <v/>
      </c>
      <c r="D51" s="203" t="str">
        <f>IF($A51&gt;MAX(入力シート!$AF$6:$AF$505),"",INDEX(テーブル22[[学年]:[得点]],MATCH(体力優良証交付申請!$A51,入力シート!$AF$6:$AF$505,0),MATCH(体力優良証交付申請!D$14,テーブル22[[#Headers],[学年]:[得点]],0)))</f>
        <v/>
      </c>
      <c r="E51" s="203" t="str">
        <f>IF($A51&gt;MAX(入力シート!$AF$6:$AF$505),"",INDEX(テーブル22[[学年]:[得点]],MATCH(体力優良証交付申請!$A51,入力シート!$AF$6:$AF$505,0),MATCH(体力優良証交付申請!E$14,テーブル22[[#Headers],[学年]:[得点]],0)))</f>
        <v/>
      </c>
      <c r="F51" s="203" t="str">
        <f>IF($A51&gt;MAX(入力シート!$AF$6:$AF$505),"",INDEX(テーブル22[[学年]:[得点]],MATCH(体力優良証交付申請!$A51,入力シート!$AF$6:$AF$505,0),MATCH(体力優良証交付申請!F$14,テーブル22[[#Headers],[学年]:[得点]],0)))</f>
        <v/>
      </c>
      <c r="G51" s="203" t="str">
        <f>IF($A51&gt;MAX(入力シート!$AF$6:$AF$505),"",INDEX(テーブル22[[学年]:[得点]],MATCH(体力優良証交付申請!$A51,入力シート!$AF$6:$AF$505,0),MATCH(体力優良証交付申請!G$14,テーブル22[[#Headers],[学年]:[得点]],0)))</f>
        <v/>
      </c>
      <c r="H51" s="203" t="str">
        <f>IF($A51&gt;MAX(入力シート!$AF$6:$AF$505),"",INDEX(テーブル22[[学年]:[得点]],MATCH(体力優良証交付申請!$A51,入力シート!$AF$6:$AF$505,0),MATCH(体力優良証交付申請!H$14,テーブル22[[#Headers],[学年]:[得点]],0)))</f>
        <v/>
      </c>
      <c r="I51" s="203" t="str">
        <f>IF($A51&gt;MAX(入力シート!$AF$6:$AF$505),"",INDEX(テーブル22[[学年]:[得点]],MATCH(体力優良証交付申請!$A51,入力シート!$AF$6:$AF$505,0),MATCH(体力優良証交付申請!I$14,テーブル22[[#Headers],[学年]:[得点]],0)))</f>
        <v/>
      </c>
      <c r="J51" s="114" t="str">
        <f>IF($A51&gt;MAX(入力シート!$AF$6:$AF$505),"",INDEX(テーブル22[[学年]:[得点]],MATCH(体力優良証交付申請!$A51,入力シート!$AF$6:$AF$505,0),MATCH(体力優良証交付申請!J$14,テーブル22[[#Headers],[学年]:[得点]],0)))</f>
        <v/>
      </c>
      <c r="K51" s="203" t="str">
        <f>IF($A51&gt;MAX(入力シート!$AF$6:$AF$505),"",INDEX(テーブル22[[学年]:[得点]],MATCH(体力優良証交付申請!$A51,入力シート!$AF$6:$AF$505,0),MATCH(体力優良証交付申請!K$14,テーブル22[[#Headers],[学年]:[得点]],0)))</f>
        <v/>
      </c>
      <c r="L51" s="203" t="str">
        <f>IF($A51&gt;MAX(入力シート!$AF$6:$AF$505),"",INDEX(テーブル22[[学年]:[得点]],MATCH(体力優良証交付申請!$A51,入力シート!$AF$6:$AF$505,0),MATCH(体力優良証交付申請!L$14,テーブル22[[#Headers],[学年]:[得点]],0)))</f>
        <v/>
      </c>
      <c r="M51" s="28" t="str">
        <f>IF($A51&gt;MAX(入力シート!$AF$6:$AF$505),"",INDEX(テーブル22[[学年]:[得点]],MATCH(体力優良証交付申請!$A51,入力シート!$AF$6:$AF$505,0),MATCH(体力優良証交付申請!M$14,テーブル22[[#Headers],[学年]:[得点]],0)))</f>
        <v/>
      </c>
    </row>
    <row r="52" spans="1:13" x14ac:dyDescent="0.2">
      <c r="A52" s="16">
        <v>38</v>
      </c>
      <c r="B52" s="130" t="str">
        <f>IF($A52&gt;MAX(入力シート!$AF$6:$AF$505),"",INDEX(テーブル22[[学年]:[得点]],MATCH(体力優良証交付申請!$A52,入力シート!$AF$6:$AF$505,0),MATCH(体力優良証交付申請!B$14,テーブル22[[#Headers],[学年]:[得点]],0)))</f>
        <v/>
      </c>
      <c r="C52" s="203" t="str">
        <f>IF($A52&gt;MAX(入力シート!$AF$6:$AF$505),"",INDEX(テーブル22[[学年]:[得点]],MATCH(体力優良証交付申請!$A52,入力シート!$AF$6:$AF$505,0),MATCH(体力優良証交付申請!C$14,テーブル22[[#Headers],[学年]:[得点]],0)))</f>
        <v/>
      </c>
      <c r="D52" s="203" t="str">
        <f>IF($A52&gt;MAX(入力シート!$AF$6:$AF$505),"",INDEX(テーブル22[[学年]:[得点]],MATCH(体力優良証交付申請!$A52,入力シート!$AF$6:$AF$505,0),MATCH(体力優良証交付申請!D$14,テーブル22[[#Headers],[学年]:[得点]],0)))</f>
        <v/>
      </c>
      <c r="E52" s="203" t="str">
        <f>IF($A52&gt;MAX(入力シート!$AF$6:$AF$505),"",INDEX(テーブル22[[学年]:[得点]],MATCH(体力優良証交付申請!$A52,入力シート!$AF$6:$AF$505,0),MATCH(体力優良証交付申請!E$14,テーブル22[[#Headers],[学年]:[得点]],0)))</f>
        <v/>
      </c>
      <c r="F52" s="203" t="str">
        <f>IF($A52&gt;MAX(入力シート!$AF$6:$AF$505),"",INDEX(テーブル22[[学年]:[得点]],MATCH(体力優良証交付申請!$A52,入力シート!$AF$6:$AF$505,0),MATCH(体力優良証交付申請!F$14,テーブル22[[#Headers],[学年]:[得点]],0)))</f>
        <v/>
      </c>
      <c r="G52" s="203" t="str">
        <f>IF($A52&gt;MAX(入力シート!$AF$6:$AF$505),"",INDEX(テーブル22[[学年]:[得点]],MATCH(体力優良証交付申請!$A52,入力シート!$AF$6:$AF$505,0),MATCH(体力優良証交付申請!G$14,テーブル22[[#Headers],[学年]:[得点]],0)))</f>
        <v/>
      </c>
      <c r="H52" s="203" t="str">
        <f>IF($A52&gt;MAX(入力シート!$AF$6:$AF$505),"",INDEX(テーブル22[[学年]:[得点]],MATCH(体力優良証交付申請!$A52,入力シート!$AF$6:$AF$505,0),MATCH(体力優良証交付申請!H$14,テーブル22[[#Headers],[学年]:[得点]],0)))</f>
        <v/>
      </c>
      <c r="I52" s="203" t="str">
        <f>IF($A52&gt;MAX(入力シート!$AF$6:$AF$505),"",INDEX(テーブル22[[学年]:[得点]],MATCH(体力優良証交付申請!$A52,入力シート!$AF$6:$AF$505,0),MATCH(体力優良証交付申請!I$14,テーブル22[[#Headers],[学年]:[得点]],0)))</f>
        <v/>
      </c>
      <c r="J52" s="114" t="str">
        <f>IF($A52&gt;MAX(入力シート!$AF$6:$AF$505),"",INDEX(テーブル22[[学年]:[得点]],MATCH(体力優良証交付申請!$A52,入力シート!$AF$6:$AF$505,0),MATCH(体力優良証交付申請!J$14,テーブル22[[#Headers],[学年]:[得点]],0)))</f>
        <v/>
      </c>
      <c r="K52" s="203" t="str">
        <f>IF($A52&gt;MAX(入力シート!$AF$6:$AF$505),"",INDEX(テーブル22[[学年]:[得点]],MATCH(体力優良証交付申請!$A52,入力シート!$AF$6:$AF$505,0),MATCH(体力優良証交付申請!K$14,テーブル22[[#Headers],[学年]:[得点]],0)))</f>
        <v/>
      </c>
      <c r="L52" s="203" t="str">
        <f>IF($A52&gt;MAX(入力シート!$AF$6:$AF$505),"",INDEX(テーブル22[[学年]:[得点]],MATCH(体力優良証交付申請!$A52,入力シート!$AF$6:$AF$505,0),MATCH(体力優良証交付申請!L$14,テーブル22[[#Headers],[学年]:[得点]],0)))</f>
        <v/>
      </c>
      <c r="M52" s="28" t="str">
        <f>IF($A52&gt;MAX(入力シート!$AF$6:$AF$505),"",INDEX(テーブル22[[学年]:[得点]],MATCH(体力優良証交付申請!$A52,入力シート!$AF$6:$AF$505,0),MATCH(体力優良証交付申請!M$14,テーブル22[[#Headers],[学年]:[得点]],0)))</f>
        <v/>
      </c>
    </row>
    <row r="53" spans="1:13" x14ac:dyDescent="0.2">
      <c r="A53" s="16">
        <v>39</v>
      </c>
      <c r="B53" s="130" t="str">
        <f>IF($A53&gt;MAX(入力シート!$AF$6:$AF$505),"",INDEX(テーブル22[[学年]:[得点]],MATCH(体力優良証交付申請!$A53,入力シート!$AF$6:$AF$505,0),MATCH(体力優良証交付申請!B$14,テーブル22[[#Headers],[学年]:[得点]],0)))</f>
        <v/>
      </c>
      <c r="C53" s="203" t="str">
        <f>IF($A53&gt;MAX(入力シート!$AF$6:$AF$505),"",INDEX(テーブル22[[学年]:[得点]],MATCH(体力優良証交付申請!$A53,入力シート!$AF$6:$AF$505,0),MATCH(体力優良証交付申請!C$14,テーブル22[[#Headers],[学年]:[得点]],0)))</f>
        <v/>
      </c>
      <c r="D53" s="203" t="str">
        <f>IF($A53&gt;MAX(入力シート!$AF$6:$AF$505),"",INDEX(テーブル22[[学年]:[得点]],MATCH(体力優良証交付申請!$A53,入力シート!$AF$6:$AF$505,0),MATCH(体力優良証交付申請!D$14,テーブル22[[#Headers],[学年]:[得点]],0)))</f>
        <v/>
      </c>
      <c r="E53" s="203" t="str">
        <f>IF($A53&gt;MAX(入力シート!$AF$6:$AF$505),"",INDEX(テーブル22[[学年]:[得点]],MATCH(体力優良証交付申請!$A53,入力シート!$AF$6:$AF$505,0),MATCH(体力優良証交付申請!E$14,テーブル22[[#Headers],[学年]:[得点]],0)))</f>
        <v/>
      </c>
      <c r="F53" s="203" t="str">
        <f>IF($A53&gt;MAX(入力シート!$AF$6:$AF$505),"",INDEX(テーブル22[[学年]:[得点]],MATCH(体力優良証交付申請!$A53,入力シート!$AF$6:$AF$505,0),MATCH(体力優良証交付申請!F$14,テーブル22[[#Headers],[学年]:[得点]],0)))</f>
        <v/>
      </c>
      <c r="G53" s="203" t="str">
        <f>IF($A53&gt;MAX(入力シート!$AF$6:$AF$505),"",INDEX(テーブル22[[学年]:[得点]],MATCH(体力優良証交付申請!$A53,入力シート!$AF$6:$AF$505,0),MATCH(体力優良証交付申請!G$14,テーブル22[[#Headers],[学年]:[得点]],0)))</f>
        <v/>
      </c>
      <c r="H53" s="203" t="str">
        <f>IF($A53&gt;MAX(入力シート!$AF$6:$AF$505),"",INDEX(テーブル22[[学年]:[得点]],MATCH(体力優良証交付申請!$A53,入力シート!$AF$6:$AF$505,0),MATCH(体力優良証交付申請!H$14,テーブル22[[#Headers],[学年]:[得点]],0)))</f>
        <v/>
      </c>
      <c r="I53" s="203" t="str">
        <f>IF($A53&gt;MAX(入力シート!$AF$6:$AF$505),"",INDEX(テーブル22[[学年]:[得点]],MATCH(体力優良証交付申請!$A53,入力シート!$AF$6:$AF$505,0),MATCH(体力優良証交付申請!I$14,テーブル22[[#Headers],[学年]:[得点]],0)))</f>
        <v/>
      </c>
      <c r="J53" s="114" t="str">
        <f>IF($A53&gt;MAX(入力シート!$AF$6:$AF$505),"",INDEX(テーブル22[[学年]:[得点]],MATCH(体力優良証交付申請!$A53,入力シート!$AF$6:$AF$505,0),MATCH(体力優良証交付申請!J$14,テーブル22[[#Headers],[学年]:[得点]],0)))</f>
        <v/>
      </c>
      <c r="K53" s="203" t="str">
        <f>IF($A53&gt;MAX(入力シート!$AF$6:$AF$505),"",INDEX(テーブル22[[学年]:[得点]],MATCH(体力優良証交付申請!$A53,入力シート!$AF$6:$AF$505,0),MATCH(体力優良証交付申請!K$14,テーブル22[[#Headers],[学年]:[得点]],0)))</f>
        <v/>
      </c>
      <c r="L53" s="203" t="str">
        <f>IF($A53&gt;MAX(入力シート!$AF$6:$AF$505),"",INDEX(テーブル22[[学年]:[得点]],MATCH(体力優良証交付申請!$A53,入力シート!$AF$6:$AF$505,0),MATCH(体力優良証交付申請!L$14,テーブル22[[#Headers],[学年]:[得点]],0)))</f>
        <v/>
      </c>
      <c r="M53" s="28" t="str">
        <f>IF($A53&gt;MAX(入力シート!$AF$6:$AF$505),"",INDEX(テーブル22[[学年]:[得点]],MATCH(体力優良証交付申請!$A53,入力シート!$AF$6:$AF$505,0),MATCH(体力優良証交付申請!M$14,テーブル22[[#Headers],[学年]:[得点]],0)))</f>
        <v/>
      </c>
    </row>
    <row r="54" spans="1:13" x14ac:dyDescent="0.2">
      <c r="A54" s="16">
        <v>40</v>
      </c>
      <c r="B54" s="130" t="str">
        <f>IF($A54&gt;MAX(入力シート!$AF$6:$AF$505),"",INDEX(テーブル22[[学年]:[得点]],MATCH(体力優良証交付申請!$A54,入力シート!$AF$6:$AF$505,0),MATCH(体力優良証交付申請!B$14,テーブル22[[#Headers],[学年]:[得点]],0)))</f>
        <v/>
      </c>
      <c r="C54" s="203" t="str">
        <f>IF($A54&gt;MAX(入力シート!$AF$6:$AF$505),"",INDEX(テーブル22[[学年]:[得点]],MATCH(体力優良証交付申請!$A54,入力シート!$AF$6:$AF$505,0),MATCH(体力優良証交付申請!C$14,テーブル22[[#Headers],[学年]:[得点]],0)))</f>
        <v/>
      </c>
      <c r="D54" s="203" t="str">
        <f>IF($A54&gt;MAX(入力シート!$AF$6:$AF$505),"",INDEX(テーブル22[[学年]:[得点]],MATCH(体力優良証交付申請!$A54,入力シート!$AF$6:$AF$505,0),MATCH(体力優良証交付申請!D$14,テーブル22[[#Headers],[学年]:[得点]],0)))</f>
        <v/>
      </c>
      <c r="E54" s="203" t="str">
        <f>IF($A54&gt;MAX(入力シート!$AF$6:$AF$505),"",INDEX(テーブル22[[学年]:[得点]],MATCH(体力優良証交付申請!$A54,入力シート!$AF$6:$AF$505,0),MATCH(体力優良証交付申請!E$14,テーブル22[[#Headers],[学年]:[得点]],0)))</f>
        <v/>
      </c>
      <c r="F54" s="203" t="str">
        <f>IF($A54&gt;MAX(入力シート!$AF$6:$AF$505),"",INDEX(テーブル22[[学年]:[得点]],MATCH(体力優良証交付申請!$A54,入力シート!$AF$6:$AF$505,0),MATCH(体力優良証交付申請!F$14,テーブル22[[#Headers],[学年]:[得点]],0)))</f>
        <v/>
      </c>
      <c r="G54" s="203" t="str">
        <f>IF($A54&gt;MAX(入力シート!$AF$6:$AF$505),"",INDEX(テーブル22[[学年]:[得点]],MATCH(体力優良証交付申請!$A54,入力シート!$AF$6:$AF$505,0),MATCH(体力優良証交付申請!G$14,テーブル22[[#Headers],[学年]:[得点]],0)))</f>
        <v/>
      </c>
      <c r="H54" s="203" t="str">
        <f>IF($A54&gt;MAX(入力シート!$AF$6:$AF$505),"",INDEX(テーブル22[[学年]:[得点]],MATCH(体力優良証交付申請!$A54,入力シート!$AF$6:$AF$505,0),MATCH(体力優良証交付申請!H$14,テーブル22[[#Headers],[学年]:[得点]],0)))</f>
        <v/>
      </c>
      <c r="I54" s="203" t="str">
        <f>IF($A54&gt;MAX(入力シート!$AF$6:$AF$505),"",INDEX(テーブル22[[学年]:[得点]],MATCH(体力優良証交付申請!$A54,入力シート!$AF$6:$AF$505,0),MATCH(体力優良証交付申請!I$14,テーブル22[[#Headers],[学年]:[得点]],0)))</f>
        <v/>
      </c>
      <c r="J54" s="114" t="str">
        <f>IF($A54&gt;MAX(入力シート!$AF$6:$AF$505),"",INDEX(テーブル22[[学年]:[得点]],MATCH(体力優良証交付申請!$A54,入力シート!$AF$6:$AF$505,0),MATCH(体力優良証交付申請!J$14,テーブル22[[#Headers],[学年]:[得点]],0)))</f>
        <v/>
      </c>
      <c r="K54" s="203" t="str">
        <f>IF($A54&gt;MAX(入力シート!$AF$6:$AF$505),"",INDEX(テーブル22[[学年]:[得点]],MATCH(体力優良証交付申請!$A54,入力シート!$AF$6:$AF$505,0),MATCH(体力優良証交付申請!K$14,テーブル22[[#Headers],[学年]:[得点]],0)))</f>
        <v/>
      </c>
      <c r="L54" s="203" t="str">
        <f>IF($A54&gt;MAX(入力シート!$AF$6:$AF$505),"",INDEX(テーブル22[[学年]:[得点]],MATCH(体力優良証交付申請!$A54,入力シート!$AF$6:$AF$505,0),MATCH(体力優良証交付申請!L$14,テーブル22[[#Headers],[学年]:[得点]],0)))</f>
        <v/>
      </c>
      <c r="M54" s="28" t="str">
        <f>IF($A54&gt;MAX(入力シート!$AF$6:$AF$505),"",INDEX(テーブル22[[学年]:[得点]],MATCH(体力優良証交付申請!$A54,入力シート!$AF$6:$AF$505,0),MATCH(体力優良証交付申請!M$14,テーブル22[[#Headers],[学年]:[得点]],0)))</f>
        <v/>
      </c>
    </row>
    <row r="55" spans="1:13" s="29" customFormat="1" x14ac:dyDescent="0.2">
      <c r="A55" s="16">
        <v>41</v>
      </c>
      <c r="B55" s="130" t="str">
        <f>IF($A55&gt;MAX(入力シート!$AF$6:$AF$505),"",INDEX(テーブル22[[学年]:[得点]],MATCH(体力優良証交付申請!$A55,入力シート!$AF$6:$AF$505,0),MATCH(体力優良証交付申請!B$14,テーブル22[[#Headers],[学年]:[得点]],0)))</f>
        <v/>
      </c>
      <c r="C55" s="203" t="str">
        <f>IF($A55&gt;MAX(入力シート!$AF$6:$AF$505),"",INDEX(テーブル22[[学年]:[得点]],MATCH(体力優良証交付申請!$A55,入力シート!$AF$6:$AF$505,0),MATCH(体力優良証交付申請!C$14,テーブル22[[#Headers],[学年]:[得点]],0)))</f>
        <v/>
      </c>
      <c r="D55" s="203" t="str">
        <f>IF($A55&gt;MAX(入力シート!$AF$6:$AF$505),"",INDEX(テーブル22[[学年]:[得点]],MATCH(体力優良証交付申請!$A55,入力シート!$AF$6:$AF$505,0),MATCH(体力優良証交付申請!D$14,テーブル22[[#Headers],[学年]:[得点]],0)))</f>
        <v/>
      </c>
      <c r="E55" s="203" t="str">
        <f>IF($A55&gt;MAX(入力シート!$AF$6:$AF$505),"",INDEX(テーブル22[[学年]:[得点]],MATCH(体力優良証交付申請!$A55,入力シート!$AF$6:$AF$505,0),MATCH(体力優良証交付申請!E$14,テーブル22[[#Headers],[学年]:[得点]],0)))</f>
        <v/>
      </c>
      <c r="F55" s="203" t="str">
        <f>IF($A55&gt;MAX(入力シート!$AF$6:$AF$505),"",INDEX(テーブル22[[学年]:[得点]],MATCH(体力優良証交付申請!$A55,入力シート!$AF$6:$AF$505,0),MATCH(体力優良証交付申請!F$14,テーブル22[[#Headers],[学年]:[得点]],0)))</f>
        <v/>
      </c>
      <c r="G55" s="203" t="str">
        <f>IF($A55&gt;MAX(入力シート!$AF$6:$AF$505),"",INDEX(テーブル22[[学年]:[得点]],MATCH(体力優良証交付申請!$A55,入力シート!$AF$6:$AF$505,0),MATCH(体力優良証交付申請!G$14,テーブル22[[#Headers],[学年]:[得点]],0)))</f>
        <v/>
      </c>
      <c r="H55" s="203" t="str">
        <f>IF($A55&gt;MAX(入力シート!$AF$6:$AF$505),"",INDEX(テーブル22[[学年]:[得点]],MATCH(体力優良証交付申請!$A55,入力シート!$AF$6:$AF$505,0),MATCH(体力優良証交付申請!H$14,テーブル22[[#Headers],[学年]:[得点]],0)))</f>
        <v/>
      </c>
      <c r="I55" s="203" t="str">
        <f>IF($A55&gt;MAX(入力シート!$AF$6:$AF$505),"",INDEX(テーブル22[[学年]:[得点]],MATCH(体力優良証交付申請!$A55,入力シート!$AF$6:$AF$505,0),MATCH(体力優良証交付申請!I$14,テーブル22[[#Headers],[学年]:[得点]],0)))</f>
        <v/>
      </c>
      <c r="J55" s="114" t="str">
        <f>IF($A55&gt;MAX(入力シート!$AF$6:$AF$505),"",INDEX(テーブル22[[学年]:[得点]],MATCH(体力優良証交付申請!$A55,入力シート!$AF$6:$AF$505,0),MATCH(体力優良証交付申請!J$14,テーブル22[[#Headers],[学年]:[得点]],0)))</f>
        <v/>
      </c>
      <c r="K55" s="203" t="str">
        <f>IF($A55&gt;MAX(入力シート!$AF$6:$AF$505),"",INDEX(テーブル22[[学年]:[得点]],MATCH(体力優良証交付申請!$A55,入力シート!$AF$6:$AF$505,0),MATCH(体力優良証交付申請!K$14,テーブル22[[#Headers],[学年]:[得点]],0)))</f>
        <v/>
      </c>
      <c r="L55" s="203" t="str">
        <f>IF($A55&gt;MAX(入力シート!$AF$6:$AF$505),"",INDEX(テーブル22[[学年]:[得点]],MATCH(体力優良証交付申請!$A55,入力シート!$AF$6:$AF$505,0),MATCH(体力優良証交付申請!L$14,テーブル22[[#Headers],[学年]:[得点]],0)))</f>
        <v/>
      </c>
      <c r="M55" s="28" t="str">
        <f>IF($A55&gt;MAX(入力シート!$AF$6:$AF$505),"",INDEX(テーブル22[[学年]:[得点]],MATCH(体力優良証交付申請!$A55,入力シート!$AF$6:$AF$505,0),MATCH(体力優良証交付申請!M$14,テーブル22[[#Headers],[学年]:[得点]],0)))</f>
        <v/>
      </c>
    </row>
    <row r="56" spans="1:13" x14ac:dyDescent="0.2">
      <c r="A56" s="16">
        <v>42</v>
      </c>
      <c r="B56" s="130" t="str">
        <f>IF($A56&gt;MAX(入力シート!$AF$6:$AF$505),"",INDEX(テーブル22[[学年]:[得点]],MATCH(体力優良証交付申請!$A56,入力シート!$AF$6:$AF$505,0),MATCH(体力優良証交付申請!B$14,テーブル22[[#Headers],[学年]:[得点]],0)))</f>
        <v/>
      </c>
      <c r="C56" s="203" t="str">
        <f>IF($A56&gt;MAX(入力シート!$AF$6:$AF$505),"",INDEX(テーブル22[[学年]:[得点]],MATCH(体力優良証交付申請!$A56,入力シート!$AF$6:$AF$505,0),MATCH(体力優良証交付申請!C$14,テーブル22[[#Headers],[学年]:[得点]],0)))</f>
        <v/>
      </c>
      <c r="D56" s="203" t="str">
        <f>IF($A56&gt;MAX(入力シート!$AF$6:$AF$505),"",INDEX(テーブル22[[学年]:[得点]],MATCH(体力優良証交付申請!$A56,入力シート!$AF$6:$AF$505,0),MATCH(体力優良証交付申請!D$14,テーブル22[[#Headers],[学年]:[得点]],0)))</f>
        <v/>
      </c>
      <c r="E56" s="203" t="str">
        <f>IF($A56&gt;MAX(入力シート!$AF$6:$AF$505),"",INDEX(テーブル22[[学年]:[得点]],MATCH(体力優良証交付申請!$A56,入力シート!$AF$6:$AF$505,0),MATCH(体力優良証交付申請!E$14,テーブル22[[#Headers],[学年]:[得点]],0)))</f>
        <v/>
      </c>
      <c r="F56" s="203" t="str">
        <f>IF($A56&gt;MAX(入力シート!$AF$6:$AF$505),"",INDEX(テーブル22[[学年]:[得点]],MATCH(体力優良証交付申請!$A56,入力シート!$AF$6:$AF$505,0),MATCH(体力優良証交付申請!F$14,テーブル22[[#Headers],[学年]:[得点]],0)))</f>
        <v/>
      </c>
      <c r="G56" s="203" t="str">
        <f>IF($A56&gt;MAX(入力シート!$AF$6:$AF$505),"",INDEX(テーブル22[[学年]:[得点]],MATCH(体力優良証交付申請!$A56,入力シート!$AF$6:$AF$505,0),MATCH(体力優良証交付申請!G$14,テーブル22[[#Headers],[学年]:[得点]],0)))</f>
        <v/>
      </c>
      <c r="H56" s="203" t="str">
        <f>IF($A56&gt;MAX(入力シート!$AF$6:$AF$505),"",INDEX(テーブル22[[学年]:[得点]],MATCH(体力優良証交付申請!$A56,入力シート!$AF$6:$AF$505,0),MATCH(体力優良証交付申請!H$14,テーブル22[[#Headers],[学年]:[得点]],0)))</f>
        <v/>
      </c>
      <c r="I56" s="203" t="str">
        <f>IF($A56&gt;MAX(入力シート!$AF$6:$AF$505),"",INDEX(テーブル22[[学年]:[得点]],MATCH(体力優良証交付申請!$A56,入力シート!$AF$6:$AF$505,0),MATCH(体力優良証交付申請!I$14,テーブル22[[#Headers],[学年]:[得点]],0)))</f>
        <v/>
      </c>
      <c r="J56" s="114" t="str">
        <f>IF($A56&gt;MAX(入力シート!$AF$6:$AF$505),"",INDEX(テーブル22[[学年]:[得点]],MATCH(体力優良証交付申請!$A56,入力シート!$AF$6:$AF$505,0),MATCH(体力優良証交付申請!J$14,テーブル22[[#Headers],[学年]:[得点]],0)))</f>
        <v/>
      </c>
      <c r="K56" s="203" t="str">
        <f>IF($A56&gt;MAX(入力シート!$AF$6:$AF$505),"",INDEX(テーブル22[[学年]:[得点]],MATCH(体力優良証交付申請!$A56,入力シート!$AF$6:$AF$505,0),MATCH(体力優良証交付申請!K$14,テーブル22[[#Headers],[学年]:[得点]],0)))</f>
        <v/>
      </c>
      <c r="L56" s="203" t="str">
        <f>IF($A56&gt;MAX(入力シート!$AF$6:$AF$505),"",INDEX(テーブル22[[学年]:[得点]],MATCH(体力優良証交付申請!$A56,入力シート!$AF$6:$AF$505,0),MATCH(体力優良証交付申請!L$14,テーブル22[[#Headers],[学年]:[得点]],0)))</f>
        <v/>
      </c>
      <c r="M56" s="28" t="str">
        <f>IF($A56&gt;MAX(入力シート!$AF$6:$AF$505),"",INDEX(テーブル22[[学年]:[得点]],MATCH(体力優良証交付申請!$A56,入力シート!$AF$6:$AF$505,0),MATCH(体力優良証交付申請!M$14,テーブル22[[#Headers],[学年]:[得点]],0)))</f>
        <v/>
      </c>
    </row>
    <row r="57" spans="1:13" x14ac:dyDescent="0.2">
      <c r="A57" s="16">
        <v>43</v>
      </c>
      <c r="B57" s="130" t="str">
        <f>IF($A57&gt;MAX(入力シート!$AF$6:$AF$505),"",INDEX(テーブル22[[学年]:[得点]],MATCH(体力優良証交付申請!$A57,入力シート!$AF$6:$AF$505,0),MATCH(体力優良証交付申請!B$14,テーブル22[[#Headers],[学年]:[得点]],0)))</f>
        <v/>
      </c>
      <c r="C57" s="203" t="str">
        <f>IF($A57&gt;MAX(入力シート!$AF$6:$AF$505),"",INDEX(テーブル22[[学年]:[得点]],MATCH(体力優良証交付申請!$A57,入力シート!$AF$6:$AF$505,0),MATCH(体力優良証交付申請!C$14,テーブル22[[#Headers],[学年]:[得点]],0)))</f>
        <v/>
      </c>
      <c r="D57" s="203" t="str">
        <f>IF($A57&gt;MAX(入力シート!$AF$6:$AF$505),"",INDEX(テーブル22[[学年]:[得点]],MATCH(体力優良証交付申請!$A57,入力シート!$AF$6:$AF$505,0),MATCH(体力優良証交付申請!D$14,テーブル22[[#Headers],[学年]:[得点]],0)))</f>
        <v/>
      </c>
      <c r="E57" s="203" t="str">
        <f>IF($A57&gt;MAX(入力シート!$AF$6:$AF$505),"",INDEX(テーブル22[[学年]:[得点]],MATCH(体力優良証交付申請!$A57,入力シート!$AF$6:$AF$505,0),MATCH(体力優良証交付申請!E$14,テーブル22[[#Headers],[学年]:[得点]],0)))</f>
        <v/>
      </c>
      <c r="F57" s="203" t="str">
        <f>IF($A57&gt;MAX(入力シート!$AF$6:$AF$505),"",INDEX(テーブル22[[学年]:[得点]],MATCH(体力優良証交付申請!$A57,入力シート!$AF$6:$AF$505,0),MATCH(体力優良証交付申請!F$14,テーブル22[[#Headers],[学年]:[得点]],0)))</f>
        <v/>
      </c>
      <c r="G57" s="203" t="str">
        <f>IF($A57&gt;MAX(入力シート!$AF$6:$AF$505),"",INDEX(テーブル22[[学年]:[得点]],MATCH(体力優良証交付申請!$A57,入力シート!$AF$6:$AF$505,0),MATCH(体力優良証交付申請!G$14,テーブル22[[#Headers],[学年]:[得点]],0)))</f>
        <v/>
      </c>
      <c r="H57" s="203" t="str">
        <f>IF($A57&gt;MAX(入力シート!$AF$6:$AF$505),"",INDEX(テーブル22[[学年]:[得点]],MATCH(体力優良証交付申請!$A57,入力シート!$AF$6:$AF$505,0),MATCH(体力優良証交付申請!H$14,テーブル22[[#Headers],[学年]:[得点]],0)))</f>
        <v/>
      </c>
      <c r="I57" s="203" t="str">
        <f>IF($A57&gt;MAX(入力シート!$AF$6:$AF$505),"",INDEX(テーブル22[[学年]:[得点]],MATCH(体力優良証交付申請!$A57,入力シート!$AF$6:$AF$505,0),MATCH(体力優良証交付申請!I$14,テーブル22[[#Headers],[学年]:[得点]],0)))</f>
        <v/>
      </c>
      <c r="J57" s="114" t="str">
        <f>IF($A57&gt;MAX(入力シート!$AF$6:$AF$505),"",INDEX(テーブル22[[学年]:[得点]],MATCH(体力優良証交付申請!$A57,入力シート!$AF$6:$AF$505,0),MATCH(体力優良証交付申請!J$14,テーブル22[[#Headers],[学年]:[得点]],0)))</f>
        <v/>
      </c>
      <c r="K57" s="203" t="str">
        <f>IF($A57&gt;MAX(入力シート!$AF$6:$AF$505),"",INDEX(テーブル22[[学年]:[得点]],MATCH(体力優良証交付申請!$A57,入力シート!$AF$6:$AF$505,0),MATCH(体力優良証交付申請!K$14,テーブル22[[#Headers],[学年]:[得点]],0)))</f>
        <v/>
      </c>
      <c r="L57" s="203" t="str">
        <f>IF($A57&gt;MAX(入力シート!$AF$6:$AF$505),"",INDEX(テーブル22[[学年]:[得点]],MATCH(体力優良証交付申請!$A57,入力シート!$AF$6:$AF$505,0),MATCH(体力優良証交付申請!L$14,テーブル22[[#Headers],[学年]:[得点]],0)))</f>
        <v/>
      </c>
      <c r="M57" s="28" t="str">
        <f>IF($A57&gt;MAX(入力シート!$AF$6:$AF$505),"",INDEX(テーブル22[[学年]:[得点]],MATCH(体力優良証交付申請!$A57,入力シート!$AF$6:$AF$505,0),MATCH(体力優良証交付申請!M$14,テーブル22[[#Headers],[学年]:[得点]],0)))</f>
        <v/>
      </c>
    </row>
    <row r="58" spans="1:13" x14ac:dyDescent="0.2">
      <c r="A58" s="16">
        <v>44</v>
      </c>
      <c r="B58" s="130" t="str">
        <f>IF($A58&gt;MAX(入力シート!$AF$6:$AF$505),"",INDEX(テーブル22[[学年]:[得点]],MATCH(体力優良証交付申請!$A58,入力シート!$AF$6:$AF$505,0),MATCH(体力優良証交付申請!B$14,テーブル22[[#Headers],[学年]:[得点]],0)))</f>
        <v/>
      </c>
      <c r="C58" s="203" t="str">
        <f>IF($A58&gt;MAX(入力シート!$AF$6:$AF$505),"",INDEX(テーブル22[[学年]:[得点]],MATCH(体力優良証交付申請!$A58,入力シート!$AF$6:$AF$505,0),MATCH(体力優良証交付申請!C$14,テーブル22[[#Headers],[学年]:[得点]],0)))</f>
        <v/>
      </c>
      <c r="D58" s="203" t="str">
        <f>IF($A58&gt;MAX(入力シート!$AF$6:$AF$505),"",INDEX(テーブル22[[学年]:[得点]],MATCH(体力優良証交付申請!$A58,入力シート!$AF$6:$AF$505,0),MATCH(体力優良証交付申請!D$14,テーブル22[[#Headers],[学年]:[得点]],0)))</f>
        <v/>
      </c>
      <c r="E58" s="203" t="str">
        <f>IF($A58&gt;MAX(入力シート!$AF$6:$AF$505),"",INDEX(テーブル22[[学年]:[得点]],MATCH(体力優良証交付申請!$A58,入力シート!$AF$6:$AF$505,0),MATCH(体力優良証交付申請!E$14,テーブル22[[#Headers],[学年]:[得点]],0)))</f>
        <v/>
      </c>
      <c r="F58" s="203" t="str">
        <f>IF($A58&gt;MAX(入力シート!$AF$6:$AF$505),"",INDEX(テーブル22[[学年]:[得点]],MATCH(体力優良証交付申請!$A58,入力シート!$AF$6:$AF$505,0),MATCH(体力優良証交付申請!F$14,テーブル22[[#Headers],[学年]:[得点]],0)))</f>
        <v/>
      </c>
      <c r="G58" s="203" t="str">
        <f>IF($A58&gt;MAX(入力シート!$AF$6:$AF$505),"",INDEX(テーブル22[[学年]:[得点]],MATCH(体力優良証交付申請!$A58,入力シート!$AF$6:$AF$505,0),MATCH(体力優良証交付申請!G$14,テーブル22[[#Headers],[学年]:[得点]],0)))</f>
        <v/>
      </c>
      <c r="H58" s="203" t="str">
        <f>IF($A58&gt;MAX(入力シート!$AF$6:$AF$505),"",INDEX(テーブル22[[学年]:[得点]],MATCH(体力優良証交付申請!$A58,入力シート!$AF$6:$AF$505,0),MATCH(体力優良証交付申請!H$14,テーブル22[[#Headers],[学年]:[得点]],0)))</f>
        <v/>
      </c>
      <c r="I58" s="203" t="str">
        <f>IF($A58&gt;MAX(入力シート!$AF$6:$AF$505),"",INDEX(テーブル22[[学年]:[得点]],MATCH(体力優良証交付申請!$A58,入力シート!$AF$6:$AF$505,0),MATCH(体力優良証交付申請!I$14,テーブル22[[#Headers],[学年]:[得点]],0)))</f>
        <v/>
      </c>
      <c r="J58" s="114" t="str">
        <f>IF($A58&gt;MAX(入力シート!$AF$6:$AF$505),"",INDEX(テーブル22[[学年]:[得点]],MATCH(体力優良証交付申請!$A58,入力シート!$AF$6:$AF$505,0),MATCH(体力優良証交付申請!J$14,テーブル22[[#Headers],[学年]:[得点]],0)))</f>
        <v/>
      </c>
      <c r="K58" s="203" t="str">
        <f>IF($A58&gt;MAX(入力シート!$AF$6:$AF$505),"",INDEX(テーブル22[[学年]:[得点]],MATCH(体力優良証交付申請!$A58,入力シート!$AF$6:$AF$505,0),MATCH(体力優良証交付申請!K$14,テーブル22[[#Headers],[学年]:[得点]],0)))</f>
        <v/>
      </c>
      <c r="L58" s="203" t="str">
        <f>IF($A58&gt;MAX(入力シート!$AF$6:$AF$505),"",INDEX(テーブル22[[学年]:[得点]],MATCH(体力優良証交付申請!$A58,入力シート!$AF$6:$AF$505,0),MATCH(体力優良証交付申請!L$14,テーブル22[[#Headers],[学年]:[得点]],0)))</f>
        <v/>
      </c>
      <c r="M58" s="28" t="str">
        <f>IF($A58&gt;MAX(入力シート!$AF$6:$AF$505),"",INDEX(テーブル22[[学年]:[得点]],MATCH(体力優良証交付申請!$A58,入力シート!$AF$6:$AF$505,0),MATCH(体力優良証交付申請!M$14,テーブル22[[#Headers],[学年]:[得点]],0)))</f>
        <v/>
      </c>
    </row>
    <row r="59" spans="1:13" x14ac:dyDescent="0.2">
      <c r="A59" s="16">
        <v>45</v>
      </c>
      <c r="B59" s="130" t="str">
        <f>IF($A59&gt;MAX(入力シート!$AF$6:$AF$505),"",INDEX(テーブル22[[学年]:[得点]],MATCH(体力優良証交付申請!$A59,入力シート!$AF$6:$AF$505,0),MATCH(体力優良証交付申請!B$14,テーブル22[[#Headers],[学年]:[得点]],0)))</f>
        <v/>
      </c>
      <c r="C59" s="203" t="str">
        <f>IF($A59&gt;MAX(入力シート!$AF$6:$AF$505),"",INDEX(テーブル22[[学年]:[得点]],MATCH(体力優良証交付申請!$A59,入力シート!$AF$6:$AF$505,0),MATCH(体力優良証交付申請!C$14,テーブル22[[#Headers],[学年]:[得点]],0)))</f>
        <v/>
      </c>
      <c r="D59" s="203" t="str">
        <f>IF($A59&gt;MAX(入力シート!$AF$6:$AF$505),"",INDEX(テーブル22[[学年]:[得点]],MATCH(体力優良証交付申請!$A59,入力シート!$AF$6:$AF$505,0),MATCH(体力優良証交付申請!D$14,テーブル22[[#Headers],[学年]:[得点]],0)))</f>
        <v/>
      </c>
      <c r="E59" s="203" t="str">
        <f>IF($A59&gt;MAX(入力シート!$AF$6:$AF$505),"",INDEX(テーブル22[[学年]:[得点]],MATCH(体力優良証交付申請!$A59,入力シート!$AF$6:$AF$505,0),MATCH(体力優良証交付申請!E$14,テーブル22[[#Headers],[学年]:[得点]],0)))</f>
        <v/>
      </c>
      <c r="F59" s="203" t="str">
        <f>IF($A59&gt;MAX(入力シート!$AF$6:$AF$505),"",INDEX(テーブル22[[学年]:[得点]],MATCH(体力優良証交付申請!$A59,入力シート!$AF$6:$AF$505,0),MATCH(体力優良証交付申請!F$14,テーブル22[[#Headers],[学年]:[得点]],0)))</f>
        <v/>
      </c>
      <c r="G59" s="203" t="str">
        <f>IF($A59&gt;MAX(入力シート!$AF$6:$AF$505),"",INDEX(テーブル22[[学年]:[得点]],MATCH(体力優良証交付申請!$A59,入力シート!$AF$6:$AF$505,0),MATCH(体力優良証交付申請!G$14,テーブル22[[#Headers],[学年]:[得点]],0)))</f>
        <v/>
      </c>
      <c r="H59" s="203" t="str">
        <f>IF($A59&gt;MAX(入力シート!$AF$6:$AF$505),"",INDEX(テーブル22[[学年]:[得点]],MATCH(体力優良証交付申請!$A59,入力シート!$AF$6:$AF$505,0),MATCH(体力優良証交付申請!H$14,テーブル22[[#Headers],[学年]:[得点]],0)))</f>
        <v/>
      </c>
      <c r="I59" s="203" t="str">
        <f>IF($A59&gt;MAX(入力シート!$AF$6:$AF$505),"",INDEX(テーブル22[[学年]:[得点]],MATCH(体力優良証交付申請!$A59,入力シート!$AF$6:$AF$505,0),MATCH(体力優良証交付申請!I$14,テーブル22[[#Headers],[学年]:[得点]],0)))</f>
        <v/>
      </c>
      <c r="J59" s="114" t="str">
        <f>IF($A59&gt;MAX(入力シート!$AF$6:$AF$505),"",INDEX(テーブル22[[学年]:[得点]],MATCH(体力優良証交付申請!$A59,入力シート!$AF$6:$AF$505,0),MATCH(体力優良証交付申請!J$14,テーブル22[[#Headers],[学年]:[得点]],0)))</f>
        <v/>
      </c>
      <c r="K59" s="203" t="str">
        <f>IF($A59&gt;MAX(入力シート!$AF$6:$AF$505),"",INDEX(テーブル22[[学年]:[得点]],MATCH(体力優良証交付申請!$A59,入力シート!$AF$6:$AF$505,0),MATCH(体力優良証交付申請!K$14,テーブル22[[#Headers],[学年]:[得点]],0)))</f>
        <v/>
      </c>
      <c r="L59" s="203" t="str">
        <f>IF($A59&gt;MAX(入力シート!$AF$6:$AF$505),"",INDEX(テーブル22[[学年]:[得点]],MATCH(体力優良証交付申請!$A59,入力シート!$AF$6:$AF$505,0),MATCH(体力優良証交付申請!L$14,テーブル22[[#Headers],[学年]:[得点]],0)))</f>
        <v/>
      </c>
      <c r="M59" s="28" t="str">
        <f>IF($A59&gt;MAX(入力シート!$AF$6:$AF$505),"",INDEX(テーブル22[[学年]:[得点]],MATCH(体力優良証交付申請!$A59,入力シート!$AF$6:$AF$505,0),MATCH(体力優良証交付申請!M$14,テーブル22[[#Headers],[学年]:[得点]],0)))</f>
        <v/>
      </c>
    </row>
    <row r="60" spans="1:13" x14ac:dyDescent="0.2">
      <c r="A60" s="16">
        <v>46</v>
      </c>
      <c r="B60" s="130" t="str">
        <f>IF($A60&gt;MAX(入力シート!$AF$6:$AF$505),"",INDEX(テーブル22[[学年]:[得点]],MATCH(体力優良証交付申請!$A60,入力シート!$AF$6:$AF$505,0),MATCH(体力優良証交付申請!B$14,テーブル22[[#Headers],[学年]:[得点]],0)))</f>
        <v/>
      </c>
      <c r="C60" s="203" t="str">
        <f>IF($A60&gt;MAX(入力シート!$AF$6:$AF$505),"",INDEX(テーブル22[[学年]:[得点]],MATCH(体力優良証交付申請!$A60,入力シート!$AF$6:$AF$505,0),MATCH(体力優良証交付申請!C$14,テーブル22[[#Headers],[学年]:[得点]],0)))</f>
        <v/>
      </c>
      <c r="D60" s="203" t="str">
        <f>IF($A60&gt;MAX(入力シート!$AF$6:$AF$505),"",INDEX(テーブル22[[学年]:[得点]],MATCH(体力優良証交付申請!$A60,入力シート!$AF$6:$AF$505,0),MATCH(体力優良証交付申請!D$14,テーブル22[[#Headers],[学年]:[得点]],0)))</f>
        <v/>
      </c>
      <c r="E60" s="203" t="str">
        <f>IF($A60&gt;MAX(入力シート!$AF$6:$AF$505),"",INDEX(テーブル22[[学年]:[得点]],MATCH(体力優良証交付申請!$A60,入力シート!$AF$6:$AF$505,0),MATCH(体力優良証交付申請!E$14,テーブル22[[#Headers],[学年]:[得点]],0)))</f>
        <v/>
      </c>
      <c r="F60" s="203" t="str">
        <f>IF($A60&gt;MAX(入力シート!$AF$6:$AF$505),"",INDEX(テーブル22[[学年]:[得点]],MATCH(体力優良証交付申請!$A60,入力シート!$AF$6:$AF$505,0),MATCH(体力優良証交付申請!F$14,テーブル22[[#Headers],[学年]:[得点]],0)))</f>
        <v/>
      </c>
      <c r="G60" s="203" t="str">
        <f>IF($A60&gt;MAX(入力シート!$AF$6:$AF$505),"",INDEX(テーブル22[[学年]:[得点]],MATCH(体力優良証交付申請!$A60,入力シート!$AF$6:$AF$505,0),MATCH(体力優良証交付申請!G$14,テーブル22[[#Headers],[学年]:[得点]],0)))</f>
        <v/>
      </c>
      <c r="H60" s="203" t="str">
        <f>IF($A60&gt;MAX(入力シート!$AF$6:$AF$505),"",INDEX(テーブル22[[学年]:[得点]],MATCH(体力優良証交付申請!$A60,入力シート!$AF$6:$AF$505,0),MATCH(体力優良証交付申請!H$14,テーブル22[[#Headers],[学年]:[得点]],0)))</f>
        <v/>
      </c>
      <c r="I60" s="203" t="str">
        <f>IF($A60&gt;MAX(入力シート!$AF$6:$AF$505),"",INDEX(テーブル22[[学年]:[得点]],MATCH(体力優良証交付申請!$A60,入力シート!$AF$6:$AF$505,0),MATCH(体力優良証交付申請!I$14,テーブル22[[#Headers],[学年]:[得点]],0)))</f>
        <v/>
      </c>
      <c r="J60" s="114" t="str">
        <f>IF($A60&gt;MAX(入力シート!$AF$6:$AF$505),"",INDEX(テーブル22[[学年]:[得点]],MATCH(体力優良証交付申請!$A60,入力シート!$AF$6:$AF$505,0),MATCH(体力優良証交付申請!J$14,テーブル22[[#Headers],[学年]:[得点]],0)))</f>
        <v/>
      </c>
      <c r="K60" s="203" t="str">
        <f>IF($A60&gt;MAX(入力シート!$AF$6:$AF$505),"",INDEX(テーブル22[[学年]:[得点]],MATCH(体力優良証交付申請!$A60,入力シート!$AF$6:$AF$505,0),MATCH(体力優良証交付申請!K$14,テーブル22[[#Headers],[学年]:[得点]],0)))</f>
        <v/>
      </c>
      <c r="L60" s="203" t="str">
        <f>IF($A60&gt;MAX(入力シート!$AF$6:$AF$505),"",INDEX(テーブル22[[学年]:[得点]],MATCH(体力優良証交付申請!$A60,入力シート!$AF$6:$AF$505,0),MATCH(体力優良証交付申請!L$14,テーブル22[[#Headers],[学年]:[得点]],0)))</f>
        <v/>
      </c>
      <c r="M60" s="28" t="str">
        <f>IF($A60&gt;MAX(入力シート!$AF$6:$AF$505),"",INDEX(テーブル22[[学年]:[得点]],MATCH(体力優良証交付申請!$A60,入力シート!$AF$6:$AF$505,0),MATCH(体力優良証交付申請!M$14,テーブル22[[#Headers],[学年]:[得点]],0)))</f>
        <v/>
      </c>
    </row>
    <row r="61" spans="1:13" x14ac:dyDescent="0.2">
      <c r="A61" s="16">
        <v>47</v>
      </c>
      <c r="B61" s="130" t="str">
        <f>IF($A61&gt;MAX(入力シート!$AF$6:$AF$505),"",INDEX(テーブル22[[学年]:[得点]],MATCH(体力優良証交付申請!$A61,入力シート!$AF$6:$AF$505,0),MATCH(体力優良証交付申請!B$14,テーブル22[[#Headers],[学年]:[得点]],0)))</f>
        <v/>
      </c>
      <c r="C61" s="203" t="str">
        <f>IF($A61&gt;MAX(入力シート!$AF$6:$AF$505),"",INDEX(テーブル22[[学年]:[得点]],MATCH(体力優良証交付申請!$A61,入力シート!$AF$6:$AF$505,0),MATCH(体力優良証交付申請!C$14,テーブル22[[#Headers],[学年]:[得点]],0)))</f>
        <v/>
      </c>
      <c r="D61" s="203" t="str">
        <f>IF($A61&gt;MAX(入力シート!$AF$6:$AF$505),"",INDEX(テーブル22[[学年]:[得点]],MATCH(体力優良証交付申請!$A61,入力シート!$AF$6:$AF$505,0),MATCH(体力優良証交付申請!D$14,テーブル22[[#Headers],[学年]:[得点]],0)))</f>
        <v/>
      </c>
      <c r="E61" s="203" t="str">
        <f>IF($A61&gt;MAX(入力シート!$AF$6:$AF$505),"",INDEX(テーブル22[[学年]:[得点]],MATCH(体力優良証交付申請!$A61,入力シート!$AF$6:$AF$505,0),MATCH(体力優良証交付申請!E$14,テーブル22[[#Headers],[学年]:[得点]],0)))</f>
        <v/>
      </c>
      <c r="F61" s="203" t="str">
        <f>IF($A61&gt;MAX(入力シート!$AF$6:$AF$505),"",INDEX(テーブル22[[学年]:[得点]],MATCH(体力優良証交付申請!$A61,入力シート!$AF$6:$AF$505,0),MATCH(体力優良証交付申請!F$14,テーブル22[[#Headers],[学年]:[得点]],0)))</f>
        <v/>
      </c>
      <c r="G61" s="203" t="str">
        <f>IF($A61&gt;MAX(入力シート!$AF$6:$AF$505),"",INDEX(テーブル22[[学年]:[得点]],MATCH(体力優良証交付申請!$A61,入力シート!$AF$6:$AF$505,0),MATCH(体力優良証交付申請!G$14,テーブル22[[#Headers],[学年]:[得点]],0)))</f>
        <v/>
      </c>
      <c r="H61" s="203" t="str">
        <f>IF($A61&gt;MAX(入力シート!$AF$6:$AF$505),"",INDEX(テーブル22[[学年]:[得点]],MATCH(体力優良証交付申請!$A61,入力シート!$AF$6:$AF$505,0),MATCH(体力優良証交付申請!H$14,テーブル22[[#Headers],[学年]:[得点]],0)))</f>
        <v/>
      </c>
      <c r="I61" s="203" t="str">
        <f>IF($A61&gt;MAX(入力シート!$AF$6:$AF$505),"",INDEX(テーブル22[[学年]:[得点]],MATCH(体力優良証交付申請!$A61,入力シート!$AF$6:$AF$505,0),MATCH(体力優良証交付申請!I$14,テーブル22[[#Headers],[学年]:[得点]],0)))</f>
        <v/>
      </c>
      <c r="J61" s="114" t="str">
        <f>IF($A61&gt;MAX(入力シート!$AF$6:$AF$505),"",INDEX(テーブル22[[学年]:[得点]],MATCH(体力優良証交付申請!$A61,入力シート!$AF$6:$AF$505,0),MATCH(体力優良証交付申請!J$14,テーブル22[[#Headers],[学年]:[得点]],0)))</f>
        <v/>
      </c>
      <c r="K61" s="203" t="str">
        <f>IF($A61&gt;MAX(入力シート!$AF$6:$AF$505),"",INDEX(テーブル22[[学年]:[得点]],MATCH(体力優良証交付申請!$A61,入力シート!$AF$6:$AF$505,0),MATCH(体力優良証交付申請!K$14,テーブル22[[#Headers],[学年]:[得点]],0)))</f>
        <v/>
      </c>
      <c r="L61" s="203" t="str">
        <f>IF($A61&gt;MAX(入力シート!$AF$6:$AF$505),"",INDEX(テーブル22[[学年]:[得点]],MATCH(体力優良証交付申請!$A61,入力シート!$AF$6:$AF$505,0),MATCH(体力優良証交付申請!L$14,テーブル22[[#Headers],[学年]:[得点]],0)))</f>
        <v/>
      </c>
      <c r="M61" s="28" t="str">
        <f>IF($A61&gt;MAX(入力シート!$AF$6:$AF$505),"",INDEX(テーブル22[[学年]:[得点]],MATCH(体力優良証交付申請!$A61,入力シート!$AF$6:$AF$505,0),MATCH(体力優良証交付申請!M$14,テーブル22[[#Headers],[学年]:[得点]],0)))</f>
        <v/>
      </c>
    </row>
    <row r="62" spans="1:13" x14ac:dyDescent="0.2">
      <c r="A62" s="16">
        <v>48</v>
      </c>
      <c r="B62" s="130" t="str">
        <f>IF($A62&gt;MAX(入力シート!$AF$6:$AF$505),"",INDEX(テーブル22[[学年]:[得点]],MATCH(体力優良証交付申請!$A62,入力シート!$AF$6:$AF$505,0),MATCH(体力優良証交付申請!B$14,テーブル22[[#Headers],[学年]:[得点]],0)))</f>
        <v/>
      </c>
      <c r="C62" s="203" t="str">
        <f>IF($A62&gt;MAX(入力シート!$AF$6:$AF$505),"",INDEX(テーブル22[[学年]:[得点]],MATCH(体力優良証交付申請!$A62,入力シート!$AF$6:$AF$505,0),MATCH(体力優良証交付申請!C$14,テーブル22[[#Headers],[学年]:[得点]],0)))</f>
        <v/>
      </c>
      <c r="D62" s="203" t="str">
        <f>IF($A62&gt;MAX(入力シート!$AF$6:$AF$505),"",INDEX(テーブル22[[学年]:[得点]],MATCH(体力優良証交付申請!$A62,入力シート!$AF$6:$AF$505,0),MATCH(体力優良証交付申請!D$14,テーブル22[[#Headers],[学年]:[得点]],0)))</f>
        <v/>
      </c>
      <c r="E62" s="203" t="str">
        <f>IF($A62&gt;MAX(入力シート!$AF$6:$AF$505),"",INDEX(テーブル22[[学年]:[得点]],MATCH(体力優良証交付申請!$A62,入力シート!$AF$6:$AF$505,0),MATCH(体力優良証交付申請!E$14,テーブル22[[#Headers],[学年]:[得点]],0)))</f>
        <v/>
      </c>
      <c r="F62" s="203" t="str">
        <f>IF($A62&gt;MAX(入力シート!$AF$6:$AF$505),"",INDEX(テーブル22[[学年]:[得点]],MATCH(体力優良証交付申請!$A62,入力シート!$AF$6:$AF$505,0),MATCH(体力優良証交付申請!F$14,テーブル22[[#Headers],[学年]:[得点]],0)))</f>
        <v/>
      </c>
      <c r="G62" s="203" t="str">
        <f>IF($A62&gt;MAX(入力シート!$AF$6:$AF$505),"",INDEX(テーブル22[[学年]:[得点]],MATCH(体力優良証交付申請!$A62,入力シート!$AF$6:$AF$505,0),MATCH(体力優良証交付申請!G$14,テーブル22[[#Headers],[学年]:[得点]],0)))</f>
        <v/>
      </c>
      <c r="H62" s="203" t="str">
        <f>IF($A62&gt;MAX(入力シート!$AF$6:$AF$505),"",INDEX(テーブル22[[学年]:[得点]],MATCH(体力優良証交付申請!$A62,入力シート!$AF$6:$AF$505,0),MATCH(体力優良証交付申請!H$14,テーブル22[[#Headers],[学年]:[得点]],0)))</f>
        <v/>
      </c>
      <c r="I62" s="203" t="str">
        <f>IF($A62&gt;MAX(入力シート!$AF$6:$AF$505),"",INDEX(テーブル22[[学年]:[得点]],MATCH(体力優良証交付申請!$A62,入力シート!$AF$6:$AF$505,0),MATCH(体力優良証交付申請!I$14,テーブル22[[#Headers],[学年]:[得点]],0)))</f>
        <v/>
      </c>
      <c r="J62" s="114" t="str">
        <f>IF($A62&gt;MAX(入力シート!$AF$6:$AF$505),"",INDEX(テーブル22[[学年]:[得点]],MATCH(体力優良証交付申請!$A62,入力シート!$AF$6:$AF$505,0),MATCH(体力優良証交付申請!J$14,テーブル22[[#Headers],[学年]:[得点]],0)))</f>
        <v/>
      </c>
      <c r="K62" s="203" t="str">
        <f>IF($A62&gt;MAX(入力シート!$AF$6:$AF$505),"",INDEX(テーブル22[[学年]:[得点]],MATCH(体力優良証交付申請!$A62,入力シート!$AF$6:$AF$505,0),MATCH(体力優良証交付申請!K$14,テーブル22[[#Headers],[学年]:[得点]],0)))</f>
        <v/>
      </c>
      <c r="L62" s="203" t="str">
        <f>IF($A62&gt;MAX(入力シート!$AF$6:$AF$505),"",INDEX(テーブル22[[学年]:[得点]],MATCH(体力優良証交付申請!$A62,入力シート!$AF$6:$AF$505,0),MATCH(体力優良証交付申請!L$14,テーブル22[[#Headers],[学年]:[得点]],0)))</f>
        <v/>
      </c>
      <c r="M62" s="28" t="str">
        <f>IF($A62&gt;MAX(入力シート!$AF$6:$AF$505),"",INDEX(テーブル22[[学年]:[得点]],MATCH(体力優良証交付申請!$A62,入力シート!$AF$6:$AF$505,0),MATCH(体力優良証交付申請!M$14,テーブル22[[#Headers],[学年]:[得点]],0)))</f>
        <v/>
      </c>
    </row>
    <row r="63" spans="1:13" x14ac:dyDescent="0.2">
      <c r="A63" s="16">
        <v>49</v>
      </c>
      <c r="B63" s="130" t="str">
        <f>IF($A63&gt;MAX(入力シート!$AF$6:$AF$505),"",INDEX(テーブル22[[学年]:[得点]],MATCH(体力優良証交付申請!$A63,入力シート!$AF$6:$AF$505,0),MATCH(体力優良証交付申請!B$14,テーブル22[[#Headers],[学年]:[得点]],0)))</f>
        <v/>
      </c>
      <c r="C63" s="203" t="str">
        <f>IF($A63&gt;MAX(入力シート!$AF$6:$AF$505),"",INDEX(テーブル22[[学年]:[得点]],MATCH(体力優良証交付申請!$A63,入力シート!$AF$6:$AF$505,0),MATCH(体力優良証交付申請!C$14,テーブル22[[#Headers],[学年]:[得点]],0)))</f>
        <v/>
      </c>
      <c r="D63" s="203" t="str">
        <f>IF($A63&gt;MAX(入力シート!$AF$6:$AF$505),"",INDEX(テーブル22[[学年]:[得点]],MATCH(体力優良証交付申請!$A63,入力シート!$AF$6:$AF$505,0),MATCH(体力優良証交付申請!D$14,テーブル22[[#Headers],[学年]:[得点]],0)))</f>
        <v/>
      </c>
      <c r="E63" s="203" t="str">
        <f>IF($A63&gt;MAX(入力シート!$AF$6:$AF$505),"",INDEX(テーブル22[[学年]:[得点]],MATCH(体力優良証交付申請!$A63,入力シート!$AF$6:$AF$505,0),MATCH(体力優良証交付申請!E$14,テーブル22[[#Headers],[学年]:[得点]],0)))</f>
        <v/>
      </c>
      <c r="F63" s="203" t="str">
        <f>IF($A63&gt;MAX(入力シート!$AF$6:$AF$505),"",INDEX(テーブル22[[学年]:[得点]],MATCH(体力優良証交付申請!$A63,入力シート!$AF$6:$AF$505,0),MATCH(体力優良証交付申請!F$14,テーブル22[[#Headers],[学年]:[得点]],0)))</f>
        <v/>
      </c>
      <c r="G63" s="203" t="str">
        <f>IF($A63&gt;MAX(入力シート!$AF$6:$AF$505),"",INDEX(テーブル22[[学年]:[得点]],MATCH(体力優良証交付申請!$A63,入力シート!$AF$6:$AF$505,0),MATCH(体力優良証交付申請!G$14,テーブル22[[#Headers],[学年]:[得点]],0)))</f>
        <v/>
      </c>
      <c r="H63" s="203" t="str">
        <f>IF($A63&gt;MAX(入力シート!$AF$6:$AF$505),"",INDEX(テーブル22[[学年]:[得点]],MATCH(体力優良証交付申請!$A63,入力シート!$AF$6:$AF$505,0),MATCH(体力優良証交付申請!H$14,テーブル22[[#Headers],[学年]:[得点]],0)))</f>
        <v/>
      </c>
      <c r="I63" s="203" t="str">
        <f>IF($A63&gt;MAX(入力シート!$AF$6:$AF$505),"",INDEX(テーブル22[[学年]:[得点]],MATCH(体力優良証交付申請!$A63,入力シート!$AF$6:$AF$505,0),MATCH(体力優良証交付申請!I$14,テーブル22[[#Headers],[学年]:[得点]],0)))</f>
        <v/>
      </c>
      <c r="J63" s="114" t="str">
        <f>IF($A63&gt;MAX(入力シート!$AF$6:$AF$505),"",INDEX(テーブル22[[学年]:[得点]],MATCH(体力優良証交付申請!$A63,入力シート!$AF$6:$AF$505,0),MATCH(体力優良証交付申請!J$14,テーブル22[[#Headers],[学年]:[得点]],0)))</f>
        <v/>
      </c>
      <c r="K63" s="203" t="str">
        <f>IF($A63&gt;MAX(入力シート!$AF$6:$AF$505),"",INDEX(テーブル22[[学年]:[得点]],MATCH(体力優良証交付申請!$A63,入力シート!$AF$6:$AF$505,0),MATCH(体力優良証交付申請!K$14,テーブル22[[#Headers],[学年]:[得点]],0)))</f>
        <v/>
      </c>
      <c r="L63" s="203" t="str">
        <f>IF($A63&gt;MAX(入力シート!$AF$6:$AF$505),"",INDEX(テーブル22[[学年]:[得点]],MATCH(体力優良証交付申請!$A63,入力シート!$AF$6:$AF$505,0),MATCH(体力優良証交付申請!L$14,テーブル22[[#Headers],[学年]:[得点]],0)))</f>
        <v/>
      </c>
      <c r="M63" s="28" t="str">
        <f>IF($A63&gt;MAX(入力シート!$AF$6:$AF$505),"",INDEX(テーブル22[[学年]:[得点]],MATCH(体力優良証交付申請!$A63,入力シート!$AF$6:$AF$505,0),MATCH(体力優良証交付申請!M$14,テーブル22[[#Headers],[学年]:[得点]],0)))</f>
        <v/>
      </c>
    </row>
    <row r="64" spans="1:13" x14ac:dyDescent="0.2">
      <c r="A64" s="16">
        <v>50</v>
      </c>
      <c r="B64" s="130" t="str">
        <f>IF($A64&gt;MAX(入力シート!$AF$6:$AF$505),"",INDEX(テーブル22[[学年]:[得点]],MATCH(体力優良証交付申請!$A64,入力シート!$AF$6:$AF$505,0),MATCH(体力優良証交付申請!B$14,テーブル22[[#Headers],[学年]:[得点]],0)))</f>
        <v/>
      </c>
      <c r="C64" s="203" t="str">
        <f>IF($A64&gt;MAX(入力シート!$AF$6:$AF$505),"",INDEX(テーブル22[[学年]:[得点]],MATCH(体力優良証交付申請!$A64,入力シート!$AF$6:$AF$505,0),MATCH(体力優良証交付申請!C$14,テーブル22[[#Headers],[学年]:[得点]],0)))</f>
        <v/>
      </c>
      <c r="D64" s="203" t="str">
        <f>IF($A64&gt;MAX(入力シート!$AF$6:$AF$505),"",INDEX(テーブル22[[学年]:[得点]],MATCH(体力優良証交付申請!$A64,入力シート!$AF$6:$AF$505,0),MATCH(体力優良証交付申請!D$14,テーブル22[[#Headers],[学年]:[得点]],0)))</f>
        <v/>
      </c>
      <c r="E64" s="203" t="str">
        <f>IF($A64&gt;MAX(入力シート!$AF$6:$AF$505),"",INDEX(テーブル22[[学年]:[得点]],MATCH(体力優良証交付申請!$A64,入力シート!$AF$6:$AF$505,0),MATCH(体力優良証交付申請!E$14,テーブル22[[#Headers],[学年]:[得点]],0)))</f>
        <v/>
      </c>
      <c r="F64" s="203" t="str">
        <f>IF($A64&gt;MAX(入力シート!$AF$6:$AF$505),"",INDEX(テーブル22[[学年]:[得点]],MATCH(体力優良証交付申請!$A64,入力シート!$AF$6:$AF$505,0),MATCH(体力優良証交付申請!F$14,テーブル22[[#Headers],[学年]:[得点]],0)))</f>
        <v/>
      </c>
      <c r="G64" s="203" t="str">
        <f>IF($A64&gt;MAX(入力シート!$AF$6:$AF$505),"",INDEX(テーブル22[[学年]:[得点]],MATCH(体力優良証交付申請!$A64,入力シート!$AF$6:$AF$505,0),MATCH(体力優良証交付申請!G$14,テーブル22[[#Headers],[学年]:[得点]],0)))</f>
        <v/>
      </c>
      <c r="H64" s="203" t="str">
        <f>IF($A64&gt;MAX(入力シート!$AF$6:$AF$505),"",INDEX(テーブル22[[学年]:[得点]],MATCH(体力優良証交付申請!$A64,入力シート!$AF$6:$AF$505,0),MATCH(体力優良証交付申請!H$14,テーブル22[[#Headers],[学年]:[得点]],0)))</f>
        <v/>
      </c>
      <c r="I64" s="203" t="str">
        <f>IF($A64&gt;MAX(入力シート!$AF$6:$AF$505),"",INDEX(テーブル22[[学年]:[得点]],MATCH(体力優良証交付申請!$A64,入力シート!$AF$6:$AF$505,0),MATCH(体力優良証交付申請!I$14,テーブル22[[#Headers],[学年]:[得点]],0)))</f>
        <v/>
      </c>
      <c r="J64" s="114" t="str">
        <f>IF($A64&gt;MAX(入力シート!$AF$6:$AF$505),"",INDEX(テーブル22[[学年]:[得点]],MATCH(体力優良証交付申請!$A64,入力シート!$AF$6:$AF$505,0),MATCH(体力優良証交付申請!J$14,テーブル22[[#Headers],[学年]:[得点]],0)))</f>
        <v/>
      </c>
      <c r="K64" s="203" t="str">
        <f>IF($A64&gt;MAX(入力シート!$AF$6:$AF$505),"",INDEX(テーブル22[[学年]:[得点]],MATCH(体力優良証交付申請!$A64,入力シート!$AF$6:$AF$505,0),MATCH(体力優良証交付申請!K$14,テーブル22[[#Headers],[学年]:[得点]],0)))</f>
        <v/>
      </c>
      <c r="L64" s="203" t="str">
        <f>IF($A64&gt;MAX(入力シート!$AF$6:$AF$505),"",INDEX(テーブル22[[学年]:[得点]],MATCH(体力優良証交付申請!$A64,入力シート!$AF$6:$AF$505,0),MATCH(体力優良証交付申請!L$14,テーブル22[[#Headers],[学年]:[得点]],0)))</f>
        <v/>
      </c>
      <c r="M64" s="28" t="str">
        <f>IF($A64&gt;MAX(入力シート!$AF$6:$AF$505),"",INDEX(テーブル22[[学年]:[得点]],MATCH(体力優良証交付申請!$A64,入力シート!$AF$6:$AF$505,0),MATCH(体力優良証交付申請!M$14,テーブル22[[#Headers],[学年]:[得点]],0)))</f>
        <v/>
      </c>
    </row>
    <row r="65" spans="1:13" x14ac:dyDescent="0.2">
      <c r="A65" s="16">
        <v>51</v>
      </c>
      <c r="B65" s="130" t="str">
        <f>IF($A65&gt;MAX(入力シート!$AF$6:$AF$505),"",INDEX(テーブル22[[学年]:[得点]],MATCH(体力優良証交付申請!$A65,入力シート!$AF$6:$AF$505,0),MATCH(体力優良証交付申請!B$14,テーブル22[[#Headers],[学年]:[得点]],0)))</f>
        <v/>
      </c>
      <c r="C65" s="203" t="str">
        <f>IF($A65&gt;MAX(入力シート!$AF$6:$AF$505),"",INDEX(テーブル22[[学年]:[得点]],MATCH(体力優良証交付申請!$A65,入力シート!$AF$6:$AF$505,0),MATCH(体力優良証交付申請!C$14,テーブル22[[#Headers],[学年]:[得点]],0)))</f>
        <v/>
      </c>
      <c r="D65" s="203" t="str">
        <f>IF($A65&gt;MAX(入力シート!$AF$6:$AF$505),"",INDEX(テーブル22[[学年]:[得点]],MATCH(体力優良証交付申請!$A65,入力シート!$AF$6:$AF$505,0),MATCH(体力優良証交付申請!D$14,テーブル22[[#Headers],[学年]:[得点]],0)))</f>
        <v/>
      </c>
      <c r="E65" s="203" t="str">
        <f>IF($A65&gt;MAX(入力シート!$AF$6:$AF$505),"",INDEX(テーブル22[[学年]:[得点]],MATCH(体力優良証交付申請!$A65,入力シート!$AF$6:$AF$505,0),MATCH(体力優良証交付申請!E$14,テーブル22[[#Headers],[学年]:[得点]],0)))</f>
        <v/>
      </c>
      <c r="F65" s="203" t="str">
        <f>IF($A65&gt;MAX(入力シート!$AF$6:$AF$505),"",INDEX(テーブル22[[学年]:[得点]],MATCH(体力優良証交付申請!$A65,入力シート!$AF$6:$AF$505,0),MATCH(体力優良証交付申請!F$14,テーブル22[[#Headers],[学年]:[得点]],0)))</f>
        <v/>
      </c>
      <c r="G65" s="203" t="str">
        <f>IF($A65&gt;MAX(入力シート!$AF$6:$AF$505),"",INDEX(テーブル22[[学年]:[得点]],MATCH(体力優良証交付申請!$A65,入力シート!$AF$6:$AF$505,0),MATCH(体力優良証交付申請!G$14,テーブル22[[#Headers],[学年]:[得点]],0)))</f>
        <v/>
      </c>
      <c r="H65" s="203" t="str">
        <f>IF($A65&gt;MAX(入力シート!$AF$6:$AF$505),"",INDEX(テーブル22[[学年]:[得点]],MATCH(体力優良証交付申請!$A65,入力シート!$AF$6:$AF$505,0),MATCH(体力優良証交付申請!H$14,テーブル22[[#Headers],[学年]:[得点]],0)))</f>
        <v/>
      </c>
      <c r="I65" s="203" t="str">
        <f>IF($A65&gt;MAX(入力シート!$AF$6:$AF$505),"",INDEX(テーブル22[[学年]:[得点]],MATCH(体力優良証交付申請!$A65,入力シート!$AF$6:$AF$505,0),MATCH(体力優良証交付申請!I$14,テーブル22[[#Headers],[学年]:[得点]],0)))</f>
        <v/>
      </c>
      <c r="J65" s="114" t="str">
        <f>IF($A65&gt;MAX(入力シート!$AF$6:$AF$505),"",INDEX(テーブル22[[学年]:[得点]],MATCH(体力優良証交付申請!$A65,入力シート!$AF$6:$AF$505,0),MATCH(体力優良証交付申請!J$14,テーブル22[[#Headers],[学年]:[得点]],0)))</f>
        <v/>
      </c>
      <c r="K65" s="203" t="str">
        <f>IF($A65&gt;MAX(入力シート!$AF$6:$AF$505),"",INDEX(テーブル22[[学年]:[得点]],MATCH(体力優良証交付申請!$A65,入力シート!$AF$6:$AF$505,0),MATCH(体力優良証交付申請!K$14,テーブル22[[#Headers],[学年]:[得点]],0)))</f>
        <v/>
      </c>
      <c r="L65" s="203" t="str">
        <f>IF($A65&gt;MAX(入力シート!$AF$6:$AF$505),"",INDEX(テーブル22[[学年]:[得点]],MATCH(体力優良証交付申請!$A65,入力シート!$AF$6:$AF$505,0),MATCH(体力優良証交付申請!L$14,テーブル22[[#Headers],[学年]:[得点]],0)))</f>
        <v/>
      </c>
      <c r="M65" s="28" t="str">
        <f>IF($A65&gt;MAX(入力シート!$AF$6:$AF$505),"",INDEX(テーブル22[[学年]:[得点]],MATCH(体力優良証交付申請!$A65,入力シート!$AF$6:$AF$505,0),MATCH(体力優良証交付申請!M$14,テーブル22[[#Headers],[学年]:[得点]],0)))</f>
        <v/>
      </c>
    </row>
    <row r="66" spans="1:13" x14ac:dyDescent="0.2">
      <c r="A66" s="16">
        <v>52</v>
      </c>
      <c r="B66" s="130" t="str">
        <f>IF($A66&gt;MAX(入力シート!$AF$6:$AF$505),"",INDEX(テーブル22[[学年]:[得点]],MATCH(体力優良証交付申請!$A66,入力シート!$AF$6:$AF$505,0),MATCH(体力優良証交付申請!B$14,テーブル22[[#Headers],[学年]:[得点]],0)))</f>
        <v/>
      </c>
      <c r="C66" s="203" t="str">
        <f>IF($A66&gt;MAX(入力シート!$AF$6:$AF$505),"",INDEX(テーブル22[[学年]:[得点]],MATCH(体力優良証交付申請!$A66,入力シート!$AF$6:$AF$505,0),MATCH(体力優良証交付申請!C$14,テーブル22[[#Headers],[学年]:[得点]],0)))</f>
        <v/>
      </c>
      <c r="D66" s="203" t="str">
        <f>IF($A66&gt;MAX(入力シート!$AF$6:$AF$505),"",INDEX(テーブル22[[学年]:[得点]],MATCH(体力優良証交付申請!$A66,入力シート!$AF$6:$AF$505,0),MATCH(体力優良証交付申請!D$14,テーブル22[[#Headers],[学年]:[得点]],0)))</f>
        <v/>
      </c>
      <c r="E66" s="203" t="str">
        <f>IF($A66&gt;MAX(入力シート!$AF$6:$AF$505),"",INDEX(テーブル22[[学年]:[得点]],MATCH(体力優良証交付申請!$A66,入力シート!$AF$6:$AF$505,0),MATCH(体力優良証交付申請!E$14,テーブル22[[#Headers],[学年]:[得点]],0)))</f>
        <v/>
      </c>
      <c r="F66" s="203" t="str">
        <f>IF($A66&gt;MAX(入力シート!$AF$6:$AF$505),"",INDEX(テーブル22[[学年]:[得点]],MATCH(体力優良証交付申請!$A66,入力シート!$AF$6:$AF$505,0),MATCH(体力優良証交付申請!F$14,テーブル22[[#Headers],[学年]:[得点]],0)))</f>
        <v/>
      </c>
      <c r="G66" s="203" t="str">
        <f>IF($A66&gt;MAX(入力シート!$AF$6:$AF$505),"",INDEX(テーブル22[[学年]:[得点]],MATCH(体力優良証交付申請!$A66,入力シート!$AF$6:$AF$505,0),MATCH(体力優良証交付申請!G$14,テーブル22[[#Headers],[学年]:[得点]],0)))</f>
        <v/>
      </c>
      <c r="H66" s="203" t="str">
        <f>IF($A66&gt;MAX(入力シート!$AF$6:$AF$505),"",INDEX(テーブル22[[学年]:[得点]],MATCH(体力優良証交付申請!$A66,入力シート!$AF$6:$AF$505,0),MATCH(体力優良証交付申請!H$14,テーブル22[[#Headers],[学年]:[得点]],0)))</f>
        <v/>
      </c>
      <c r="I66" s="203" t="str">
        <f>IF($A66&gt;MAX(入力シート!$AF$6:$AF$505),"",INDEX(テーブル22[[学年]:[得点]],MATCH(体力優良証交付申請!$A66,入力シート!$AF$6:$AF$505,0),MATCH(体力優良証交付申請!I$14,テーブル22[[#Headers],[学年]:[得点]],0)))</f>
        <v/>
      </c>
      <c r="J66" s="114" t="str">
        <f>IF($A66&gt;MAX(入力シート!$AF$6:$AF$505),"",INDEX(テーブル22[[学年]:[得点]],MATCH(体力優良証交付申請!$A66,入力シート!$AF$6:$AF$505,0),MATCH(体力優良証交付申請!J$14,テーブル22[[#Headers],[学年]:[得点]],0)))</f>
        <v/>
      </c>
      <c r="K66" s="203" t="str">
        <f>IF($A66&gt;MAX(入力シート!$AF$6:$AF$505),"",INDEX(テーブル22[[学年]:[得点]],MATCH(体力優良証交付申請!$A66,入力シート!$AF$6:$AF$505,0),MATCH(体力優良証交付申請!K$14,テーブル22[[#Headers],[学年]:[得点]],0)))</f>
        <v/>
      </c>
      <c r="L66" s="203" t="str">
        <f>IF($A66&gt;MAX(入力シート!$AF$6:$AF$505),"",INDEX(テーブル22[[学年]:[得点]],MATCH(体力優良証交付申請!$A66,入力シート!$AF$6:$AF$505,0),MATCH(体力優良証交付申請!L$14,テーブル22[[#Headers],[学年]:[得点]],0)))</f>
        <v/>
      </c>
      <c r="M66" s="28" t="str">
        <f>IF($A66&gt;MAX(入力シート!$AF$6:$AF$505),"",INDEX(テーブル22[[学年]:[得点]],MATCH(体力優良証交付申請!$A66,入力シート!$AF$6:$AF$505,0),MATCH(体力優良証交付申請!M$14,テーブル22[[#Headers],[学年]:[得点]],0)))</f>
        <v/>
      </c>
    </row>
    <row r="67" spans="1:13" x14ac:dyDescent="0.2">
      <c r="A67" s="16">
        <v>53</v>
      </c>
      <c r="B67" s="130" t="str">
        <f>IF($A67&gt;MAX(入力シート!$AF$6:$AF$505),"",INDEX(テーブル22[[学年]:[得点]],MATCH(体力優良証交付申請!$A67,入力シート!$AF$6:$AF$505,0),MATCH(体力優良証交付申請!B$14,テーブル22[[#Headers],[学年]:[得点]],0)))</f>
        <v/>
      </c>
      <c r="C67" s="203" t="str">
        <f>IF($A67&gt;MAX(入力シート!$AF$6:$AF$505),"",INDEX(テーブル22[[学年]:[得点]],MATCH(体力優良証交付申請!$A67,入力シート!$AF$6:$AF$505,0),MATCH(体力優良証交付申請!C$14,テーブル22[[#Headers],[学年]:[得点]],0)))</f>
        <v/>
      </c>
      <c r="D67" s="203" t="str">
        <f>IF($A67&gt;MAX(入力シート!$AF$6:$AF$505),"",INDEX(テーブル22[[学年]:[得点]],MATCH(体力優良証交付申請!$A67,入力シート!$AF$6:$AF$505,0),MATCH(体力優良証交付申請!D$14,テーブル22[[#Headers],[学年]:[得点]],0)))</f>
        <v/>
      </c>
      <c r="E67" s="203" t="str">
        <f>IF($A67&gt;MAX(入力シート!$AF$6:$AF$505),"",INDEX(テーブル22[[学年]:[得点]],MATCH(体力優良証交付申請!$A67,入力シート!$AF$6:$AF$505,0),MATCH(体力優良証交付申請!E$14,テーブル22[[#Headers],[学年]:[得点]],0)))</f>
        <v/>
      </c>
      <c r="F67" s="203" t="str">
        <f>IF($A67&gt;MAX(入力シート!$AF$6:$AF$505),"",INDEX(テーブル22[[学年]:[得点]],MATCH(体力優良証交付申請!$A67,入力シート!$AF$6:$AF$505,0),MATCH(体力優良証交付申請!F$14,テーブル22[[#Headers],[学年]:[得点]],0)))</f>
        <v/>
      </c>
      <c r="G67" s="203" t="str">
        <f>IF($A67&gt;MAX(入力シート!$AF$6:$AF$505),"",INDEX(テーブル22[[学年]:[得点]],MATCH(体力優良証交付申請!$A67,入力シート!$AF$6:$AF$505,0),MATCH(体力優良証交付申請!G$14,テーブル22[[#Headers],[学年]:[得点]],0)))</f>
        <v/>
      </c>
      <c r="H67" s="203" t="str">
        <f>IF($A67&gt;MAX(入力シート!$AF$6:$AF$505),"",INDEX(テーブル22[[学年]:[得点]],MATCH(体力優良証交付申請!$A67,入力シート!$AF$6:$AF$505,0),MATCH(体力優良証交付申請!H$14,テーブル22[[#Headers],[学年]:[得点]],0)))</f>
        <v/>
      </c>
      <c r="I67" s="203" t="str">
        <f>IF($A67&gt;MAX(入力シート!$AF$6:$AF$505),"",INDEX(テーブル22[[学年]:[得点]],MATCH(体力優良証交付申請!$A67,入力シート!$AF$6:$AF$505,0),MATCH(体力優良証交付申請!I$14,テーブル22[[#Headers],[学年]:[得点]],0)))</f>
        <v/>
      </c>
      <c r="J67" s="114" t="str">
        <f>IF($A67&gt;MAX(入力シート!$AF$6:$AF$505),"",INDEX(テーブル22[[学年]:[得点]],MATCH(体力優良証交付申請!$A67,入力シート!$AF$6:$AF$505,0),MATCH(体力優良証交付申請!J$14,テーブル22[[#Headers],[学年]:[得点]],0)))</f>
        <v/>
      </c>
      <c r="K67" s="203" t="str">
        <f>IF($A67&gt;MAX(入力シート!$AF$6:$AF$505),"",INDEX(テーブル22[[学年]:[得点]],MATCH(体力優良証交付申請!$A67,入力シート!$AF$6:$AF$505,0),MATCH(体力優良証交付申請!K$14,テーブル22[[#Headers],[学年]:[得点]],0)))</f>
        <v/>
      </c>
      <c r="L67" s="203" t="str">
        <f>IF($A67&gt;MAX(入力シート!$AF$6:$AF$505),"",INDEX(テーブル22[[学年]:[得点]],MATCH(体力優良証交付申請!$A67,入力シート!$AF$6:$AF$505,0),MATCH(体力優良証交付申請!L$14,テーブル22[[#Headers],[学年]:[得点]],0)))</f>
        <v/>
      </c>
      <c r="M67" s="28" t="str">
        <f>IF($A67&gt;MAX(入力シート!$AF$6:$AF$505),"",INDEX(テーブル22[[学年]:[得点]],MATCH(体力優良証交付申請!$A67,入力シート!$AF$6:$AF$505,0),MATCH(体力優良証交付申請!M$14,テーブル22[[#Headers],[学年]:[得点]],0)))</f>
        <v/>
      </c>
    </row>
    <row r="68" spans="1:13" x14ac:dyDescent="0.2">
      <c r="A68" s="16">
        <v>54</v>
      </c>
      <c r="B68" s="130" t="str">
        <f>IF($A68&gt;MAX(入力シート!$AF$6:$AF$505),"",INDEX(テーブル22[[学年]:[得点]],MATCH(体力優良証交付申請!$A68,入力シート!$AF$6:$AF$505,0),MATCH(体力優良証交付申請!B$14,テーブル22[[#Headers],[学年]:[得点]],0)))</f>
        <v/>
      </c>
      <c r="C68" s="203" t="str">
        <f>IF($A68&gt;MAX(入力シート!$AF$6:$AF$505),"",INDEX(テーブル22[[学年]:[得点]],MATCH(体力優良証交付申請!$A68,入力シート!$AF$6:$AF$505,0),MATCH(体力優良証交付申請!C$14,テーブル22[[#Headers],[学年]:[得点]],0)))</f>
        <v/>
      </c>
      <c r="D68" s="203" t="str">
        <f>IF($A68&gt;MAX(入力シート!$AF$6:$AF$505),"",INDEX(テーブル22[[学年]:[得点]],MATCH(体力優良証交付申請!$A68,入力シート!$AF$6:$AF$505,0),MATCH(体力優良証交付申請!D$14,テーブル22[[#Headers],[学年]:[得点]],0)))</f>
        <v/>
      </c>
      <c r="E68" s="203" t="str">
        <f>IF($A68&gt;MAX(入力シート!$AF$6:$AF$505),"",INDEX(テーブル22[[学年]:[得点]],MATCH(体力優良証交付申請!$A68,入力シート!$AF$6:$AF$505,0),MATCH(体力優良証交付申請!E$14,テーブル22[[#Headers],[学年]:[得点]],0)))</f>
        <v/>
      </c>
      <c r="F68" s="203" t="str">
        <f>IF($A68&gt;MAX(入力シート!$AF$6:$AF$505),"",INDEX(テーブル22[[学年]:[得点]],MATCH(体力優良証交付申請!$A68,入力シート!$AF$6:$AF$505,0),MATCH(体力優良証交付申請!F$14,テーブル22[[#Headers],[学年]:[得点]],0)))</f>
        <v/>
      </c>
      <c r="G68" s="203" t="str">
        <f>IF($A68&gt;MAX(入力シート!$AF$6:$AF$505),"",INDEX(テーブル22[[学年]:[得点]],MATCH(体力優良証交付申請!$A68,入力シート!$AF$6:$AF$505,0),MATCH(体力優良証交付申請!G$14,テーブル22[[#Headers],[学年]:[得点]],0)))</f>
        <v/>
      </c>
      <c r="H68" s="203" t="str">
        <f>IF($A68&gt;MAX(入力シート!$AF$6:$AF$505),"",INDEX(テーブル22[[学年]:[得点]],MATCH(体力優良証交付申請!$A68,入力シート!$AF$6:$AF$505,0),MATCH(体力優良証交付申請!H$14,テーブル22[[#Headers],[学年]:[得点]],0)))</f>
        <v/>
      </c>
      <c r="I68" s="203" t="str">
        <f>IF($A68&gt;MAX(入力シート!$AF$6:$AF$505),"",INDEX(テーブル22[[学年]:[得点]],MATCH(体力優良証交付申請!$A68,入力シート!$AF$6:$AF$505,0),MATCH(体力優良証交付申請!I$14,テーブル22[[#Headers],[学年]:[得点]],0)))</f>
        <v/>
      </c>
      <c r="J68" s="114" t="str">
        <f>IF($A68&gt;MAX(入力シート!$AF$6:$AF$505),"",INDEX(テーブル22[[学年]:[得点]],MATCH(体力優良証交付申請!$A68,入力シート!$AF$6:$AF$505,0),MATCH(体力優良証交付申請!J$14,テーブル22[[#Headers],[学年]:[得点]],0)))</f>
        <v/>
      </c>
      <c r="K68" s="203" t="str">
        <f>IF($A68&gt;MAX(入力シート!$AF$6:$AF$505),"",INDEX(テーブル22[[学年]:[得点]],MATCH(体力優良証交付申請!$A68,入力シート!$AF$6:$AF$505,0),MATCH(体力優良証交付申請!K$14,テーブル22[[#Headers],[学年]:[得点]],0)))</f>
        <v/>
      </c>
      <c r="L68" s="203" t="str">
        <f>IF($A68&gt;MAX(入力シート!$AF$6:$AF$505),"",INDEX(テーブル22[[学年]:[得点]],MATCH(体力優良証交付申請!$A68,入力シート!$AF$6:$AF$505,0),MATCH(体力優良証交付申請!L$14,テーブル22[[#Headers],[学年]:[得点]],0)))</f>
        <v/>
      </c>
      <c r="M68" s="28" t="str">
        <f>IF($A68&gt;MAX(入力シート!$AF$6:$AF$505),"",INDEX(テーブル22[[学年]:[得点]],MATCH(体力優良証交付申請!$A68,入力シート!$AF$6:$AF$505,0),MATCH(体力優良証交付申請!M$14,テーブル22[[#Headers],[学年]:[得点]],0)))</f>
        <v/>
      </c>
    </row>
    <row r="69" spans="1:13" x14ac:dyDescent="0.2">
      <c r="A69" s="16">
        <v>55</v>
      </c>
      <c r="B69" s="130" t="str">
        <f>IF($A69&gt;MAX(入力シート!$AF$6:$AF$505),"",INDEX(テーブル22[[学年]:[得点]],MATCH(体力優良証交付申請!$A69,入力シート!$AF$6:$AF$505,0),MATCH(体力優良証交付申請!B$14,テーブル22[[#Headers],[学年]:[得点]],0)))</f>
        <v/>
      </c>
      <c r="C69" s="203" t="str">
        <f>IF($A69&gt;MAX(入力シート!$AF$6:$AF$505),"",INDEX(テーブル22[[学年]:[得点]],MATCH(体力優良証交付申請!$A69,入力シート!$AF$6:$AF$505,0),MATCH(体力優良証交付申請!C$14,テーブル22[[#Headers],[学年]:[得点]],0)))</f>
        <v/>
      </c>
      <c r="D69" s="203" t="str">
        <f>IF($A69&gt;MAX(入力シート!$AF$6:$AF$505),"",INDEX(テーブル22[[学年]:[得点]],MATCH(体力優良証交付申請!$A69,入力シート!$AF$6:$AF$505,0),MATCH(体力優良証交付申請!D$14,テーブル22[[#Headers],[学年]:[得点]],0)))</f>
        <v/>
      </c>
      <c r="E69" s="203" t="str">
        <f>IF($A69&gt;MAX(入力シート!$AF$6:$AF$505),"",INDEX(テーブル22[[学年]:[得点]],MATCH(体力優良証交付申請!$A69,入力シート!$AF$6:$AF$505,0),MATCH(体力優良証交付申請!E$14,テーブル22[[#Headers],[学年]:[得点]],0)))</f>
        <v/>
      </c>
      <c r="F69" s="203" t="str">
        <f>IF($A69&gt;MAX(入力シート!$AF$6:$AF$505),"",INDEX(テーブル22[[学年]:[得点]],MATCH(体力優良証交付申請!$A69,入力シート!$AF$6:$AF$505,0),MATCH(体力優良証交付申請!F$14,テーブル22[[#Headers],[学年]:[得点]],0)))</f>
        <v/>
      </c>
      <c r="G69" s="203" t="str">
        <f>IF($A69&gt;MAX(入力シート!$AF$6:$AF$505),"",INDEX(テーブル22[[学年]:[得点]],MATCH(体力優良証交付申請!$A69,入力シート!$AF$6:$AF$505,0),MATCH(体力優良証交付申請!G$14,テーブル22[[#Headers],[学年]:[得点]],0)))</f>
        <v/>
      </c>
      <c r="H69" s="203" t="str">
        <f>IF($A69&gt;MAX(入力シート!$AF$6:$AF$505),"",INDEX(テーブル22[[学年]:[得点]],MATCH(体力優良証交付申請!$A69,入力シート!$AF$6:$AF$505,0),MATCH(体力優良証交付申請!H$14,テーブル22[[#Headers],[学年]:[得点]],0)))</f>
        <v/>
      </c>
      <c r="I69" s="203" t="str">
        <f>IF($A69&gt;MAX(入力シート!$AF$6:$AF$505),"",INDEX(テーブル22[[学年]:[得点]],MATCH(体力優良証交付申請!$A69,入力シート!$AF$6:$AF$505,0),MATCH(体力優良証交付申請!I$14,テーブル22[[#Headers],[学年]:[得点]],0)))</f>
        <v/>
      </c>
      <c r="J69" s="114" t="str">
        <f>IF($A69&gt;MAX(入力シート!$AF$6:$AF$505),"",INDEX(テーブル22[[学年]:[得点]],MATCH(体力優良証交付申請!$A69,入力シート!$AF$6:$AF$505,0),MATCH(体力優良証交付申請!J$14,テーブル22[[#Headers],[学年]:[得点]],0)))</f>
        <v/>
      </c>
      <c r="K69" s="203" t="str">
        <f>IF($A69&gt;MAX(入力シート!$AF$6:$AF$505),"",INDEX(テーブル22[[学年]:[得点]],MATCH(体力優良証交付申請!$A69,入力シート!$AF$6:$AF$505,0),MATCH(体力優良証交付申請!K$14,テーブル22[[#Headers],[学年]:[得点]],0)))</f>
        <v/>
      </c>
      <c r="L69" s="203" t="str">
        <f>IF($A69&gt;MAX(入力シート!$AF$6:$AF$505),"",INDEX(テーブル22[[学年]:[得点]],MATCH(体力優良証交付申請!$A69,入力シート!$AF$6:$AF$505,0),MATCH(体力優良証交付申請!L$14,テーブル22[[#Headers],[学年]:[得点]],0)))</f>
        <v/>
      </c>
      <c r="M69" s="28" t="str">
        <f>IF($A69&gt;MAX(入力シート!$AF$6:$AF$505),"",INDEX(テーブル22[[学年]:[得点]],MATCH(体力優良証交付申請!$A69,入力シート!$AF$6:$AF$505,0),MATCH(体力優良証交付申請!M$14,テーブル22[[#Headers],[学年]:[得点]],0)))</f>
        <v/>
      </c>
    </row>
    <row r="70" spans="1:13" x14ac:dyDescent="0.2">
      <c r="A70" s="16">
        <v>56</v>
      </c>
      <c r="B70" s="130" t="str">
        <f>IF($A70&gt;MAX(入力シート!$AF$6:$AF$505),"",INDEX(テーブル22[[学年]:[得点]],MATCH(体力優良証交付申請!$A70,入力シート!$AF$6:$AF$505,0),MATCH(体力優良証交付申請!B$14,テーブル22[[#Headers],[学年]:[得点]],0)))</f>
        <v/>
      </c>
      <c r="C70" s="203" t="str">
        <f>IF($A70&gt;MAX(入力シート!$AF$6:$AF$505),"",INDEX(テーブル22[[学年]:[得点]],MATCH(体力優良証交付申請!$A70,入力シート!$AF$6:$AF$505,0),MATCH(体力優良証交付申請!C$14,テーブル22[[#Headers],[学年]:[得点]],0)))</f>
        <v/>
      </c>
      <c r="D70" s="203" t="str">
        <f>IF($A70&gt;MAX(入力シート!$AF$6:$AF$505),"",INDEX(テーブル22[[学年]:[得点]],MATCH(体力優良証交付申請!$A70,入力シート!$AF$6:$AF$505,0),MATCH(体力優良証交付申請!D$14,テーブル22[[#Headers],[学年]:[得点]],0)))</f>
        <v/>
      </c>
      <c r="E70" s="203" t="str">
        <f>IF($A70&gt;MAX(入力シート!$AF$6:$AF$505),"",INDEX(テーブル22[[学年]:[得点]],MATCH(体力優良証交付申請!$A70,入力シート!$AF$6:$AF$505,0),MATCH(体力優良証交付申請!E$14,テーブル22[[#Headers],[学年]:[得点]],0)))</f>
        <v/>
      </c>
      <c r="F70" s="203" t="str">
        <f>IF($A70&gt;MAX(入力シート!$AF$6:$AF$505),"",INDEX(テーブル22[[学年]:[得点]],MATCH(体力優良証交付申請!$A70,入力シート!$AF$6:$AF$505,0),MATCH(体力優良証交付申請!F$14,テーブル22[[#Headers],[学年]:[得点]],0)))</f>
        <v/>
      </c>
      <c r="G70" s="203" t="str">
        <f>IF($A70&gt;MAX(入力シート!$AF$6:$AF$505),"",INDEX(テーブル22[[学年]:[得点]],MATCH(体力優良証交付申請!$A70,入力シート!$AF$6:$AF$505,0),MATCH(体力優良証交付申請!G$14,テーブル22[[#Headers],[学年]:[得点]],0)))</f>
        <v/>
      </c>
      <c r="H70" s="203" t="str">
        <f>IF($A70&gt;MAX(入力シート!$AF$6:$AF$505),"",INDEX(テーブル22[[学年]:[得点]],MATCH(体力優良証交付申請!$A70,入力シート!$AF$6:$AF$505,0),MATCH(体力優良証交付申請!H$14,テーブル22[[#Headers],[学年]:[得点]],0)))</f>
        <v/>
      </c>
      <c r="I70" s="203" t="str">
        <f>IF($A70&gt;MAX(入力シート!$AF$6:$AF$505),"",INDEX(テーブル22[[学年]:[得点]],MATCH(体力優良証交付申請!$A70,入力シート!$AF$6:$AF$505,0),MATCH(体力優良証交付申請!I$14,テーブル22[[#Headers],[学年]:[得点]],0)))</f>
        <v/>
      </c>
      <c r="J70" s="114" t="str">
        <f>IF($A70&gt;MAX(入力シート!$AF$6:$AF$505),"",INDEX(テーブル22[[学年]:[得点]],MATCH(体力優良証交付申請!$A70,入力シート!$AF$6:$AF$505,0),MATCH(体力優良証交付申請!J$14,テーブル22[[#Headers],[学年]:[得点]],0)))</f>
        <v/>
      </c>
      <c r="K70" s="203" t="str">
        <f>IF($A70&gt;MAX(入力シート!$AF$6:$AF$505),"",INDEX(テーブル22[[学年]:[得点]],MATCH(体力優良証交付申請!$A70,入力シート!$AF$6:$AF$505,0),MATCH(体力優良証交付申請!K$14,テーブル22[[#Headers],[学年]:[得点]],0)))</f>
        <v/>
      </c>
      <c r="L70" s="203" t="str">
        <f>IF($A70&gt;MAX(入力シート!$AF$6:$AF$505),"",INDEX(テーブル22[[学年]:[得点]],MATCH(体力優良証交付申請!$A70,入力シート!$AF$6:$AF$505,0),MATCH(体力優良証交付申請!L$14,テーブル22[[#Headers],[学年]:[得点]],0)))</f>
        <v/>
      </c>
      <c r="M70" s="28" t="str">
        <f>IF($A70&gt;MAX(入力シート!$AF$6:$AF$505),"",INDEX(テーブル22[[学年]:[得点]],MATCH(体力優良証交付申請!$A70,入力シート!$AF$6:$AF$505,0),MATCH(体力優良証交付申請!M$14,テーブル22[[#Headers],[学年]:[得点]],0)))</f>
        <v/>
      </c>
    </row>
    <row r="71" spans="1:13" x14ac:dyDescent="0.2">
      <c r="A71" s="16">
        <v>57</v>
      </c>
      <c r="B71" s="130" t="str">
        <f>IF($A71&gt;MAX(入力シート!$AF$6:$AF$505),"",INDEX(テーブル22[[学年]:[得点]],MATCH(体力優良証交付申請!$A71,入力シート!$AF$6:$AF$505,0),MATCH(体力優良証交付申請!B$14,テーブル22[[#Headers],[学年]:[得点]],0)))</f>
        <v/>
      </c>
      <c r="C71" s="203" t="str">
        <f>IF($A71&gt;MAX(入力シート!$AF$6:$AF$505),"",INDEX(テーブル22[[学年]:[得点]],MATCH(体力優良証交付申請!$A71,入力シート!$AF$6:$AF$505,0),MATCH(体力優良証交付申請!C$14,テーブル22[[#Headers],[学年]:[得点]],0)))</f>
        <v/>
      </c>
      <c r="D71" s="203" t="str">
        <f>IF($A71&gt;MAX(入力シート!$AF$6:$AF$505),"",INDEX(テーブル22[[学年]:[得点]],MATCH(体力優良証交付申請!$A71,入力シート!$AF$6:$AF$505,0),MATCH(体力優良証交付申請!D$14,テーブル22[[#Headers],[学年]:[得点]],0)))</f>
        <v/>
      </c>
      <c r="E71" s="203" t="str">
        <f>IF($A71&gt;MAX(入力シート!$AF$6:$AF$505),"",INDEX(テーブル22[[学年]:[得点]],MATCH(体力優良証交付申請!$A71,入力シート!$AF$6:$AF$505,0),MATCH(体力優良証交付申請!E$14,テーブル22[[#Headers],[学年]:[得点]],0)))</f>
        <v/>
      </c>
      <c r="F71" s="203" t="str">
        <f>IF($A71&gt;MAX(入力シート!$AF$6:$AF$505),"",INDEX(テーブル22[[学年]:[得点]],MATCH(体力優良証交付申請!$A71,入力シート!$AF$6:$AF$505,0),MATCH(体力優良証交付申請!F$14,テーブル22[[#Headers],[学年]:[得点]],0)))</f>
        <v/>
      </c>
      <c r="G71" s="203" t="str">
        <f>IF($A71&gt;MAX(入力シート!$AF$6:$AF$505),"",INDEX(テーブル22[[学年]:[得点]],MATCH(体力優良証交付申請!$A71,入力シート!$AF$6:$AF$505,0),MATCH(体力優良証交付申請!G$14,テーブル22[[#Headers],[学年]:[得点]],0)))</f>
        <v/>
      </c>
      <c r="H71" s="203" t="str">
        <f>IF($A71&gt;MAX(入力シート!$AF$6:$AF$505),"",INDEX(テーブル22[[学年]:[得点]],MATCH(体力優良証交付申請!$A71,入力シート!$AF$6:$AF$505,0),MATCH(体力優良証交付申請!H$14,テーブル22[[#Headers],[学年]:[得点]],0)))</f>
        <v/>
      </c>
      <c r="I71" s="203" t="str">
        <f>IF($A71&gt;MAX(入力シート!$AF$6:$AF$505),"",INDEX(テーブル22[[学年]:[得点]],MATCH(体力優良証交付申請!$A71,入力シート!$AF$6:$AF$505,0),MATCH(体力優良証交付申請!I$14,テーブル22[[#Headers],[学年]:[得点]],0)))</f>
        <v/>
      </c>
      <c r="J71" s="114" t="str">
        <f>IF($A71&gt;MAX(入力シート!$AF$6:$AF$505),"",INDEX(テーブル22[[学年]:[得点]],MATCH(体力優良証交付申請!$A71,入力シート!$AF$6:$AF$505,0),MATCH(体力優良証交付申請!J$14,テーブル22[[#Headers],[学年]:[得点]],0)))</f>
        <v/>
      </c>
      <c r="K71" s="203" t="str">
        <f>IF($A71&gt;MAX(入力シート!$AF$6:$AF$505),"",INDEX(テーブル22[[学年]:[得点]],MATCH(体力優良証交付申請!$A71,入力シート!$AF$6:$AF$505,0),MATCH(体力優良証交付申請!K$14,テーブル22[[#Headers],[学年]:[得点]],0)))</f>
        <v/>
      </c>
      <c r="L71" s="203" t="str">
        <f>IF($A71&gt;MAX(入力シート!$AF$6:$AF$505),"",INDEX(テーブル22[[学年]:[得点]],MATCH(体力優良証交付申請!$A71,入力シート!$AF$6:$AF$505,0),MATCH(体力優良証交付申請!L$14,テーブル22[[#Headers],[学年]:[得点]],0)))</f>
        <v/>
      </c>
      <c r="M71" s="28" t="str">
        <f>IF($A71&gt;MAX(入力シート!$AF$6:$AF$505),"",INDEX(テーブル22[[学年]:[得点]],MATCH(体力優良証交付申請!$A71,入力シート!$AF$6:$AF$505,0),MATCH(体力優良証交付申請!M$14,テーブル22[[#Headers],[学年]:[得点]],0)))</f>
        <v/>
      </c>
    </row>
    <row r="72" spans="1:13" x14ac:dyDescent="0.2">
      <c r="A72" s="16">
        <v>58</v>
      </c>
      <c r="B72" s="130" t="str">
        <f>IF($A72&gt;MAX(入力シート!$AF$6:$AF$505),"",INDEX(テーブル22[[学年]:[得点]],MATCH(体力優良証交付申請!$A72,入力シート!$AF$6:$AF$505,0),MATCH(体力優良証交付申請!B$14,テーブル22[[#Headers],[学年]:[得点]],0)))</f>
        <v/>
      </c>
      <c r="C72" s="203" t="str">
        <f>IF($A72&gt;MAX(入力シート!$AF$6:$AF$505),"",INDEX(テーブル22[[学年]:[得点]],MATCH(体力優良証交付申請!$A72,入力シート!$AF$6:$AF$505,0),MATCH(体力優良証交付申請!C$14,テーブル22[[#Headers],[学年]:[得点]],0)))</f>
        <v/>
      </c>
      <c r="D72" s="203" t="str">
        <f>IF($A72&gt;MAX(入力シート!$AF$6:$AF$505),"",INDEX(テーブル22[[学年]:[得点]],MATCH(体力優良証交付申請!$A72,入力シート!$AF$6:$AF$505,0),MATCH(体力優良証交付申請!D$14,テーブル22[[#Headers],[学年]:[得点]],0)))</f>
        <v/>
      </c>
      <c r="E72" s="203" t="str">
        <f>IF($A72&gt;MAX(入力シート!$AF$6:$AF$505),"",INDEX(テーブル22[[学年]:[得点]],MATCH(体力優良証交付申請!$A72,入力シート!$AF$6:$AF$505,0),MATCH(体力優良証交付申請!E$14,テーブル22[[#Headers],[学年]:[得点]],0)))</f>
        <v/>
      </c>
      <c r="F72" s="203" t="str">
        <f>IF($A72&gt;MAX(入力シート!$AF$6:$AF$505),"",INDEX(テーブル22[[学年]:[得点]],MATCH(体力優良証交付申請!$A72,入力シート!$AF$6:$AF$505,0),MATCH(体力優良証交付申請!F$14,テーブル22[[#Headers],[学年]:[得点]],0)))</f>
        <v/>
      </c>
      <c r="G72" s="203" t="str">
        <f>IF($A72&gt;MAX(入力シート!$AF$6:$AF$505),"",INDEX(テーブル22[[学年]:[得点]],MATCH(体力優良証交付申請!$A72,入力シート!$AF$6:$AF$505,0),MATCH(体力優良証交付申請!G$14,テーブル22[[#Headers],[学年]:[得点]],0)))</f>
        <v/>
      </c>
      <c r="H72" s="203" t="str">
        <f>IF($A72&gt;MAX(入力シート!$AF$6:$AF$505),"",INDEX(テーブル22[[学年]:[得点]],MATCH(体力優良証交付申請!$A72,入力シート!$AF$6:$AF$505,0),MATCH(体力優良証交付申請!H$14,テーブル22[[#Headers],[学年]:[得点]],0)))</f>
        <v/>
      </c>
      <c r="I72" s="203" t="str">
        <f>IF($A72&gt;MAX(入力シート!$AF$6:$AF$505),"",INDEX(テーブル22[[学年]:[得点]],MATCH(体力優良証交付申請!$A72,入力シート!$AF$6:$AF$505,0),MATCH(体力優良証交付申請!I$14,テーブル22[[#Headers],[学年]:[得点]],0)))</f>
        <v/>
      </c>
      <c r="J72" s="114" t="str">
        <f>IF($A72&gt;MAX(入力シート!$AF$6:$AF$505),"",INDEX(テーブル22[[学年]:[得点]],MATCH(体力優良証交付申請!$A72,入力シート!$AF$6:$AF$505,0),MATCH(体力優良証交付申請!J$14,テーブル22[[#Headers],[学年]:[得点]],0)))</f>
        <v/>
      </c>
      <c r="K72" s="203" t="str">
        <f>IF($A72&gt;MAX(入力シート!$AF$6:$AF$505),"",INDEX(テーブル22[[学年]:[得点]],MATCH(体力優良証交付申請!$A72,入力シート!$AF$6:$AF$505,0),MATCH(体力優良証交付申請!K$14,テーブル22[[#Headers],[学年]:[得点]],0)))</f>
        <v/>
      </c>
      <c r="L72" s="203" t="str">
        <f>IF($A72&gt;MAX(入力シート!$AF$6:$AF$505),"",INDEX(テーブル22[[学年]:[得点]],MATCH(体力優良証交付申請!$A72,入力シート!$AF$6:$AF$505,0),MATCH(体力優良証交付申請!L$14,テーブル22[[#Headers],[学年]:[得点]],0)))</f>
        <v/>
      </c>
      <c r="M72" s="28" t="str">
        <f>IF($A72&gt;MAX(入力シート!$AF$6:$AF$505),"",INDEX(テーブル22[[学年]:[得点]],MATCH(体力優良証交付申請!$A72,入力シート!$AF$6:$AF$505,0),MATCH(体力優良証交付申請!M$14,テーブル22[[#Headers],[学年]:[得点]],0)))</f>
        <v/>
      </c>
    </row>
    <row r="73" spans="1:13" x14ac:dyDescent="0.2">
      <c r="A73" s="16">
        <v>59</v>
      </c>
      <c r="B73" s="130" t="str">
        <f>IF($A73&gt;MAX(入力シート!$AF$6:$AF$505),"",INDEX(テーブル22[[学年]:[得点]],MATCH(体力優良証交付申請!$A73,入力シート!$AF$6:$AF$505,0),MATCH(体力優良証交付申請!B$14,テーブル22[[#Headers],[学年]:[得点]],0)))</f>
        <v/>
      </c>
      <c r="C73" s="203" t="str">
        <f>IF($A73&gt;MAX(入力シート!$AF$6:$AF$505),"",INDEX(テーブル22[[学年]:[得点]],MATCH(体力優良証交付申請!$A73,入力シート!$AF$6:$AF$505,0),MATCH(体力優良証交付申請!C$14,テーブル22[[#Headers],[学年]:[得点]],0)))</f>
        <v/>
      </c>
      <c r="D73" s="203" t="str">
        <f>IF($A73&gt;MAX(入力シート!$AF$6:$AF$505),"",INDEX(テーブル22[[学年]:[得点]],MATCH(体力優良証交付申請!$A73,入力シート!$AF$6:$AF$505,0),MATCH(体力優良証交付申請!D$14,テーブル22[[#Headers],[学年]:[得点]],0)))</f>
        <v/>
      </c>
      <c r="E73" s="203" t="str">
        <f>IF($A73&gt;MAX(入力シート!$AF$6:$AF$505),"",INDEX(テーブル22[[学年]:[得点]],MATCH(体力優良証交付申請!$A73,入力シート!$AF$6:$AF$505,0),MATCH(体力優良証交付申請!E$14,テーブル22[[#Headers],[学年]:[得点]],0)))</f>
        <v/>
      </c>
      <c r="F73" s="203" t="str">
        <f>IF($A73&gt;MAX(入力シート!$AF$6:$AF$505),"",INDEX(テーブル22[[学年]:[得点]],MATCH(体力優良証交付申請!$A73,入力シート!$AF$6:$AF$505,0),MATCH(体力優良証交付申請!F$14,テーブル22[[#Headers],[学年]:[得点]],0)))</f>
        <v/>
      </c>
      <c r="G73" s="203" t="str">
        <f>IF($A73&gt;MAX(入力シート!$AF$6:$AF$505),"",INDEX(テーブル22[[学年]:[得点]],MATCH(体力優良証交付申請!$A73,入力シート!$AF$6:$AF$505,0),MATCH(体力優良証交付申請!G$14,テーブル22[[#Headers],[学年]:[得点]],0)))</f>
        <v/>
      </c>
      <c r="H73" s="203" t="str">
        <f>IF($A73&gt;MAX(入力シート!$AF$6:$AF$505),"",INDEX(テーブル22[[学年]:[得点]],MATCH(体力優良証交付申請!$A73,入力シート!$AF$6:$AF$505,0),MATCH(体力優良証交付申請!H$14,テーブル22[[#Headers],[学年]:[得点]],0)))</f>
        <v/>
      </c>
      <c r="I73" s="203" t="str">
        <f>IF($A73&gt;MAX(入力シート!$AF$6:$AF$505),"",INDEX(テーブル22[[学年]:[得点]],MATCH(体力優良証交付申請!$A73,入力シート!$AF$6:$AF$505,0),MATCH(体力優良証交付申請!I$14,テーブル22[[#Headers],[学年]:[得点]],0)))</f>
        <v/>
      </c>
      <c r="J73" s="114" t="str">
        <f>IF($A73&gt;MAX(入力シート!$AF$6:$AF$505),"",INDEX(テーブル22[[学年]:[得点]],MATCH(体力優良証交付申請!$A73,入力シート!$AF$6:$AF$505,0),MATCH(体力優良証交付申請!J$14,テーブル22[[#Headers],[学年]:[得点]],0)))</f>
        <v/>
      </c>
      <c r="K73" s="203" t="str">
        <f>IF($A73&gt;MAX(入力シート!$AF$6:$AF$505),"",INDEX(テーブル22[[学年]:[得点]],MATCH(体力優良証交付申請!$A73,入力シート!$AF$6:$AF$505,0),MATCH(体力優良証交付申請!K$14,テーブル22[[#Headers],[学年]:[得点]],0)))</f>
        <v/>
      </c>
      <c r="L73" s="203" t="str">
        <f>IF($A73&gt;MAX(入力シート!$AF$6:$AF$505),"",INDEX(テーブル22[[学年]:[得点]],MATCH(体力優良証交付申請!$A73,入力シート!$AF$6:$AF$505,0),MATCH(体力優良証交付申請!L$14,テーブル22[[#Headers],[学年]:[得点]],0)))</f>
        <v/>
      </c>
      <c r="M73" s="28" t="str">
        <f>IF($A73&gt;MAX(入力シート!$AF$6:$AF$505),"",INDEX(テーブル22[[学年]:[得点]],MATCH(体力優良証交付申請!$A73,入力シート!$AF$6:$AF$505,0),MATCH(体力優良証交付申請!M$14,テーブル22[[#Headers],[学年]:[得点]],0)))</f>
        <v/>
      </c>
    </row>
    <row r="74" spans="1:13" x14ac:dyDescent="0.2">
      <c r="A74" s="16">
        <v>60</v>
      </c>
      <c r="B74" s="130" t="str">
        <f>IF($A74&gt;MAX(入力シート!$AF$6:$AF$505),"",INDEX(テーブル22[[学年]:[得点]],MATCH(体力優良証交付申請!$A74,入力シート!$AF$6:$AF$505,0),MATCH(体力優良証交付申請!B$14,テーブル22[[#Headers],[学年]:[得点]],0)))</f>
        <v/>
      </c>
      <c r="C74" s="203" t="str">
        <f>IF($A74&gt;MAX(入力シート!$AF$6:$AF$505),"",INDEX(テーブル22[[学年]:[得点]],MATCH(体力優良証交付申請!$A74,入力シート!$AF$6:$AF$505,0),MATCH(体力優良証交付申請!C$14,テーブル22[[#Headers],[学年]:[得点]],0)))</f>
        <v/>
      </c>
      <c r="D74" s="203" t="str">
        <f>IF($A74&gt;MAX(入力シート!$AF$6:$AF$505),"",INDEX(テーブル22[[学年]:[得点]],MATCH(体力優良証交付申請!$A74,入力シート!$AF$6:$AF$505,0),MATCH(体力優良証交付申請!D$14,テーブル22[[#Headers],[学年]:[得点]],0)))</f>
        <v/>
      </c>
      <c r="E74" s="203" t="str">
        <f>IF($A74&gt;MAX(入力シート!$AF$6:$AF$505),"",INDEX(テーブル22[[学年]:[得点]],MATCH(体力優良証交付申請!$A74,入力シート!$AF$6:$AF$505,0),MATCH(体力優良証交付申請!E$14,テーブル22[[#Headers],[学年]:[得点]],0)))</f>
        <v/>
      </c>
      <c r="F74" s="203" t="str">
        <f>IF($A74&gt;MAX(入力シート!$AF$6:$AF$505),"",INDEX(テーブル22[[学年]:[得点]],MATCH(体力優良証交付申請!$A74,入力シート!$AF$6:$AF$505,0),MATCH(体力優良証交付申請!F$14,テーブル22[[#Headers],[学年]:[得点]],0)))</f>
        <v/>
      </c>
      <c r="G74" s="203" t="str">
        <f>IF($A74&gt;MAX(入力シート!$AF$6:$AF$505),"",INDEX(テーブル22[[学年]:[得点]],MATCH(体力優良証交付申請!$A74,入力シート!$AF$6:$AF$505,0),MATCH(体力優良証交付申請!G$14,テーブル22[[#Headers],[学年]:[得点]],0)))</f>
        <v/>
      </c>
      <c r="H74" s="203" t="str">
        <f>IF($A74&gt;MAX(入力シート!$AF$6:$AF$505),"",INDEX(テーブル22[[学年]:[得点]],MATCH(体力優良証交付申請!$A74,入力シート!$AF$6:$AF$505,0),MATCH(体力優良証交付申請!H$14,テーブル22[[#Headers],[学年]:[得点]],0)))</f>
        <v/>
      </c>
      <c r="I74" s="203" t="str">
        <f>IF($A74&gt;MAX(入力シート!$AF$6:$AF$505),"",INDEX(テーブル22[[学年]:[得点]],MATCH(体力優良証交付申請!$A74,入力シート!$AF$6:$AF$505,0),MATCH(体力優良証交付申請!I$14,テーブル22[[#Headers],[学年]:[得点]],0)))</f>
        <v/>
      </c>
      <c r="J74" s="114" t="str">
        <f>IF($A74&gt;MAX(入力シート!$AF$6:$AF$505),"",INDEX(テーブル22[[学年]:[得点]],MATCH(体力優良証交付申請!$A74,入力シート!$AF$6:$AF$505,0),MATCH(体力優良証交付申請!J$14,テーブル22[[#Headers],[学年]:[得点]],0)))</f>
        <v/>
      </c>
      <c r="K74" s="203" t="str">
        <f>IF($A74&gt;MAX(入力シート!$AF$6:$AF$505),"",INDEX(テーブル22[[学年]:[得点]],MATCH(体力優良証交付申請!$A74,入力シート!$AF$6:$AF$505,0),MATCH(体力優良証交付申請!K$14,テーブル22[[#Headers],[学年]:[得点]],0)))</f>
        <v/>
      </c>
      <c r="L74" s="203" t="str">
        <f>IF($A74&gt;MAX(入力シート!$AF$6:$AF$505),"",INDEX(テーブル22[[学年]:[得点]],MATCH(体力優良証交付申請!$A74,入力シート!$AF$6:$AF$505,0),MATCH(体力優良証交付申請!L$14,テーブル22[[#Headers],[学年]:[得点]],0)))</f>
        <v/>
      </c>
      <c r="M74" s="28" t="str">
        <f>IF($A74&gt;MAX(入力シート!$AF$6:$AF$505),"",INDEX(テーブル22[[学年]:[得点]],MATCH(体力優良証交付申請!$A74,入力シート!$AF$6:$AF$505,0),MATCH(体力優良証交付申請!M$14,テーブル22[[#Headers],[学年]:[得点]],0)))</f>
        <v/>
      </c>
    </row>
    <row r="75" spans="1:13" x14ac:dyDescent="0.2">
      <c r="A75" s="16">
        <v>61</v>
      </c>
      <c r="B75" s="130" t="str">
        <f>IF($A75&gt;MAX(入力シート!$AF$6:$AF$505),"",INDEX(テーブル22[[学年]:[得点]],MATCH(体力優良証交付申請!$A75,入力シート!$AF$6:$AF$505,0),MATCH(体力優良証交付申請!B$14,テーブル22[[#Headers],[学年]:[得点]],0)))</f>
        <v/>
      </c>
      <c r="C75" s="203" t="str">
        <f>IF($A75&gt;MAX(入力シート!$AF$6:$AF$505),"",INDEX(テーブル22[[学年]:[得点]],MATCH(体力優良証交付申請!$A75,入力シート!$AF$6:$AF$505,0),MATCH(体力優良証交付申請!C$14,テーブル22[[#Headers],[学年]:[得点]],0)))</f>
        <v/>
      </c>
      <c r="D75" s="203" t="str">
        <f>IF($A75&gt;MAX(入力シート!$AF$6:$AF$505),"",INDEX(テーブル22[[学年]:[得点]],MATCH(体力優良証交付申請!$A75,入力シート!$AF$6:$AF$505,0),MATCH(体力優良証交付申請!D$14,テーブル22[[#Headers],[学年]:[得点]],0)))</f>
        <v/>
      </c>
      <c r="E75" s="203" t="str">
        <f>IF($A75&gt;MAX(入力シート!$AF$6:$AF$505),"",INDEX(テーブル22[[学年]:[得点]],MATCH(体力優良証交付申請!$A75,入力シート!$AF$6:$AF$505,0),MATCH(体力優良証交付申請!E$14,テーブル22[[#Headers],[学年]:[得点]],0)))</f>
        <v/>
      </c>
      <c r="F75" s="203" t="str">
        <f>IF($A75&gt;MAX(入力シート!$AF$6:$AF$505),"",INDEX(テーブル22[[学年]:[得点]],MATCH(体力優良証交付申請!$A75,入力シート!$AF$6:$AF$505,0),MATCH(体力優良証交付申請!F$14,テーブル22[[#Headers],[学年]:[得点]],0)))</f>
        <v/>
      </c>
      <c r="G75" s="203" t="str">
        <f>IF($A75&gt;MAX(入力シート!$AF$6:$AF$505),"",INDEX(テーブル22[[学年]:[得点]],MATCH(体力優良証交付申請!$A75,入力シート!$AF$6:$AF$505,0),MATCH(体力優良証交付申請!G$14,テーブル22[[#Headers],[学年]:[得点]],0)))</f>
        <v/>
      </c>
      <c r="H75" s="203" t="str">
        <f>IF($A75&gt;MAX(入力シート!$AF$6:$AF$505),"",INDEX(テーブル22[[学年]:[得点]],MATCH(体力優良証交付申請!$A75,入力シート!$AF$6:$AF$505,0),MATCH(体力優良証交付申請!H$14,テーブル22[[#Headers],[学年]:[得点]],0)))</f>
        <v/>
      </c>
      <c r="I75" s="203" t="str">
        <f>IF($A75&gt;MAX(入力シート!$AF$6:$AF$505),"",INDEX(テーブル22[[学年]:[得点]],MATCH(体力優良証交付申請!$A75,入力シート!$AF$6:$AF$505,0),MATCH(体力優良証交付申請!I$14,テーブル22[[#Headers],[学年]:[得点]],0)))</f>
        <v/>
      </c>
      <c r="J75" s="114" t="str">
        <f>IF($A75&gt;MAX(入力シート!$AF$6:$AF$505),"",INDEX(テーブル22[[学年]:[得点]],MATCH(体力優良証交付申請!$A75,入力シート!$AF$6:$AF$505,0),MATCH(体力優良証交付申請!J$14,テーブル22[[#Headers],[学年]:[得点]],0)))</f>
        <v/>
      </c>
      <c r="K75" s="203" t="str">
        <f>IF($A75&gt;MAX(入力シート!$AF$6:$AF$505),"",INDEX(テーブル22[[学年]:[得点]],MATCH(体力優良証交付申請!$A75,入力シート!$AF$6:$AF$505,0),MATCH(体力優良証交付申請!K$14,テーブル22[[#Headers],[学年]:[得点]],0)))</f>
        <v/>
      </c>
      <c r="L75" s="203" t="str">
        <f>IF($A75&gt;MAX(入力シート!$AF$6:$AF$505),"",INDEX(テーブル22[[学年]:[得点]],MATCH(体力優良証交付申請!$A75,入力シート!$AF$6:$AF$505,0),MATCH(体力優良証交付申請!L$14,テーブル22[[#Headers],[学年]:[得点]],0)))</f>
        <v/>
      </c>
      <c r="M75" s="28" t="str">
        <f>IF($A75&gt;MAX(入力シート!$AF$6:$AF$505),"",INDEX(テーブル22[[学年]:[得点]],MATCH(体力優良証交付申請!$A75,入力シート!$AF$6:$AF$505,0),MATCH(体力優良証交付申請!M$14,テーブル22[[#Headers],[学年]:[得点]],0)))</f>
        <v/>
      </c>
    </row>
    <row r="76" spans="1:13" x14ac:dyDescent="0.2">
      <c r="A76" s="16">
        <v>62</v>
      </c>
      <c r="B76" s="130" t="str">
        <f>IF($A76&gt;MAX(入力シート!$AF$6:$AF$505),"",INDEX(テーブル22[[学年]:[得点]],MATCH(体力優良証交付申請!$A76,入力シート!$AF$6:$AF$505,0),MATCH(体力優良証交付申請!B$14,テーブル22[[#Headers],[学年]:[得点]],0)))</f>
        <v/>
      </c>
      <c r="C76" s="203" t="str">
        <f>IF($A76&gt;MAX(入力シート!$AF$6:$AF$505),"",INDEX(テーブル22[[学年]:[得点]],MATCH(体力優良証交付申請!$A76,入力シート!$AF$6:$AF$505,0),MATCH(体力優良証交付申請!C$14,テーブル22[[#Headers],[学年]:[得点]],0)))</f>
        <v/>
      </c>
      <c r="D76" s="203" t="str">
        <f>IF($A76&gt;MAX(入力シート!$AF$6:$AF$505),"",INDEX(テーブル22[[学年]:[得点]],MATCH(体力優良証交付申請!$A76,入力シート!$AF$6:$AF$505,0),MATCH(体力優良証交付申請!D$14,テーブル22[[#Headers],[学年]:[得点]],0)))</f>
        <v/>
      </c>
      <c r="E76" s="203" t="str">
        <f>IF($A76&gt;MAX(入力シート!$AF$6:$AF$505),"",INDEX(テーブル22[[学年]:[得点]],MATCH(体力優良証交付申請!$A76,入力シート!$AF$6:$AF$505,0),MATCH(体力優良証交付申請!E$14,テーブル22[[#Headers],[学年]:[得点]],0)))</f>
        <v/>
      </c>
      <c r="F76" s="203" t="str">
        <f>IF($A76&gt;MAX(入力シート!$AF$6:$AF$505),"",INDEX(テーブル22[[学年]:[得点]],MATCH(体力優良証交付申請!$A76,入力シート!$AF$6:$AF$505,0),MATCH(体力優良証交付申請!F$14,テーブル22[[#Headers],[学年]:[得点]],0)))</f>
        <v/>
      </c>
      <c r="G76" s="203" t="str">
        <f>IF($A76&gt;MAX(入力シート!$AF$6:$AF$505),"",INDEX(テーブル22[[学年]:[得点]],MATCH(体力優良証交付申請!$A76,入力シート!$AF$6:$AF$505,0),MATCH(体力優良証交付申請!G$14,テーブル22[[#Headers],[学年]:[得点]],0)))</f>
        <v/>
      </c>
      <c r="H76" s="203" t="str">
        <f>IF($A76&gt;MAX(入力シート!$AF$6:$AF$505),"",INDEX(テーブル22[[学年]:[得点]],MATCH(体力優良証交付申請!$A76,入力シート!$AF$6:$AF$505,0),MATCH(体力優良証交付申請!H$14,テーブル22[[#Headers],[学年]:[得点]],0)))</f>
        <v/>
      </c>
      <c r="I76" s="203" t="str">
        <f>IF($A76&gt;MAX(入力シート!$AF$6:$AF$505),"",INDEX(テーブル22[[学年]:[得点]],MATCH(体力優良証交付申請!$A76,入力シート!$AF$6:$AF$505,0),MATCH(体力優良証交付申請!I$14,テーブル22[[#Headers],[学年]:[得点]],0)))</f>
        <v/>
      </c>
      <c r="J76" s="114" t="str">
        <f>IF($A76&gt;MAX(入力シート!$AF$6:$AF$505),"",INDEX(テーブル22[[学年]:[得点]],MATCH(体力優良証交付申請!$A76,入力シート!$AF$6:$AF$505,0),MATCH(体力優良証交付申請!J$14,テーブル22[[#Headers],[学年]:[得点]],0)))</f>
        <v/>
      </c>
      <c r="K76" s="203" t="str">
        <f>IF($A76&gt;MAX(入力シート!$AF$6:$AF$505),"",INDEX(テーブル22[[学年]:[得点]],MATCH(体力優良証交付申請!$A76,入力シート!$AF$6:$AF$505,0),MATCH(体力優良証交付申請!K$14,テーブル22[[#Headers],[学年]:[得点]],0)))</f>
        <v/>
      </c>
      <c r="L76" s="203" t="str">
        <f>IF($A76&gt;MAX(入力シート!$AF$6:$AF$505),"",INDEX(テーブル22[[学年]:[得点]],MATCH(体力優良証交付申請!$A76,入力シート!$AF$6:$AF$505,0),MATCH(体力優良証交付申請!L$14,テーブル22[[#Headers],[学年]:[得点]],0)))</f>
        <v/>
      </c>
      <c r="M76" s="28" t="str">
        <f>IF($A76&gt;MAX(入力シート!$AF$6:$AF$505),"",INDEX(テーブル22[[学年]:[得点]],MATCH(体力優良証交付申請!$A76,入力シート!$AF$6:$AF$505,0),MATCH(体力優良証交付申請!M$14,テーブル22[[#Headers],[学年]:[得点]],0)))</f>
        <v/>
      </c>
    </row>
    <row r="77" spans="1:13" x14ac:dyDescent="0.2">
      <c r="A77" s="16">
        <v>63</v>
      </c>
      <c r="B77" s="130" t="str">
        <f>IF($A77&gt;MAX(入力シート!$AF$6:$AF$505),"",INDEX(テーブル22[[学年]:[得点]],MATCH(体力優良証交付申請!$A77,入力シート!$AF$6:$AF$505,0),MATCH(体力優良証交付申請!B$14,テーブル22[[#Headers],[学年]:[得点]],0)))</f>
        <v/>
      </c>
      <c r="C77" s="203" t="str">
        <f>IF($A77&gt;MAX(入力シート!$AF$6:$AF$505),"",INDEX(テーブル22[[学年]:[得点]],MATCH(体力優良証交付申請!$A77,入力シート!$AF$6:$AF$505,0),MATCH(体力優良証交付申請!C$14,テーブル22[[#Headers],[学年]:[得点]],0)))</f>
        <v/>
      </c>
      <c r="D77" s="203" t="str">
        <f>IF($A77&gt;MAX(入力シート!$AF$6:$AF$505),"",INDEX(テーブル22[[学年]:[得点]],MATCH(体力優良証交付申請!$A77,入力シート!$AF$6:$AF$505,0),MATCH(体力優良証交付申請!D$14,テーブル22[[#Headers],[学年]:[得点]],0)))</f>
        <v/>
      </c>
      <c r="E77" s="203" t="str">
        <f>IF($A77&gt;MAX(入力シート!$AF$6:$AF$505),"",INDEX(テーブル22[[学年]:[得点]],MATCH(体力優良証交付申請!$A77,入力シート!$AF$6:$AF$505,0),MATCH(体力優良証交付申請!E$14,テーブル22[[#Headers],[学年]:[得点]],0)))</f>
        <v/>
      </c>
      <c r="F77" s="203" t="str">
        <f>IF($A77&gt;MAX(入力シート!$AF$6:$AF$505),"",INDEX(テーブル22[[学年]:[得点]],MATCH(体力優良証交付申請!$A77,入力シート!$AF$6:$AF$505,0),MATCH(体力優良証交付申請!F$14,テーブル22[[#Headers],[学年]:[得点]],0)))</f>
        <v/>
      </c>
      <c r="G77" s="203" t="str">
        <f>IF($A77&gt;MAX(入力シート!$AF$6:$AF$505),"",INDEX(テーブル22[[学年]:[得点]],MATCH(体力優良証交付申請!$A77,入力シート!$AF$6:$AF$505,0),MATCH(体力優良証交付申請!G$14,テーブル22[[#Headers],[学年]:[得点]],0)))</f>
        <v/>
      </c>
      <c r="H77" s="203" t="str">
        <f>IF($A77&gt;MAX(入力シート!$AF$6:$AF$505),"",INDEX(テーブル22[[学年]:[得点]],MATCH(体力優良証交付申請!$A77,入力シート!$AF$6:$AF$505,0),MATCH(体力優良証交付申請!H$14,テーブル22[[#Headers],[学年]:[得点]],0)))</f>
        <v/>
      </c>
      <c r="I77" s="203" t="str">
        <f>IF($A77&gt;MAX(入力シート!$AF$6:$AF$505),"",INDEX(テーブル22[[学年]:[得点]],MATCH(体力優良証交付申請!$A77,入力シート!$AF$6:$AF$505,0),MATCH(体力優良証交付申請!I$14,テーブル22[[#Headers],[学年]:[得点]],0)))</f>
        <v/>
      </c>
      <c r="J77" s="114" t="str">
        <f>IF($A77&gt;MAX(入力シート!$AF$6:$AF$505),"",INDEX(テーブル22[[学年]:[得点]],MATCH(体力優良証交付申請!$A77,入力シート!$AF$6:$AF$505,0),MATCH(体力優良証交付申請!J$14,テーブル22[[#Headers],[学年]:[得点]],0)))</f>
        <v/>
      </c>
      <c r="K77" s="203" t="str">
        <f>IF($A77&gt;MAX(入力シート!$AF$6:$AF$505),"",INDEX(テーブル22[[学年]:[得点]],MATCH(体力優良証交付申請!$A77,入力シート!$AF$6:$AF$505,0),MATCH(体力優良証交付申請!K$14,テーブル22[[#Headers],[学年]:[得点]],0)))</f>
        <v/>
      </c>
      <c r="L77" s="203" t="str">
        <f>IF($A77&gt;MAX(入力シート!$AF$6:$AF$505),"",INDEX(テーブル22[[学年]:[得点]],MATCH(体力優良証交付申請!$A77,入力シート!$AF$6:$AF$505,0),MATCH(体力優良証交付申請!L$14,テーブル22[[#Headers],[学年]:[得点]],0)))</f>
        <v/>
      </c>
      <c r="M77" s="28" t="str">
        <f>IF($A77&gt;MAX(入力シート!$AF$6:$AF$505),"",INDEX(テーブル22[[学年]:[得点]],MATCH(体力優良証交付申請!$A77,入力シート!$AF$6:$AF$505,0),MATCH(体力優良証交付申請!M$14,テーブル22[[#Headers],[学年]:[得点]],0)))</f>
        <v/>
      </c>
    </row>
    <row r="78" spans="1:13" x14ac:dyDescent="0.2">
      <c r="A78" s="16">
        <v>64</v>
      </c>
      <c r="B78" s="130" t="str">
        <f>IF($A78&gt;MAX(入力シート!$AF$6:$AF$505),"",INDEX(テーブル22[[学年]:[得点]],MATCH(体力優良証交付申請!$A78,入力シート!$AF$6:$AF$505,0),MATCH(体力優良証交付申請!B$14,テーブル22[[#Headers],[学年]:[得点]],0)))</f>
        <v/>
      </c>
      <c r="C78" s="203" t="str">
        <f>IF($A78&gt;MAX(入力シート!$AF$6:$AF$505),"",INDEX(テーブル22[[学年]:[得点]],MATCH(体力優良証交付申請!$A78,入力シート!$AF$6:$AF$505,0),MATCH(体力優良証交付申請!C$14,テーブル22[[#Headers],[学年]:[得点]],0)))</f>
        <v/>
      </c>
      <c r="D78" s="203" t="str">
        <f>IF($A78&gt;MAX(入力シート!$AF$6:$AF$505),"",INDEX(テーブル22[[学年]:[得点]],MATCH(体力優良証交付申請!$A78,入力シート!$AF$6:$AF$505,0),MATCH(体力優良証交付申請!D$14,テーブル22[[#Headers],[学年]:[得点]],0)))</f>
        <v/>
      </c>
      <c r="E78" s="203" t="str">
        <f>IF($A78&gt;MAX(入力シート!$AF$6:$AF$505),"",INDEX(テーブル22[[学年]:[得点]],MATCH(体力優良証交付申請!$A78,入力シート!$AF$6:$AF$505,0),MATCH(体力優良証交付申請!E$14,テーブル22[[#Headers],[学年]:[得点]],0)))</f>
        <v/>
      </c>
      <c r="F78" s="203" t="str">
        <f>IF($A78&gt;MAX(入力シート!$AF$6:$AF$505),"",INDEX(テーブル22[[学年]:[得点]],MATCH(体力優良証交付申請!$A78,入力シート!$AF$6:$AF$505,0),MATCH(体力優良証交付申請!F$14,テーブル22[[#Headers],[学年]:[得点]],0)))</f>
        <v/>
      </c>
      <c r="G78" s="203" t="str">
        <f>IF($A78&gt;MAX(入力シート!$AF$6:$AF$505),"",INDEX(テーブル22[[学年]:[得点]],MATCH(体力優良証交付申請!$A78,入力シート!$AF$6:$AF$505,0),MATCH(体力優良証交付申請!G$14,テーブル22[[#Headers],[学年]:[得点]],0)))</f>
        <v/>
      </c>
      <c r="H78" s="203" t="str">
        <f>IF($A78&gt;MAX(入力シート!$AF$6:$AF$505),"",INDEX(テーブル22[[学年]:[得点]],MATCH(体力優良証交付申請!$A78,入力シート!$AF$6:$AF$505,0),MATCH(体力優良証交付申請!H$14,テーブル22[[#Headers],[学年]:[得点]],0)))</f>
        <v/>
      </c>
      <c r="I78" s="203" t="str">
        <f>IF($A78&gt;MAX(入力シート!$AF$6:$AF$505),"",INDEX(テーブル22[[学年]:[得点]],MATCH(体力優良証交付申請!$A78,入力シート!$AF$6:$AF$505,0),MATCH(体力優良証交付申請!I$14,テーブル22[[#Headers],[学年]:[得点]],0)))</f>
        <v/>
      </c>
      <c r="J78" s="114" t="str">
        <f>IF($A78&gt;MAX(入力シート!$AF$6:$AF$505),"",INDEX(テーブル22[[学年]:[得点]],MATCH(体力優良証交付申請!$A78,入力シート!$AF$6:$AF$505,0),MATCH(体力優良証交付申請!J$14,テーブル22[[#Headers],[学年]:[得点]],0)))</f>
        <v/>
      </c>
      <c r="K78" s="203" t="str">
        <f>IF($A78&gt;MAX(入力シート!$AF$6:$AF$505),"",INDEX(テーブル22[[学年]:[得点]],MATCH(体力優良証交付申請!$A78,入力シート!$AF$6:$AF$505,0),MATCH(体力優良証交付申請!K$14,テーブル22[[#Headers],[学年]:[得点]],0)))</f>
        <v/>
      </c>
      <c r="L78" s="203" t="str">
        <f>IF($A78&gt;MAX(入力シート!$AF$6:$AF$505),"",INDEX(テーブル22[[学年]:[得点]],MATCH(体力優良証交付申請!$A78,入力シート!$AF$6:$AF$505,0),MATCH(体力優良証交付申請!L$14,テーブル22[[#Headers],[学年]:[得点]],0)))</f>
        <v/>
      </c>
      <c r="M78" s="28" t="str">
        <f>IF($A78&gt;MAX(入力シート!$AF$6:$AF$505),"",INDEX(テーブル22[[学年]:[得点]],MATCH(体力優良証交付申請!$A78,入力シート!$AF$6:$AF$505,0),MATCH(体力優良証交付申請!M$14,テーブル22[[#Headers],[学年]:[得点]],0)))</f>
        <v/>
      </c>
    </row>
    <row r="79" spans="1:13" x14ac:dyDescent="0.2">
      <c r="A79" s="16">
        <v>65</v>
      </c>
      <c r="B79" s="130" t="str">
        <f>IF($A79&gt;MAX(入力シート!$AF$6:$AF$505),"",INDEX(テーブル22[[学年]:[得点]],MATCH(体力優良証交付申請!$A79,入力シート!$AF$6:$AF$505,0),MATCH(体力優良証交付申請!B$14,テーブル22[[#Headers],[学年]:[得点]],0)))</f>
        <v/>
      </c>
      <c r="C79" s="203" t="str">
        <f>IF($A79&gt;MAX(入力シート!$AF$6:$AF$505),"",INDEX(テーブル22[[学年]:[得点]],MATCH(体力優良証交付申請!$A79,入力シート!$AF$6:$AF$505,0),MATCH(体力優良証交付申請!C$14,テーブル22[[#Headers],[学年]:[得点]],0)))</f>
        <v/>
      </c>
      <c r="D79" s="203" t="str">
        <f>IF($A79&gt;MAX(入力シート!$AF$6:$AF$505),"",INDEX(テーブル22[[学年]:[得点]],MATCH(体力優良証交付申請!$A79,入力シート!$AF$6:$AF$505,0),MATCH(体力優良証交付申請!D$14,テーブル22[[#Headers],[学年]:[得点]],0)))</f>
        <v/>
      </c>
      <c r="E79" s="203" t="str">
        <f>IF($A79&gt;MAX(入力シート!$AF$6:$AF$505),"",INDEX(テーブル22[[学年]:[得点]],MATCH(体力優良証交付申請!$A79,入力シート!$AF$6:$AF$505,0),MATCH(体力優良証交付申請!E$14,テーブル22[[#Headers],[学年]:[得点]],0)))</f>
        <v/>
      </c>
      <c r="F79" s="203" t="str">
        <f>IF($A79&gt;MAX(入力シート!$AF$6:$AF$505),"",INDEX(テーブル22[[学年]:[得点]],MATCH(体力優良証交付申請!$A79,入力シート!$AF$6:$AF$505,0),MATCH(体力優良証交付申請!F$14,テーブル22[[#Headers],[学年]:[得点]],0)))</f>
        <v/>
      </c>
      <c r="G79" s="203" t="str">
        <f>IF($A79&gt;MAX(入力シート!$AF$6:$AF$505),"",INDEX(テーブル22[[学年]:[得点]],MATCH(体力優良証交付申請!$A79,入力シート!$AF$6:$AF$505,0),MATCH(体力優良証交付申請!G$14,テーブル22[[#Headers],[学年]:[得点]],0)))</f>
        <v/>
      </c>
      <c r="H79" s="203" t="str">
        <f>IF($A79&gt;MAX(入力シート!$AF$6:$AF$505),"",INDEX(テーブル22[[学年]:[得点]],MATCH(体力優良証交付申請!$A79,入力シート!$AF$6:$AF$505,0),MATCH(体力優良証交付申請!H$14,テーブル22[[#Headers],[学年]:[得点]],0)))</f>
        <v/>
      </c>
      <c r="I79" s="203" t="str">
        <f>IF($A79&gt;MAX(入力シート!$AF$6:$AF$505),"",INDEX(テーブル22[[学年]:[得点]],MATCH(体力優良証交付申請!$A79,入力シート!$AF$6:$AF$505,0),MATCH(体力優良証交付申請!I$14,テーブル22[[#Headers],[学年]:[得点]],0)))</f>
        <v/>
      </c>
      <c r="J79" s="114" t="str">
        <f>IF($A79&gt;MAX(入力シート!$AF$6:$AF$505),"",INDEX(テーブル22[[学年]:[得点]],MATCH(体力優良証交付申請!$A79,入力シート!$AF$6:$AF$505,0),MATCH(体力優良証交付申請!J$14,テーブル22[[#Headers],[学年]:[得点]],0)))</f>
        <v/>
      </c>
      <c r="K79" s="203" t="str">
        <f>IF($A79&gt;MAX(入力シート!$AF$6:$AF$505),"",INDEX(テーブル22[[学年]:[得点]],MATCH(体力優良証交付申請!$A79,入力シート!$AF$6:$AF$505,0),MATCH(体力優良証交付申請!K$14,テーブル22[[#Headers],[学年]:[得点]],0)))</f>
        <v/>
      </c>
      <c r="L79" s="203" t="str">
        <f>IF($A79&gt;MAX(入力シート!$AF$6:$AF$505),"",INDEX(テーブル22[[学年]:[得点]],MATCH(体力優良証交付申請!$A79,入力シート!$AF$6:$AF$505,0),MATCH(体力優良証交付申請!L$14,テーブル22[[#Headers],[学年]:[得点]],0)))</f>
        <v/>
      </c>
      <c r="M79" s="28" t="str">
        <f>IF($A79&gt;MAX(入力シート!$AF$6:$AF$505),"",INDEX(テーブル22[[学年]:[得点]],MATCH(体力優良証交付申請!$A79,入力シート!$AF$6:$AF$505,0),MATCH(体力優良証交付申請!M$14,テーブル22[[#Headers],[学年]:[得点]],0)))</f>
        <v/>
      </c>
    </row>
    <row r="80" spans="1:13" x14ac:dyDescent="0.2">
      <c r="A80" s="16">
        <v>66</v>
      </c>
      <c r="B80" s="130" t="str">
        <f>IF($A80&gt;MAX(入力シート!$AF$6:$AF$505),"",INDEX(テーブル22[[学年]:[得点]],MATCH(体力優良証交付申請!$A80,入力シート!$AF$6:$AF$505,0),MATCH(体力優良証交付申請!B$14,テーブル22[[#Headers],[学年]:[得点]],0)))</f>
        <v/>
      </c>
      <c r="C80" s="203" t="str">
        <f>IF($A80&gt;MAX(入力シート!$AF$6:$AF$505),"",INDEX(テーブル22[[学年]:[得点]],MATCH(体力優良証交付申請!$A80,入力シート!$AF$6:$AF$505,0),MATCH(体力優良証交付申請!C$14,テーブル22[[#Headers],[学年]:[得点]],0)))</f>
        <v/>
      </c>
      <c r="D80" s="203" t="str">
        <f>IF($A80&gt;MAX(入力シート!$AF$6:$AF$505),"",INDEX(テーブル22[[学年]:[得点]],MATCH(体力優良証交付申請!$A80,入力シート!$AF$6:$AF$505,0),MATCH(体力優良証交付申請!D$14,テーブル22[[#Headers],[学年]:[得点]],0)))</f>
        <v/>
      </c>
      <c r="E80" s="203" t="str">
        <f>IF($A80&gt;MAX(入力シート!$AF$6:$AF$505),"",INDEX(テーブル22[[学年]:[得点]],MATCH(体力優良証交付申請!$A80,入力シート!$AF$6:$AF$505,0),MATCH(体力優良証交付申請!E$14,テーブル22[[#Headers],[学年]:[得点]],0)))</f>
        <v/>
      </c>
      <c r="F80" s="203" t="str">
        <f>IF($A80&gt;MAX(入力シート!$AF$6:$AF$505),"",INDEX(テーブル22[[学年]:[得点]],MATCH(体力優良証交付申請!$A80,入力シート!$AF$6:$AF$505,0),MATCH(体力優良証交付申請!F$14,テーブル22[[#Headers],[学年]:[得点]],0)))</f>
        <v/>
      </c>
      <c r="G80" s="203" t="str">
        <f>IF($A80&gt;MAX(入力シート!$AF$6:$AF$505),"",INDEX(テーブル22[[学年]:[得点]],MATCH(体力優良証交付申請!$A80,入力シート!$AF$6:$AF$505,0),MATCH(体力優良証交付申請!G$14,テーブル22[[#Headers],[学年]:[得点]],0)))</f>
        <v/>
      </c>
      <c r="H80" s="203" t="str">
        <f>IF($A80&gt;MAX(入力シート!$AF$6:$AF$505),"",INDEX(テーブル22[[学年]:[得点]],MATCH(体力優良証交付申請!$A80,入力シート!$AF$6:$AF$505,0),MATCH(体力優良証交付申請!H$14,テーブル22[[#Headers],[学年]:[得点]],0)))</f>
        <v/>
      </c>
      <c r="I80" s="203" t="str">
        <f>IF($A80&gt;MAX(入力シート!$AF$6:$AF$505),"",INDEX(テーブル22[[学年]:[得点]],MATCH(体力優良証交付申請!$A80,入力シート!$AF$6:$AF$505,0),MATCH(体力優良証交付申請!I$14,テーブル22[[#Headers],[学年]:[得点]],0)))</f>
        <v/>
      </c>
      <c r="J80" s="114" t="str">
        <f>IF($A80&gt;MAX(入力シート!$AF$6:$AF$505),"",INDEX(テーブル22[[学年]:[得点]],MATCH(体力優良証交付申請!$A80,入力シート!$AF$6:$AF$505,0),MATCH(体力優良証交付申請!J$14,テーブル22[[#Headers],[学年]:[得点]],0)))</f>
        <v/>
      </c>
      <c r="K80" s="203" t="str">
        <f>IF($A80&gt;MAX(入力シート!$AF$6:$AF$505),"",INDEX(テーブル22[[学年]:[得点]],MATCH(体力優良証交付申請!$A80,入力シート!$AF$6:$AF$505,0),MATCH(体力優良証交付申請!K$14,テーブル22[[#Headers],[学年]:[得点]],0)))</f>
        <v/>
      </c>
      <c r="L80" s="203" t="str">
        <f>IF($A80&gt;MAX(入力シート!$AF$6:$AF$505),"",INDEX(テーブル22[[学年]:[得点]],MATCH(体力優良証交付申請!$A80,入力シート!$AF$6:$AF$505,0),MATCH(体力優良証交付申請!L$14,テーブル22[[#Headers],[学年]:[得点]],0)))</f>
        <v/>
      </c>
      <c r="M80" s="28" t="str">
        <f>IF($A80&gt;MAX(入力シート!$AF$6:$AF$505),"",INDEX(テーブル22[[学年]:[得点]],MATCH(体力優良証交付申請!$A80,入力シート!$AF$6:$AF$505,0),MATCH(体力優良証交付申請!M$14,テーブル22[[#Headers],[学年]:[得点]],0)))</f>
        <v/>
      </c>
    </row>
    <row r="81" spans="1:13" x14ac:dyDescent="0.2">
      <c r="A81" s="16">
        <v>67</v>
      </c>
      <c r="B81" s="130" t="str">
        <f>IF($A81&gt;MAX(入力シート!$AF$6:$AF$505),"",INDEX(テーブル22[[学年]:[得点]],MATCH(体力優良証交付申請!$A81,入力シート!$AF$6:$AF$505,0),MATCH(体力優良証交付申請!B$14,テーブル22[[#Headers],[学年]:[得点]],0)))</f>
        <v/>
      </c>
      <c r="C81" s="203" t="str">
        <f>IF($A81&gt;MAX(入力シート!$AF$6:$AF$505),"",INDEX(テーブル22[[学年]:[得点]],MATCH(体力優良証交付申請!$A81,入力シート!$AF$6:$AF$505,0),MATCH(体力優良証交付申請!C$14,テーブル22[[#Headers],[学年]:[得点]],0)))</f>
        <v/>
      </c>
      <c r="D81" s="203" t="str">
        <f>IF($A81&gt;MAX(入力シート!$AF$6:$AF$505),"",INDEX(テーブル22[[学年]:[得点]],MATCH(体力優良証交付申請!$A81,入力シート!$AF$6:$AF$505,0),MATCH(体力優良証交付申請!D$14,テーブル22[[#Headers],[学年]:[得点]],0)))</f>
        <v/>
      </c>
      <c r="E81" s="203" t="str">
        <f>IF($A81&gt;MAX(入力シート!$AF$6:$AF$505),"",INDEX(テーブル22[[学年]:[得点]],MATCH(体力優良証交付申請!$A81,入力シート!$AF$6:$AF$505,0),MATCH(体力優良証交付申請!E$14,テーブル22[[#Headers],[学年]:[得点]],0)))</f>
        <v/>
      </c>
      <c r="F81" s="203" t="str">
        <f>IF($A81&gt;MAX(入力シート!$AF$6:$AF$505),"",INDEX(テーブル22[[学年]:[得点]],MATCH(体力優良証交付申請!$A81,入力シート!$AF$6:$AF$505,0),MATCH(体力優良証交付申請!F$14,テーブル22[[#Headers],[学年]:[得点]],0)))</f>
        <v/>
      </c>
      <c r="G81" s="203" t="str">
        <f>IF($A81&gt;MAX(入力シート!$AF$6:$AF$505),"",INDEX(テーブル22[[学年]:[得点]],MATCH(体力優良証交付申請!$A81,入力シート!$AF$6:$AF$505,0),MATCH(体力優良証交付申請!G$14,テーブル22[[#Headers],[学年]:[得点]],0)))</f>
        <v/>
      </c>
      <c r="H81" s="203" t="str">
        <f>IF($A81&gt;MAX(入力シート!$AF$6:$AF$505),"",INDEX(テーブル22[[学年]:[得点]],MATCH(体力優良証交付申請!$A81,入力シート!$AF$6:$AF$505,0),MATCH(体力優良証交付申請!H$14,テーブル22[[#Headers],[学年]:[得点]],0)))</f>
        <v/>
      </c>
      <c r="I81" s="203" t="str">
        <f>IF($A81&gt;MAX(入力シート!$AF$6:$AF$505),"",INDEX(テーブル22[[学年]:[得点]],MATCH(体力優良証交付申請!$A81,入力シート!$AF$6:$AF$505,0),MATCH(体力優良証交付申請!I$14,テーブル22[[#Headers],[学年]:[得点]],0)))</f>
        <v/>
      </c>
      <c r="J81" s="114" t="str">
        <f>IF($A81&gt;MAX(入力シート!$AF$6:$AF$505),"",INDEX(テーブル22[[学年]:[得点]],MATCH(体力優良証交付申請!$A81,入力シート!$AF$6:$AF$505,0),MATCH(体力優良証交付申請!J$14,テーブル22[[#Headers],[学年]:[得点]],0)))</f>
        <v/>
      </c>
      <c r="K81" s="203" t="str">
        <f>IF($A81&gt;MAX(入力シート!$AF$6:$AF$505),"",INDEX(テーブル22[[学年]:[得点]],MATCH(体力優良証交付申請!$A81,入力シート!$AF$6:$AF$505,0),MATCH(体力優良証交付申請!K$14,テーブル22[[#Headers],[学年]:[得点]],0)))</f>
        <v/>
      </c>
      <c r="L81" s="203" t="str">
        <f>IF($A81&gt;MAX(入力シート!$AF$6:$AF$505),"",INDEX(テーブル22[[学年]:[得点]],MATCH(体力優良証交付申請!$A81,入力シート!$AF$6:$AF$505,0),MATCH(体力優良証交付申請!L$14,テーブル22[[#Headers],[学年]:[得点]],0)))</f>
        <v/>
      </c>
      <c r="M81" s="28" t="str">
        <f>IF($A81&gt;MAX(入力シート!$AF$6:$AF$505),"",INDEX(テーブル22[[学年]:[得点]],MATCH(体力優良証交付申請!$A81,入力シート!$AF$6:$AF$505,0),MATCH(体力優良証交付申請!M$14,テーブル22[[#Headers],[学年]:[得点]],0)))</f>
        <v/>
      </c>
    </row>
    <row r="82" spans="1:13" x14ac:dyDescent="0.2">
      <c r="A82" s="16">
        <v>68</v>
      </c>
      <c r="B82" s="130" t="str">
        <f>IF($A82&gt;MAX(入力シート!$AF$6:$AF$505),"",INDEX(テーブル22[[学年]:[得点]],MATCH(体力優良証交付申請!$A82,入力シート!$AF$6:$AF$505,0),MATCH(体力優良証交付申請!B$14,テーブル22[[#Headers],[学年]:[得点]],0)))</f>
        <v/>
      </c>
      <c r="C82" s="203" t="str">
        <f>IF($A82&gt;MAX(入力シート!$AF$6:$AF$505),"",INDEX(テーブル22[[学年]:[得点]],MATCH(体力優良証交付申請!$A82,入力シート!$AF$6:$AF$505,0),MATCH(体力優良証交付申請!C$14,テーブル22[[#Headers],[学年]:[得点]],0)))</f>
        <v/>
      </c>
      <c r="D82" s="203" t="str">
        <f>IF($A82&gt;MAX(入力シート!$AF$6:$AF$505),"",INDEX(テーブル22[[学年]:[得点]],MATCH(体力優良証交付申請!$A82,入力シート!$AF$6:$AF$505,0),MATCH(体力優良証交付申請!D$14,テーブル22[[#Headers],[学年]:[得点]],0)))</f>
        <v/>
      </c>
      <c r="E82" s="203" t="str">
        <f>IF($A82&gt;MAX(入力シート!$AF$6:$AF$505),"",INDEX(テーブル22[[学年]:[得点]],MATCH(体力優良証交付申請!$A82,入力シート!$AF$6:$AF$505,0),MATCH(体力優良証交付申請!E$14,テーブル22[[#Headers],[学年]:[得点]],0)))</f>
        <v/>
      </c>
      <c r="F82" s="203" t="str">
        <f>IF($A82&gt;MAX(入力シート!$AF$6:$AF$505),"",INDEX(テーブル22[[学年]:[得点]],MATCH(体力優良証交付申請!$A82,入力シート!$AF$6:$AF$505,0),MATCH(体力優良証交付申請!F$14,テーブル22[[#Headers],[学年]:[得点]],0)))</f>
        <v/>
      </c>
      <c r="G82" s="203" t="str">
        <f>IF($A82&gt;MAX(入力シート!$AF$6:$AF$505),"",INDEX(テーブル22[[学年]:[得点]],MATCH(体力優良証交付申請!$A82,入力シート!$AF$6:$AF$505,0),MATCH(体力優良証交付申請!G$14,テーブル22[[#Headers],[学年]:[得点]],0)))</f>
        <v/>
      </c>
      <c r="H82" s="203" t="str">
        <f>IF($A82&gt;MAX(入力シート!$AF$6:$AF$505),"",INDEX(テーブル22[[学年]:[得点]],MATCH(体力優良証交付申請!$A82,入力シート!$AF$6:$AF$505,0),MATCH(体力優良証交付申請!H$14,テーブル22[[#Headers],[学年]:[得点]],0)))</f>
        <v/>
      </c>
      <c r="I82" s="203" t="str">
        <f>IF($A82&gt;MAX(入力シート!$AF$6:$AF$505),"",INDEX(テーブル22[[学年]:[得点]],MATCH(体力優良証交付申請!$A82,入力シート!$AF$6:$AF$505,0),MATCH(体力優良証交付申請!I$14,テーブル22[[#Headers],[学年]:[得点]],0)))</f>
        <v/>
      </c>
      <c r="J82" s="114" t="str">
        <f>IF($A82&gt;MAX(入力シート!$AF$6:$AF$505),"",INDEX(テーブル22[[学年]:[得点]],MATCH(体力優良証交付申請!$A82,入力シート!$AF$6:$AF$505,0),MATCH(体力優良証交付申請!J$14,テーブル22[[#Headers],[学年]:[得点]],0)))</f>
        <v/>
      </c>
      <c r="K82" s="203" t="str">
        <f>IF($A82&gt;MAX(入力シート!$AF$6:$AF$505),"",INDEX(テーブル22[[学年]:[得点]],MATCH(体力優良証交付申請!$A82,入力シート!$AF$6:$AF$505,0),MATCH(体力優良証交付申請!K$14,テーブル22[[#Headers],[学年]:[得点]],0)))</f>
        <v/>
      </c>
      <c r="L82" s="203" t="str">
        <f>IF($A82&gt;MAX(入力シート!$AF$6:$AF$505),"",INDEX(テーブル22[[学年]:[得点]],MATCH(体力優良証交付申請!$A82,入力シート!$AF$6:$AF$505,0),MATCH(体力優良証交付申請!L$14,テーブル22[[#Headers],[学年]:[得点]],0)))</f>
        <v/>
      </c>
      <c r="M82" s="28" t="str">
        <f>IF($A82&gt;MAX(入力シート!$AF$6:$AF$505),"",INDEX(テーブル22[[学年]:[得点]],MATCH(体力優良証交付申請!$A82,入力シート!$AF$6:$AF$505,0),MATCH(体力優良証交付申請!M$14,テーブル22[[#Headers],[学年]:[得点]],0)))</f>
        <v/>
      </c>
    </row>
    <row r="83" spans="1:13" x14ac:dyDescent="0.2">
      <c r="A83" s="16">
        <v>69</v>
      </c>
      <c r="B83" s="130" t="str">
        <f>IF($A83&gt;MAX(入力シート!$AF$6:$AF$505),"",INDEX(テーブル22[[学年]:[得点]],MATCH(体力優良証交付申請!$A83,入力シート!$AF$6:$AF$505,0),MATCH(体力優良証交付申請!B$14,テーブル22[[#Headers],[学年]:[得点]],0)))</f>
        <v/>
      </c>
      <c r="C83" s="203" t="str">
        <f>IF($A83&gt;MAX(入力シート!$AF$6:$AF$505),"",INDEX(テーブル22[[学年]:[得点]],MATCH(体力優良証交付申請!$A83,入力シート!$AF$6:$AF$505,0),MATCH(体力優良証交付申請!C$14,テーブル22[[#Headers],[学年]:[得点]],0)))</f>
        <v/>
      </c>
      <c r="D83" s="203" t="str">
        <f>IF($A83&gt;MAX(入力シート!$AF$6:$AF$505),"",INDEX(テーブル22[[学年]:[得点]],MATCH(体力優良証交付申請!$A83,入力シート!$AF$6:$AF$505,0),MATCH(体力優良証交付申請!D$14,テーブル22[[#Headers],[学年]:[得点]],0)))</f>
        <v/>
      </c>
      <c r="E83" s="203" t="str">
        <f>IF($A83&gt;MAX(入力シート!$AF$6:$AF$505),"",INDEX(テーブル22[[学年]:[得点]],MATCH(体力優良証交付申請!$A83,入力シート!$AF$6:$AF$505,0),MATCH(体力優良証交付申請!E$14,テーブル22[[#Headers],[学年]:[得点]],0)))</f>
        <v/>
      </c>
      <c r="F83" s="203" t="str">
        <f>IF($A83&gt;MAX(入力シート!$AF$6:$AF$505),"",INDEX(テーブル22[[学年]:[得点]],MATCH(体力優良証交付申請!$A83,入力シート!$AF$6:$AF$505,0),MATCH(体力優良証交付申請!F$14,テーブル22[[#Headers],[学年]:[得点]],0)))</f>
        <v/>
      </c>
      <c r="G83" s="203" t="str">
        <f>IF($A83&gt;MAX(入力シート!$AF$6:$AF$505),"",INDEX(テーブル22[[学年]:[得点]],MATCH(体力優良証交付申請!$A83,入力シート!$AF$6:$AF$505,0),MATCH(体力優良証交付申請!G$14,テーブル22[[#Headers],[学年]:[得点]],0)))</f>
        <v/>
      </c>
      <c r="H83" s="203" t="str">
        <f>IF($A83&gt;MAX(入力シート!$AF$6:$AF$505),"",INDEX(テーブル22[[学年]:[得点]],MATCH(体力優良証交付申請!$A83,入力シート!$AF$6:$AF$505,0),MATCH(体力優良証交付申請!H$14,テーブル22[[#Headers],[学年]:[得点]],0)))</f>
        <v/>
      </c>
      <c r="I83" s="203" t="str">
        <f>IF($A83&gt;MAX(入力シート!$AF$6:$AF$505),"",INDEX(テーブル22[[学年]:[得点]],MATCH(体力優良証交付申請!$A83,入力シート!$AF$6:$AF$505,0),MATCH(体力優良証交付申請!I$14,テーブル22[[#Headers],[学年]:[得点]],0)))</f>
        <v/>
      </c>
      <c r="J83" s="114" t="str">
        <f>IF($A83&gt;MAX(入力シート!$AF$6:$AF$505),"",INDEX(テーブル22[[学年]:[得点]],MATCH(体力優良証交付申請!$A83,入力シート!$AF$6:$AF$505,0),MATCH(体力優良証交付申請!J$14,テーブル22[[#Headers],[学年]:[得点]],0)))</f>
        <v/>
      </c>
      <c r="K83" s="203" t="str">
        <f>IF($A83&gt;MAX(入力シート!$AF$6:$AF$505),"",INDEX(テーブル22[[学年]:[得点]],MATCH(体力優良証交付申請!$A83,入力シート!$AF$6:$AF$505,0),MATCH(体力優良証交付申請!K$14,テーブル22[[#Headers],[学年]:[得点]],0)))</f>
        <v/>
      </c>
      <c r="L83" s="203" t="str">
        <f>IF($A83&gt;MAX(入力シート!$AF$6:$AF$505),"",INDEX(テーブル22[[学年]:[得点]],MATCH(体力優良証交付申請!$A83,入力シート!$AF$6:$AF$505,0),MATCH(体力優良証交付申請!L$14,テーブル22[[#Headers],[学年]:[得点]],0)))</f>
        <v/>
      </c>
      <c r="M83" s="28" t="str">
        <f>IF($A83&gt;MAX(入力シート!$AF$6:$AF$505),"",INDEX(テーブル22[[学年]:[得点]],MATCH(体力優良証交付申請!$A83,入力シート!$AF$6:$AF$505,0),MATCH(体力優良証交付申請!M$14,テーブル22[[#Headers],[学年]:[得点]],0)))</f>
        <v/>
      </c>
    </row>
    <row r="84" spans="1:13" x14ac:dyDescent="0.2">
      <c r="A84" s="16">
        <v>70</v>
      </c>
      <c r="B84" s="130" t="str">
        <f>IF($A84&gt;MAX(入力シート!$AF$6:$AF$505),"",INDEX(テーブル22[[学年]:[得点]],MATCH(体力優良証交付申請!$A84,入力シート!$AF$6:$AF$505,0),MATCH(体力優良証交付申請!B$14,テーブル22[[#Headers],[学年]:[得点]],0)))</f>
        <v/>
      </c>
      <c r="C84" s="203" t="str">
        <f>IF($A84&gt;MAX(入力シート!$AF$6:$AF$505),"",INDEX(テーブル22[[学年]:[得点]],MATCH(体力優良証交付申請!$A84,入力シート!$AF$6:$AF$505,0),MATCH(体力優良証交付申請!C$14,テーブル22[[#Headers],[学年]:[得点]],0)))</f>
        <v/>
      </c>
      <c r="D84" s="203" t="str">
        <f>IF($A84&gt;MAX(入力シート!$AF$6:$AF$505),"",INDEX(テーブル22[[学年]:[得点]],MATCH(体力優良証交付申請!$A84,入力シート!$AF$6:$AF$505,0),MATCH(体力優良証交付申請!D$14,テーブル22[[#Headers],[学年]:[得点]],0)))</f>
        <v/>
      </c>
      <c r="E84" s="203" t="str">
        <f>IF($A84&gt;MAX(入力シート!$AF$6:$AF$505),"",INDEX(テーブル22[[学年]:[得点]],MATCH(体力優良証交付申請!$A84,入力シート!$AF$6:$AF$505,0),MATCH(体力優良証交付申請!E$14,テーブル22[[#Headers],[学年]:[得点]],0)))</f>
        <v/>
      </c>
      <c r="F84" s="203" t="str">
        <f>IF($A84&gt;MAX(入力シート!$AF$6:$AF$505),"",INDEX(テーブル22[[学年]:[得点]],MATCH(体力優良証交付申請!$A84,入力シート!$AF$6:$AF$505,0),MATCH(体力優良証交付申請!F$14,テーブル22[[#Headers],[学年]:[得点]],0)))</f>
        <v/>
      </c>
      <c r="G84" s="203" t="str">
        <f>IF($A84&gt;MAX(入力シート!$AF$6:$AF$505),"",INDEX(テーブル22[[学年]:[得点]],MATCH(体力優良証交付申請!$A84,入力シート!$AF$6:$AF$505,0),MATCH(体力優良証交付申請!G$14,テーブル22[[#Headers],[学年]:[得点]],0)))</f>
        <v/>
      </c>
      <c r="H84" s="203" t="str">
        <f>IF($A84&gt;MAX(入力シート!$AF$6:$AF$505),"",INDEX(テーブル22[[学年]:[得点]],MATCH(体力優良証交付申請!$A84,入力シート!$AF$6:$AF$505,0),MATCH(体力優良証交付申請!H$14,テーブル22[[#Headers],[学年]:[得点]],0)))</f>
        <v/>
      </c>
      <c r="I84" s="203" t="str">
        <f>IF($A84&gt;MAX(入力シート!$AF$6:$AF$505),"",INDEX(テーブル22[[学年]:[得点]],MATCH(体力優良証交付申請!$A84,入力シート!$AF$6:$AF$505,0),MATCH(体力優良証交付申請!I$14,テーブル22[[#Headers],[学年]:[得点]],0)))</f>
        <v/>
      </c>
      <c r="J84" s="114" t="str">
        <f>IF($A84&gt;MAX(入力シート!$AF$6:$AF$505),"",INDEX(テーブル22[[学年]:[得点]],MATCH(体力優良証交付申請!$A84,入力シート!$AF$6:$AF$505,0),MATCH(体力優良証交付申請!J$14,テーブル22[[#Headers],[学年]:[得点]],0)))</f>
        <v/>
      </c>
      <c r="K84" s="203" t="str">
        <f>IF($A84&gt;MAX(入力シート!$AF$6:$AF$505),"",INDEX(テーブル22[[学年]:[得点]],MATCH(体力優良証交付申請!$A84,入力シート!$AF$6:$AF$505,0),MATCH(体力優良証交付申請!K$14,テーブル22[[#Headers],[学年]:[得点]],0)))</f>
        <v/>
      </c>
      <c r="L84" s="203" t="str">
        <f>IF($A84&gt;MAX(入力シート!$AF$6:$AF$505),"",INDEX(テーブル22[[学年]:[得点]],MATCH(体力優良証交付申請!$A84,入力シート!$AF$6:$AF$505,0),MATCH(体力優良証交付申請!L$14,テーブル22[[#Headers],[学年]:[得点]],0)))</f>
        <v/>
      </c>
      <c r="M84" s="28" t="str">
        <f>IF($A84&gt;MAX(入力シート!$AF$6:$AF$505),"",INDEX(テーブル22[[学年]:[得点]],MATCH(体力優良証交付申請!$A84,入力シート!$AF$6:$AF$505,0),MATCH(体力優良証交付申請!M$14,テーブル22[[#Headers],[学年]:[得点]],0)))</f>
        <v/>
      </c>
    </row>
    <row r="85" spans="1:13" x14ac:dyDescent="0.2">
      <c r="A85" s="16">
        <v>71</v>
      </c>
      <c r="B85" s="130" t="str">
        <f>IF($A85&gt;MAX(入力シート!$AF$6:$AF$505),"",INDEX(テーブル22[[学年]:[得点]],MATCH(体力優良証交付申請!$A85,入力シート!$AF$6:$AF$505,0),MATCH(体力優良証交付申請!B$14,テーブル22[[#Headers],[学年]:[得点]],0)))</f>
        <v/>
      </c>
      <c r="C85" s="203" t="str">
        <f>IF($A85&gt;MAX(入力シート!$AF$6:$AF$505),"",INDEX(テーブル22[[学年]:[得点]],MATCH(体力優良証交付申請!$A85,入力シート!$AF$6:$AF$505,0),MATCH(体力優良証交付申請!C$14,テーブル22[[#Headers],[学年]:[得点]],0)))</f>
        <v/>
      </c>
      <c r="D85" s="203" t="str">
        <f>IF($A85&gt;MAX(入力シート!$AF$6:$AF$505),"",INDEX(テーブル22[[学年]:[得点]],MATCH(体力優良証交付申請!$A85,入力シート!$AF$6:$AF$505,0),MATCH(体力優良証交付申請!D$14,テーブル22[[#Headers],[学年]:[得点]],0)))</f>
        <v/>
      </c>
      <c r="E85" s="203" t="str">
        <f>IF($A85&gt;MAX(入力シート!$AF$6:$AF$505),"",INDEX(テーブル22[[学年]:[得点]],MATCH(体力優良証交付申請!$A85,入力シート!$AF$6:$AF$505,0),MATCH(体力優良証交付申請!E$14,テーブル22[[#Headers],[学年]:[得点]],0)))</f>
        <v/>
      </c>
      <c r="F85" s="203" t="str">
        <f>IF($A85&gt;MAX(入力シート!$AF$6:$AF$505),"",INDEX(テーブル22[[学年]:[得点]],MATCH(体力優良証交付申請!$A85,入力シート!$AF$6:$AF$505,0),MATCH(体力優良証交付申請!F$14,テーブル22[[#Headers],[学年]:[得点]],0)))</f>
        <v/>
      </c>
      <c r="G85" s="203" t="str">
        <f>IF($A85&gt;MAX(入力シート!$AF$6:$AF$505),"",INDEX(テーブル22[[学年]:[得点]],MATCH(体力優良証交付申請!$A85,入力シート!$AF$6:$AF$505,0),MATCH(体力優良証交付申請!G$14,テーブル22[[#Headers],[学年]:[得点]],0)))</f>
        <v/>
      </c>
      <c r="H85" s="203" t="str">
        <f>IF($A85&gt;MAX(入力シート!$AF$6:$AF$505),"",INDEX(テーブル22[[学年]:[得点]],MATCH(体力優良証交付申請!$A85,入力シート!$AF$6:$AF$505,0),MATCH(体力優良証交付申請!H$14,テーブル22[[#Headers],[学年]:[得点]],0)))</f>
        <v/>
      </c>
      <c r="I85" s="203" t="str">
        <f>IF($A85&gt;MAX(入力シート!$AF$6:$AF$505),"",INDEX(テーブル22[[学年]:[得点]],MATCH(体力優良証交付申請!$A85,入力シート!$AF$6:$AF$505,0),MATCH(体力優良証交付申請!I$14,テーブル22[[#Headers],[学年]:[得点]],0)))</f>
        <v/>
      </c>
      <c r="J85" s="114" t="str">
        <f>IF($A85&gt;MAX(入力シート!$AF$6:$AF$505),"",INDEX(テーブル22[[学年]:[得点]],MATCH(体力優良証交付申請!$A85,入力シート!$AF$6:$AF$505,0),MATCH(体力優良証交付申請!J$14,テーブル22[[#Headers],[学年]:[得点]],0)))</f>
        <v/>
      </c>
      <c r="K85" s="203" t="str">
        <f>IF($A85&gt;MAX(入力シート!$AF$6:$AF$505),"",INDEX(テーブル22[[学年]:[得点]],MATCH(体力優良証交付申請!$A85,入力シート!$AF$6:$AF$505,0),MATCH(体力優良証交付申請!K$14,テーブル22[[#Headers],[学年]:[得点]],0)))</f>
        <v/>
      </c>
      <c r="L85" s="203" t="str">
        <f>IF($A85&gt;MAX(入力シート!$AF$6:$AF$505),"",INDEX(テーブル22[[学年]:[得点]],MATCH(体力優良証交付申請!$A85,入力シート!$AF$6:$AF$505,0),MATCH(体力優良証交付申請!L$14,テーブル22[[#Headers],[学年]:[得点]],0)))</f>
        <v/>
      </c>
      <c r="M85" s="28" t="str">
        <f>IF($A85&gt;MAX(入力シート!$AF$6:$AF$505),"",INDEX(テーブル22[[学年]:[得点]],MATCH(体力優良証交付申請!$A85,入力シート!$AF$6:$AF$505,0),MATCH(体力優良証交付申請!M$14,テーブル22[[#Headers],[学年]:[得点]],0)))</f>
        <v/>
      </c>
    </row>
    <row r="86" spans="1:13" x14ac:dyDescent="0.2">
      <c r="A86" s="16">
        <v>72</v>
      </c>
      <c r="B86" s="130" t="str">
        <f>IF($A86&gt;MAX(入力シート!$AF$6:$AF$505),"",INDEX(テーブル22[[学年]:[得点]],MATCH(体力優良証交付申請!$A86,入力シート!$AF$6:$AF$505,0),MATCH(体力優良証交付申請!B$14,テーブル22[[#Headers],[学年]:[得点]],0)))</f>
        <v/>
      </c>
      <c r="C86" s="203" t="str">
        <f>IF($A86&gt;MAX(入力シート!$AF$6:$AF$505),"",INDEX(テーブル22[[学年]:[得点]],MATCH(体力優良証交付申請!$A86,入力シート!$AF$6:$AF$505,0),MATCH(体力優良証交付申請!C$14,テーブル22[[#Headers],[学年]:[得点]],0)))</f>
        <v/>
      </c>
      <c r="D86" s="203" t="str">
        <f>IF($A86&gt;MAX(入力シート!$AF$6:$AF$505),"",INDEX(テーブル22[[学年]:[得点]],MATCH(体力優良証交付申請!$A86,入力シート!$AF$6:$AF$505,0),MATCH(体力優良証交付申請!D$14,テーブル22[[#Headers],[学年]:[得点]],0)))</f>
        <v/>
      </c>
      <c r="E86" s="203" t="str">
        <f>IF($A86&gt;MAX(入力シート!$AF$6:$AF$505),"",INDEX(テーブル22[[学年]:[得点]],MATCH(体力優良証交付申請!$A86,入力シート!$AF$6:$AF$505,0),MATCH(体力優良証交付申請!E$14,テーブル22[[#Headers],[学年]:[得点]],0)))</f>
        <v/>
      </c>
      <c r="F86" s="203" t="str">
        <f>IF($A86&gt;MAX(入力シート!$AF$6:$AF$505),"",INDEX(テーブル22[[学年]:[得点]],MATCH(体力優良証交付申請!$A86,入力シート!$AF$6:$AF$505,0),MATCH(体力優良証交付申請!F$14,テーブル22[[#Headers],[学年]:[得点]],0)))</f>
        <v/>
      </c>
      <c r="G86" s="203" t="str">
        <f>IF($A86&gt;MAX(入力シート!$AF$6:$AF$505),"",INDEX(テーブル22[[学年]:[得点]],MATCH(体力優良証交付申請!$A86,入力シート!$AF$6:$AF$505,0),MATCH(体力優良証交付申請!G$14,テーブル22[[#Headers],[学年]:[得点]],0)))</f>
        <v/>
      </c>
      <c r="H86" s="203" t="str">
        <f>IF($A86&gt;MAX(入力シート!$AF$6:$AF$505),"",INDEX(テーブル22[[学年]:[得点]],MATCH(体力優良証交付申請!$A86,入力シート!$AF$6:$AF$505,0),MATCH(体力優良証交付申請!H$14,テーブル22[[#Headers],[学年]:[得点]],0)))</f>
        <v/>
      </c>
      <c r="I86" s="203" t="str">
        <f>IF($A86&gt;MAX(入力シート!$AF$6:$AF$505),"",INDEX(テーブル22[[学年]:[得点]],MATCH(体力優良証交付申請!$A86,入力シート!$AF$6:$AF$505,0),MATCH(体力優良証交付申請!I$14,テーブル22[[#Headers],[学年]:[得点]],0)))</f>
        <v/>
      </c>
      <c r="J86" s="114" t="str">
        <f>IF($A86&gt;MAX(入力シート!$AF$6:$AF$505),"",INDEX(テーブル22[[学年]:[得点]],MATCH(体力優良証交付申請!$A86,入力シート!$AF$6:$AF$505,0),MATCH(体力優良証交付申請!J$14,テーブル22[[#Headers],[学年]:[得点]],0)))</f>
        <v/>
      </c>
      <c r="K86" s="203" t="str">
        <f>IF($A86&gt;MAX(入力シート!$AF$6:$AF$505),"",INDEX(テーブル22[[学年]:[得点]],MATCH(体力優良証交付申請!$A86,入力シート!$AF$6:$AF$505,0),MATCH(体力優良証交付申請!K$14,テーブル22[[#Headers],[学年]:[得点]],0)))</f>
        <v/>
      </c>
      <c r="L86" s="203" t="str">
        <f>IF($A86&gt;MAX(入力シート!$AF$6:$AF$505),"",INDEX(テーブル22[[学年]:[得点]],MATCH(体力優良証交付申請!$A86,入力シート!$AF$6:$AF$505,0),MATCH(体力優良証交付申請!L$14,テーブル22[[#Headers],[学年]:[得点]],0)))</f>
        <v/>
      </c>
      <c r="M86" s="28" t="str">
        <f>IF($A86&gt;MAX(入力シート!$AF$6:$AF$505),"",INDEX(テーブル22[[学年]:[得点]],MATCH(体力優良証交付申請!$A86,入力シート!$AF$6:$AF$505,0),MATCH(体力優良証交付申請!M$14,テーブル22[[#Headers],[学年]:[得点]],0)))</f>
        <v/>
      </c>
    </row>
    <row r="87" spans="1:13" x14ac:dyDescent="0.2">
      <c r="A87" s="16">
        <v>73</v>
      </c>
      <c r="B87" s="130" t="str">
        <f>IF($A87&gt;MAX(入力シート!$AF$6:$AF$505),"",INDEX(テーブル22[[学年]:[得点]],MATCH(体力優良証交付申請!$A87,入力シート!$AF$6:$AF$505,0),MATCH(体力優良証交付申請!B$14,テーブル22[[#Headers],[学年]:[得点]],0)))</f>
        <v/>
      </c>
      <c r="C87" s="203" t="str">
        <f>IF($A87&gt;MAX(入力シート!$AF$6:$AF$505),"",INDEX(テーブル22[[学年]:[得点]],MATCH(体力優良証交付申請!$A87,入力シート!$AF$6:$AF$505,0),MATCH(体力優良証交付申請!C$14,テーブル22[[#Headers],[学年]:[得点]],0)))</f>
        <v/>
      </c>
      <c r="D87" s="203" t="str">
        <f>IF($A87&gt;MAX(入力シート!$AF$6:$AF$505),"",INDEX(テーブル22[[学年]:[得点]],MATCH(体力優良証交付申請!$A87,入力シート!$AF$6:$AF$505,0),MATCH(体力優良証交付申請!D$14,テーブル22[[#Headers],[学年]:[得点]],0)))</f>
        <v/>
      </c>
      <c r="E87" s="203" t="str">
        <f>IF($A87&gt;MAX(入力シート!$AF$6:$AF$505),"",INDEX(テーブル22[[学年]:[得点]],MATCH(体力優良証交付申請!$A87,入力シート!$AF$6:$AF$505,0),MATCH(体力優良証交付申請!E$14,テーブル22[[#Headers],[学年]:[得点]],0)))</f>
        <v/>
      </c>
      <c r="F87" s="203" t="str">
        <f>IF($A87&gt;MAX(入力シート!$AF$6:$AF$505),"",INDEX(テーブル22[[学年]:[得点]],MATCH(体力優良証交付申請!$A87,入力シート!$AF$6:$AF$505,0),MATCH(体力優良証交付申請!F$14,テーブル22[[#Headers],[学年]:[得点]],0)))</f>
        <v/>
      </c>
      <c r="G87" s="203" t="str">
        <f>IF($A87&gt;MAX(入力シート!$AF$6:$AF$505),"",INDEX(テーブル22[[学年]:[得点]],MATCH(体力優良証交付申請!$A87,入力シート!$AF$6:$AF$505,0),MATCH(体力優良証交付申請!G$14,テーブル22[[#Headers],[学年]:[得点]],0)))</f>
        <v/>
      </c>
      <c r="H87" s="203" t="str">
        <f>IF($A87&gt;MAX(入力シート!$AF$6:$AF$505),"",INDEX(テーブル22[[学年]:[得点]],MATCH(体力優良証交付申請!$A87,入力シート!$AF$6:$AF$505,0),MATCH(体力優良証交付申請!H$14,テーブル22[[#Headers],[学年]:[得点]],0)))</f>
        <v/>
      </c>
      <c r="I87" s="203" t="str">
        <f>IF($A87&gt;MAX(入力シート!$AF$6:$AF$505),"",INDEX(テーブル22[[学年]:[得点]],MATCH(体力優良証交付申請!$A87,入力シート!$AF$6:$AF$505,0),MATCH(体力優良証交付申請!I$14,テーブル22[[#Headers],[学年]:[得点]],0)))</f>
        <v/>
      </c>
      <c r="J87" s="114" t="str">
        <f>IF($A87&gt;MAX(入力シート!$AF$6:$AF$505),"",INDEX(テーブル22[[学年]:[得点]],MATCH(体力優良証交付申請!$A87,入力シート!$AF$6:$AF$505,0),MATCH(体力優良証交付申請!J$14,テーブル22[[#Headers],[学年]:[得点]],0)))</f>
        <v/>
      </c>
      <c r="K87" s="203" t="str">
        <f>IF($A87&gt;MAX(入力シート!$AF$6:$AF$505),"",INDEX(テーブル22[[学年]:[得点]],MATCH(体力優良証交付申請!$A87,入力シート!$AF$6:$AF$505,0),MATCH(体力優良証交付申請!K$14,テーブル22[[#Headers],[学年]:[得点]],0)))</f>
        <v/>
      </c>
      <c r="L87" s="203" t="str">
        <f>IF($A87&gt;MAX(入力シート!$AF$6:$AF$505),"",INDEX(テーブル22[[学年]:[得点]],MATCH(体力優良証交付申請!$A87,入力シート!$AF$6:$AF$505,0),MATCH(体力優良証交付申請!L$14,テーブル22[[#Headers],[学年]:[得点]],0)))</f>
        <v/>
      </c>
      <c r="M87" s="28" t="str">
        <f>IF($A87&gt;MAX(入力シート!$AF$6:$AF$505),"",INDEX(テーブル22[[学年]:[得点]],MATCH(体力優良証交付申請!$A87,入力シート!$AF$6:$AF$505,0),MATCH(体力優良証交付申請!M$14,テーブル22[[#Headers],[学年]:[得点]],0)))</f>
        <v/>
      </c>
    </row>
    <row r="88" spans="1:13" x14ac:dyDescent="0.2">
      <c r="A88" s="16">
        <v>74</v>
      </c>
      <c r="B88" s="130" t="str">
        <f>IF($A88&gt;MAX(入力シート!$AF$6:$AF$505),"",INDEX(テーブル22[[学年]:[得点]],MATCH(体力優良証交付申請!$A88,入力シート!$AF$6:$AF$505,0),MATCH(体力優良証交付申請!B$14,テーブル22[[#Headers],[学年]:[得点]],0)))</f>
        <v/>
      </c>
      <c r="C88" s="203" t="str">
        <f>IF($A88&gt;MAX(入力シート!$AF$6:$AF$505),"",INDEX(テーブル22[[学年]:[得点]],MATCH(体力優良証交付申請!$A88,入力シート!$AF$6:$AF$505,0),MATCH(体力優良証交付申請!C$14,テーブル22[[#Headers],[学年]:[得点]],0)))</f>
        <v/>
      </c>
      <c r="D88" s="203" t="str">
        <f>IF($A88&gt;MAX(入力シート!$AF$6:$AF$505),"",INDEX(テーブル22[[学年]:[得点]],MATCH(体力優良証交付申請!$A88,入力シート!$AF$6:$AF$505,0),MATCH(体力優良証交付申請!D$14,テーブル22[[#Headers],[学年]:[得点]],0)))</f>
        <v/>
      </c>
      <c r="E88" s="203" t="str">
        <f>IF($A88&gt;MAX(入力シート!$AF$6:$AF$505),"",INDEX(テーブル22[[学年]:[得点]],MATCH(体力優良証交付申請!$A88,入力シート!$AF$6:$AF$505,0),MATCH(体力優良証交付申請!E$14,テーブル22[[#Headers],[学年]:[得点]],0)))</f>
        <v/>
      </c>
      <c r="F88" s="203" t="str">
        <f>IF($A88&gt;MAX(入力シート!$AF$6:$AF$505),"",INDEX(テーブル22[[学年]:[得点]],MATCH(体力優良証交付申請!$A88,入力シート!$AF$6:$AF$505,0),MATCH(体力優良証交付申請!F$14,テーブル22[[#Headers],[学年]:[得点]],0)))</f>
        <v/>
      </c>
      <c r="G88" s="203" t="str">
        <f>IF($A88&gt;MAX(入力シート!$AF$6:$AF$505),"",INDEX(テーブル22[[学年]:[得点]],MATCH(体力優良証交付申請!$A88,入力シート!$AF$6:$AF$505,0),MATCH(体力優良証交付申請!G$14,テーブル22[[#Headers],[学年]:[得点]],0)))</f>
        <v/>
      </c>
      <c r="H88" s="203" t="str">
        <f>IF($A88&gt;MAX(入力シート!$AF$6:$AF$505),"",INDEX(テーブル22[[学年]:[得点]],MATCH(体力優良証交付申請!$A88,入力シート!$AF$6:$AF$505,0),MATCH(体力優良証交付申請!H$14,テーブル22[[#Headers],[学年]:[得点]],0)))</f>
        <v/>
      </c>
      <c r="I88" s="203" t="str">
        <f>IF($A88&gt;MAX(入力シート!$AF$6:$AF$505),"",INDEX(テーブル22[[学年]:[得点]],MATCH(体力優良証交付申請!$A88,入力シート!$AF$6:$AF$505,0),MATCH(体力優良証交付申請!I$14,テーブル22[[#Headers],[学年]:[得点]],0)))</f>
        <v/>
      </c>
      <c r="J88" s="114" t="str">
        <f>IF($A88&gt;MAX(入力シート!$AF$6:$AF$505),"",INDEX(テーブル22[[学年]:[得点]],MATCH(体力優良証交付申請!$A88,入力シート!$AF$6:$AF$505,0),MATCH(体力優良証交付申請!J$14,テーブル22[[#Headers],[学年]:[得点]],0)))</f>
        <v/>
      </c>
      <c r="K88" s="203" t="str">
        <f>IF($A88&gt;MAX(入力シート!$AF$6:$AF$505),"",INDEX(テーブル22[[学年]:[得点]],MATCH(体力優良証交付申請!$A88,入力シート!$AF$6:$AF$505,0),MATCH(体力優良証交付申請!K$14,テーブル22[[#Headers],[学年]:[得点]],0)))</f>
        <v/>
      </c>
      <c r="L88" s="203" t="str">
        <f>IF($A88&gt;MAX(入力シート!$AF$6:$AF$505),"",INDEX(テーブル22[[学年]:[得点]],MATCH(体力優良証交付申請!$A88,入力シート!$AF$6:$AF$505,0),MATCH(体力優良証交付申請!L$14,テーブル22[[#Headers],[学年]:[得点]],0)))</f>
        <v/>
      </c>
      <c r="M88" s="28" t="str">
        <f>IF($A88&gt;MAX(入力シート!$AF$6:$AF$505),"",INDEX(テーブル22[[学年]:[得点]],MATCH(体力優良証交付申請!$A88,入力シート!$AF$6:$AF$505,0),MATCH(体力優良証交付申請!M$14,テーブル22[[#Headers],[学年]:[得点]],0)))</f>
        <v/>
      </c>
    </row>
    <row r="89" spans="1:13" x14ac:dyDescent="0.2">
      <c r="A89" s="16">
        <v>75</v>
      </c>
      <c r="B89" s="130" t="str">
        <f>IF($A89&gt;MAX(入力シート!$AF$6:$AF$505),"",INDEX(テーブル22[[学年]:[得点]],MATCH(体力優良証交付申請!$A89,入力シート!$AF$6:$AF$505,0),MATCH(体力優良証交付申請!B$14,テーブル22[[#Headers],[学年]:[得点]],0)))</f>
        <v/>
      </c>
      <c r="C89" s="203" t="str">
        <f>IF($A89&gt;MAX(入力シート!$AF$6:$AF$505),"",INDEX(テーブル22[[学年]:[得点]],MATCH(体力優良証交付申請!$A89,入力シート!$AF$6:$AF$505,0),MATCH(体力優良証交付申請!C$14,テーブル22[[#Headers],[学年]:[得点]],0)))</f>
        <v/>
      </c>
      <c r="D89" s="203" t="str">
        <f>IF($A89&gt;MAX(入力シート!$AF$6:$AF$505),"",INDEX(テーブル22[[学年]:[得点]],MATCH(体力優良証交付申請!$A89,入力シート!$AF$6:$AF$505,0),MATCH(体力優良証交付申請!D$14,テーブル22[[#Headers],[学年]:[得点]],0)))</f>
        <v/>
      </c>
      <c r="E89" s="203" t="str">
        <f>IF($A89&gt;MAX(入力シート!$AF$6:$AF$505),"",INDEX(テーブル22[[学年]:[得点]],MATCH(体力優良証交付申請!$A89,入力シート!$AF$6:$AF$505,0),MATCH(体力優良証交付申請!E$14,テーブル22[[#Headers],[学年]:[得点]],0)))</f>
        <v/>
      </c>
      <c r="F89" s="203" t="str">
        <f>IF($A89&gt;MAX(入力シート!$AF$6:$AF$505),"",INDEX(テーブル22[[学年]:[得点]],MATCH(体力優良証交付申請!$A89,入力シート!$AF$6:$AF$505,0),MATCH(体力優良証交付申請!F$14,テーブル22[[#Headers],[学年]:[得点]],0)))</f>
        <v/>
      </c>
      <c r="G89" s="203" t="str">
        <f>IF($A89&gt;MAX(入力シート!$AF$6:$AF$505),"",INDEX(テーブル22[[学年]:[得点]],MATCH(体力優良証交付申請!$A89,入力シート!$AF$6:$AF$505,0),MATCH(体力優良証交付申請!G$14,テーブル22[[#Headers],[学年]:[得点]],0)))</f>
        <v/>
      </c>
      <c r="H89" s="203" t="str">
        <f>IF($A89&gt;MAX(入力シート!$AF$6:$AF$505),"",INDEX(テーブル22[[学年]:[得点]],MATCH(体力優良証交付申請!$A89,入力シート!$AF$6:$AF$505,0),MATCH(体力優良証交付申請!H$14,テーブル22[[#Headers],[学年]:[得点]],0)))</f>
        <v/>
      </c>
      <c r="I89" s="203" t="str">
        <f>IF($A89&gt;MAX(入力シート!$AF$6:$AF$505),"",INDEX(テーブル22[[学年]:[得点]],MATCH(体力優良証交付申請!$A89,入力シート!$AF$6:$AF$505,0),MATCH(体力優良証交付申請!I$14,テーブル22[[#Headers],[学年]:[得点]],0)))</f>
        <v/>
      </c>
      <c r="J89" s="114" t="str">
        <f>IF($A89&gt;MAX(入力シート!$AF$6:$AF$505),"",INDEX(テーブル22[[学年]:[得点]],MATCH(体力優良証交付申請!$A89,入力シート!$AF$6:$AF$505,0),MATCH(体力優良証交付申請!J$14,テーブル22[[#Headers],[学年]:[得点]],0)))</f>
        <v/>
      </c>
      <c r="K89" s="203" t="str">
        <f>IF($A89&gt;MAX(入力シート!$AF$6:$AF$505),"",INDEX(テーブル22[[学年]:[得点]],MATCH(体力優良証交付申請!$A89,入力シート!$AF$6:$AF$505,0),MATCH(体力優良証交付申請!K$14,テーブル22[[#Headers],[学年]:[得点]],0)))</f>
        <v/>
      </c>
      <c r="L89" s="203" t="str">
        <f>IF($A89&gt;MAX(入力シート!$AF$6:$AF$505),"",INDEX(テーブル22[[学年]:[得点]],MATCH(体力優良証交付申請!$A89,入力シート!$AF$6:$AF$505,0),MATCH(体力優良証交付申請!L$14,テーブル22[[#Headers],[学年]:[得点]],0)))</f>
        <v/>
      </c>
      <c r="M89" s="28" t="str">
        <f>IF($A89&gt;MAX(入力シート!$AF$6:$AF$505),"",INDEX(テーブル22[[学年]:[得点]],MATCH(体力優良証交付申請!$A89,入力シート!$AF$6:$AF$505,0),MATCH(体力優良証交付申請!M$14,テーブル22[[#Headers],[学年]:[得点]],0)))</f>
        <v/>
      </c>
    </row>
    <row r="90" spans="1:13" x14ac:dyDescent="0.2">
      <c r="A90" s="16">
        <v>76</v>
      </c>
      <c r="B90" s="130" t="str">
        <f>IF($A90&gt;MAX(入力シート!$AF$6:$AF$505),"",INDEX(テーブル22[[学年]:[得点]],MATCH(体力優良証交付申請!$A90,入力シート!$AF$6:$AF$505,0),MATCH(体力優良証交付申請!B$14,テーブル22[[#Headers],[学年]:[得点]],0)))</f>
        <v/>
      </c>
      <c r="C90" s="203" t="str">
        <f>IF($A90&gt;MAX(入力シート!$AF$6:$AF$505),"",INDEX(テーブル22[[学年]:[得点]],MATCH(体力優良証交付申請!$A90,入力シート!$AF$6:$AF$505,0),MATCH(体力優良証交付申請!C$14,テーブル22[[#Headers],[学年]:[得点]],0)))</f>
        <v/>
      </c>
      <c r="D90" s="203" t="str">
        <f>IF($A90&gt;MAX(入力シート!$AF$6:$AF$505),"",INDEX(テーブル22[[学年]:[得点]],MATCH(体力優良証交付申請!$A90,入力シート!$AF$6:$AF$505,0),MATCH(体力優良証交付申請!D$14,テーブル22[[#Headers],[学年]:[得点]],0)))</f>
        <v/>
      </c>
      <c r="E90" s="203" t="str">
        <f>IF($A90&gt;MAX(入力シート!$AF$6:$AF$505),"",INDEX(テーブル22[[学年]:[得点]],MATCH(体力優良証交付申請!$A90,入力シート!$AF$6:$AF$505,0),MATCH(体力優良証交付申請!E$14,テーブル22[[#Headers],[学年]:[得点]],0)))</f>
        <v/>
      </c>
      <c r="F90" s="203" t="str">
        <f>IF($A90&gt;MAX(入力シート!$AF$6:$AF$505),"",INDEX(テーブル22[[学年]:[得点]],MATCH(体力優良証交付申請!$A90,入力シート!$AF$6:$AF$505,0),MATCH(体力優良証交付申請!F$14,テーブル22[[#Headers],[学年]:[得点]],0)))</f>
        <v/>
      </c>
      <c r="G90" s="203" t="str">
        <f>IF($A90&gt;MAX(入力シート!$AF$6:$AF$505),"",INDEX(テーブル22[[学年]:[得点]],MATCH(体力優良証交付申請!$A90,入力シート!$AF$6:$AF$505,0),MATCH(体力優良証交付申請!G$14,テーブル22[[#Headers],[学年]:[得点]],0)))</f>
        <v/>
      </c>
      <c r="H90" s="203" t="str">
        <f>IF($A90&gt;MAX(入力シート!$AF$6:$AF$505),"",INDEX(テーブル22[[学年]:[得点]],MATCH(体力優良証交付申請!$A90,入力シート!$AF$6:$AF$505,0),MATCH(体力優良証交付申請!H$14,テーブル22[[#Headers],[学年]:[得点]],0)))</f>
        <v/>
      </c>
      <c r="I90" s="203" t="str">
        <f>IF($A90&gt;MAX(入力シート!$AF$6:$AF$505),"",INDEX(テーブル22[[学年]:[得点]],MATCH(体力優良証交付申請!$A90,入力シート!$AF$6:$AF$505,0),MATCH(体力優良証交付申請!I$14,テーブル22[[#Headers],[学年]:[得点]],0)))</f>
        <v/>
      </c>
      <c r="J90" s="114" t="str">
        <f>IF($A90&gt;MAX(入力シート!$AF$6:$AF$505),"",INDEX(テーブル22[[学年]:[得点]],MATCH(体力優良証交付申請!$A90,入力シート!$AF$6:$AF$505,0),MATCH(体力優良証交付申請!J$14,テーブル22[[#Headers],[学年]:[得点]],0)))</f>
        <v/>
      </c>
      <c r="K90" s="203" t="str">
        <f>IF($A90&gt;MAX(入力シート!$AF$6:$AF$505),"",INDEX(テーブル22[[学年]:[得点]],MATCH(体力優良証交付申請!$A90,入力シート!$AF$6:$AF$505,0),MATCH(体力優良証交付申請!K$14,テーブル22[[#Headers],[学年]:[得点]],0)))</f>
        <v/>
      </c>
      <c r="L90" s="203" t="str">
        <f>IF($A90&gt;MAX(入力シート!$AF$6:$AF$505),"",INDEX(テーブル22[[学年]:[得点]],MATCH(体力優良証交付申請!$A90,入力シート!$AF$6:$AF$505,0),MATCH(体力優良証交付申請!L$14,テーブル22[[#Headers],[学年]:[得点]],0)))</f>
        <v/>
      </c>
      <c r="M90" s="28" t="str">
        <f>IF($A90&gt;MAX(入力シート!$AF$6:$AF$505),"",INDEX(テーブル22[[学年]:[得点]],MATCH(体力優良証交付申請!$A90,入力シート!$AF$6:$AF$505,0),MATCH(体力優良証交付申請!M$14,テーブル22[[#Headers],[学年]:[得点]],0)))</f>
        <v/>
      </c>
    </row>
    <row r="91" spans="1:13" x14ac:dyDescent="0.2">
      <c r="A91" s="16">
        <v>77</v>
      </c>
      <c r="B91" s="130" t="str">
        <f>IF($A91&gt;MAX(入力シート!$AF$6:$AF$505),"",INDEX(テーブル22[[学年]:[得点]],MATCH(体力優良証交付申請!$A91,入力シート!$AF$6:$AF$505,0),MATCH(体力優良証交付申請!B$14,テーブル22[[#Headers],[学年]:[得点]],0)))</f>
        <v/>
      </c>
      <c r="C91" s="203" t="str">
        <f>IF($A91&gt;MAX(入力シート!$AF$6:$AF$505),"",INDEX(テーブル22[[学年]:[得点]],MATCH(体力優良証交付申請!$A91,入力シート!$AF$6:$AF$505,0),MATCH(体力優良証交付申請!C$14,テーブル22[[#Headers],[学年]:[得点]],0)))</f>
        <v/>
      </c>
      <c r="D91" s="203" t="str">
        <f>IF($A91&gt;MAX(入力シート!$AF$6:$AF$505),"",INDEX(テーブル22[[学年]:[得点]],MATCH(体力優良証交付申請!$A91,入力シート!$AF$6:$AF$505,0),MATCH(体力優良証交付申請!D$14,テーブル22[[#Headers],[学年]:[得点]],0)))</f>
        <v/>
      </c>
      <c r="E91" s="203" t="str">
        <f>IF($A91&gt;MAX(入力シート!$AF$6:$AF$505),"",INDEX(テーブル22[[学年]:[得点]],MATCH(体力優良証交付申請!$A91,入力シート!$AF$6:$AF$505,0),MATCH(体力優良証交付申請!E$14,テーブル22[[#Headers],[学年]:[得点]],0)))</f>
        <v/>
      </c>
      <c r="F91" s="203" t="str">
        <f>IF($A91&gt;MAX(入力シート!$AF$6:$AF$505),"",INDEX(テーブル22[[学年]:[得点]],MATCH(体力優良証交付申請!$A91,入力シート!$AF$6:$AF$505,0),MATCH(体力優良証交付申請!F$14,テーブル22[[#Headers],[学年]:[得点]],0)))</f>
        <v/>
      </c>
      <c r="G91" s="203" t="str">
        <f>IF($A91&gt;MAX(入力シート!$AF$6:$AF$505),"",INDEX(テーブル22[[学年]:[得点]],MATCH(体力優良証交付申請!$A91,入力シート!$AF$6:$AF$505,0),MATCH(体力優良証交付申請!G$14,テーブル22[[#Headers],[学年]:[得点]],0)))</f>
        <v/>
      </c>
      <c r="H91" s="203" t="str">
        <f>IF($A91&gt;MAX(入力シート!$AF$6:$AF$505),"",INDEX(テーブル22[[学年]:[得点]],MATCH(体力優良証交付申請!$A91,入力シート!$AF$6:$AF$505,0),MATCH(体力優良証交付申請!H$14,テーブル22[[#Headers],[学年]:[得点]],0)))</f>
        <v/>
      </c>
      <c r="I91" s="203" t="str">
        <f>IF($A91&gt;MAX(入力シート!$AF$6:$AF$505),"",INDEX(テーブル22[[学年]:[得点]],MATCH(体力優良証交付申請!$A91,入力シート!$AF$6:$AF$505,0),MATCH(体力優良証交付申請!I$14,テーブル22[[#Headers],[学年]:[得点]],0)))</f>
        <v/>
      </c>
      <c r="J91" s="114" t="str">
        <f>IF($A91&gt;MAX(入力シート!$AF$6:$AF$505),"",INDEX(テーブル22[[学年]:[得点]],MATCH(体力優良証交付申請!$A91,入力シート!$AF$6:$AF$505,0),MATCH(体力優良証交付申請!J$14,テーブル22[[#Headers],[学年]:[得点]],0)))</f>
        <v/>
      </c>
      <c r="K91" s="203" t="str">
        <f>IF($A91&gt;MAX(入力シート!$AF$6:$AF$505),"",INDEX(テーブル22[[学年]:[得点]],MATCH(体力優良証交付申請!$A91,入力シート!$AF$6:$AF$505,0),MATCH(体力優良証交付申請!K$14,テーブル22[[#Headers],[学年]:[得点]],0)))</f>
        <v/>
      </c>
      <c r="L91" s="203" t="str">
        <f>IF($A91&gt;MAX(入力シート!$AF$6:$AF$505),"",INDEX(テーブル22[[学年]:[得点]],MATCH(体力優良証交付申請!$A91,入力シート!$AF$6:$AF$505,0),MATCH(体力優良証交付申請!L$14,テーブル22[[#Headers],[学年]:[得点]],0)))</f>
        <v/>
      </c>
      <c r="M91" s="28" t="str">
        <f>IF($A91&gt;MAX(入力シート!$AF$6:$AF$505),"",INDEX(テーブル22[[学年]:[得点]],MATCH(体力優良証交付申請!$A91,入力シート!$AF$6:$AF$505,0),MATCH(体力優良証交付申請!M$14,テーブル22[[#Headers],[学年]:[得点]],0)))</f>
        <v/>
      </c>
    </row>
    <row r="92" spans="1:13" x14ac:dyDescent="0.2">
      <c r="A92" s="16">
        <v>78</v>
      </c>
      <c r="B92" s="130" t="str">
        <f>IF($A92&gt;MAX(入力シート!$AF$6:$AF$505),"",INDEX(テーブル22[[学年]:[得点]],MATCH(体力優良証交付申請!$A92,入力シート!$AF$6:$AF$505,0),MATCH(体力優良証交付申請!B$14,テーブル22[[#Headers],[学年]:[得点]],0)))</f>
        <v/>
      </c>
      <c r="C92" s="203" t="str">
        <f>IF($A92&gt;MAX(入力シート!$AF$6:$AF$505),"",INDEX(テーブル22[[学年]:[得点]],MATCH(体力優良証交付申請!$A92,入力シート!$AF$6:$AF$505,0),MATCH(体力優良証交付申請!C$14,テーブル22[[#Headers],[学年]:[得点]],0)))</f>
        <v/>
      </c>
      <c r="D92" s="203" t="str">
        <f>IF($A92&gt;MAX(入力シート!$AF$6:$AF$505),"",INDEX(テーブル22[[学年]:[得点]],MATCH(体力優良証交付申請!$A92,入力シート!$AF$6:$AF$505,0),MATCH(体力優良証交付申請!D$14,テーブル22[[#Headers],[学年]:[得点]],0)))</f>
        <v/>
      </c>
      <c r="E92" s="203" t="str">
        <f>IF($A92&gt;MAX(入力シート!$AF$6:$AF$505),"",INDEX(テーブル22[[学年]:[得点]],MATCH(体力優良証交付申請!$A92,入力シート!$AF$6:$AF$505,0),MATCH(体力優良証交付申請!E$14,テーブル22[[#Headers],[学年]:[得点]],0)))</f>
        <v/>
      </c>
      <c r="F92" s="203" t="str">
        <f>IF($A92&gt;MAX(入力シート!$AF$6:$AF$505),"",INDEX(テーブル22[[学年]:[得点]],MATCH(体力優良証交付申請!$A92,入力シート!$AF$6:$AF$505,0),MATCH(体力優良証交付申請!F$14,テーブル22[[#Headers],[学年]:[得点]],0)))</f>
        <v/>
      </c>
      <c r="G92" s="203" t="str">
        <f>IF($A92&gt;MAX(入力シート!$AF$6:$AF$505),"",INDEX(テーブル22[[学年]:[得点]],MATCH(体力優良証交付申請!$A92,入力シート!$AF$6:$AF$505,0),MATCH(体力優良証交付申請!G$14,テーブル22[[#Headers],[学年]:[得点]],0)))</f>
        <v/>
      </c>
      <c r="H92" s="203" t="str">
        <f>IF($A92&gt;MAX(入力シート!$AF$6:$AF$505),"",INDEX(テーブル22[[学年]:[得点]],MATCH(体力優良証交付申請!$A92,入力シート!$AF$6:$AF$505,0),MATCH(体力優良証交付申請!H$14,テーブル22[[#Headers],[学年]:[得点]],0)))</f>
        <v/>
      </c>
      <c r="I92" s="203" t="str">
        <f>IF($A92&gt;MAX(入力シート!$AF$6:$AF$505),"",INDEX(テーブル22[[学年]:[得点]],MATCH(体力優良証交付申請!$A92,入力シート!$AF$6:$AF$505,0),MATCH(体力優良証交付申請!I$14,テーブル22[[#Headers],[学年]:[得点]],0)))</f>
        <v/>
      </c>
      <c r="J92" s="114" t="str">
        <f>IF($A92&gt;MAX(入力シート!$AF$6:$AF$505),"",INDEX(テーブル22[[学年]:[得点]],MATCH(体力優良証交付申請!$A92,入力シート!$AF$6:$AF$505,0),MATCH(体力優良証交付申請!J$14,テーブル22[[#Headers],[学年]:[得点]],0)))</f>
        <v/>
      </c>
      <c r="K92" s="203" t="str">
        <f>IF($A92&gt;MAX(入力シート!$AF$6:$AF$505),"",INDEX(テーブル22[[学年]:[得点]],MATCH(体力優良証交付申請!$A92,入力シート!$AF$6:$AF$505,0),MATCH(体力優良証交付申請!K$14,テーブル22[[#Headers],[学年]:[得点]],0)))</f>
        <v/>
      </c>
      <c r="L92" s="203" t="str">
        <f>IF($A92&gt;MAX(入力シート!$AF$6:$AF$505),"",INDEX(テーブル22[[学年]:[得点]],MATCH(体力優良証交付申請!$A92,入力シート!$AF$6:$AF$505,0),MATCH(体力優良証交付申請!L$14,テーブル22[[#Headers],[学年]:[得点]],0)))</f>
        <v/>
      </c>
      <c r="M92" s="28" t="str">
        <f>IF($A92&gt;MAX(入力シート!$AF$6:$AF$505),"",INDEX(テーブル22[[学年]:[得点]],MATCH(体力優良証交付申請!$A92,入力シート!$AF$6:$AF$505,0),MATCH(体力優良証交付申請!M$14,テーブル22[[#Headers],[学年]:[得点]],0)))</f>
        <v/>
      </c>
    </row>
    <row r="93" spans="1:13" x14ac:dyDescent="0.2">
      <c r="A93" s="16">
        <v>79</v>
      </c>
      <c r="B93" s="130" t="str">
        <f>IF($A93&gt;MAX(入力シート!$AF$6:$AF$505),"",INDEX(テーブル22[[学年]:[得点]],MATCH(体力優良証交付申請!$A93,入力シート!$AF$6:$AF$505,0),MATCH(体力優良証交付申請!B$14,テーブル22[[#Headers],[学年]:[得点]],0)))</f>
        <v/>
      </c>
      <c r="C93" s="203" t="str">
        <f>IF($A93&gt;MAX(入力シート!$AF$6:$AF$505),"",INDEX(テーブル22[[学年]:[得点]],MATCH(体力優良証交付申請!$A93,入力シート!$AF$6:$AF$505,0),MATCH(体力優良証交付申請!C$14,テーブル22[[#Headers],[学年]:[得点]],0)))</f>
        <v/>
      </c>
      <c r="D93" s="203" t="str">
        <f>IF($A93&gt;MAX(入力シート!$AF$6:$AF$505),"",INDEX(テーブル22[[学年]:[得点]],MATCH(体力優良証交付申請!$A93,入力シート!$AF$6:$AF$505,0),MATCH(体力優良証交付申請!D$14,テーブル22[[#Headers],[学年]:[得点]],0)))</f>
        <v/>
      </c>
      <c r="E93" s="203" t="str">
        <f>IF($A93&gt;MAX(入力シート!$AF$6:$AF$505),"",INDEX(テーブル22[[学年]:[得点]],MATCH(体力優良証交付申請!$A93,入力シート!$AF$6:$AF$505,0),MATCH(体力優良証交付申請!E$14,テーブル22[[#Headers],[学年]:[得点]],0)))</f>
        <v/>
      </c>
      <c r="F93" s="203" t="str">
        <f>IF($A93&gt;MAX(入力シート!$AF$6:$AF$505),"",INDEX(テーブル22[[学年]:[得点]],MATCH(体力優良証交付申請!$A93,入力シート!$AF$6:$AF$505,0),MATCH(体力優良証交付申請!F$14,テーブル22[[#Headers],[学年]:[得点]],0)))</f>
        <v/>
      </c>
      <c r="G93" s="203" t="str">
        <f>IF($A93&gt;MAX(入力シート!$AF$6:$AF$505),"",INDEX(テーブル22[[学年]:[得点]],MATCH(体力優良証交付申請!$A93,入力シート!$AF$6:$AF$505,0),MATCH(体力優良証交付申請!G$14,テーブル22[[#Headers],[学年]:[得点]],0)))</f>
        <v/>
      </c>
      <c r="H93" s="203" t="str">
        <f>IF($A93&gt;MAX(入力シート!$AF$6:$AF$505),"",INDEX(テーブル22[[学年]:[得点]],MATCH(体力優良証交付申請!$A93,入力シート!$AF$6:$AF$505,0),MATCH(体力優良証交付申請!H$14,テーブル22[[#Headers],[学年]:[得点]],0)))</f>
        <v/>
      </c>
      <c r="I93" s="203" t="str">
        <f>IF($A93&gt;MAX(入力シート!$AF$6:$AF$505),"",INDEX(テーブル22[[学年]:[得点]],MATCH(体力優良証交付申請!$A93,入力シート!$AF$6:$AF$505,0),MATCH(体力優良証交付申請!I$14,テーブル22[[#Headers],[学年]:[得点]],0)))</f>
        <v/>
      </c>
      <c r="J93" s="114" t="str">
        <f>IF($A93&gt;MAX(入力シート!$AF$6:$AF$505),"",INDEX(テーブル22[[学年]:[得点]],MATCH(体力優良証交付申請!$A93,入力シート!$AF$6:$AF$505,0),MATCH(体力優良証交付申請!J$14,テーブル22[[#Headers],[学年]:[得点]],0)))</f>
        <v/>
      </c>
      <c r="K93" s="203" t="str">
        <f>IF($A93&gt;MAX(入力シート!$AF$6:$AF$505),"",INDEX(テーブル22[[学年]:[得点]],MATCH(体力優良証交付申請!$A93,入力シート!$AF$6:$AF$505,0),MATCH(体力優良証交付申請!K$14,テーブル22[[#Headers],[学年]:[得点]],0)))</f>
        <v/>
      </c>
      <c r="L93" s="203" t="str">
        <f>IF($A93&gt;MAX(入力シート!$AF$6:$AF$505),"",INDEX(テーブル22[[学年]:[得点]],MATCH(体力優良証交付申請!$A93,入力シート!$AF$6:$AF$505,0),MATCH(体力優良証交付申請!L$14,テーブル22[[#Headers],[学年]:[得点]],0)))</f>
        <v/>
      </c>
      <c r="M93" s="28" t="str">
        <f>IF($A93&gt;MAX(入力シート!$AF$6:$AF$505),"",INDEX(テーブル22[[学年]:[得点]],MATCH(体力優良証交付申請!$A93,入力シート!$AF$6:$AF$505,0),MATCH(体力優良証交付申請!M$14,テーブル22[[#Headers],[学年]:[得点]],0)))</f>
        <v/>
      </c>
    </row>
    <row r="94" spans="1:13" x14ac:dyDescent="0.2">
      <c r="A94" s="16">
        <v>80</v>
      </c>
      <c r="B94" s="130" t="str">
        <f>IF($A94&gt;MAX(入力シート!$AF$6:$AF$505),"",INDEX(テーブル22[[学年]:[得点]],MATCH(体力優良証交付申請!$A94,入力シート!$AF$6:$AF$505,0),MATCH(体力優良証交付申請!B$14,テーブル22[[#Headers],[学年]:[得点]],0)))</f>
        <v/>
      </c>
      <c r="C94" s="203" t="str">
        <f>IF($A94&gt;MAX(入力シート!$AF$6:$AF$505),"",INDEX(テーブル22[[学年]:[得点]],MATCH(体力優良証交付申請!$A94,入力シート!$AF$6:$AF$505,0),MATCH(体力優良証交付申請!C$14,テーブル22[[#Headers],[学年]:[得点]],0)))</f>
        <v/>
      </c>
      <c r="D94" s="203" t="str">
        <f>IF($A94&gt;MAX(入力シート!$AF$6:$AF$505),"",INDEX(テーブル22[[学年]:[得点]],MATCH(体力優良証交付申請!$A94,入力シート!$AF$6:$AF$505,0),MATCH(体力優良証交付申請!D$14,テーブル22[[#Headers],[学年]:[得点]],0)))</f>
        <v/>
      </c>
      <c r="E94" s="203" t="str">
        <f>IF($A94&gt;MAX(入力シート!$AF$6:$AF$505),"",INDEX(テーブル22[[学年]:[得点]],MATCH(体力優良証交付申請!$A94,入力シート!$AF$6:$AF$505,0),MATCH(体力優良証交付申請!E$14,テーブル22[[#Headers],[学年]:[得点]],0)))</f>
        <v/>
      </c>
      <c r="F94" s="203" t="str">
        <f>IF($A94&gt;MAX(入力シート!$AF$6:$AF$505),"",INDEX(テーブル22[[学年]:[得点]],MATCH(体力優良証交付申請!$A94,入力シート!$AF$6:$AF$505,0),MATCH(体力優良証交付申請!F$14,テーブル22[[#Headers],[学年]:[得点]],0)))</f>
        <v/>
      </c>
      <c r="G94" s="203" t="str">
        <f>IF($A94&gt;MAX(入力シート!$AF$6:$AF$505),"",INDEX(テーブル22[[学年]:[得点]],MATCH(体力優良証交付申請!$A94,入力シート!$AF$6:$AF$505,0),MATCH(体力優良証交付申請!G$14,テーブル22[[#Headers],[学年]:[得点]],0)))</f>
        <v/>
      </c>
      <c r="H94" s="203" t="str">
        <f>IF($A94&gt;MAX(入力シート!$AF$6:$AF$505),"",INDEX(テーブル22[[学年]:[得点]],MATCH(体力優良証交付申請!$A94,入力シート!$AF$6:$AF$505,0),MATCH(体力優良証交付申請!H$14,テーブル22[[#Headers],[学年]:[得点]],0)))</f>
        <v/>
      </c>
      <c r="I94" s="203" t="str">
        <f>IF($A94&gt;MAX(入力シート!$AF$6:$AF$505),"",INDEX(テーブル22[[学年]:[得点]],MATCH(体力優良証交付申請!$A94,入力シート!$AF$6:$AF$505,0),MATCH(体力優良証交付申請!I$14,テーブル22[[#Headers],[学年]:[得点]],0)))</f>
        <v/>
      </c>
      <c r="J94" s="114" t="str">
        <f>IF($A94&gt;MAX(入力シート!$AF$6:$AF$505),"",INDEX(テーブル22[[学年]:[得点]],MATCH(体力優良証交付申請!$A94,入力シート!$AF$6:$AF$505,0),MATCH(体力優良証交付申請!J$14,テーブル22[[#Headers],[学年]:[得点]],0)))</f>
        <v/>
      </c>
      <c r="K94" s="203" t="str">
        <f>IF($A94&gt;MAX(入力シート!$AF$6:$AF$505),"",INDEX(テーブル22[[学年]:[得点]],MATCH(体力優良証交付申請!$A94,入力シート!$AF$6:$AF$505,0),MATCH(体力優良証交付申請!K$14,テーブル22[[#Headers],[学年]:[得点]],0)))</f>
        <v/>
      </c>
      <c r="L94" s="203" t="str">
        <f>IF($A94&gt;MAX(入力シート!$AF$6:$AF$505),"",INDEX(テーブル22[[学年]:[得点]],MATCH(体力優良証交付申請!$A94,入力シート!$AF$6:$AF$505,0),MATCH(体力優良証交付申請!L$14,テーブル22[[#Headers],[学年]:[得点]],0)))</f>
        <v/>
      </c>
      <c r="M94" s="28" t="str">
        <f>IF($A94&gt;MAX(入力シート!$AF$6:$AF$505),"",INDEX(テーブル22[[学年]:[得点]],MATCH(体力優良証交付申請!$A94,入力シート!$AF$6:$AF$505,0),MATCH(体力優良証交付申請!M$14,テーブル22[[#Headers],[学年]:[得点]],0)))</f>
        <v/>
      </c>
    </row>
    <row r="95" spans="1:13" x14ac:dyDescent="0.2">
      <c r="A95" s="16">
        <v>81</v>
      </c>
      <c r="B95" s="130" t="str">
        <f>IF($A95&gt;MAX(入力シート!$AF$6:$AF$505),"",INDEX(テーブル22[[学年]:[得点]],MATCH(体力優良証交付申請!$A95,入力シート!$AF$6:$AF$505,0),MATCH(体力優良証交付申請!B$14,テーブル22[[#Headers],[学年]:[得点]],0)))</f>
        <v/>
      </c>
      <c r="C95" s="203" t="str">
        <f>IF($A95&gt;MAX(入力シート!$AF$6:$AF$505),"",INDEX(テーブル22[[学年]:[得点]],MATCH(体力優良証交付申請!$A95,入力シート!$AF$6:$AF$505,0),MATCH(体力優良証交付申請!C$14,テーブル22[[#Headers],[学年]:[得点]],0)))</f>
        <v/>
      </c>
      <c r="D95" s="203" t="str">
        <f>IF($A95&gt;MAX(入力シート!$AF$6:$AF$505),"",INDEX(テーブル22[[学年]:[得点]],MATCH(体力優良証交付申請!$A95,入力シート!$AF$6:$AF$505,0),MATCH(体力優良証交付申請!D$14,テーブル22[[#Headers],[学年]:[得点]],0)))</f>
        <v/>
      </c>
      <c r="E95" s="203" t="str">
        <f>IF($A95&gt;MAX(入力シート!$AF$6:$AF$505),"",INDEX(テーブル22[[学年]:[得点]],MATCH(体力優良証交付申請!$A95,入力シート!$AF$6:$AF$505,0),MATCH(体力優良証交付申請!E$14,テーブル22[[#Headers],[学年]:[得点]],0)))</f>
        <v/>
      </c>
      <c r="F95" s="203" t="str">
        <f>IF($A95&gt;MAX(入力シート!$AF$6:$AF$505),"",INDEX(テーブル22[[学年]:[得点]],MATCH(体力優良証交付申請!$A95,入力シート!$AF$6:$AF$505,0),MATCH(体力優良証交付申請!F$14,テーブル22[[#Headers],[学年]:[得点]],0)))</f>
        <v/>
      </c>
      <c r="G95" s="203" t="str">
        <f>IF($A95&gt;MAX(入力シート!$AF$6:$AF$505),"",INDEX(テーブル22[[学年]:[得点]],MATCH(体力優良証交付申請!$A95,入力シート!$AF$6:$AF$505,0),MATCH(体力優良証交付申請!G$14,テーブル22[[#Headers],[学年]:[得点]],0)))</f>
        <v/>
      </c>
      <c r="H95" s="203" t="str">
        <f>IF($A95&gt;MAX(入力シート!$AF$6:$AF$505),"",INDEX(テーブル22[[学年]:[得点]],MATCH(体力優良証交付申請!$A95,入力シート!$AF$6:$AF$505,0),MATCH(体力優良証交付申請!H$14,テーブル22[[#Headers],[学年]:[得点]],0)))</f>
        <v/>
      </c>
      <c r="I95" s="203" t="str">
        <f>IF($A95&gt;MAX(入力シート!$AF$6:$AF$505),"",INDEX(テーブル22[[学年]:[得点]],MATCH(体力優良証交付申請!$A95,入力シート!$AF$6:$AF$505,0),MATCH(体力優良証交付申請!I$14,テーブル22[[#Headers],[学年]:[得点]],0)))</f>
        <v/>
      </c>
      <c r="J95" s="114" t="str">
        <f>IF($A95&gt;MAX(入力シート!$AF$6:$AF$505),"",INDEX(テーブル22[[学年]:[得点]],MATCH(体力優良証交付申請!$A95,入力シート!$AF$6:$AF$505,0),MATCH(体力優良証交付申請!J$14,テーブル22[[#Headers],[学年]:[得点]],0)))</f>
        <v/>
      </c>
      <c r="K95" s="203" t="str">
        <f>IF($A95&gt;MAX(入力シート!$AF$6:$AF$505),"",INDEX(テーブル22[[学年]:[得点]],MATCH(体力優良証交付申請!$A95,入力シート!$AF$6:$AF$505,0),MATCH(体力優良証交付申請!K$14,テーブル22[[#Headers],[学年]:[得点]],0)))</f>
        <v/>
      </c>
      <c r="L95" s="203" t="str">
        <f>IF($A95&gt;MAX(入力シート!$AF$6:$AF$505),"",INDEX(テーブル22[[学年]:[得点]],MATCH(体力優良証交付申請!$A95,入力シート!$AF$6:$AF$505,0),MATCH(体力優良証交付申請!L$14,テーブル22[[#Headers],[学年]:[得点]],0)))</f>
        <v/>
      </c>
      <c r="M95" s="28" t="str">
        <f>IF($A95&gt;MAX(入力シート!$AF$6:$AF$505),"",INDEX(テーブル22[[学年]:[得点]],MATCH(体力優良証交付申請!$A95,入力シート!$AF$6:$AF$505,0),MATCH(体力優良証交付申請!M$14,テーブル22[[#Headers],[学年]:[得点]],0)))</f>
        <v/>
      </c>
    </row>
    <row r="96" spans="1:13" x14ac:dyDescent="0.2">
      <c r="A96" s="16">
        <v>82</v>
      </c>
      <c r="B96" s="130" t="str">
        <f>IF($A96&gt;MAX(入力シート!$AF$6:$AF$505),"",INDEX(テーブル22[[学年]:[得点]],MATCH(体力優良証交付申請!$A96,入力シート!$AF$6:$AF$505,0),MATCH(体力優良証交付申請!B$14,テーブル22[[#Headers],[学年]:[得点]],0)))</f>
        <v/>
      </c>
      <c r="C96" s="203" t="str">
        <f>IF($A96&gt;MAX(入力シート!$AF$6:$AF$505),"",INDEX(テーブル22[[学年]:[得点]],MATCH(体力優良証交付申請!$A96,入力シート!$AF$6:$AF$505,0),MATCH(体力優良証交付申請!C$14,テーブル22[[#Headers],[学年]:[得点]],0)))</f>
        <v/>
      </c>
      <c r="D96" s="203" t="str">
        <f>IF($A96&gt;MAX(入力シート!$AF$6:$AF$505),"",INDEX(テーブル22[[学年]:[得点]],MATCH(体力優良証交付申請!$A96,入力シート!$AF$6:$AF$505,0),MATCH(体力優良証交付申請!D$14,テーブル22[[#Headers],[学年]:[得点]],0)))</f>
        <v/>
      </c>
      <c r="E96" s="203" t="str">
        <f>IF($A96&gt;MAX(入力シート!$AF$6:$AF$505),"",INDEX(テーブル22[[学年]:[得点]],MATCH(体力優良証交付申請!$A96,入力シート!$AF$6:$AF$505,0),MATCH(体力優良証交付申請!E$14,テーブル22[[#Headers],[学年]:[得点]],0)))</f>
        <v/>
      </c>
      <c r="F96" s="203" t="str">
        <f>IF($A96&gt;MAX(入力シート!$AF$6:$AF$505),"",INDEX(テーブル22[[学年]:[得点]],MATCH(体力優良証交付申請!$A96,入力シート!$AF$6:$AF$505,0),MATCH(体力優良証交付申請!F$14,テーブル22[[#Headers],[学年]:[得点]],0)))</f>
        <v/>
      </c>
      <c r="G96" s="203" t="str">
        <f>IF($A96&gt;MAX(入力シート!$AF$6:$AF$505),"",INDEX(テーブル22[[学年]:[得点]],MATCH(体力優良証交付申請!$A96,入力シート!$AF$6:$AF$505,0),MATCH(体力優良証交付申請!G$14,テーブル22[[#Headers],[学年]:[得点]],0)))</f>
        <v/>
      </c>
      <c r="H96" s="203" t="str">
        <f>IF($A96&gt;MAX(入力シート!$AF$6:$AF$505),"",INDEX(テーブル22[[学年]:[得点]],MATCH(体力優良証交付申請!$A96,入力シート!$AF$6:$AF$505,0),MATCH(体力優良証交付申請!H$14,テーブル22[[#Headers],[学年]:[得点]],0)))</f>
        <v/>
      </c>
      <c r="I96" s="203" t="str">
        <f>IF($A96&gt;MAX(入力シート!$AF$6:$AF$505),"",INDEX(テーブル22[[学年]:[得点]],MATCH(体力優良証交付申請!$A96,入力シート!$AF$6:$AF$505,0),MATCH(体力優良証交付申請!I$14,テーブル22[[#Headers],[学年]:[得点]],0)))</f>
        <v/>
      </c>
      <c r="J96" s="114" t="str">
        <f>IF($A96&gt;MAX(入力シート!$AF$6:$AF$505),"",INDEX(テーブル22[[学年]:[得点]],MATCH(体力優良証交付申請!$A96,入力シート!$AF$6:$AF$505,0),MATCH(体力優良証交付申請!J$14,テーブル22[[#Headers],[学年]:[得点]],0)))</f>
        <v/>
      </c>
      <c r="K96" s="203" t="str">
        <f>IF($A96&gt;MAX(入力シート!$AF$6:$AF$505),"",INDEX(テーブル22[[学年]:[得点]],MATCH(体力優良証交付申請!$A96,入力シート!$AF$6:$AF$505,0),MATCH(体力優良証交付申請!K$14,テーブル22[[#Headers],[学年]:[得点]],0)))</f>
        <v/>
      </c>
      <c r="L96" s="203" t="str">
        <f>IF($A96&gt;MAX(入力シート!$AF$6:$AF$505),"",INDEX(テーブル22[[学年]:[得点]],MATCH(体力優良証交付申請!$A96,入力シート!$AF$6:$AF$505,0),MATCH(体力優良証交付申請!L$14,テーブル22[[#Headers],[学年]:[得点]],0)))</f>
        <v/>
      </c>
      <c r="M96" s="28" t="str">
        <f>IF($A96&gt;MAX(入力シート!$AF$6:$AF$505),"",INDEX(テーブル22[[学年]:[得点]],MATCH(体力優良証交付申請!$A96,入力シート!$AF$6:$AF$505,0),MATCH(体力優良証交付申請!M$14,テーブル22[[#Headers],[学年]:[得点]],0)))</f>
        <v/>
      </c>
    </row>
    <row r="97" spans="1:13" x14ac:dyDescent="0.2">
      <c r="A97" s="16">
        <v>83</v>
      </c>
      <c r="B97" s="130" t="str">
        <f>IF($A97&gt;MAX(入力シート!$AF$6:$AF$505),"",INDEX(テーブル22[[学年]:[得点]],MATCH(体力優良証交付申請!$A97,入力シート!$AF$6:$AF$505,0),MATCH(体力優良証交付申請!B$14,テーブル22[[#Headers],[学年]:[得点]],0)))</f>
        <v/>
      </c>
      <c r="C97" s="203" t="str">
        <f>IF($A97&gt;MAX(入力シート!$AF$6:$AF$505),"",INDEX(テーブル22[[学年]:[得点]],MATCH(体力優良証交付申請!$A97,入力シート!$AF$6:$AF$505,0),MATCH(体力優良証交付申請!C$14,テーブル22[[#Headers],[学年]:[得点]],0)))</f>
        <v/>
      </c>
      <c r="D97" s="203" t="str">
        <f>IF($A97&gt;MAX(入力シート!$AF$6:$AF$505),"",INDEX(テーブル22[[学年]:[得点]],MATCH(体力優良証交付申請!$A97,入力シート!$AF$6:$AF$505,0),MATCH(体力優良証交付申請!D$14,テーブル22[[#Headers],[学年]:[得点]],0)))</f>
        <v/>
      </c>
      <c r="E97" s="203" t="str">
        <f>IF($A97&gt;MAX(入力シート!$AF$6:$AF$505),"",INDEX(テーブル22[[学年]:[得点]],MATCH(体力優良証交付申請!$A97,入力シート!$AF$6:$AF$505,0),MATCH(体力優良証交付申請!E$14,テーブル22[[#Headers],[学年]:[得点]],0)))</f>
        <v/>
      </c>
      <c r="F97" s="203" t="str">
        <f>IF($A97&gt;MAX(入力シート!$AF$6:$AF$505),"",INDEX(テーブル22[[学年]:[得点]],MATCH(体力優良証交付申請!$A97,入力シート!$AF$6:$AF$505,0),MATCH(体力優良証交付申請!F$14,テーブル22[[#Headers],[学年]:[得点]],0)))</f>
        <v/>
      </c>
      <c r="G97" s="203" t="str">
        <f>IF($A97&gt;MAX(入力シート!$AF$6:$AF$505),"",INDEX(テーブル22[[学年]:[得点]],MATCH(体力優良証交付申請!$A97,入力シート!$AF$6:$AF$505,0),MATCH(体力優良証交付申請!G$14,テーブル22[[#Headers],[学年]:[得点]],0)))</f>
        <v/>
      </c>
      <c r="H97" s="203" t="str">
        <f>IF($A97&gt;MAX(入力シート!$AF$6:$AF$505),"",INDEX(テーブル22[[学年]:[得点]],MATCH(体力優良証交付申請!$A97,入力シート!$AF$6:$AF$505,0),MATCH(体力優良証交付申請!H$14,テーブル22[[#Headers],[学年]:[得点]],0)))</f>
        <v/>
      </c>
      <c r="I97" s="203" t="str">
        <f>IF($A97&gt;MAX(入力シート!$AF$6:$AF$505),"",INDEX(テーブル22[[学年]:[得点]],MATCH(体力優良証交付申請!$A97,入力シート!$AF$6:$AF$505,0),MATCH(体力優良証交付申請!I$14,テーブル22[[#Headers],[学年]:[得点]],0)))</f>
        <v/>
      </c>
      <c r="J97" s="114" t="str">
        <f>IF($A97&gt;MAX(入力シート!$AF$6:$AF$505),"",INDEX(テーブル22[[学年]:[得点]],MATCH(体力優良証交付申請!$A97,入力シート!$AF$6:$AF$505,0),MATCH(体力優良証交付申請!J$14,テーブル22[[#Headers],[学年]:[得点]],0)))</f>
        <v/>
      </c>
      <c r="K97" s="203" t="str">
        <f>IF($A97&gt;MAX(入力シート!$AF$6:$AF$505),"",INDEX(テーブル22[[学年]:[得点]],MATCH(体力優良証交付申請!$A97,入力シート!$AF$6:$AF$505,0),MATCH(体力優良証交付申請!K$14,テーブル22[[#Headers],[学年]:[得点]],0)))</f>
        <v/>
      </c>
      <c r="L97" s="203" t="str">
        <f>IF($A97&gt;MAX(入力シート!$AF$6:$AF$505),"",INDEX(テーブル22[[学年]:[得点]],MATCH(体力優良証交付申請!$A97,入力シート!$AF$6:$AF$505,0),MATCH(体力優良証交付申請!L$14,テーブル22[[#Headers],[学年]:[得点]],0)))</f>
        <v/>
      </c>
      <c r="M97" s="28" t="str">
        <f>IF($A97&gt;MAX(入力シート!$AF$6:$AF$505),"",INDEX(テーブル22[[学年]:[得点]],MATCH(体力優良証交付申請!$A97,入力シート!$AF$6:$AF$505,0),MATCH(体力優良証交付申請!M$14,テーブル22[[#Headers],[学年]:[得点]],0)))</f>
        <v/>
      </c>
    </row>
    <row r="98" spans="1:13" x14ac:dyDescent="0.2">
      <c r="A98" s="16">
        <v>84</v>
      </c>
      <c r="B98" s="130" t="str">
        <f>IF($A98&gt;MAX(入力シート!$AF$6:$AF$505),"",INDEX(テーブル22[[学年]:[得点]],MATCH(体力優良証交付申請!$A98,入力シート!$AF$6:$AF$505,0),MATCH(体力優良証交付申請!B$14,テーブル22[[#Headers],[学年]:[得点]],0)))</f>
        <v/>
      </c>
      <c r="C98" s="203" t="str">
        <f>IF($A98&gt;MAX(入力シート!$AF$6:$AF$505),"",INDEX(テーブル22[[学年]:[得点]],MATCH(体力優良証交付申請!$A98,入力シート!$AF$6:$AF$505,0),MATCH(体力優良証交付申請!C$14,テーブル22[[#Headers],[学年]:[得点]],0)))</f>
        <v/>
      </c>
      <c r="D98" s="203" t="str">
        <f>IF($A98&gt;MAX(入力シート!$AF$6:$AF$505),"",INDEX(テーブル22[[学年]:[得点]],MATCH(体力優良証交付申請!$A98,入力シート!$AF$6:$AF$505,0),MATCH(体力優良証交付申請!D$14,テーブル22[[#Headers],[学年]:[得点]],0)))</f>
        <v/>
      </c>
      <c r="E98" s="203" t="str">
        <f>IF($A98&gt;MAX(入力シート!$AF$6:$AF$505),"",INDEX(テーブル22[[学年]:[得点]],MATCH(体力優良証交付申請!$A98,入力シート!$AF$6:$AF$505,0),MATCH(体力優良証交付申請!E$14,テーブル22[[#Headers],[学年]:[得点]],0)))</f>
        <v/>
      </c>
      <c r="F98" s="203" t="str">
        <f>IF($A98&gt;MAX(入力シート!$AF$6:$AF$505),"",INDEX(テーブル22[[学年]:[得点]],MATCH(体力優良証交付申請!$A98,入力シート!$AF$6:$AF$505,0),MATCH(体力優良証交付申請!F$14,テーブル22[[#Headers],[学年]:[得点]],0)))</f>
        <v/>
      </c>
      <c r="G98" s="203" t="str">
        <f>IF($A98&gt;MAX(入力シート!$AF$6:$AF$505),"",INDEX(テーブル22[[学年]:[得点]],MATCH(体力優良証交付申請!$A98,入力シート!$AF$6:$AF$505,0),MATCH(体力優良証交付申請!G$14,テーブル22[[#Headers],[学年]:[得点]],0)))</f>
        <v/>
      </c>
      <c r="H98" s="203" t="str">
        <f>IF($A98&gt;MAX(入力シート!$AF$6:$AF$505),"",INDEX(テーブル22[[学年]:[得点]],MATCH(体力優良証交付申請!$A98,入力シート!$AF$6:$AF$505,0),MATCH(体力優良証交付申請!H$14,テーブル22[[#Headers],[学年]:[得点]],0)))</f>
        <v/>
      </c>
      <c r="I98" s="203" t="str">
        <f>IF($A98&gt;MAX(入力シート!$AF$6:$AF$505),"",INDEX(テーブル22[[学年]:[得点]],MATCH(体力優良証交付申請!$A98,入力シート!$AF$6:$AF$505,0),MATCH(体力優良証交付申請!I$14,テーブル22[[#Headers],[学年]:[得点]],0)))</f>
        <v/>
      </c>
      <c r="J98" s="114" t="str">
        <f>IF($A98&gt;MAX(入力シート!$AF$6:$AF$505),"",INDEX(テーブル22[[学年]:[得点]],MATCH(体力優良証交付申請!$A98,入力シート!$AF$6:$AF$505,0),MATCH(体力優良証交付申請!J$14,テーブル22[[#Headers],[学年]:[得点]],0)))</f>
        <v/>
      </c>
      <c r="K98" s="203" t="str">
        <f>IF($A98&gt;MAX(入力シート!$AF$6:$AF$505),"",INDEX(テーブル22[[学年]:[得点]],MATCH(体力優良証交付申請!$A98,入力シート!$AF$6:$AF$505,0),MATCH(体力優良証交付申請!K$14,テーブル22[[#Headers],[学年]:[得点]],0)))</f>
        <v/>
      </c>
      <c r="L98" s="203" t="str">
        <f>IF($A98&gt;MAX(入力シート!$AF$6:$AF$505),"",INDEX(テーブル22[[学年]:[得点]],MATCH(体力優良証交付申請!$A98,入力シート!$AF$6:$AF$505,0),MATCH(体力優良証交付申請!L$14,テーブル22[[#Headers],[学年]:[得点]],0)))</f>
        <v/>
      </c>
      <c r="M98" s="28" t="str">
        <f>IF($A98&gt;MAX(入力シート!$AF$6:$AF$505),"",INDEX(テーブル22[[学年]:[得点]],MATCH(体力優良証交付申請!$A98,入力シート!$AF$6:$AF$505,0),MATCH(体力優良証交付申請!M$14,テーブル22[[#Headers],[学年]:[得点]],0)))</f>
        <v/>
      </c>
    </row>
    <row r="99" spans="1:13" x14ac:dyDescent="0.2">
      <c r="A99" s="16">
        <v>85</v>
      </c>
      <c r="B99" s="130" t="str">
        <f>IF($A99&gt;MAX(入力シート!$AF$6:$AF$505),"",INDEX(テーブル22[[学年]:[得点]],MATCH(体力優良証交付申請!$A99,入力シート!$AF$6:$AF$505,0),MATCH(体力優良証交付申請!B$14,テーブル22[[#Headers],[学年]:[得点]],0)))</f>
        <v/>
      </c>
      <c r="C99" s="203" t="str">
        <f>IF($A99&gt;MAX(入力シート!$AF$6:$AF$505),"",INDEX(テーブル22[[学年]:[得点]],MATCH(体力優良証交付申請!$A99,入力シート!$AF$6:$AF$505,0),MATCH(体力優良証交付申請!C$14,テーブル22[[#Headers],[学年]:[得点]],0)))</f>
        <v/>
      </c>
      <c r="D99" s="203" t="str">
        <f>IF($A99&gt;MAX(入力シート!$AF$6:$AF$505),"",INDEX(テーブル22[[学年]:[得点]],MATCH(体力優良証交付申請!$A99,入力シート!$AF$6:$AF$505,0),MATCH(体力優良証交付申請!D$14,テーブル22[[#Headers],[学年]:[得点]],0)))</f>
        <v/>
      </c>
      <c r="E99" s="203" t="str">
        <f>IF($A99&gt;MAX(入力シート!$AF$6:$AF$505),"",INDEX(テーブル22[[学年]:[得点]],MATCH(体力優良証交付申請!$A99,入力シート!$AF$6:$AF$505,0),MATCH(体力優良証交付申請!E$14,テーブル22[[#Headers],[学年]:[得点]],0)))</f>
        <v/>
      </c>
      <c r="F99" s="203" t="str">
        <f>IF($A99&gt;MAX(入力シート!$AF$6:$AF$505),"",INDEX(テーブル22[[学年]:[得点]],MATCH(体力優良証交付申請!$A99,入力シート!$AF$6:$AF$505,0),MATCH(体力優良証交付申請!F$14,テーブル22[[#Headers],[学年]:[得点]],0)))</f>
        <v/>
      </c>
      <c r="G99" s="203" t="str">
        <f>IF($A99&gt;MAX(入力シート!$AF$6:$AF$505),"",INDEX(テーブル22[[学年]:[得点]],MATCH(体力優良証交付申請!$A99,入力シート!$AF$6:$AF$505,0),MATCH(体力優良証交付申請!G$14,テーブル22[[#Headers],[学年]:[得点]],0)))</f>
        <v/>
      </c>
      <c r="H99" s="203" t="str">
        <f>IF($A99&gt;MAX(入力シート!$AF$6:$AF$505),"",INDEX(テーブル22[[学年]:[得点]],MATCH(体力優良証交付申請!$A99,入力シート!$AF$6:$AF$505,0),MATCH(体力優良証交付申請!H$14,テーブル22[[#Headers],[学年]:[得点]],0)))</f>
        <v/>
      </c>
      <c r="I99" s="203" t="str">
        <f>IF($A99&gt;MAX(入力シート!$AF$6:$AF$505),"",INDEX(テーブル22[[学年]:[得点]],MATCH(体力優良証交付申請!$A99,入力シート!$AF$6:$AF$505,0),MATCH(体力優良証交付申請!I$14,テーブル22[[#Headers],[学年]:[得点]],0)))</f>
        <v/>
      </c>
      <c r="J99" s="114" t="str">
        <f>IF($A99&gt;MAX(入力シート!$AF$6:$AF$505),"",INDEX(テーブル22[[学年]:[得点]],MATCH(体力優良証交付申請!$A99,入力シート!$AF$6:$AF$505,0),MATCH(体力優良証交付申請!J$14,テーブル22[[#Headers],[学年]:[得点]],0)))</f>
        <v/>
      </c>
      <c r="K99" s="203" t="str">
        <f>IF($A99&gt;MAX(入力シート!$AF$6:$AF$505),"",INDEX(テーブル22[[学年]:[得点]],MATCH(体力優良証交付申請!$A99,入力シート!$AF$6:$AF$505,0),MATCH(体力優良証交付申請!K$14,テーブル22[[#Headers],[学年]:[得点]],0)))</f>
        <v/>
      </c>
      <c r="L99" s="203" t="str">
        <f>IF($A99&gt;MAX(入力シート!$AF$6:$AF$505),"",INDEX(テーブル22[[学年]:[得点]],MATCH(体力優良証交付申請!$A99,入力シート!$AF$6:$AF$505,0),MATCH(体力優良証交付申請!L$14,テーブル22[[#Headers],[学年]:[得点]],0)))</f>
        <v/>
      </c>
      <c r="M99" s="28" t="str">
        <f>IF($A99&gt;MAX(入力シート!$AF$6:$AF$505),"",INDEX(テーブル22[[学年]:[得点]],MATCH(体力優良証交付申請!$A99,入力シート!$AF$6:$AF$505,0),MATCH(体力優良証交付申請!M$14,テーブル22[[#Headers],[学年]:[得点]],0)))</f>
        <v/>
      </c>
    </row>
    <row r="100" spans="1:13" x14ac:dyDescent="0.2">
      <c r="A100" s="16">
        <v>86</v>
      </c>
      <c r="B100" s="130" t="str">
        <f>IF($A100&gt;MAX(入力シート!$AF$6:$AF$505),"",INDEX(テーブル22[[学年]:[得点]],MATCH(体力優良証交付申請!$A100,入力シート!$AF$6:$AF$505,0),MATCH(体力優良証交付申請!B$14,テーブル22[[#Headers],[学年]:[得点]],0)))</f>
        <v/>
      </c>
      <c r="C100" s="203" t="str">
        <f>IF($A100&gt;MAX(入力シート!$AF$6:$AF$505),"",INDEX(テーブル22[[学年]:[得点]],MATCH(体力優良証交付申請!$A100,入力シート!$AF$6:$AF$505,0),MATCH(体力優良証交付申請!C$14,テーブル22[[#Headers],[学年]:[得点]],0)))</f>
        <v/>
      </c>
      <c r="D100" s="203" t="str">
        <f>IF($A100&gt;MAX(入力シート!$AF$6:$AF$505),"",INDEX(テーブル22[[学年]:[得点]],MATCH(体力優良証交付申請!$A100,入力シート!$AF$6:$AF$505,0),MATCH(体力優良証交付申請!D$14,テーブル22[[#Headers],[学年]:[得点]],0)))</f>
        <v/>
      </c>
      <c r="E100" s="203" t="str">
        <f>IF($A100&gt;MAX(入力シート!$AF$6:$AF$505),"",INDEX(テーブル22[[学年]:[得点]],MATCH(体力優良証交付申請!$A100,入力シート!$AF$6:$AF$505,0),MATCH(体力優良証交付申請!E$14,テーブル22[[#Headers],[学年]:[得点]],0)))</f>
        <v/>
      </c>
      <c r="F100" s="203" t="str">
        <f>IF($A100&gt;MAX(入力シート!$AF$6:$AF$505),"",INDEX(テーブル22[[学年]:[得点]],MATCH(体力優良証交付申請!$A100,入力シート!$AF$6:$AF$505,0),MATCH(体力優良証交付申請!F$14,テーブル22[[#Headers],[学年]:[得点]],0)))</f>
        <v/>
      </c>
      <c r="G100" s="203" t="str">
        <f>IF($A100&gt;MAX(入力シート!$AF$6:$AF$505),"",INDEX(テーブル22[[学年]:[得点]],MATCH(体力優良証交付申請!$A100,入力シート!$AF$6:$AF$505,0),MATCH(体力優良証交付申請!G$14,テーブル22[[#Headers],[学年]:[得点]],0)))</f>
        <v/>
      </c>
      <c r="H100" s="203" t="str">
        <f>IF($A100&gt;MAX(入力シート!$AF$6:$AF$505),"",INDEX(テーブル22[[学年]:[得点]],MATCH(体力優良証交付申請!$A100,入力シート!$AF$6:$AF$505,0),MATCH(体力優良証交付申請!H$14,テーブル22[[#Headers],[学年]:[得点]],0)))</f>
        <v/>
      </c>
      <c r="I100" s="203" t="str">
        <f>IF($A100&gt;MAX(入力シート!$AF$6:$AF$505),"",INDEX(テーブル22[[学年]:[得点]],MATCH(体力優良証交付申請!$A100,入力シート!$AF$6:$AF$505,0),MATCH(体力優良証交付申請!I$14,テーブル22[[#Headers],[学年]:[得点]],0)))</f>
        <v/>
      </c>
      <c r="J100" s="114" t="str">
        <f>IF($A100&gt;MAX(入力シート!$AF$6:$AF$505),"",INDEX(テーブル22[[学年]:[得点]],MATCH(体力優良証交付申請!$A100,入力シート!$AF$6:$AF$505,0),MATCH(体力優良証交付申請!J$14,テーブル22[[#Headers],[学年]:[得点]],0)))</f>
        <v/>
      </c>
      <c r="K100" s="203" t="str">
        <f>IF($A100&gt;MAX(入力シート!$AF$6:$AF$505),"",INDEX(テーブル22[[学年]:[得点]],MATCH(体力優良証交付申請!$A100,入力シート!$AF$6:$AF$505,0),MATCH(体力優良証交付申請!K$14,テーブル22[[#Headers],[学年]:[得点]],0)))</f>
        <v/>
      </c>
      <c r="L100" s="203" t="str">
        <f>IF($A100&gt;MAX(入力シート!$AF$6:$AF$505),"",INDEX(テーブル22[[学年]:[得点]],MATCH(体力優良証交付申請!$A100,入力シート!$AF$6:$AF$505,0),MATCH(体力優良証交付申請!L$14,テーブル22[[#Headers],[学年]:[得点]],0)))</f>
        <v/>
      </c>
      <c r="M100" s="28" t="str">
        <f>IF($A100&gt;MAX(入力シート!$AF$6:$AF$505),"",INDEX(テーブル22[[学年]:[得点]],MATCH(体力優良証交付申請!$A100,入力シート!$AF$6:$AF$505,0),MATCH(体力優良証交付申請!M$14,テーブル22[[#Headers],[学年]:[得点]],0)))</f>
        <v/>
      </c>
    </row>
    <row r="101" spans="1:13" x14ac:dyDescent="0.2">
      <c r="A101" s="16">
        <v>87</v>
      </c>
      <c r="B101" s="130" t="str">
        <f>IF($A101&gt;MAX(入力シート!$AF$6:$AF$505),"",INDEX(テーブル22[[学年]:[得点]],MATCH(体力優良証交付申請!$A101,入力シート!$AF$6:$AF$505,0),MATCH(体力優良証交付申請!B$14,テーブル22[[#Headers],[学年]:[得点]],0)))</f>
        <v/>
      </c>
      <c r="C101" s="203" t="str">
        <f>IF($A101&gt;MAX(入力シート!$AF$6:$AF$505),"",INDEX(テーブル22[[学年]:[得点]],MATCH(体力優良証交付申請!$A101,入力シート!$AF$6:$AF$505,0),MATCH(体力優良証交付申請!C$14,テーブル22[[#Headers],[学年]:[得点]],0)))</f>
        <v/>
      </c>
      <c r="D101" s="203" t="str">
        <f>IF($A101&gt;MAX(入力シート!$AF$6:$AF$505),"",INDEX(テーブル22[[学年]:[得点]],MATCH(体力優良証交付申請!$A101,入力シート!$AF$6:$AF$505,0),MATCH(体力優良証交付申請!D$14,テーブル22[[#Headers],[学年]:[得点]],0)))</f>
        <v/>
      </c>
      <c r="E101" s="203" t="str">
        <f>IF($A101&gt;MAX(入力シート!$AF$6:$AF$505),"",INDEX(テーブル22[[学年]:[得点]],MATCH(体力優良証交付申請!$A101,入力シート!$AF$6:$AF$505,0),MATCH(体力優良証交付申請!E$14,テーブル22[[#Headers],[学年]:[得点]],0)))</f>
        <v/>
      </c>
      <c r="F101" s="203" t="str">
        <f>IF($A101&gt;MAX(入力シート!$AF$6:$AF$505),"",INDEX(テーブル22[[学年]:[得点]],MATCH(体力優良証交付申請!$A101,入力シート!$AF$6:$AF$505,0),MATCH(体力優良証交付申請!F$14,テーブル22[[#Headers],[学年]:[得点]],0)))</f>
        <v/>
      </c>
      <c r="G101" s="203" t="str">
        <f>IF($A101&gt;MAX(入力シート!$AF$6:$AF$505),"",INDEX(テーブル22[[学年]:[得点]],MATCH(体力優良証交付申請!$A101,入力シート!$AF$6:$AF$505,0),MATCH(体力優良証交付申請!G$14,テーブル22[[#Headers],[学年]:[得点]],0)))</f>
        <v/>
      </c>
      <c r="H101" s="203" t="str">
        <f>IF($A101&gt;MAX(入力シート!$AF$6:$AF$505),"",INDEX(テーブル22[[学年]:[得点]],MATCH(体力優良証交付申請!$A101,入力シート!$AF$6:$AF$505,0),MATCH(体力優良証交付申請!H$14,テーブル22[[#Headers],[学年]:[得点]],0)))</f>
        <v/>
      </c>
      <c r="I101" s="203" t="str">
        <f>IF($A101&gt;MAX(入力シート!$AF$6:$AF$505),"",INDEX(テーブル22[[学年]:[得点]],MATCH(体力優良証交付申請!$A101,入力シート!$AF$6:$AF$505,0),MATCH(体力優良証交付申請!I$14,テーブル22[[#Headers],[学年]:[得点]],0)))</f>
        <v/>
      </c>
      <c r="J101" s="114" t="str">
        <f>IF($A101&gt;MAX(入力シート!$AF$6:$AF$505),"",INDEX(テーブル22[[学年]:[得点]],MATCH(体力優良証交付申請!$A101,入力シート!$AF$6:$AF$505,0),MATCH(体力優良証交付申請!J$14,テーブル22[[#Headers],[学年]:[得点]],0)))</f>
        <v/>
      </c>
      <c r="K101" s="203" t="str">
        <f>IF($A101&gt;MAX(入力シート!$AF$6:$AF$505),"",INDEX(テーブル22[[学年]:[得点]],MATCH(体力優良証交付申請!$A101,入力シート!$AF$6:$AF$505,0),MATCH(体力優良証交付申請!K$14,テーブル22[[#Headers],[学年]:[得点]],0)))</f>
        <v/>
      </c>
      <c r="L101" s="203" t="str">
        <f>IF($A101&gt;MAX(入力シート!$AF$6:$AF$505),"",INDEX(テーブル22[[学年]:[得点]],MATCH(体力優良証交付申請!$A101,入力シート!$AF$6:$AF$505,0),MATCH(体力優良証交付申請!L$14,テーブル22[[#Headers],[学年]:[得点]],0)))</f>
        <v/>
      </c>
      <c r="M101" s="28" t="str">
        <f>IF($A101&gt;MAX(入力シート!$AF$6:$AF$505),"",INDEX(テーブル22[[学年]:[得点]],MATCH(体力優良証交付申請!$A101,入力シート!$AF$6:$AF$505,0),MATCH(体力優良証交付申請!M$14,テーブル22[[#Headers],[学年]:[得点]],0)))</f>
        <v/>
      </c>
    </row>
    <row r="102" spans="1:13" x14ac:dyDescent="0.2">
      <c r="A102" s="16">
        <v>88</v>
      </c>
      <c r="B102" s="130" t="str">
        <f>IF($A102&gt;MAX(入力シート!$AF$6:$AF$505),"",INDEX(テーブル22[[学年]:[得点]],MATCH(体力優良証交付申請!$A102,入力シート!$AF$6:$AF$505,0),MATCH(体力優良証交付申請!B$14,テーブル22[[#Headers],[学年]:[得点]],0)))</f>
        <v/>
      </c>
      <c r="C102" s="203" t="str">
        <f>IF($A102&gt;MAX(入力シート!$AF$6:$AF$505),"",INDEX(テーブル22[[学年]:[得点]],MATCH(体力優良証交付申請!$A102,入力シート!$AF$6:$AF$505,0),MATCH(体力優良証交付申請!C$14,テーブル22[[#Headers],[学年]:[得点]],0)))</f>
        <v/>
      </c>
      <c r="D102" s="203" t="str">
        <f>IF($A102&gt;MAX(入力シート!$AF$6:$AF$505),"",INDEX(テーブル22[[学年]:[得点]],MATCH(体力優良証交付申請!$A102,入力シート!$AF$6:$AF$505,0),MATCH(体力優良証交付申請!D$14,テーブル22[[#Headers],[学年]:[得点]],0)))</f>
        <v/>
      </c>
      <c r="E102" s="203" t="str">
        <f>IF($A102&gt;MAX(入力シート!$AF$6:$AF$505),"",INDEX(テーブル22[[学年]:[得点]],MATCH(体力優良証交付申請!$A102,入力シート!$AF$6:$AF$505,0),MATCH(体力優良証交付申請!E$14,テーブル22[[#Headers],[学年]:[得点]],0)))</f>
        <v/>
      </c>
      <c r="F102" s="203" t="str">
        <f>IF($A102&gt;MAX(入力シート!$AF$6:$AF$505),"",INDEX(テーブル22[[学年]:[得点]],MATCH(体力優良証交付申請!$A102,入力シート!$AF$6:$AF$505,0),MATCH(体力優良証交付申請!F$14,テーブル22[[#Headers],[学年]:[得点]],0)))</f>
        <v/>
      </c>
      <c r="G102" s="203" t="str">
        <f>IF($A102&gt;MAX(入力シート!$AF$6:$AF$505),"",INDEX(テーブル22[[学年]:[得点]],MATCH(体力優良証交付申請!$A102,入力シート!$AF$6:$AF$505,0),MATCH(体力優良証交付申請!G$14,テーブル22[[#Headers],[学年]:[得点]],0)))</f>
        <v/>
      </c>
      <c r="H102" s="203" t="str">
        <f>IF($A102&gt;MAX(入力シート!$AF$6:$AF$505),"",INDEX(テーブル22[[学年]:[得点]],MATCH(体力優良証交付申請!$A102,入力シート!$AF$6:$AF$505,0),MATCH(体力優良証交付申請!H$14,テーブル22[[#Headers],[学年]:[得点]],0)))</f>
        <v/>
      </c>
      <c r="I102" s="203" t="str">
        <f>IF($A102&gt;MAX(入力シート!$AF$6:$AF$505),"",INDEX(テーブル22[[学年]:[得点]],MATCH(体力優良証交付申請!$A102,入力シート!$AF$6:$AF$505,0),MATCH(体力優良証交付申請!I$14,テーブル22[[#Headers],[学年]:[得点]],0)))</f>
        <v/>
      </c>
      <c r="J102" s="114" t="str">
        <f>IF($A102&gt;MAX(入力シート!$AF$6:$AF$505),"",INDEX(テーブル22[[学年]:[得点]],MATCH(体力優良証交付申請!$A102,入力シート!$AF$6:$AF$505,0),MATCH(体力優良証交付申請!J$14,テーブル22[[#Headers],[学年]:[得点]],0)))</f>
        <v/>
      </c>
      <c r="K102" s="203" t="str">
        <f>IF($A102&gt;MAX(入力シート!$AF$6:$AF$505),"",INDEX(テーブル22[[学年]:[得点]],MATCH(体力優良証交付申請!$A102,入力シート!$AF$6:$AF$505,0),MATCH(体力優良証交付申請!K$14,テーブル22[[#Headers],[学年]:[得点]],0)))</f>
        <v/>
      </c>
      <c r="L102" s="203" t="str">
        <f>IF($A102&gt;MAX(入力シート!$AF$6:$AF$505),"",INDEX(テーブル22[[学年]:[得点]],MATCH(体力優良証交付申請!$A102,入力シート!$AF$6:$AF$505,0),MATCH(体力優良証交付申請!L$14,テーブル22[[#Headers],[学年]:[得点]],0)))</f>
        <v/>
      </c>
      <c r="M102" s="28" t="str">
        <f>IF($A102&gt;MAX(入力シート!$AF$6:$AF$505),"",INDEX(テーブル22[[学年]:[得点]],MATCH(体力優良証交付申請!$A102,入力シート!$AF$6:$AF$505,0),MATCH(体力優良証交付申請!M$14,テーブル22[[#Headers],[学年]:[得点]],0)))</f>
        <v/>
      </c>
    </row>
    <row r="103" spans="1:13" x14ac:dyDescent="0.2">
      <c r="A103" s="16">
        <v>89</v>
      </c>
      <c r="B103" s="130" t="str">
        <f>IF($A103&gt;MAX(入力シート!$AF$6:$AF$505),"",INDEX(テーブル22[[学年]:[得点]],MATCH(体力優良証交付申請!$A103,入力シート!$AF$6:$AF$505,0),MATCH(体力優良証交付申請!B$14,テーブル22[[#Headers],[学年]:[得点]],0)))</f>
        <v/>
      </c>
      <c r="C103" s="203" t="str">
        <f>IF($A103&gt;MAX(入力シート!$AF$6:$AF$505),"",INDEX(テーブル22[[学年]:[得点]],MATCH(体力優良証交付申請!$A103,入力シート!$AF$6:$AF$505,0),MATCH(体力優良証交付申請!C$14,テーブル22[[#Headers],[学年]:[得点]],0)))</f>
        <v/>
      </c>
      <c r="D103" s="203" t="str">
        <f>IF($A103&gt;MAX(入力シート!$AF$6:$AF$505),"",INDEX(テーブル22[[学年]:[得点]],MATCH(体力優良証交付申請!$A103,入力シート!$AF$6:$AF$505,0),MATCH(体力優良証交付申請!D$14,テーブル22[[#Headers],[学年]:[得点]],0)))</f>
        <v/>
      </c>
      <c r="E103" s="203" t="str">
        <f>IF($A103&gt;MAX(入力シート!$AF$6:$AF$505),"",INDEX(テーブル22[[学年]:[得点]],MATCH(体力優良証交付申請!$A103,入力シート!$AF$6:$AF$505,0),MATCH(体力優良証交付申請!E$14,テーブル22[[#Headers],[学年]:[得点]],0)))</f>
        <v/>
      </c>
      <c r="F103" s="203" t="str">
        <f>IF($A103&gt;MAX(入力シート!$AF$6:$AF$505),"",INDEX(テーブル22[[学年]:[得点]],MATCH(体力優良証交付申請!$A103,入力シート!$AF$6:$AF$505,0),MATCH(体力優良証交付申請!F$14,テーブル22[[#Headers],[学年]:[得点]],0)))</f>
        <v/>
      </c>
      <c r="G103" s="203" t="str">
        <f>IF($A103&gt;MAX(入力シート!$AF$6:$AF$505),"",INDEX(テーブル22[[学年]:[得点]],MATCH(体力優良証交付申請!$A103,入力シート!$AF$6:$AF$505,0),MATCH(体力優良証交付申請!G$14,テーブル22[[#Headers],[学年]:[得点]],0)))</f>
        <v/>
      </c>
      <c r="H103" s="203" t="str">
        <f>IF($A103&gt;MAX(入力シート!$AF$6:$AF$505),"",INDEX(テーブル22[[学年]:[得点]],MATCH(体力優良証交付申請!$A103,入力シート!$AF$6:$AF$505,0),MATCH(体力優良証交付申請!H$14,テーブル22[[#Headers],[学年]:[得点]],0)))</f>
        <v/>
      </c>
      <c r="I103" s="203" t="str">
        <f>IF($A103&gt;MAX(入力シート!$AF$6:$AF$505),"",INDEX(テーブル22[[学年]:[得点]],MATCH(体力優良証交付申請!$A103,入力シート!$AF$6:$AF$505,0),MATCH(体力優良証交付申請!I$14,テーブル22[[#Headers],[学年]:[得点]],0)))</f>
        <v/>
      </c>
      <c r="J103" s="114" t="str">
        <f>IF($A103&gt;MAX(入力シート!$AF$6:$AF$505),"",INDEX(テーブル22[[学年]:[得点]],MATCH(体力優良証交付申請!$A103,入力シート!$AF$6:$AF$505,0),MATCH(体力優良証交付申請!J$14,テーブル22[[#Headers],[学年]:[得点]],0)))</f>
        <v/>
      </c>
      <c r="K103" s="203" t="str">
        <f>IF($A103&gt;MAX(入力シート!$AF$6:$AF$505),"",INDEX(テーブル22[[学年]:[得点]],MATCH(体力優良証交付申請!$A103,入力シート!$AF$6:$AF$505,0),MATCH(体力優良証交付申請!K$14,テーブル22[[#Headers],[学年]:[得点]],0)))</f>
        <v/>
      </c>
      <c r="L103" s="203" t="str">
        <f>IF($A103&gt;MAX(入力シート!$AF$6:$AF$505),"",INDEX(テーブル22[[学年]:[得点]],MATCH(体力優良証交付申請!$A103,入力シート!$AF$6:$AF$505,0),MATCH(体力優良証交付申請!L$14,テーブル22[[#Headers],[学年]:[得点]],0)))</f>
        <v/>
      </c>
      <c r="M103" s="28" t="str">
        <f>IF($A103&gt;MAX(入力シート!$AF$6:$AF$505),"",INDEX(テーブル22[[学年]:[得点]],MATCH(体力優良証交付申請!$A103,入力シート!$AF$6:$AF$505,0),MATCH(体力優良証交付申請!M$14,テーブル22[[#Headers],[学年]:[得点]],0)))</f>
        <v/>
      </c>
    </row>
    <row r="104" spans="1:13" x14ac:dyDescent="0.2">
      <c r="A104" s="16">
        <v>90</v>
      </c>
      <c r="B104" s="130" t="str">
        <f>IF($A104&gt;MAX(入力シート!$AF$6:$AF$505),"",INDEX(テーブル22[[学年]:[得点]],MATCH(体力優良証交付申請!$A104,入力シート!$AF$6:$AF$505,0),MATCH(体力優良証交付申請!B$14,テーブル22[[#Headers],[学年]:[得点]],0)))</f>
        <v/>
      </c>
      <c r="C104" s="203" t="str">
        <f>IF($A104&gt;MAX(入力シート!$AF$6:$AF$505),"",INDEX(テーブル22[[学年]:[得点]],MATCH(体力優良証交付申請!$A104,入力シート!$AF$6:$AF$505,0),MATCH(体力優良証交付申請!C$14,テーブル22[[#Headers],[学年]:[得点]],0)))</f>
        <v/>
      </c>
      <c r="D104" s="203" t="str">
        <f>IF($A104&gt;MAX(入力シート!$AF$6:$AF$505),"",INDEX(テーブル22[[学年]:[得点]],MATCH(体力優良証交付申請!$A104,入力シート!$AF$6:$AF$505,0),MATCH(体力優良証交付申請!D$14,テーブル22[[#Headers],[学年]:[得点]],0)))</f>
        <v/>
      </c>
      <c r="E104" s="203" t="str">
        <f>IF($A104&gt;MAX(入力シート!$AF$6:$AF$505),"",INDEX(テーブル22[[学年]:[得点]],MATCH(体力優良証交付申請!$A104,入力シート!$AF$6:$AF$505,0),MATCH(体力優良証交付申請!E$14,テーブル22[[#Headers],[学年]:[得点]],0)))</f>
        <v/>
      </c>
      <c r="F104" s="203" t="str">
        <f>IF($A104&gt;MAX(入力シート!$AF$6:$AF$505),"",INDEX(テーブル22[[学年]:[得点]],MATCH(体力優良証交付申請!$A104,入力シート!$AF$6:$AF$505,0),MATCH(体力優良証交付申請!F$14,テーブル22[[#Headers],[学年]:[得点]],0)))</f>
        <v/>
      </c>
      <c r="G104" s="203" t="str">
        <f>IF($A104&gt;MAX(入力シート!$AF$6:$AF$505),"",INDEX(テーブル22[[学年]:[得点]],MATCH(体力優良証交付申請!$A104,入力シート!$AF$6:$AF$505,0),MATCH(体力優良証交付申請!G$14,テーブル22[[#Headers],[学年]:[得点]],0)))</f>
        <v/>
      </c>
      <c r="H104" s="203" t="str">
        <f>IF($A104&gt;MAX(入力シート!$AF$6:$AF$505),"",INDEX(テーブル22[[学年]:[得点]],MATCH(体力優良証交付申請!$A104,入力シート!$AF$6:$AF$505,0),MATCH(体力優良証交付申請!H$14,テーブル22[[#Headers],[学年]:[得点]],0)))</f>
        <v/>
      </c>
      <c r="I104" s="203" t="str">
        <f>IF($A104&gt;MAX(入力シート!$AF$6:$AF$505),"",INDEX(テーブル22[[学年]:[得点]],MATCH(体力優良証交付申請!$A104,入力シート!$AF$6:$AF$505,0),MATCH(体力優良証交付申請!I$14,テーブル22[[#Headers],[学年]:[得点]],0)))</f>
        <v/>
      </c>
      <c r="J104" s="114" t="str">
        <f>IF($A104&gt;MAX(入力シート!$AF$6:$AF$505),"",INDEX(テーブル22[[学年]:[得点]],MATCH(体力優良証交付申請!$A104,入力シート!$AF$6:$AF$505,0),MATCH(体力優良証交付申請!J$14,テーブル22[[#Headers],[学年]:[得点]],0)))</f>
        <v/>
      </c>
      <c r="K104" s="203" t="str">
        <f>IF($A104&gt;MAX(入力シート!$AF$6:$AF$505),"",INDEX(テーブル22[[学年]:[得点]],MATCH(体力優良証交付申請!$A104,入力シート!$AF$6:$AF$505,0),MATCH(体力優良証交付申請!K$14,テーブル22[[#Headers],[学年]:[得点]],0)))</f>
        <v/>
      </c>
      <c r="L104" s="203" t="str">
        <f>IF($A104&gt;MAX(入力シート!$AF$6:$AF$505),"",INDEX(テーブル22[[学年]:[得点]],MATCH(体力優良証交付申請!$A104,入力シート!$AF$6:$AF$505,0),MATCH(体力優良証交付申請!L$14,テーブル22[[#Headers],[学年]:[得点]],0)))</f>
        <v/>
      </c>
      <c r="M104" s="28" t="str">
        <f>IF($A104&gt;MAX(入力シート!$AF$6:$AF$505),"",INDEX(テーブル22[[学年]:[得点]],MATCH(体力優良証交付申請!$A104,入力シート!$AF$6:$AF$505,0),MATCH(体力優良証交付申請!M$14,テーブル22[[#Headers],[学年]:[得点]],0)))</f>
        <v/>
      </c>
    </row>
    <row r="105" spans="1:13" x14ac:dyDescent="0.2">
      <c r="A105" s="16">
        <v>91</v>
      </c>
      <c r="B105" s="130" t="str">
        <f>IF($A105&gt;MAX(入力シート!$AF$6:$AF$505),"",INDEX(テーブル22[[学年]:[得点]],MATCH(体力優良証交付申請!$A105,入力シート!$AF$6:$AF$505,0),MATCH(体力優良証交付申請!B$14,テーブル22[[#Headers],[学年]:[得点]],0)))</f>
        <v/>
      </c>
      <c r="C105" s="203" t="str">
        <f>IF($A105&gt;MAX(入力シート!$AF$6:$AF$505),"",INDEX(テーブル22[[学年]:[得点]],MATCH(体力優良証交付申請!$A105,入力シート!$AF$6:$AF$505,0),MATCH(体力優良証交付申請!C$14,テーブル22[[#Headers],[学年]:[得点]],0)))</f>
        <v/>
      </c>
      <c r="D105" s="203" t="str">
        <f>IF($A105&gt;MAX(入力シート!$AF$6:$AF$505),"",INDEX(テーブル22[[学年]:[得点]],MATCH(体力優良証交付申請!$A105,入力シート!$AF$6:$AF$505,0),MATCH(体力優良証交付申請!D$14,テーブル22[[#Headers],[学年]:[得点]],0)))</f>
        <v/>
      </c>
      <c r="E105" s="203" t="str">
        <f>IF($A105&gt;MAX(入力シート!$AF$6:$AF$505),"",INDEX(テーブル22[[学年]:[得点]],MATCH(体力優良証交付申請!$A105,入力シート!$AF$6:$AF$505,0),MATCH(体力優良証交付申請!E$14,テーブル22[[#Headers],[学年]:[得点]],0)))</f>
        <v/>
      </c>
      <c r="F105" s="203" t="str">
        <f>IF($A105&gt;MAX(入力シート!$AF$6:$AF$505),"",INDEX(テーブル22[[学年]:[得点]],MATCH(体力優良証交付申請!$A105,入力シート!$AF$6:$AF$505,0),MATCH(体力優良証交付申請!F$14,テーブル22[[#Headers],[学年]:[得点]],0)))</f>
        <v/>
      </c>
      <c r="G105" s="203" t="str">
        <f>IF($A105&gt;MAX(入力シート!$AF$6:$AF$505),"",INDEX(テーブル22[[学年]:[得点]],MATCH(体力優良証交付申請!$A105,入力シート!$AF$6:$AF$505,0),MATCH(体力優良証交付申請!G$14,テーブル22[[#Headers],[学年]:[得点]],0)))</f>
        <v/>
      </c>
      <c r="H105" s="203" t="str">
        <f>IF($A105&gt;MAX(入力シート!$AF$6:$AF$505),"",INDEX(テーブル22[[学年]:[得点]],MATCH(体力優良証交付申請!$A105,入力シート!$AF$6:$AF$505,0),MATCH(体力優良証交付申請!H$14,テーブル22[[#Headers],[学年]:[得点]],0)))</f>
        <v/>
      </c>
      <c r="I105" s="203" t="str">
        <f>IF($A105&gt;MAX(入力シート!$AF$6:$AF$505),"",INDEX(テーブル22[[学年]:[得点]],MATCH(体力優良証交付申請!$A105,入力シート!$AF$6:$AF$505,0),MATCH(体力優良証交付申請!I$14,テーブル22[[#Headers],[学年]:[得点]],0)))</f>
        <v/>
      </c>
      <c r="J105" s="114" t="str">
        <f>IF($A105&gt;MAX(入力シート!$AF$6:$AF$505),"",INDEX(テーブル22[[学年]:[得点]],MATCH(体力優良証交付申請!$A105,入力シート!$AF$6:$AF$505,0),MATCH(体力優良証交付申請!J$14,テーブル22[[#Headers],[学年]:[得点]],0)))</f>
        <v/>
      </c>
      <c r="K105" s="203" t="str">
        <f>IF($A105&gt;MAX(入力シート!$AF$6:$AF$505),"",INDEX(テーブル22[[学年]:[得点]],MATCH(体力優良証交付申請!$A105,入力シート!$AF$6:$AF$505,0),MATCH(体力優良証交付申請!K$14,テーブル22[[#Headers],[学年]:[得点]],0)))</f>
        <v/>
      </c>
      <c r="L105" s="203" t="str">
        <f>IF($A105&gt;MAX(入力シート!$AF$6:$AF$505),"",INDEX(テーブル22[[学年]:[得点]],MATCH(体力優良証交付申請!$A105,入力シート!$AF$6:$AF$505,0),MATCH(体力優良証交付申請!L$14,テーブル22[[#Headers],[学年]:[得点]],0)))</f>
        <v/>
      </c>
      <c r="M105" s="28" t="str">
        <f>IF($A105&gt;MAX(入力シート!$AF$6:$AF$505),"",INDEX(テーブル22[[学年]:[得点]],MATCH(体力優良証交付申請!$A105,入力シート!$AF$6:$AF$505,0),MATCH(体力優良証交付申請!M$14,テーブル22[[#Headers],[学年]:[得点]],0)))</f>
        <v/>
      </c>
    </row>
    <row r="106" spans="1:13" x14ac:dyDescent="0.2">
      <c r="A106" s="16">
        <v>92</v>
      </c>
      <c r="B106" s="130" t="str">
        <f>IF($A106&gt;MAX(入力シート!$AF$6:$AF$505),"",INDEX(テーブル22[[学年]:[得点]],MATCH(体力優良証交付申請!$A106,入力シート!$AF$6:$AF$505,0),MATCH(体力優良証交付申請!B$14,テーブル22[[#Headers],[学年]:[得点]],0)))</f>
        <v/>
      </c>
      <c r="C106" s="203" t="str">
        <f>IF($A106&gt;MAX(入力シート!$AF$6:$AF$505),"",INDEX(テーブル22[[学年]:[得点]],MATCH(体力優良証交付申請!$A106,入力シート!$AF$6:$AF$505,0),MATCH(体力優良証交付申請!C$14,テーブル22[[#Headers],[学年]:[得点]],0)))</f>
        <v/>
      </c>
      <c r="D106" s="203" t="str">
        <f>IF($A106&gt;MAX(入力シート!$AF$6:$AF$505),"",INDEX(テーブル22[[学年]:[得点]],MATCH(体力優良証交付申請!$A106,入力シート!$AF$6:$AF$505,0),MATCH(体力優良証交付申請!D$14,テーブル22[[#Headers],[学年]:[得点]],0)))</f>
        <v/>
      </c>
      <c r="E106" s="203" t="str">
        <f>IF($A106&gt;MAX(入力シート!$AF$6:$AF$505),"",INDEX(テーブル22[[学年]:[得点]],MATCH(体力優良証交付申請!$A106,入力シート!$AF$6:$AF$505,0),MATCH(体力優良証交付申請!E$14,テーブル22[[#Headers],[学年]:[得点]],0)))</f>
        <v/>
      </c>
      <c r="F106" s="203" t="str">
        <f>IF($A106&gt;MAX(入力シート!$AF$6:$AF$505),"",INDEX(テーブル22[[学年]:[得点]],MATCH(体力優良証交付申請!$A106,入力シート!$AF$6:$AF$505,0),MATCH(体力優良証交付申請!F$14,テーブル22[[#Headers],[学年]:[得点]],0)))</f>
        <v/>
      </c>
      <c r="G106" s="203" t="str">
        <f>IF($A106&gt;MAX(入力シート!$AF$6:$AF$505),"",INDEX(テーブル22[[学年]:[得点]],MATCH(体力優良証交付申請!$A106,入力シート!$AF$6:$AF$505,0),MATCH(体力優良証交付申請!G$14,テーブル22[[#Headers],[学年]:[得点]],0)))</f>
        <v/>
      </c>
      <c r="H106" s="203" t="str">
        <f>IF($A106&gt;MAX(入力シート!$AF$6:$AF$505),"",INDEX(テーブル22[[学年]:[得点]],MATCH(体力優良証交付申請!$A106,入力シート!$AF$6:$AF$505,0),MATCH(体力優良証交付申請!H$14,テーブル22[[#Headers],[学年]:[得点]],0)))</f>
        <v/>
      </c>
      <c r="I106" s="203" t="str">
        <f>IF($A106&gt;MAX(入力シート!$AF$6:$AF$505),"",INDEX(テーブル22[[学年]:[得点]],MATCH(体力優良証交付申請!$A106,入力シート!$AF$6:$AF$505,0),MATCH(体力優良証交付申請!I$14,テーブル22[[#Headers],[学年]:[得点]],0)))</f>
        <v/>
      </c>
      <c r="J106" s="114" t="str">
        <f>IF($A106&gt;MAX(入力シート!$AF$6:$AF$505),"",INDEX(テーブル22[[学年]:[得点]],MATCH(体力優良証交付申請!$A106,入力シート!$AF$6:$AF$505,0),MATCH(体力優良証交付申請!J$14,テーブル22[[#Headers],[学年]:[得点]],0)))</f>
        <v/>
      </c>
      <c r="K106" s="203" t="str">
        <f>IF($A106&gt;MAX(入力シート!$AF$6:$AF$505),"",INDEX(テーブル22[[学年]:[得点]],MATCH(体力優良証交付申請!$A106,入力シート!$AF$6:$AF$505,0),MATCH(体力優良証交付申請!K$14,テーブル22[[#Headers],[学年]:[得点]],0)))</f>
        <v/>
      </c>
      <c r="L106" s="203" t="str">
        <f>IF($A106&gt;MAX(入力シート!$AF$6:$AF$505),"",INDEX(テーブル22[[学年]:[得点]],MATCH(体力優良証交付申請!$A106,入力シート!$AF$6:$AF$505,0),MATCH(体力優良証交付申請!L$14,テーブル22[[#Headers],[学年]:[得点]],0)))</f>
        <v/>
      </c>
      <c r="M106" s="28" t="str">
        <f>IF($A106&gt;MAX(入力シート!$AF$6:$AF$505),"",INDEX(テーブル22[[学年]:[得点]],MATCH(体力優良証交付申請!$A106,入力シート!$AF$6:$AF$505,0),MATCH(体力優良証交付申請!M$14,テーブル22[[#Headers],[学年]:[得点]],0)))</f>
        <v/>
      </c>
    </row>
    <row r="107" spans="1:13" x14ac:dyDescent="0.2">
      <c r="A107" s="16">
        <v>93</v>
      </c>
      <c r="B107" s="130" t="str">
        <f>IF($A107&gt;MAX(入力シート!$AF$6:$AF$505),"",INDEX(テーブル22[[学年]:[得点]],MATCH(体力優良証交付申請!$A107,入力シート!$AF$6:$AF$505,0),MATCH(体力優良証交付申請!B$14,テーブル22[[#Headers],[学年]:[得点]],0)))</f>
        <v/>
      </c>
      <c r="C107" s="203" t="str">
        <f>IF($A107&gt;MAX(入力シート!$AF$6:$AF$505),"",INDEX(テーブル22[[学年]:[得点]],MATCH(体力優良証交付申請!$A107,入力シート!$AF$6:$AF$505,0),MATCH(体力優良証交付申請!C$14,テーブル22[[#Headers],[学年]:[得点]],0)))</f>
        <v/>
      </c>
      <c r="D107" s="203" t="str">
        <f>IF($A107&gt;MAX(入力シート!$AF$6:$AF$505),"",INDEX(テーブル22[[学年]:[得点]],MATCH(体力優良証交付申請!$A107,入力シート!$AF$6:$AF$505,0),MATCH(体力優良証交付申請!D$14,テーブル22[[#Headers],[学年]:[得点]],0)))</f>
        <v/>
      </c>
      <c r="E107" s="203" t="str">
        <f>IF($A107&gt;MAX(入力シート!$AF$6:$AF$505),"",INDEX(テーブル22[[学年]:[得点]],MATCH(体力優良証交付申請!$A107,入力シート!$AF$6:$AF$505,0),MATCH(体力優良証交付申請!E$14,テーブル22[[#Headers],[学年]:[得点]],0)))</f>
        <v/>
      </c>
      <c r="F107" s="203" t="str">
        <f>IF($A107&gt;MAX(入力シート!$AF$6:$AF$505),"",INDEX(テーブル22[[学年]:[得点]],MATCH(体力優良証交付申請!$A107,入力シート!$AF$6:$AF$505,0),MATCH(体力優良証交付申請!F$14,テーブル22[[#Headers],[学年]:[得点]],0)))</f>
        <v/>
      </c>
      <c r="G107" s="203" t="str">
        <f>IF($A107&gt;MAX(入力シート!$AF$6:$AF$505),"",INDEX(テーブル22[[学年]:[得点]],MATCH(体力優良証交付申請!$A107,入力シート!$AF$6:$AF$505,0),MATCH(体力優良証交付申請!G$14,テーブル22[[#Headers],[学年]:[得点]],0)))</f>
        <v/>
      </c>
      <c r="H107" s="203" t="str">
        <f>IF($A107&gt;MAX(入力シート!$AF$6:$AF$505),"",INDEX(テーブル22[[学年]:[得点]],MATCH(体力優良証交付申請!$A107,入力シート!$AF$6:$AF$505,0),MATCH(体力優良証交付申請!H$14,テーブル22[[#Headers],[学年]:[得点]],0)))</f>
        <v/>
      </c>
      <c r="I107" s="203" t="str">
        <f>IF($A107&gt;MAX(入力シート!$AF$6:$AF$505),"",INDEX(テーブル22[[学年]:[得点]],MATCH(体力優良証交付申請!$A107,入力シート!$AF$6:$AF$505,0),MATCH(体力優良証交付申請!I$14,テーブル22[[#Headers],[学年]:[得点]],0)))</f>
        <v/>
      </c>
      <c r="J107" s="114" t="str">
        <f>IF($A107&gt;MAX(入力シート!$AF$6:$AF$505),"",INDEX(テーブル22[[学年]:[得点]],MATCH(体力優良証交付申請!$A107,入力シート!$AF$6:$AF$505,0),MATCH(体力優良証交付申請!J$14,テーブル22[[#Headers],[学年]:[得点]],0)))</f>
        <v/>
      </c>
      <c r="K107" s="203" t="str">
        <f>IF($A107&gt;MAX(入力シート!$AF$6:$AF$505),"",INDEX(テーブル22[[学年]:[得点]],MATCH(体力優良証交付申請!$A107,入力シート!$AF$6:$AF$505,0),MATCH(体力優良証交付申請!K$14,テーブル22[[#Headers],[学年]:[得点]],0)))</f>
        <v/>
      </c>
      <c r="L107" s="203" t="str">
        <f>IF($A107&gt;MAX(入力シート!$AF$6:$AF$505),"",INDEX(テーブル22[[学年]:[得点]],MATCH(体力優良証交付申請!$A107,入力シート!$AF$6:$AF$505,0),MATCH(体力優良証交付申請!L$14,テーブル22[[#Headers],[学年]:[得点]],0)))</f>
        <v/>
      </c>
      <c r="M107" s="28" t="str">
        <f>IF($A107&gt;MAX(入力シート!$AF$6:$AF$505),"",INDEX(テーブル22[[学年]:[得点]],MATCH(体力優良証交付申請!$A107,入力シート!$AF$6:$AF$505,0),MATCH(体力優良証交付申請!M$14,テーブル22[[#Headers],[学年]:[得点]],0)))</f>
        <v/>
      </c>
    </row>
    <row r="108" spans="1:13" x14ac:dyDescent="0.2">
      <c r="A108" s="16">
        <v>94</v>
      </c>
      <c r="B108" s="130" t="str">
        <f>IF($A108&gt;MAX(入力シート!$AF$6:$AF$505),"",INDEX(テーブル22[[学年]:[得点]],MATCH(体力優良証交付申請!$A108,入力シート!$AF$6:$AF$505,0),MATCH(体力優良証交付申請!B$14,テーブル22[[#Headers],[学年]:[得点]],0)))</f>
        <v/>
      </c>
      <c r="C108" s="203" t="str">
        <f>IF($A108&gt;MAX(入力シート!$AF$6:$AF$505),"",INDEX(テーブル22[[学年]:[得点]],MATCH(体力優良証交付申請!$A108,入力シート!$AF$6:$AF$505,0),MATCH(体力優良証交付申請!C$14,テーブル22[[#Headers],[学年]:[得点]],0)))</f>
        <v/>
      </c>
      <c r="D108" s="203" t="str">
        <f>IF($A108&gt;MAX(入力シート!$AF$6:$AF$505),"",INDEX(テーブル22[[学年]:[得点]],MATCH(体力優良証交付申請!$A108,入力シート!$AF$6:$AF$505,0),MATCH(体力優良証交付申請!D$14,テーブル22[[#Headers],[学年]:[得点]],0)))</f>
        <v/>
      </c>
      <c r="E108" s="203" t="str">
        <f>IF($A108&gt;MAX(入力シート!$AF$6:$AF$505),"",INDEX(テーブル22[[学年]:[得点]],MATCH(体力優良証交付申請!$A108,入力シート!$AF$6:$AF$505,0),MATCH(体力優良証交付申請!E$14,テーブル22[[#Headers],[学年]:[得点]],0)))</f>
        <v/>
      </c>
      <c r="F108" s="203" t="str">
        <f>IF($A108&gt;MAX(入力シート!$AF$6:$AF$505),"",INDEX(テーブル22[[学年]:[得点]],MATCH(体力優良証交付申請!$A108,入力シート!$AF$6:$AF$505,0),MATCH(体力優良証交付申請!F$14,テーブル22[[#Headers],[学年]:[得点]],0)))</f>
        <v/>
      </c>
      <c r="G108" s="203" t="str">
        <f>IF($A108&gt;MAX(入力シート!$AF$6:$AF$505),"",INDEX(テーブル22[[学年]:[得点]],MATCH(体力優良証交付申請!$A108,入力シート!$AF$6:$AF$505,0),MATCH(体力優良証交付申請!G$14,テーブル22[[#Headers],[学年]:[得点]],0)))</f>
        <v/>
      </c>
      <c r="H108" s="203" t="str">
        <f>IF($A108&gt;MAX(入力シート!$AF$6:$AF$505),"",INDEX(テーブル22[[学年]:[得点]],MATCH(体力優良証交付申請!$A108,入力シート!$AF$6:$AF$505,0),MATCH(体力優良証交付申請!H$14,テーブル22[[#Headers],[学年]:[得点]],0)))</f>
        <v/>
      </c>
      <c r="I108" s="203" t="str">
        <f>IF($A108&gt;MAX(入力シート!$AF$6:$AF$505),"",INDEX(テーブル22[[学年]:[得点]],MATCH(体力優良証交付申請!$A108,入力シート!$AF$6:$AF$505,0),MATCH(体力優良証交付申請!I$14,テーブル22[[#Headers],[学年]:[得点]],0)))</f>
        <v/>
      </c>
      <c r="J108" s="114" t="str">
        <f>IF($A108&gt;MAX(入力シート!$AF$6:$AF$505),"",INDEX(テーブル22[[学年]:[得点]],MATCH(体力優良証交付申請!$A108,入力シート!$AF$6:$AF$505,0),MATCH(体力優良証交付申請!J$14,テーブル22[[#Headers],[学年]:[得点]],0)))</f>
        <v/>
      </c>
      <c r="K108" s="203" t="str">
        <f>IF($A108&gt;MAX(入力シート!$AF$6:$AF$505),"",INDEX(テーブル22[[学年]:[得点]],MATCH(体力優良証交付申請!$A108,入力シート!$AF$6:$AF$505,0),MATCH(体力優良証交付申請!K$14,テーブル22[[#Headers],[学年]:[得点]],0)))</f>
        <v/>
      </c>
      <c r="L108" s="203" t="str">
        <f>IF($A108&gt;MAX(入力シート!$AF$6:$AF$505),"",INDEX(テーブル22[[学年]:[得点]],MATCH(体力優良証交付申請!$A108,入力シート!$AF$6:$AF$505,0),MATCH(体力優良証交付申請!L$14,テーブル22[[#Headers],[学年]:[得点]],0)))</f>
        <v/>
      </c>
      <c r="M108" s="28" t="str">
        <f>IF($A108&gt;MAX(入力シート!$AF$6:$AF$505),"",INDEX(テーブル22[[学年]:[得点]],MATCH(体力優良証交付申請!$A108,入力シート!$AF$6:$AF$505,0),MATCH(体力優良証交付申請!M$14,テーブル22[[#Headers],[学年]:[得点]],0)))</f>
        <v/>
      </c>
    </row>
    <row r="109" spans="1:13" x14ac:dyDescent="0.2">
      <c r="A109" s="16">
        <v>95</v>
      </c>
      <c r="B109" s="130" t="str">
        <f>IF($A109&gt;MAX(入力シート!$AF$6:$AF$505),"",INDEX(テーブル22[[学年]:[得点]],MATCH(体力優良証交付申請!$A109,入力シート!$AF$6:$AF$505,0),MATCH(体力優良証交付申請!B$14,テーブル22[[#Headers],[学年]:[得点]],0)))</f>
        <v/>
      </c>
      <c r="C109" s="203" t="str">
        <f>IF($A109&gt;MAX(入力シート!$AF$6:$AF$505),"",INDEX(テーブル22[[学年]:[得点]],MATCH(体力優良証交付申請!$A109,入力シート!$AF$6:$AF$505,0),MATCH(体力優良証交付申請!C$14,テーブル22[[#Headers],[学年]:[得点]],0)))</f>
        <v/>
      </c>
      <c r="D109" s="203" t="str">
        <f>IF($A109&gt;MAX(入力シート!$AF$6:$AF$505),"",INDEX(テーブル22[[学年]:[得点]],MATCH(体力優良証交付申請!$A109,入力シート!$AF$6:$AF$505,0),MATCH(体力優良証交付申請!D$14,テーブル22[[#Headers],[学年]:[得点]],0)))</f>
        <v/>
      </c>
      <c r="E109" s="203" t="str">
        <f>IF($A109&gt;MAX(入力シート!$AF$6:$AF$505),"",INDEX(テーブル22[[学年]:[得点]],MATCH(体力優良証交付申請!$A109,入力シート!$AF$6:$AF$505,0),MATCH(体力優良証交付申請!E$14,テーブル22[[#Headers],[学年]:[得点]],0)))</f>
        <v/>
      </c>
      <c r="F109" s="203" t="str">
        <f>IF($A109&gt;MAX(入力シート!$AF$6:$AF$505),"",INDEX(テーブル22[[学年]:[得点]],MATCH(体力優良証交付申請!$A109,入力シート!$AF$6:$AF$505,0),MATCH(体力優良証交付申請!F$14,テーブル22[[#Headers],[学年]:[得点]],0)))</f>
        <v/>
      </c>
      <c r="G109" s="203" t="str">
        <f>IF($A109&gt;MAX(入力シート!$AF$6:$AF$505),"",INDEX(テーブル22[[学年]:[得点]],MATCH(体力優良証交付申請!$A109,入力シート!$AF$6:$AF$505,0),MATCH(体力優良証交付申請!G$14,テーブル22[[#Headers],[学年]:[得点]],0)))</f>
        <v/>
      </c>
      <c r="H109" s="203" t="str">
        <f>IF($A109&gt;MAX(入力シート!$AF$6:$AF$505),"",INDEX(テーブル22[[学年]:[得点]],MATCH(体力優良証交付申請!$A109,入力シート!$AF$6:$AF$505,0),MATCH(体力優良証交付申請!H$14,テーブル22[[#Headers],[学年]:[得点]],0)))</f>
        <v/>
      </c>
      <c r="I109" s="203" t="str">
        <f>IF($A109&gt;MAX(入力シート!$AF$6:$AF$505),"",INDEX(テーブル22[[学年]:[得点]],MATCH(体力優良証交付申請!$A109,入力シート!$AF$6:$AF$505,0),MATCH(体力優良証交付申請!I$14,テーブル22[[#Headers],[学年]:[得点]],0)))</f>
        <v/>
      </c>
      <c r="J109" s="114" t="str">
        <f>IF($A109&gt;MAX(入力シート!$AF$6:$AF$505),"",INDEX(テーブル22[[学年]:[得点]],MATCH(体力優良証交付申請!$A109,入力シート!$AF$6:$AF$505,0),MATCH(体力優良証交付申請!J$14,テーブル22[[#Headers],[学年]:[得点]],0)))</f>
        <v/>
      </c>
      <c r="K109" s="203" t="str">
        <f>IF($A109&gt;MAX(入力シート!$AF$6:$AF$505),"",INDEX(テーブル22[[学年]:[得点]],MATCH(体力優良証交付申請!$A109,入力シート!$AF$6:$AF$505,0),MATCH(体力優良証交付申請!K$14,テーブル22[[#Headers],[学年]:[得点]],0)))</f>
        <v/>
      </c>
      <c r="L109" s="203" t="str">
        <f>IF($A109&gt;MAX(入力シート!$AF$6:$AF$505),"",INDEX(テーブル22[[学年]:[得点]],MATCH(体力優良証交付申請!$A109,入力シート!$AF$6:$AF$505,0),MATCH(体力優良証交付申請!L$14,テーブル22[[#Headers],[学年]:[得点]],0)))</f>
        <v/>
      </c>
      <c r="M109" s="28" t="str">
        <f>IF($A109&gt;MAX(入力シート!$AF$6:$AF$505),"",INDEX(テーブル22[[学年]:[得点]],MATCH(体力優良証交付申請!$A109,入力シート!$AF$6:$AF$505,0),MATCH(体力優良証交付申請!M$14,テーブル22[[#Headers],[学年]:[得点]],0)))</f>
        <v/>
      </c>
    </row>
    <row r="110" spans="1:13" x14ac:dyDescent="0.2">
      <c r="A110" s="16">
        <v>96</v>
      </c>
      <c r="B110" s="130" t="str">
        <f>IF($A110&gt;MAX(入力シート!$AF$6:$AF$505),"",INDEX(テーブル22[[学年]:[得点]],MATCH(体力優良証交付申請!$A110,入力シート!$AF$6:$AF$505,0),MATCH(体力優良証交付申請!B$14,テーブル22[[#Headers],[学年]:[得点]],0)))</f>
        <v/>
      </c>
      <c r="C110" s="203" t="str">
        <f>IF($A110&gt;MAX(入力シート!$AF$6:$AF$505),"",INDEX(テーブル22[[学年]:[得点]],MATCH(体力優良証交付申請!$A110,入力シート!$AF$6:$AF$505,0),MATCH(体力優良証交付申請!C$14,テーブル22[[#Headers],[学年]:[得点]],0)))</f>
        <v/>
      </c>
      <c r="D110" s="203" t="str">
        <f>IF($A110&gt;MAX(入力シート!$AF$6:$AF$505),"",INDEX(テーブル22[[学年]:[得点]],MATCH(体力優良証交付申請!$A110,入力シート!$AF$6:$AF$505,0),MATCH(体力優良証交付申請!D$14,テーブル22[[#Headers],[学年]:[得点]],0)))</f>
        <v/>
      </c>
      <c r="E110" s="203" t="str">
        <f>IF($A110&gt;MAX(入力シート!$AF$6:$AF$505),"",INDEX(テーブル22[[学年]:[得点]],MATCH(体力優良証交付申請!$A110,入力シート!$AF$6:$AF$505,0),MATCH(体力優良証交付申請!E$14,テーブル22[[#Headers],[学年]:[得点]],0)))</f>
        <v/>
      </c>
      <c r="F110" s="203" t="str">
        <f>IF($A110&gt;MAX(入力シート!$AF$6:$AF$505),"",INDEX(テーブル22[[学年]:[得点]],MATCH(体力優良証交付申請!$A110,入力シート!$AF$6:$AF$505,0),MATCH(体力優良証交付申請!F$14,テーブル22[[#Headers],[学年]:[得点]],0)))</f>
        <v/>
      </c>
      <c r="G110" s="203" t="str">
        <f>IF($A110&gt;MAX(入力シート!$AF$6:$AF$505),"",INDEX(テーブル22[[学年]:[得点]],MATCH(体力優良証交付申請!$A110,入力シート!$AF$6:$AF$505,0),MATCH(体力優良証交付申請!G$14,テーブル22[[#Headers],[学年]:[得点]],0)))</f>
        <v/>
      </c>
      <c r="H110" s="203" t="str">
        <f>IF($A110&gt;MAX(入力シート!$AF$6:$AF$505),"",INDEX(テーブル22[[学年]:[得点]],MATCH(体力優良証交付申請!$A110,入力シート!$AF$6:$AF$505,0),MATCH(体力優良証交付申請!H$14,テーブル22[[#Headers],[学年]:[得点]],0)))</f>
        <v/>
      </c>
      <c r="I110" s="203" t="str">
        <f>IF($A110&gt;MAX(入力シート!$AF$6:$AF$505),"",INDEX(テーブル22[[学年]:[得点]],MATCH(体力優良証交付申請!$A110,入力シート!$AF$6:$AF$505,0),MATCH(体力優良証交付申請!I$14,テーブル22[[#Headers],[学年]:[得点]],0)))</f>
        <v/>
      </c>
      <c r="J110" s="114" t="str">
        <f>IF($A110&gt;MAX(入力シート!$AF$6:$AF$505),"",INDEX(テーブル22[[学年]:[得点]],MATCH(体力優良証交付申請!$A110,入力シート!$AF$6:$AF$505,0),MATCH(体力優良証交付申請!J$14,テーブル22[[#Headers],[学年]:[得点]],0)))</f>
        <v/>
      </c>
      <c r="K110" s="203" t="str">
        <f>IF($A110&gt;MAX(入力シート!$AF$6:$AF$505),"",INDEX(テーブル22[[学年]:[得点]],MATCH(体力優良証交付申請!$A110,入力シート!$AF$6:$AF$505,0),MATCH(体力優良証交付申請!K$14,テーブル22[[#Headers],[学年]:[得点]],0)))</f>
        <v/>
      </c>
      <c r="L110" s="203" t="str">
        <f>IF($A110&gt;MAX(入力シート!$AF$6:$AF$505),"",INDEX(テーブル22[[学年]:[得点]],MATCH(体力優良証交付申請!$A110,入力シート!$AF$6:$AF$505,0),MATCH(体力優良証交付申請!L$14,テーブル22[[#Headers],[学年]:[得点]],0)))</f>
        <v/>
      </c>
      <c r="M110" s="28" t="str">
        <f>IF($A110&gt;MAX(入力シート!$AF$6:$AF$505),"",INDEX(テーブル22[[学年]:[得点]],MATCH(体力優良証交付申請!$A110,入力シート!$AF$6:$AF$505,0),MATCH(体力優良証交付申請!M$14,テーブル22[[#Headers],[学年]:[得点]],0)))</f>
        <v/>
      </c>
    </row>
    <row r="111" spans="1:13" x14ac:dyDescent="0.2">
      <c r="A111" s="16">
        <v>97</v>
      </c>
      <c r="B111" s="130" t="str">
        <f>IF($A111&gt;MAX(入力シート!$AF$6:$AF$505),"",INDEX(テーブル22[[学年]:[得点]],MATCH(体力優良証交付申請!$A111,入力シート!$AF$6:$AF$505,0),MATCH(体力優良証交付申請!B$14,テーブル22[[#Headers],[学年]:[得点]],0)))</f>
        <v/>
      </c>
      <c r="C111" s="203" t="str">
        <f>IF($A111&gt;MAX(入力シート!$AF$6:$AF$505),"",INDEX(テーブル22[[学年]:[得点]],MATCH(体力優良証交付申請!$A111,入力シート!$AF$6:$AF$505,0),MATCH(体力優良証交付申請!C$14,テーブル22[[#Headers],[学年]:[得点]],0)))</f>
        <v/>
      </c>
      <c r="D111" s="203" t="str">
        <f>IF($A111&gt;MAX(入力シート!$AF$6:$AF$505),"",INDEX(テーブル22[[学年]:[得点]],MATCH(体力優良証交付申請!$A111,入力シート!$AF$6:$AF$505,0),MATCH(体力優良証交付申請!D$14,テーブル22[[#Headers],[学年]:[得点]],0)))</f>
        <v/>
      </c>
      <c r="E111" s="203" t="str">
        <f>IF($A111&gt;MAX(入力シート!$AF$6:$AF$505),"",INDEX(テーブル22[[学年]:[得点]],MATCH(体力優良証交付申請!$A111,入力シート!$AF$6:$AF$505,0),MATCH(体力優良証交付申請!E$14,テーブル22[[#Headers],[学年]:[得点]],0)))</f>
        <v/>
      </c>
      <c r="F111" s="203" t="str">
        <f>IF($A111&gt;MAX(入力シート!$AF$6:$AF$505),"",INDEX(テーブル22[[学年]:[得点]],MATCH(体力優良証交付申請!$A111,入力シート!$AF$6:$AF$505,0),MATCH(体力優良証交付申請!F$14,テーブル22[[#Headers],[学年]:[得点]],0)))</f>
        <v/>
      </c>
      <c r="G111" s="203" t="str">
        <f>IF($A111&gt;MAX(入力シート!$AF$6:$AF$505),"",INDEX(テーブル22[[学年]:[得点]],MATCH(体力優良証交付申請!$A111,入力シート!$AF$6:$AF$505,0),MATCH(体力優良証交付申請!G$14,テーブル22[[#Headers],[学年]:[得点]],0)))</f>
        <v/>
      </c>
      <c r="H111" s="203" t="str">
        <f>IF($A111&gt;MAX(入力シート!$AF$6:$AF$505),"",INDEX(テーブル22[[学年]:[得点]],MATCH(体力優良証交付申請!$A111,入力シート!$AF$6:$AF$505,0),MATCH(体力優良証交付申請!H$14,テーブル22[[#Headers],[学年]:[得点]],0)))</f>
        <v/>
      </c>
      <c r="I111" s="203" t="str">
        <f>IF($A111&gt;MAX(入力シート!$AF$6:$AF$505),"",INDEX(テーブル22[[学年]:[得点]],MATCH(体力優良証交付申請!$A111,入力シート!$AF$6:$AF$505,0),MATCH(体力優良証交付申請!I$14,テーブル22[[#Headers],[学年]:[得点]],0)))</f>
        <v/>
      </c>
      <c r="J111" s="114" t="str">
        <f>IF($A111&gt;MAX(入力シート!$AF$6:$AF$505),"",INDEX(テーブル22[[学年]:[得点]],MATCH(体力優良証交付申請!$A111,入力シート!$AF$6:$AF$505,0),MATCH(体力優良証交付申請!J$14,テーブル22[[#Headers],[学年]:[得点]],0)))</f>
        <v/>
      </c>
      <c r="K111" s="203" t="str">
        <f>IF($A111&gt;MAX(入力シート!$AF$6:$AF$505),"",INDEX(テーブル22[[学年]:[得点]],MATCH(体力優良証交付申請!$A111,入力シート!$AF$6:$AF$505,0),MATCH(体力優良証交付申請!K$14,テーブル22[[#Headers],[学年]:[得点]],0)))</f>
        <v/>
      </c>
      <c r="L111" s="203" t="str">
        <f>IF($A111&gt;MAX(入力シート!$AF$6:$AF$505),"",INDEX(テーブル22[[学年]:[得点]],MATCH(体力優良証交付申請!$A111,入力シート!$AF$6:$AF$505,0),MATCH(体力優良証交付申請!L$14,テーブル22[[#Headers],[学年]:[得点]],0)))</f>
        <v/>
      </c>
      <c r="M111" s="28" t="str">
        <f>IF($A111&gt;MAX(入力シート!$AF$6:$AF$505),"",INDEX(テーブル22[[学年]:[得点]],MATCH(体力優良証交付申請!$A111,入力シート!$AF$6:$AF$505,0),MATCH(体力優良証交付申請!M$14,テーブル22[[#Headers],[学年]:[得点]],0)))</f>
        <v/>
      </c>
    </row>
    <row r="112" spans="1:13" x14ac:dyDescent="0.2">
      <c r="A112" s="16">
        <v>98</v>
      </c>
      <c r="B112" s="130" t="str">
        <f>IF($A112&gt;MAX(入力シート!$AF$6:$AF$505),"",INDEX(テーブル22[[学年]:[得点]],MATCH(体力優良証交付申請!$A112,入力シート!$AF$6:$AF$505,0),MATCH(体力優良証交付申請!B$14,テーブル22[[#Headers],[学年]:[得点]],0)))</f>
        <v/>
      </c>
      <c r="C112" s="203" t="str">
        <f>IF($A112&gt;MAX(入力シート!$AF$6:$AF$505),"",INDEX(テーブル22[[学年]:[得点]],MATCH(体力優良証交付申請!$A112,入力シート!$AF$6:$AF$505,0),MATCH(体力優良証交付申請!C$14,テーブル22[[#Headers],[学年]:[得点]],0)))</f>
        <v/>
      </c>
      <c r="D112" s="203" t="str">
        <f>IF($A112&gt;MAX(入力シート!$AF$6:$AF$505),"",INDEX(テーブル22[[学年]:[得点]],MATCH(体力優良証交付申請!$A112,入力シート!$AF$6:$AF$505,0),MATCH(体力優良証交付申請!D$14,テーブル22[[#Headers],[学年]:[得点]],0)))</f>
        <v/>
      </c>
      <c r="E112" s="203" t="str">
        <f>IF($A112&gt;MAX(入力シート!$AF$6:$AF$505),"",INDEX(テーブル22[[学年]:[得点]],MATCH(体力優良証交付申請!$A112,入力シート!$AF$6:$AF$505,0),MATCH(体力優良証交付申請!E$14,テーブル22[[#Headers],[学年]:[得点]],0)))</f>
        <v/>
      </c>
      <c r="F112" s="203" t="str">
        <f>IF($A112&gt;MAX(入力シート!$AF$6:$AF$505),"",INDEX(テーブル22[[学年]:[得点]],MATCH(体力優良証交付申請!$A112,入力シート!$AF$6:$AF$505,0),MATCH(体力優良証交付申請!F$14,テーブル22[[#Headers],[学年]:[得点]],0)))</f>
        <v/>
      </c>
      <c r="G112" s="203" t="str">
        <f>IF($A112&gt;MAX(入力シート!$AF$6:$AF$505),"",INDEX(テーブル22[[学年]:[得点]],MATCH(体力優良証交付申請!$A112,入力シート!$AF$6:$AF$505,0),MATCH(体力優良証交付申請!G$14,テーブル22[[#Headers],[学年]:[得点]],0)))</f>
        <v/>
      </c>
      <c r="H112" s="203" t="str">
        <f>IF($A112&gt;MAX(入力シート!$AF$6:$AF$505),"",INDEX(テーブル22[[学年]:[得点]],MATCH(体力優良証交付申請!$A112,入力シート!$AF$6:$AF$505,0),MATCH(体力優良証交付申請!H$14,テーブル22[[#Headers],[学年]:[得点]],0)))</f>
        <v/>
      </c>
      <c r="I112" s="203" t="str">
        <f>IF($A112&gt;MAX(入力シート!$AF$6:$AF$505),"",INDEX(テーブル22[[学年]:[得点]],MATCH(体力優良証交付申請!$A112,入力シート!$AF$6:$AF$505,0),MATCH(体力優良証交付申請!I$14,テーブル22[[#Headers],[学年]:[得点]],0)))</f>
        <v/>
      </c>
      <c r="J112" s="114" t="str">
        <f>IF($A112&gt;MAX(入力シート!$AF$6:$AF$505),"",INDEX(テーブル22[[学年]:[得点]],MATCH(体力優良証交付申請!$A112,入力シート!$AF$6:$AF$505,0),MATCH(体力優良証交付申請!J$14,テーブル22[[#Headers],[学年]:[得点]],0)))</f>
        <v/>
      </c>
      <c r="K112" s="203" t="str">
        <f>IF($A112&gt;MAX(入力シート!$AF$6:$AF$505),"",INDEX(テーブル22[[学年]:[得点]],MATCH(体力優良証交付申請!$A112,入力シート!$AF$6:$AF$505,0),MATCH(体力優良証交付申請!K$14,テーブル22[[#Headers],[学年]:[得点]],0)))</f>
        <v/>
      </c>
      <c r="L112" s="203" t="str">
        <f>IF($A112&gt;MAX(入力シート!$AF$6:$AF$505),"",INDEX(テーブル22[[学年]:[得点]],MATCH(体力優良証交付申請!$A112,入力シート!$AF$6:$AF$505,0),MATCH(体力優良証交付申請!L$14,テーブル22[[#Headers],[学年]:[得点]],0)))</f>
        <v/>
      </c>
      <c r="M112" s="28" t="str">
        <f>IF($A112&gt;MAX(入力シート!$AF$6:$AF$505),"",INDEX(テーブル22[[学年]:[得点]],MATCH(体力優良証交付申請!$A112,入力シート!$AF$6:$AF$505,0),MATCH(体力優良証交付申請!M$14,テーブル22[[#Headers],[学年]:[得点]],0)))</f>
        <v/>
      </c>
    </row>
    <row r="113" spans="1:13" x14ac:dyDescent="0.2">
      <c r="A113" s="16">
        <v>99</v>
      </c>
      <c r="B113" s="130" t="str">
        <f>IF($A113&gt;MAX(入力シート!$AF$6:$AF$505),"",INDEX(テーブル22[[学年]:[得点]],MATCH(体力優良証交付申請!$A113,入力シート!$AF$6:$AF$505,0),MATCH(体力優良証交付申請!B$14,テーブル22[[#Headers],[学年]:[得点]],0)))</f>
        <v/>
      </c>
      <c r="C113" s="203" t="str">
        <f>IF($A113&gt;MAX(入力シート!$AF$6:$AF$505),"",INDEX(テーブル22[[学年]:[得点]],MATCH(体力優良証交付申請!$A113,入力シート!$AF$6:$AF$505,0),MATCH(体力優良証交付申請!C$14,テーブル22[[#Headers],[学年]:[得点]],0)))</f>
        <v/>
      </c>
      <c r="D113" s="203" t="str">
        <f>IF($A113&gt;MAX(入力シート!$AF$6:$AF$505),"",INDEX(テーブル22[[学年]:[得点]],MATCH(体力優良証交付申請!$A113,入力シート!$AF$6:$AF$505,0),MATCH(体力優良証交付申請!D$14,テーブル22[[#Headers],[学年]:[得点]],0)))</f>
        <v/>
      </c>
      <c r="E113" s="203" t="str">
        <f>IF($A113&gt;MAX(入力シート!$AF$6:$AF$505),"",INDEX(テーブル22[[学年]:[得点]],MATCH(体力優良証交付申請!$A113,入力シート!$AF$6:$AF$505,0),MATCH(体力優良証交付申請!E$14,テーブル22[[#Headers],[学年]:[得点]],0)))</f>
        <v/>
      </c>
      <c r="F113" s="203" t="str">
        <f>IF($A113&gt;MAX(入力シート!$AF$6:$AF$505),"",INDEX(テーブル22[[学年]:[得点]],MATCH(体力優良証交付申請!$A113,入力シート!$AF$6:$AF$505,0),MATCH(体力優良証交付申請!F$14,テーブル22[[#Headers],[学年]:[得点]],0)))</f>
        <v/>
      </c>
      <c r="G113" s="203" t="str">
        <f>IF($A113&gt;MAX(入力シート!$AF$6:$AF$505),"",INDEX(テーブル22[[学年]:[得点]],MATCH(体力優良証交付申請!$A113,入力シート!$AF$6:$AF$505,0),MATCH(体力優良証交付申請!G$14,テーブル22[[#Headers],[学年]:[得点]],0)))</f>
        <v/>
      </c>
      <c r="H113" s="203" t="str">
        <f>IF($A113&gt;MAX(入力シート!$AF$6:$AF$505),"",INDEX(テーブル22[[学年]:[得点]],MATCH(体力優良証交付申請!$A113,入力シート!$AF$6:$AF$505,0),MATCH(体力優良証交付申請!H$14,テーブル22[[#Headers],[学年]:[得点]],0)))</f>
        <v/>
      </c>
      <c r="I113" s="203" t="str">
        <f>IF($A113&gt;MAX(入力シート!$AF$6:$AF$505),"",INDEX(テーブル22[[学年]:[得点]],MATCH(体力優良証交付申請!$A113,入力シート!$AF$6:$AF$505,0),MATCH(体力優良証交付申請!I$14,テーブル22[[#Headers],[学年]:[得点]],0)))</f>
        <v/>
      </c>
      <c r="J113" s="114" t="str">
        <f>IF($A113&gt;MAX(入力シート!$AF$6:$AF$505),"",INDEX(テーブル22[[学年]:[得点]],MATCH(体力優良証交付申請!$A113,入力シート!$AF$6:$AF$505,0),MATCH(体力優良証交付申請!J$14,テーブル22[[#Headers],[学年]:[得点]],0)))</f>
        <v/>
      </c>
      <c r="K113" s="203" t="str">
        <f>IF($A113&gt;MAX(入力シート!$AF$6:$AF$505),"",INDEX(テーブル22[[学年]:[得点]],MATCH(体力優良証交付申請!$A113,入力シート!$AF$6:$AF$505,0),MATCH(体力優良証交付申請!K$14,テーブル22[[#Headers],[学年]:[得点]],0)))</f>
        <v/>
      </c>
      <c r="L113" s="203" t="str">
        <f>IF($A113&gt;MAX(入力シート!$AF$6:$AF$505),"",INDEX(テーブル22[[学年]:[得点]],MATCH(体力優良証交付申請!$A113,入力シート!$AF$6:$AF$505,0),MATCH(体力優良証交付申請!L$14,テーブル22[[#Headers],[学年]:[得点]],0)))</f>
        <v/>
      </c>
      <c r="M113" s="28" t="str">
        <f>IF($A113&gt;MAX(入力シート!$AF$6:$AF$505),"",INDEX(テーブル22[[学年]:[得点]],MATCH(体力優良証交付申請!$A113,入力シート!$AF$6:$AF$505,0),MATCH(体力優良証交付申請!M$14,テーブル22[[#Headers],[学年]:[得点]],0)))</f>
        <v/>
      </c>
    </row>
    <row r="114" spans="1:13" x14ac:dyDescent="0.2">
      <c r="A114" s="16">
        <v>100</v>
      </c>
      <c r="B114" s="130" t="str">
        <f>IF($A114&gt;MAX(入力シート!$AF$6:$AF$505),"",INDEX(テーブル22[[学年]:[得点]],MATCH(体力優良証交付申請!$A114,入力シート!$AF$6:$AF$505,0),MATCH(体力優良証交付申請!B$14,テーブル22[[#Headers],[学年]:[得点]],0)))</f>
        <v/>
      </c>
      <c r="C114" s="203" t="str">
        <f>IF($A114&gt;MAX(入力シート!$AF$6:$AF$505),"",INDEX(テーブル22[[学年]:[得点]],MATCH(体力優良証交付申請!$A114,入力シート!$AF$6:$AF$505,0),MATCH(体力優良証交付申請!C$14,テーブル22[[#Headers],[学年]:[得点]],0)))</f>
        <v/>
      </c>
      <c r="D114" s="203" t="str">
        <f>IF($A114&gt;MAX(入力シート!$AF$6:$AF$505),"",INDEX(テーブル22[[学年]:[得点]],MATCH(体力優良証交付申請!$A114,入力シート!$AF$6:$AF$505,0),MATCH(体力優良証交付申請!D$14,テーブル22[[#Headers],[学年]:[得点]],0)))</f>
        <v/>
      </c>
      <c r="E114" s="203" t="str">
        <f>IF($A114&gt;MAX(入力シート!$AF$6:$AF$505),"",INDEX(テーブル22[[学年]:[得点]],MATCH(体力優良証交付申請!$A114,入力シート!$AF$6:$AF$505,0),MATCH(体力優良証交付申請!E$14,テーブル22[[#Headers],[学年]:[得点]],0)))</f>
        <v/>
      </c>
      <c r="F114" s="203" t="str">
        <f>IF($A114&gt;MAX(入力シート!$AF$6:$AF$505),"",INDEX(テーブル22[[学年]:[得点]],MATCH(体力優良証交付申請!$A114,入力シート!$AF$6:$AF$505,0),MATCH(体力優良証交付申請!F$14,テーブル22[[#Headers],[学年]:[得点]],0)))</f>
        <v/>
      </c>
      <c r="G114" s="203" t="str">
        <f>IF($A114&gt;MAX(入力シート!$AF$6:$AF$505),"",INDEX(テーブル22[[学年]:[得点]],MATCH(体力優良証交付申請!$A114,入力シート!$AF$6:$AF$505,0),MATCH(体力優良証交付申請!G$14,テーブル22[[#Headers],[学年]:[得点]],0)))</f>
        <v/>
      </c>
      <c r="H114" s="203" t="str">
        <f>IF($A114&gt;MAX(入力シート!$AF$6:$AF$505),"",INDEX(テーブル22[[学年]:[得点]],MATCH(体力優良証交付申請!$A114,入力シート!$AF$6:$AF$505,0),MATCH(体力優良証交付申請!H$14,テーブル22[[#Headers],[学年]:[得点]],0)))</f>
        <v/>
      </c>
      <c r="I114" s="203" t="str">
        <f>IF($A114&gt;MAX(入力シート!$AF$6:$AF$505),"",INDEX(テーブル22[[学年]:[得点]],MATCH(体力優良証交付申請!$A114,入力シート!$AF$6:$AF$505,0),MATCH(体力優良証交付申請!I$14,テーブル22[[#Headers],[学年]:[得点]],0)))</f>
        <v/>
      </c>
      <c r="J114" s="114" t="str">
        <f>IF($A114&gt;MAX(入力シート!$AF$6:$AF$505),"",INDEX(テーブル22[[学年]:[得点]],MATCH(体力優良証交付申請!$A114,入力シート!$AF$6:$AF$505,0),MATCH(体力優良証交付申請!J$14,テーブル22[[#Headers],[学年]:[得点]],0)))</f>
        <v/>
      </c>
      <c r="K114" s="203" t="str">
        <f>IF($A114&gt;MAX(入力シート!$AF$6:$AF$505),"",INDEX(テーブル22[[学年]:[得点]],MATCH(体力優良証交付申請!$A114,入力シート!$AF$6:$AF$505,0),MATCH(体力優良証交付申請!K$14,テーブル22[[#Headers],[学年]:[得点]],0)))</f>
        <v/>
      </c>
      <c r="L114" s="203" t="str">
        <f>IF($A114&gt;MAX(入力シート!$AF$6:$AF$505),"",INDEX(テーブル22[[学年]:[得点]],MATCH(体力優良証交付申請!$A114,入力シート!$AF$6:$AF$505,0),MATCH(体力優良証交付申請!L$14,テーブル22[[#Headers],[学年]:[得点]],0)))</f>
        <v/>
      </c>
      <c r="M114" s="28" t="str">
        <f>IF($A114&gt;MAX(入力シート!$AF$6:$AF$505),"",INDEX(テーブル22[[学年]:[得点]],MATCH(体力優良証交付申請!$A114,入力シート!$AF$6:$AF$505,0),MATCH(体力優良証交付申請!M$14,テーブル22[[#Headers],[学年]:[得点]],0)))</f>
        <v/>
      </c>
    </row>
    <row r="115" spans="1:13" x14ac:dyDescent="0.2">
      <c r="A115" s="16">
        <v>101</v>
      </c>
      <c r="B115" s="130" t="str">
        <f>IF($A115&gt;MAX(入力シート!$AF$6:$AF$505),"",INDEX(テーブル22[[学年]:[得点]],MATCH(体力優良証交付申請!$A115,入力シート!$AF$6:$AF$505,0),MATCH(体力優良証交付申請!B$14,テーブル22[[#Headers],[学年]:[得点]],0)))</f>
        <v/>
      </c>
      <c r="C115" s="203" t="str">
        <f>IF($A115&gt;MAX(入力シート!$AF$6:$AF$505),"",INDEX(テーブル22[[学年]:[得点]],MATCH(体力優良証交付申請!$A115,入力シート!$AF$6:$AF$505,0),MATCH(体力優良証交付申請!C$14,テーブル22[[#Headers],[学年]:[得点]],0)))</f>
        <v/>
      </c>
      <c r="D115" s="203" t="str">
        <f>IF($A115&gt;MAX(入力シート!$AF$6:$AF$505),"",INDEX(テーブル22[[学年]:[得点]],MATCH(体力優良証交付申請!$A115,入力シート!$AF$6:$AF$505,0),MATCH(体力優良証交付申請!D$14,テーブル22[[#Headers],[学年]:[得点]],0)))</f>
        <v/>
      </c>
      <c r="E115" s="203" t="str">
        <f>IF($A115&gt;MAX(入力シート!$AF$6:$AF$505),"",INDEX(テーブル22[[学年]:[得点]],MATCH(体力優良証交付申請!$A115,入力シート!$AF$6:$AF$505,0),MATCH(体力優良証交付申請!E$14,テーブル22[[#Headers],[学年]:[得点]],0)))</f>
        <v/>
      </c>
      <c r="F115" s="203" t="str">
        <f>IF($A115&gt;MAX(入力シート!$AF$6:$AF$505),"",INDEX(テーブル22[[学年]:[得点]],MATCH(体力優良証交付申請!$A115,入力シート!$AF$6:$AF$505,0),MATCH(体力優良証交付申請!F$14,テーブル22[[#Headers],[学年]:[得点]],0)))</f>
        <v/>
      </c>
      <c r="G115" s="203" t="str">
        <f>IF($A115&gt;MAX(入力シート!$AF$6:$AF$505),"",INDEX(テーブル22[[学年]:[得点]],MATCH(体力優良証交付申請!$A115,入力シート!$AF$6:$AF$505,0),MATCH(体力優良証交付申請!G$14,テーブル22[[#Headers],[学年]:[得点]],0)))</f>
        <v/>
      </c>
      <c r="H115" s="203" t="str">
        <f>IF($A115&gt;MAX(入力シート!$AF$6:$AF$505),"",INDEX(テーブル22[[学年]:[得点]],MATCH(体力優良証交付申請!$A115,入力シート!$AF$6:$AF$505,0),MATCH(体力優良証交付申請!H$14,テーブル22[[#Headers],[学年]:[得点]],0)))</f>
        <v/>
      </c>
      <c r="I115" s="203" t="str">
        <f>IF($A115&gt;MAX(入力シート!$AF$6:$AF$505),"",INDEX(テーブル22[[学年]:[得点]],MATCH(体力優良証交付申請!$A115,入力シート!$AF$6:$AF$505,0),MATCH(体力優良証交付申請!I$14,テーブル22[[#Headers],[学年]:[得点]],0)))</f>
        <v/>
      </c>
      <c r="J115" s="114" t="str">
        <f>IF($A115&gt;MAX(入力シート!$AF$6:$AF$505),"",INDEX(テーブル22[[学年]:[得点]],MATCH(体力優良証交付申請!$A115,入力シート!$AF$6:$AF$505,0),MATCH(体力優良証交付申請!J$14,テーブル22[[#Headers],[学年]:[得点]],0)))</f>
        <v/>
      </c>
      <c r="K115" s="203" t="str">
        <f>IF($A115&gt;MAX(入力シート!$AF$6:$AF$505),"",INDEX(テーブル22[[学年]:[得点]],MATCH(体力優良証交付申請!$A115,入力シート!$AF$6:$AF$505,0),MATCH(体力優良証交付申請!K$14,テーブル22[[#Headers],[学年]:[得点]],0)))</f>
        <v/>
      </c>
      <c r="L115" s="203" t="str">
        <f>IF($A115&gt;MAX(入力シート!$AF$6:$AF$505),"",INDEX(テーブル22[[学年]:[得点]],MATCH(体力優良証交付申請!$A115,入力シート!$AF$6:$AF$505,0),MATCH(体力優良証交付申請!L$14,テーブル22[[#Headers],[学年]:[得点]],0)))</f>
        <v/>
      </c>
      <c r="M115" s="28" t="str">
        <f>IF($A115&gt;MAX(入力シート!$AF$6:$AF$505),"",INDEX(テーブル22[[学年]:[得点]],MATCH(体力優良証交付申請!$A115,入力シート!$AF$6:$AF$505,0),MATCH(体力優良証交付申請!M$14,テーブル22[[#Headers],[学年]:[得点]],0)))</f>
        <v/>
      </c>
    </row>
    <row r="116" spans="1:13" x14ac:dyDescent="0.2">
      <c r="A116" s="16">
        <v>102</v>
      </c>
      <c r="B116" s="130" t="str">
        <f>IF($A116&gt;MAX(入力シート!$AF$6:$AF$505),"",INDEX(テーブル22[[学年]:[得点]],MATCH(体力優良証交付申請!$A116,入力シート!$AF$6:$AF$505,0),MATCH(体力優良証交付申請!B$14,テーブル22[[#Headers],[学年]:[得点]],0)))</f>
        <v/>
      </c>
      <c r="C116" s="203" t="str">
        <f>IF($A116&gt;MAX(入力シート!$AF$6:$AF$505),"",INDEX(テーブル22[[学年]:[得点]],MATCH(体力優良証交付申請!$A116,入力シート!$AF$6:$AF$505,0),MATCH(体力優良証交付申請!C$14,テーブル22[[#Headers],[学年]:[得点]],0)))</f>
        <v/>
      </c>
      <c r="D116" s="203" t="str">
        <f>IF($A116&gt;MAX(入力シート!$AF$6:$AF$505),"",INDEX(テーブル22[[学年]:[得点]],MATCH(体力優良証交付申請!$A116,入力シート!$AF$6:$AF$505,0),MATCH(体力優良証交付申請!D$14,テーブル22[[#Headers],[学年]:[得点]],0)))</f>
        <v/>
      </c>
      <c r="E116" s="203" t="str">
        <f>IF($A116&gt;MAX(入力シート!$AF$6:$AF$505),"",INDEX(テーブル22[[学年]:[得点]],MATCH(体力優良証交付申請!$A116,入力シート!$AF$6:$AF$505,0),MATCH(体力優良証交付申請!E$14,テーブル22[[#Headers],[学年]:[得点]],0)))</f>
        <v/>
      </c>
      <c r="F116" s="203" t="str">
        <f>IF($A116&gt;MAX(入力シート!$AF$6:$AF$505),"",INDEX(テーブル22[[学年]:[得点]],MATCH(体力優良証交付申請!$A116,入力シート!$AF$6:$AF$505,0),MATCH(体力優良証交付申請!F$14,テーブル22[[#Headers],[学年]:[得点]],0)))</f>
        <v/>
      </c>
      <c r="G116" s="203" t="str">
        <f>IF($A116&gt;MAX(入力シート!$AF$6:$AF$505),"",INDEX(テーブル22[[学年]:[得点]],MATCH(体力優良証交付申請!$A116,入力シート!$AF$6:$AF$505,0),MATCH(体力優良証交付申請!G$14,テーブル22[[#Headers],[学年]:[得点]],0)))</f>
        <v/>
      </c>
      <c r="H116" s="203" t="str">
        <f>IF($A116&gt;MAX(入力シート!$AF$6:$AF$505),"",INDEX(テーブル22[[学年]:[得点]],MATCH(体力優良証交付申請!$A116,入力シート!$AF$6:$AF$505,0),MATCH(体力優良証交付申請!H$14,テーブル22[[#Headers],[学年]:[得点]],0)))</f>
        <v/>
      </c>
      <c r="I116" s="203" t="str">
        <f>IF($A116&gt;MAX(入力シート!$AF$6:$AF$505),"",INDEX(テーブル22[[学年]:[得点]],MATCH(体力優良証交付申請!$A116,入力シート!$AF$6:$AF$505,0),MATCH(体力優良証交付申請!I$14,テーブル22[[#Headers],[学年]:[得点]],0)))</f>
        <v/>
      </c>
      <c r="J116" s="114" t="str">
        <f>IF($A116&gt;MAX(入力シート!$AF$6:$AF$505),"",INDEX(テーブル22[[学年]:[得点]],MATCH(体力優良証交付申請!$A116,入力シート!$AF$6:$AF$505,0),MATCH(体力優良証交付申請!J$14,テーブル22[[#Headers],[学年]:[得点]],0)))</f>
        <v/>
      </c>
      <c r="K116" s="203" t="str">
        <f>IF($A116&gt;MAX(入力シート!$AF$6:$AF$505),"",INDEX(テーブル22[[学年]:[得点]],MATCH(体力優良証交付申請!$A116,入力シート!$AF$6:$AF$505,0),MATCH(体力優良証交付申請!K$14,テーブル22[[#Headers],[学年]:[得点]],0)))</f>
        <v/>
      </c>
      <c r="L116" s="203" t="str">
        <f>IF($A116&gt;MAX(入力シート!$AF$6:$AF$505),"",INDEX(テーブル22[[学年]:[得点]],MATCH(体力優良証交付申請!$A116,入力シート!$AF$6:$AF$505,0),MATCH(体力優良証交付申請!L$14,テーブル22[[#Headers],[学年]:[得点]],0)))</f>
        <v/>
      </c>
      <c r="M116" s="28" t="str">
        <f>IF($A116&gt;MAX(入力シート!$AF$6:$AF$505),"",INDEX(テーブル22[[学年]:[得点]],MATCH(体力優良証交付申請!$A116,入力シート!$AF$6:$AF$505,0),MATCH(体力優良証交付申請!M$14,テーブル22[[#Headers],[学年]:[得点]],0)))</f>
        <v/>
      </c>
    </row>
    <row r="117" spans="1:13" x14ac:dyDescent="0.2">
      <c r="A117" s="16">
        <v>103</v>
      </c>
      <c r="B117" s="130" t="str">
        <f>IF($A117&gt;MAX(入力シート!$AF$6:$AF$505),"",INDEX(テーブル22[[学年]:[得点]],MATCH(体力優良証交付申請!$A117,入力シート!$AF$6:$AF$505,0),MATCH(体力優良証交付申請!B$14,テーブル22[[#Headers],[学年]:[得点]],0)))</f>
        <v/>
      </c>
      <c r="C117" s="203" t="str">
        <f>IF($A117&gt;MAX(入力シート!$AF$6:$AF$505),"",INDEX(テーブル22[[学年]:[得点]],MATCH(体力優良証交付申請!$A117,入力シート!$AF$6:$AF$505,0),MATCH(体力優良証交付申請!C$14,テーブル22[[#Headers],[学年]:[得点]],0)))</f>
        <v/>
      </c>
      <c r="D117" s="203" t="str">
        <f>IF($A117&gt;MAX(入力シート!$AF$6:$AF$505),"",INDEX(テーブル22[[学年]:[得点]],MATCH(体力優良証交付申請!$A117,入力シート!$AF$6:$AF$505,0),MATCH(体力優良証交付申請!D$14,テーブル22[[#Headers],[学年]:[得点]],0)))</f>
        <v/>
      </c>
      <c r="E117" s="203" t="str">
        <f>IF($A117&gt;MAX(入力シート!$AF$6:$AF$505),"",INDEX(テーブル22[[学年]:[得点]],MATCH(体力優良証交付申請!$A117,入力シート!$AF$6:$AF$505,0),MATCH(体力優良証交付申請!E$14,テーブル22[[#Headers],[学年]:[得点]],0)))</f>
        <v/>
      </c>
      <c r="F117" s="203" t="str">
        <f>IF($A117&gt;MAX(入力シート!$AF$6:$AF$505),"",INDEX(テーブル22[[学年]:[得点]],MATCH(体力優良証交付申請!$A117,入力シート!$AF$6:$AF$505,0),MATCH(体力優良証交付申請!F$14,テーブル22[[#Headers],[学年]:[得点]],0)))</f>
        <v/>
      </c>
      <c r="G117" s="203" t="str">
        <f>IF($A117&gt;MAX(入力シート!$AF$6:$AF$505),"",INDEX(テーブル22[[学年]:[得点]],MATCH(体力優良証交付申請!$A117,入力シート!$AF$6:$AF$505,0),MATCH(体力優良証交付申請!G$14,テーブル22[[#Headers],[学年]:[得点]],0)))</f>
        <v/>
      </c>
      <c r="H117" s="203" t="str">
        <f>IF($A117&gt;MAX(入力シート!$AF$6:$AF$505),"",INDEX(テーブル22[[学年]:[得点]],MATCH(体力優良証交付申請!$A117,入力シート!$AF$6:$AF$505,0),MATCH(体力優良証交付申請!H$14,テーブル22[[#Headers],[学年]:[得点]],0)))</f>
        <v/>
      </c>
      <c r="I117" s="203" t="str">
        <f>IF($A117&gt;MAX(入力シート!$AF$6:$AF$505),"",INDEX(テーブル22[[学年]:[得点]],MATCH(体力優良証交付申請!$A117,入力シート!$AF$6:$AF$505,0),MATCH(体力優良証交付申請!I$14,テーブル22[[#Headers],[学年]:[得点]],0)))</f>
        <v/>
      </c>
      <c r="J117" s="114" t="str">
        <f>IF($A117&gt;MAX(入力シート!$AF$6:$AF$505),"",INDEX(テーブル22[[学年]:[得点]],MATCH(体力優良証交付申請!$A117,入力シート!$AF$6:$AF$505,0),MATCH(体力優良証交付申請!J$14,テーブル22[[#Headers],[学年]:[得点]],0)))</f>
        <v/>
      </c>
      <c r="K117" s="203" t="str">
        <f>IF($A117&gt;MAX(入力シート!$AF$6:$AF$505),"",INDEX(テーブル22[[学年]:[得点]],MATCH(体力優良証交付申請!$A117,入力シート!$AF$6:$AF$505,0),MATCH(体力優良証交付申請!K$14,テーブル22[[#Headers],[学年]:[得点]],0)))</f>
        <v/>
      </c>
      <c r="L117" s="203" t="str">
        <f>IF($A117&gt;MAX(入力シート!$AF$6:$AF$505),"",INDEX(テーブル22[[学年]:[得点]],MATCH(体力優良証交付申請!$A117,入力シート!$AF$6:$AF$505,0),MATCH(体力優良証交付申請!L$14,テーブル22[[#Headers],[学年]:[得点]],0)))</f>
        <v/>
      </c>
      <c r="M117" s="28" t="str">
        <f>IF($A117&gt;MAX(入力シート!$AF$6:$AF$505),"",INDEX(テーブル22[[学年]:[得点]],MATCH(体力優良証交付申請!$A117,入力シート!$AF$6:$AF$505,0),MATCH(体力優良証交付申請!M$14,テーブル22[[#Headers],[学年]:[得点]],0)))</f>
        <v/>
      </c>
    </row>
    <row r="118" spans="1:13" x14ac:dyDescent="0.2">
      <c r="A118" s="16">
        <v>104</v>
      </c>
      <c r="B118" s="130" t="str">
        <f>IF($A118&gt;MAX(入力シート!$AF$6:$AF$505),"",INDEX(テーブル22[[学年]:[得点]],MATCH(体力優良証交付申請!$A118,入力シート!$AF$6:$AF$505,0),MATCH(体力優良証交付申請!B$14,テーブル22[[#Headers],[学年]:[得点]],0)))</f>
        <v/>
      </c>
      <c r="C118" s="203" t="str">
        <f>IF($A118&gt;MAX(入力シート!$AF$6:$AF$505),"",INDEX(テーブル22[[学年]:[得点]],MATCH(体力優良証交付申請!$A118,入力シート!$AF$6:$AF$505,0),MATCH(体力優良証交付申請!C$14,テーブル22[[#Headers],[学年]:[得点]],0)))</f>
        <v/>
      </c>
      <c r="D118" s="203" t="str">
        <f>IF($A118&gt;MAX(入力シート!$AF$6:$AF$505),"",INDEX(テーブル22[[学年]:[得点]],MATCH(体力優良証交付申請!$A118,入力シート!$AF$6:$AF$505,0),MATCH(体力優良証交付申請!D$14,テーブル22[[#Headers],[学年]:[得点]],0)))</f>
        <v/>
      </c>
      <c r="E118" s="203" t="str">
        <f>IF($A118&gt;MAX(入力シート!$AF$6:$AF$505),"",INDEX(テーブル22[[学年]:[得点]],MATCH(体力優良証交付申請!$A118,入力シート!$AF$6:$AF$505,0),MATCH(体力優良証交付申請!E$14,テーブル22[[#Headers],[学年]:[得点]],0)))</f>
        <v/>
      </c>
      <c r="F118" s="203" t="str">
        <f>IF($A118&gt;MAX(入力シート!$AF$6:$AF$505),"",INDEX(テーブル22[[学年]:[得点]],MATCH(体力優良証交付申請!$A118,入力シート!$AF$6:$AF$505,0),MATCH(体力優良証交付申請!F$14,テーブル22[[#Headers],[学年]:[得点]],0)))</f>
        <v/>
      </c>
      <c r="G118" s="203" t="str">
        <f>IF($A118&gt;MAX(入力シート!$AF$6:$AF$505),"",INDEX(テーブル22[[学年]:[得点]],MATCH(体力優良証交付申請!$A118,入力シート!$AF$6:$AF$505,0),MATCH(体力優良証交付申請!G$14,テーブル22[[#Headers],[学年]:[得点]],0)))</f>
        <v/>
      </c>
      <c r="H118" s="203" t="str">
        <f>IF($A118&gt;MAX(入力シート!$AF$6:$AF$505),"",INDEX(テーブル22[[学年]:[得点]],MATCH(体力優良証交付申請!$A118,入力シート!$AF$6:$AF$505,0),MATCH(体力優良証交付申請!H$14,テーブル22[[#Headers],[学年]:[得点]],0)))</f>
        <v/>
      </c>
      <c r="I118" s="203" t="str">
        <f>IF($A118&gt;MAX(入力シート!$AF$6:$AF$505),"",INDEX(テーブル22[[学年]:[得点]],MATCH(体力優良証交付申請!$A118,入力シート!$AF$6:$AF$505,0),MATCH(体力優良証交付申請!I$14,テーブル22[[#Headers],[学年]:[得点]],0)))</f>
        <v/>
      </c>
      <c r="J118" s="114" t="str">
        <f>IF($A118&gt;MAX(入力シート!$AF$6:$AF$505),"",INDEX(テーブル22[[学年]:[得点]],MATCH(体力優良証交付申請!$A118,入力シート!$AF$6:$AF$505,0),MATCH(体力優良証交付申請!J$14,テーブル22[[#Headers],[学年]:[得点]],0)))</f>
        <v/>
      </c>
      <c r="K118" s="203" t="str">
        <f>IF($A118&gt;MAX(入力シート!$AF$6:$AF$505),"",INDEX(テーブル22[[学年]:[得点]],MATCH(体力優良証交付申請!$A118,入力シート!$AF$6:$AF$505,0),MATCH(体力優良証交付申請!K$14,テーブル22[[#Headers],[学年]:[得点]],0)))</f>
        <v/>
      </c>
      <c r="L118" s="203" t="str">
        <f>IF($A118&gt;MAX(入力シート!$AF$6:$AF$505),"",INDEX(テーブル22[[学年]:[得点]],MATCH(体力優良証交付申請!$A118,入力シート!$AF$6:$AF$505,0),MATCH(体力優良証交付申請!L$14,テーブル22[[#Headers],[学年]:[得点]],0)))</f>
        <v/>
      </c>
      <c r="M118" s="28" t="str">
        <f>IF($A118&gt;MAX(入力シート!$AF$6:$AF$505),"",INDEX(テーブル22[[学年]:[得点]],MATCH(体力優良証交付申請!$A118,入力シート!$AF$6:$AF$505,0),MATCH(体力優良証交付申請!M$14,テーブル22[[#Headers],[学年]:[得点]],0)))</f>
        <v/>
      </c>
    </row>
    <row r="119" spans="1:13" x14ac:dyDescent="0.2">
      <c r="A119" s="16">
        <v>105</v>
      </c>
      <c r="B119" s="130" t="str">
        <f>IF($A119&gt;MAX(入力シート!$AF$6:$AF$505),"",INDEX(テーブル22[[学年]:[得点]],MATCH(体力優良証交付申請!$A119,入力シート!$AF$6:$AF$505,0),MATCH(体力優良証交付申請!B$14,テーブル22[[#Headers],[学年]:[得点]],0)))</f>
        <v/>
      </c>
      <c r="C119" s="203" t="str">
        <f>IF($A119&gt;MAX(入力シート!$AF$6:$AF$505),"",INDEX(テーブル22[[学年]:[得点]],MATCH(体力優良証交付申請!$A119,入力シート!$AF$6:$AF$505,0),MATCH(体力優良証交付申請!C$14,テーブル22[[#Headers],[学年]:[得点]],0)))</f>
        <v/>
      </c>
      <c r="D119" s="203" t="str">
        <f>IF($A119&gt;MAX(入力シート!$AF$6:$AF$505),"",INDEX(テーブル22[[学年]:[得点]],MATCH(体力優良証交付申請!$A119,入力シート!$AF$6:$AF$505,0),MATCH(体力優良証交付申請!D$14,テーブル22[[#Headers],[学年]:[得点]],0)))</f>
        <v/>
      </c>
      <c r="E119" s="203" t="str">
        <f>IF($A119&gt;MAX(入力シート!$AF$6:$AF$505),"",INDEX(テーブル22[[学年]:[得点]],MATCH(体力優良証交付申請!$A119,入力シート!$AF$6:$AF$505,0),MATCH(体力優良証交付申請!E$14,テーブル22[[#Headers],[学年]:[得点]],0)))</f>
        <v/>
      </c>
      <c r="F119" s="203" t="str">
        <f>IF($A119&gt;MAX(入力シート!$AF$6:$AF$505),"",INDEX(テーブル22[[学年]:[得点]],MATCH(体力優良証交付申請!$A119,入力シート!$AF$6:$AF$505,0),MATCH(体力優良証交付申請!F$14,テーブル22[[#Headers],[学年]:[得点]],0)))</f>
        <v/>
      </c>
      <c r="G119" s="203" t="str">
        <f>IF($A119&gt;MAX(入力シート!$AF$6:$AF$505),"",INDEX(テーブル22[[学年]:[得点]],MATCH(体力優良証交付申請!$A119,入力シート!$AF$6:$AF$505,0),MATCH(体力優良証交付申請!G$14,テーブル22[[#Headers],[学年]:[得点]],0)))</f>
        <v/>
      </c>
      <c r="H119" s="203" t="str">
        <f>IF($A119&gt;MAX(入力シート!$AF$6:$AF$505),"",INDEX(テーブル22[[学年]:[得点]],MATCH(体力優良証交付申請!$A119,入力シート!$AF$6:$AF$505,0),MATCH(体力優良証交付申請!H$14,テーブル22[[#Headers],[学年]:[得点]],0)))</f>
        <v/>
      </c>
      <c r="I119" s="203" t="str">
        <f>IF($A119&gt;MAX(入力シート!$AF$6:$AF$505),"",INDEX(テーブル22[[学年]:[得点]],MATCH(体力優良証交付申請!$A119,入力シート!$AF$6:$AF$505,0),MATCH(体力優良証交付申請!I$14,テーブル22[[#Headers],[学年]:[得点]],0)))</f>
        <v/>
      </c>
      <c r="J119" s="114" t="str">
        <f>IF($A119&gt;MAX(入力シート!$AF$6:$AF$505),"",INDEX(テーブル22[[学年]:[得点]],MATCH(体力優良証交付申請!$A119,入力シート!$AF$6:$AF$505,0),MATCH(体力優良証交付申請!J$14,テーブル22[[#Headers],[学年]:[得点]],0)))</f>
        <v/>
      </c>
      <c r="K119" s="203" t="str">
        <f>IF($A119&gt;MAX(入力シート!$AF$6:$AF$505),"",INDEX(テーブル22[[学年]:[得点]],MATCH(体力優良証交付申請!$A119,入力シート!$AF$6:$AF$505,0),MATCH(体力優良証交付申請!K$14,テーブル22[[#Headers],[学年]:[得点]],0)))</f>
        <v/>
      </c>
      <c r="L119" s="203" t="str">
        <f>IF($A119&gt;MAX(入力シート!$AF$6:$AF$505),"",INDEX(テーブル22[[学年]:[得点]],MATCH(体力優良証交付申請!$A119,入力シート!$AF$6:$AF$505,0),MATCH(体力優良証交付申請!L$14,テーブル22[[#Headers],[学年]:[得点]],0)))</f>
        <v/>
      </c>
      <c r="M119" s="28" t="str">
        <f>IF($A119&gt;MAX(入力シート!$AF$6:$AF$505),"",INDEX(テーブル22[[学年]:[得点]],MATCH(体力優良証交付申請!$A119,入力シート!$AF$6:$AF$505,0),MATCH(体力優良証交付申請!M$14,テーブル22[[#Headers],[学年]:[得点]],0)))</f>
        <v/>
      </c>
    </row>
    <row r="120" spans="1:13" x14ac:dyDescent="0.2">
      <c r="A120" s="16">
        <v>106</v>
      </c>
      <c r="B120" s="130" t="str">
        <f>IF($A120&gt;MAX(入力シート!$AF$6:$AF$505),"",INDEX(テーブル22[[学年]:[得点]],MATCH(体力優良証交付申請!$A120,入力シート!$AF$6:$AF$505,0),MATCH(体力優良証交付申請!B$14,テーブル22[[#Headers],[学年]:[得点]],0)))</f>
        <v/>
      </c>
      <c r="C120" s="203" t="str">
        <f>IF($A120&gt;MAX(入力シート!$AF$6:$AF$505),"",INDEX(テーブル22[[学年]:[得点]],MATCH(体力優良証交付申請!$A120,入力シート!$AF$6:$AF$505,0),MATCH(体力優良証交付申請!C$14,テーブル22[[#Headers],[学年]:[得点]],0)))</f>
        <v/>
      </c>
      <c r="D120" s="203" t="str">
        <f>IF($A120&gt;MAX(入力シート!$AF$6:$AF$505),"",INDEX(テーブル22[[学年]:[得点]],MATCH(体力優良証交付申請!$A120,入力シート!$AF$6:$AF$505,0),MATCH(体力優良証交付申請!D$14,テーブル22[[#Headers],[学年]:[得点]],0)))</f>
        <v/>
      </c>
      <c r="E120" s="203" t="str">
        <f>IF($A120&gt;MAX(入力シート!$AF$6:$AF$505),"",INDEX(テーブル22[[学年]:[得点]],MATCH(体力優良証交付申請!$A120,入力シート!$AF$6:$AF$505,0),MATCH(体力優良証交付申請!E$14,テーブル22[[#Headers],[学年]:[得点]],0)))</f>
        <v/>
      </c>
      <c r="F120" s="203" t="str">
        <f>IF($A120&gt;MAX(入力シート!$AF$6:$AF$505),"",INDEX(テーブル22[[学年]:[得点]],MATCH(体力優良証交付申請!$A120,入力シート!$AF$6:$AF$505,0),MATCH(体力優良証交付申請!F$14,テーブル22[[#Headers],[学年]:[得点]],0)))</f>
        <v/>
      </c>
      <c r="G120" s="203" t="str">
        <f>IF($A120&gt;MAX(入力シート!$AF$6:$AF$505),"",INDEX(テーブル22[[学年]:[得点]],MATCH(体力優良証交付申請!$A120,入力シート!$AF$6:$AF$505,0),MATCH(体力優良証交付申請!G$14,テーブル22[[#Headers],[学年]:[得点]],0)))</f>
        <v/>
      </c>
      <c r="H120" s="203" t="str">
        <f>IF($A120&gt;MAX(入力シート!$AF$6:$AF$505),"",INDEX(テーブル22[[学年]:[得点]],MATCH(体力優良証交付申請!$A120,入力シート!$AF$6:$AF$505,0),MATCH(体力優良証交付申請!H$14,テーブル22[[#Headers],[学年]:[得点]],0)))</f>
        <v/>
      </c>
      <c r="I120" s="203" t="str">
        <f>IF($A120&gt;MAX(入力シート!$AF$6:$AF$505),"",INDEX(テーブル22[[学年]:[得点]],MATCH(体力優良証交付申請!$A120,入力シート!$AF$6:$AF$505,0),MATCH(体力優良証交付申請!I$14,テーブル22[[#Headers],[学年]:[得点]],0)))</f>
        <v/>
      </c>
      <c r="J120" s="114" t="str">
        <f>IF($A120&gt;MAX(入力シート!$AF$6:$AF$505),"",INDEX(テーブル22[[学年]:[得点]],MATCH(体力優良証交付申請!$A120,入力シート!$AF$6:$AF$505,0),MATCH(体力優良証交付申請!J$14,テーブル22[[#Headers],[学年]:[得点]],0)))</f>
        <v/>
      </c>
      <c r="K120" s="203" t="str">
        <f>IF($A120&gt;MAX(入力シート!$AF$6:$AF$505),"",INDEX(テーブル22[[学年]:[得点]],MATCH(体力優良証交付申請!$A120,入力シート!$AF$6:$AF$505,0),MATCH(体力優良証交付申請!K$14,テーブル22[[#Headers],[学年]:[得点]],0)))</f>
        <v/>
      </c>
      <c r="L120" s="203" t="str">
        <f>IF($A120&gt;MAX(入力シート!$AF$6:$AF$505),"",INDEX(テーブル22[[学年]:[得点]],MATCH(体力優良証交付申請!$A120,入力シート!$AF$6:$AF$505,0),MATCH(体力優良証交付申請!L$14,テーブル22[[#Headers],[学年]:[得点]],0)))</f>
        <v/>
      </c>
      <c r="M120" s="28" t="str">
        <f>IF($A120&gt;MAX(入力シート!$AF$6:$AF$505),"",INDEX(テーブル22[[学年]:[得点]],MATCH(体力優良証交付申請!$A120,入力シート!$AF$6:$AF$505,0),MATCH(体力優良証交付申請!M$14,テーブル22[[#Headers],[学年]:[得点]],0)))</f>
        <v/>
      </c>
    </row>
    <row r="121" spans="1:13" x14ac:dyDescent="0.2">
      <c r="A121" s="16">
        <v>107</v>
      </c>
      <c r="B121" s="130" t="str">
        <f>IF($A121&gt;MAX(入力シート!$AF$6:$AF$505),"",INDEX(テーブル22[[学年]:[得点]],MATCH(体力優良証交付申請!$A121,入力シート!$AF$6:$AF$505,0),MATCH(体力優良証交付申請!B$14,テーブル22[[#Headers],[学年]:[得点]],0)))</f>
        <v/>
      </c>
      <c r="C121" s="203" t="str">
        <f>IF($A121&gt;MAX(入力シート!$AF$6:$AF$505),"",INDEX(テーブル22[[学年]:[得点]],MATCH(体力優良証交付申請!$A121,入力シート!$AF$6:$AF$505,0),MATCH(体力優良証交付申請!C$14,テーブル22[[#Headers],[学年]:[得点]],0)))</f>
        <v/>
      </c>
      <c r="D121" s="203" t="str">
        <f>IF($A121&gt;MAX(入力シート!$AF$6:$AF$505),"",INDEX(テーブル22[[学年]:[得点]],MATCH(体力優良証交付申請!$A121,入力シート!$AF$6:$AF$505,0),MATCH(体力優良証交付申請!D$14,テーブル22[[#Headers],[学年]:[得点]],0)))</f>
        <v/>
      </c>
      <c r="E121" s="203" t="str">
        <f>IF($A121&gt;MAX(入力シート!$AF$6:$AF$505),"",INDEX(テーブル22[[学年]:[得点]],MATCH(体力優良証交付申請!$A121,入力シート!$AF$6:$AF$505,0),MATCH(体力優良証交付申請!E$14,テーブル22[[#Headers],[学年]:[得点]],0)))</f>
        <v/>
      </c>
      <c r="F121" s="203" t="str">
        <f>IF($A121&gt;MAX(入力シート!$AF$6:$AF$505),"",INDEX(テーブル22[[学年]:[得点]],MATCH(体力優良証交付申請!$A121,入力シート!$AF$6:$AF$505,0),MATCH(体力優良証交付申請!F$14,テーブル22[[#Headers],[学年]:[得点]],0)))</f>
        <v/>
      </c>
      <c r="G121" s="203" t="str">
        <f>IF($A121&gt;MAX(入力シート!$AF$6:$AF$505),"",INDEX(テーブル22[[学年]:[得点]],MATCH(体力優良証交付申請!$A121,入力シート!$AF$6:$AF$505,0),MATCH(体力優良証交付申請!G$14,テーブル22[[#Headers],[学年]:[得点]],0)))</f>
        <v/>
      </c>
      <c r="H121" s="203" t="str">
        <f>IF($A121&gt;MAX(入力シート!$AF$6:$AF$505),"",INDEX(テーブル22[[学年]:[得点]],MATCH(体力優良証交付申請!$A121,入力シート!$AF$6:$AF$505,0),MATCH(体力優良証交付申請!H$14,テーブル22[[#Headers],[学年]:[得点]],0)))</f>
        <v/>
      </c>
      <c r="I121" s="203" t="str">
        <f>IF($A121&gt;MAX(入力シート!$AF$6:$AF$505),"",INDEX(テーブル22[[学年]:[得点]],MATCH(体力優良証交付申請!$A121,入力シート!$AF$6:$AF$505,0),MATCH(体力優良証交付申請!I$14,テーブル22[[#Headers],[学年]:[得点]],0)))</f>
        <v/>
      </c>
      <c r="J121" s="114" t="str">
        <f>IF($A121&gt;MAX(入力シート!$AF$6:$AF$505),"",INDEX(テーブル22[[学年]:[得点]],MATCH(体力優良証交付申請!$A121,入力シート!$AF$6:$AF$505,0),MATCH(体力優良証交付申請!J$14,テーブル22[[#Headers],[学年]:[得点]],0)))</f>
        <v/>
      </c>
      <c r="K121" s="203" t="str">
        <f>IF($A121&gt;MAX(入力シート!$AF$6:$AF$505),"",INDEX(テーブル22[[学年]:[得点]],MATCH(体力優良証交付申請!$A121,入力シート!$AF$6:$AF$505,0),MATCH(体力優良証交付申請!K$14,テーブル22[[#Headers],[学年]:[得点]],0)))</f>
        <v/>
      </c>
      <c r="L121" s="203" t="str">
        <f>IF($A121&gt;MAX(入力シート!$AF$6:$AF$505),"",INDEX(テーブル22[[学年]:[得点]],MATCH(体力優良証交付申請!$A121,入力シート!$AF$6:$AF$505,0),MATCH(体力優良証交付申請!L$14,テーブル22[[#Headers],[学年]:[得点]],0)))</f>
        <v/>
      </c>
      <c r="M121" s="28" t="str">
        <f>IF($A121&gt;MAX(入力シート!$AF$6:$AF$505),"",INDEX(テーブル22[[学年]:[得点]],MATCH(体力優良証交付申請!$A121,入力シート!$AF$6:$AF$505,0),MATCH(体力優良証交付申請!M$14,テーブル22[[#Headers],[学年]:[得点]],0)))</f>
        <v/>
      </c>
    </row>
    <row r="122" spans="1:13" x14ac:dyDescent="0.2">
      <c r="A122" s="16">
        <v>108</v>
      </c>
      <c r="B122" s="130" t="str">
        <f>IF($A122&gt;MAX(入力シート!$AF$6:$AF$505),"",INDEX(テーブル22[[学年]:[得点]],MATCH(体力優良証交付申請!$A122,入力シート!$AF$6:$AF$505,0),MATCH(体力優良証交付申請!B$14,テーブル22[[#Headers],[学年]:[得点]],0)))</f>
        <v/>
      </c>
      <c r="C122" s="203" t="str">
        <f>IF($A122&gt;MAX(入力シート!$AF$6:$AF$505),"",INDEX(テーブル22[[学年]:[得点]],MATCH(体力優良証交付申請!$A122,入力シート!$AF$6:$AF$505,0),MATCH(体力優良証交付申請!C$14,テーブル22[[#Headers],[学年]:[得点]],0)))</f>
        <v/>
      </c>
      <c r="D122" s="203" t="str">
        <f>IF($A122&gt;MAX(入力シート!$AF$6:$AF$505),"",INDEX(テーブル22[[学年]:[得点]],MATCH(体力優良証交付申請!$A122,入力シート!$AF$6:$AF$505,0),MATCH(体力優良証交付申請!D$14,テーブル22[[#Headers],[学年]:[得点]],0)))</f>
        <v/>
      </c>
      <c r="E122" s="203" t="str">
        <f>IF($A122&gt;MAX(入力シート!$AF$6:$AF$505),"",INDEX(テーブル22[[学年]:[得点]],MATCH(体力優良証交付申請!$A122,入力シート!$AF$6:$AF$505,0),MATCH(体力優良証交付申請!E$14,テーブル22[[#Headers],[学年]:[得点]],0)))</f>
        <v/>
      </c>
      <c r="F122" s="203" t="str">
        <f>IF($A122&gt;MAX(入力シート!$AF$6:$AF$505),"",INDEX(テーブル22[[学年]:[得点]],MATCH(体力優良証交付申請!$A122,入力シート!$AF$6:$AF$505,0),MATCH(体力優良証交付申請!F$14,テーブル22[[#Headers],[学年]:[得点]],0)))</f>
        <v/>
      </c>
      <c r="G122" s="203" t="str">
        <f>IF($A122&gt;MAX(入力シート!$AF$6:$AF$505),"",INDEX(テーブル22[[学年]:[得点]],MATCH(体力優良証交付申請!$A122,入力シート!$AF$6:$AF$505,0),MATCH(体力優良証交付申請!G$14,テーブル22[[#Headers],[学年]:[得点]],0)))</f>
        <v/>
      </c>
      <c r="H122" s="203" t="str">
        <f>IF($A122&gt;MAX(入力シート!$AF$6:$AF$505),"",INDEX(テーブル22[[学年]:[得点]],MATCH(体力優良証交付申請!$A122,入力シート!$AF$6:$AF$505,0),MATCH(体力優良証交付申請!H$14,テーブル22[[#Headers],[学年]:[得点]],0)))</f>
        <v/>
      </c>
      <c r="I122" s="203" t="str">
        <f>IF($A122&gt;MAX(入力シート!$AF$6:$AF$505),"",INDEX(テーブル22[[学年]:[得点]],MATCH(体力優良証交付申請!$A122,入力シート!$AF$6:$AF$505,0),MATCH(体力優良証交付申請!I$14,テーブル22[[#Headers],[学年]:[得点]],0)))</f>
        <v/>
      </c>
      <c r="J122" s="114" t="str">
        <f>IF($A122&gt;MAX(入力シート!$AF$6:$AF$505),"",INDEX(テーブル22[[学年]:[得点]],MATCH(体力優良証交付申請!$A122,入力シート!$AF$6:$AF$505,0),MATCH(体力優良証交付申請!J$14,テーブル22[[#Headers],[学年]:[得点]],0)))</f>
        <v/>
      </c>
      <c r="K122" s="203" t="str">
        <f>IF($A122&gt;MAX(入力シート!$AF$6:$AF$505),"",INDEX(テーブル22[[学年]:[得点]],MATCH(体力優良証交付申請!$A122,入力シート!$AF$6:$AF$505,0),MATCH(体力優良証交付申請!K$14,テーブル22[[#Headers],[学年]:[得点]],0)))</f>
        <v/>
      </c>
      <c r="L122" s="203" t="str">
        <f>IF($A122&gt;MAX(入力シート!$AF$6:$AF$505),"",INDEX(テーブル22[[学年]:[得点]],MATCH(体力優良証交付申請!$A122,入力シート!$AF$6:$AF$505,0),MATCH(体力優良証交付申請!L$14,テーブル22[[#Headers],[学年]:[得点]],0)))</f>
        <v/>
      </c>
      <c r="M122" s="28" t="str">
        <f>IF($A122&gt;MAX(入力シート!$AF$6:$AF$505),"",INDEX(テーブル22[[学年]:[得点]],MATCH(体力優良証交付申請!$A122,入力シート!$AF$6:$AF$505,0),MATCH(体力優良証交付申請!M$14,テーブル22[[#Headers],[学年]:[得点]],0)))</f>
        <v/>
      </c>
    </row>
    <row r="123" spans="1:13" x14ac:dyDescent="0.2">
      <c r="A123" s="16">
        <v>109</v>
      </c>
      <c r="B123" s="130" t="str">
        <f>IF($A123&gt;MAX(入力シート!$AF$6:$AF$505),"",INDEX(テーブル22[[学年]:[得点]],MATCH(体力優良証交付申請!$A123,入力シート!$AF$6:$AF$505,0),MATCH(体力優良証交付申請!B$14,テーブル22[[#Headers],[学年]:[得点]],0)))</f>
        <v/>
      </c>
      <c r="C123" s="203" t="str">
        <f>IF($A123&gt;MAX(入力シート!$AF$6:$AF$505),"",INDEX(テーブル22[[学年]:[得点]],MATCH(体力優良証交付申請!$A123,入力シート!$AF$6:$AF$505,0),MATCH(体力優良証交付申請!C$14,テーブル22[[#Headers],[学年]:[得点]],0)))</f>
        <v/>
      </c>
      <c r="D123" s="203" t="str">
        <f>IF($A123&gt;MAX(入力シート!$AF$6:$AF$505),"",INDEX(テーブル22[[学年]:[得点]],MATCH(体力優良証交付申請!$A123,入力シート!$AF$6:$AF$505,0),MATCH(体力優良証交付申請!D$14,テーブル22[[#Headers],[学年]:[得点]],0)))</f>
        <v/>
      </c>
      <c r="E123" s="203" t="str">
        <f>IF($A123&gt;MAX(入力シート!$AF$6:$AF$505),"",INDEX(テーブル22[[学年]:[得点]],MATCH(体力優良証交付申請!$A123,入力シート!$AF$6:$AF$505,0),MATCH(体力優良証交付申請!E$14,テーブル22[[#Headers],[学年]:[得点]],0)))</f>
        <v/>
      </c>
      <c r="F123" s="203" t="str">
        <f>IF($A123&gt;MAX(入力シート!$AF$6:$AF$505),"",INDEX(テーブル22[[学年]:[得点]],MATCH(体力優良証交付申請!$A123,入力シート!$AF$6:$AF$505,0),MATCH(体力優良証交付申請!F$14,テーブル22[[#Headers],[学年]:[得点]],0)))</f>
        <v/>
      </c>
      <c r="G123" s="203" t="str">
        <f>IF($A123&gt;MAX(入力シート!$AF$6:$AF$505),"",INDEX(テーブル22[[学年]:[得点]],MATCH(体力優良証交付申請!$A123,入力シート!$AF$6:$AF$505,0),MATCH(体力優良証交付申請!G$14,テーブル22[[#Headers],[学年]:[得点]],0)))</f>
        <v/>
      </c>
      <c r="H123" s="203" t="str">
        <f>IF($A123&gt;MAX(入力シート!$AF$6:$AF$505),"",INDEX(テーブル22[[学年]:[得点]],MATCH(体力優良証交付申請!$A123,入力シート!$AF$6:$AF$505,0),MATCH(体力優良証交付申請!H$14,テーブル22[[#Headers],[学年]:[得点]],0)))</f>
        <v/>
      </c>
      <c r="I123" s="203" t="str">
        <f>IF($A123&gt;MAX(入力シート!$AF$6:$AF$505),"",INDEX(テーブル22[[学年]:[得点]],MATCH(体力優良証交付申請!$A123,入力シート!$AF$6:$AF$505,0),MATCH(体力優良証交付申請!I$14,テーブル22[[#Headers],[学年]:[得点]],0)))</f>
        <v/>
      </c>
      <c r="J123" s="114" t="str">
        <f>IF($A123&gt;MAX(入力シート!$AF$6:$AF$505),"",INDEX(テーブル22[[学年]:[得点]],MATCH(体力優良証交付申請!$A123,入力シート!$AF$6:$AF$505,0),MATCH(体力優良証交付申請!J$14,テーブル22[[#Headers],[学年]:[得点]],0)))</f>
        <v/>
      </c>
      <c r="K123" s="203" t="str">
        <f>IF($A123&gt;MAX(入力シート!$AF$6:$AF$505),"",INDEX(テーブル22[[学年]:[得点]],MATCH(体力優良証交付申請!$A123,入力シート!$AF$6:$AF$505,0),MATCH(体力優良証交付申請!K$14,テーブル22[[#Headers],[学年]:[得点]],0)))</f>
        <v/>
      </c>
      <c r="L123" s="203" t="str">
        <f>IF($A123&gt;MAX(入力シート!$AF$6:$AF$505),"",INDEX(テーブル22[[学年]:[得点]],MATCH(体力優良証交付申請!$A123,入力シート!$AF$6:$AF$505,0),MATCH(体力優良証交付申請!L$14,テーブル22[[#Headers],[学年]:[得点]],0)))</f>
        <v/>
      </c>
      <c r="M123" s="28" t="str">
        <f>IF($A123&gt;MAX(入力シート!$AF$6:$AF$505),"",INDEX(テーブル22[[学年]:[得点]],MATCH(体力優良証交付申請!$A123,入力シート!$AF$6:$AF$505,0),MATCH(体力優良証交付申請!M$14,テーブル22[[#Headers],[学年]:[得点]],0)))</f>
        <v/>
      </c>
    </row>
    <row r="124" spans="1:13" x14ac:dyDescent="0.2">
      <c r="A124" s="16">
        <v>110</v>
      </c>
      <c r="B124" s="130" t="str">
        <f>IF($A124&gt;MAX(入力シート!$AF$6:$AF$505),"",INDEX(テーブル22[[学年]:[得点]],MATCH(体力優良証交付申請!$A124,入力シート!$AF$6:$AF$505,0),MATCH(体力優良証交付申請!B$14,テーブル22[[#Headers],[学年]:[得点]],0)))</f>
        <v/>
      </c>
      <c r="C124" s="203" t="str">
        <f>IF($A124&gt;MAX(入力シート!$AF$6:$AF$505),"",INDEX(テーブル22[[学年]:[得点]],MATCH(体力優良証交付申請!$A124,入力シート!$AF$6:$AF$505,0),MATCH(体力優良証交付申請!C$14,テーブル22[[#Headers],[学年]:[得点]],0)))</f>
        <v/>
      </c>
      <c r="D124" s="203" t="str">
        <f>IF($A124&gt;MAX(入力シート!$AF$6:$AF$505),"",INDEX(テーブル22[[学年]:[得点]],MATCH(体力優良証交付申請!$A124,入力シート!$AF$6:$AF$505,0),MATCH(体力優良証交付申請!D$14,テーブル22[[#Headers],[学年]:[得点]],0)))</f>
        <v/>
      </c>
      <c r="E124" s="203" t="str">
        <f>IF($A124&gt;MAX(入力シート!$AF$6:$AF$505),"",INDEX(テーブル22[[学年]:[得点]],MATCH(体力優良証交付申請!$A124,入力シート!$AF$6:$AF$505,0),MATCH(体力優良証交付申請!E$14,テーブル22[[#Headers],[学年]:[得点]],0)))</f>
        <v/>
      </c>
      <c r="F124" s="203" t="str">
        <f>IF($A124&gt;MAX(入力シート!$AF$6:$AF$505),"",INDEX(テーブル22[[学年]:[得点]],MATCH(体力優良証交付申請!$A124,入力シート!$AF$6:$AF$505,0),MATCH(体力優良証交付申請!F$14,テーブル22[[#Headers],[学年]:[得点]],0)))</f>
        <v/>
      </c>
      <c r="G124" s="203" t="str">
        <f>IF($A124&gt;MAX(入力シート!$AF$6:$AF$505),"",INDEX(テーブル22[[学年]:[得点]],MATCH(体力優良証交付申請!$A124,入力シート!$AF$6:$AF$505,0),MATCH(体力優良証交付申請!G$14,テーブル22[[#Headers],[学年]:[得点]],0)))</f>
        <v/>
      </c>
      <c r="H124" s="203" t="str">
        <f>IF($A124&gt;MAX(入力シート!$AF$6:$AF$505),"",INDEX(テーブル22[[学年]:[得点]],MATCH(体力優良証交付申請!$A124,入力シート!$AF$6:$AF$505,0),MATCH(体力優良証交付申請!H$14,テーブル22[[#Headers],[学年]:[得点]],0)))</f>
        <v/>
      </c>
      <c r="I124" s="203" t="str">
        <f>IF($A124&gt;MAX(入力シート!$AF$6:$AF$505),"",INDEX(テーブル22[[学年]:[得点]],MATCH(体力優良証交付申請!$A124,入力シート!$AF$6:$AF$505,0),MATCH(体力優良証交付申請!I$14,テーブル22[[#Headers],[学年]:[得点]],0)))</f>
        <v/>
      </c>
      <c r="J124" s="114" t="str">
        <f>IF($A124&gt;MAX(入力シート!$AF$6:$AF$505),"",INDEX(テーブル22[[学年]:[得点]],MATCH(体力優良証交付申請!$A124,入力シート!$AF$6:$AF$505,0),MATCH(体力優良証交付申請!J$14,テーブル22[[#Headers],[学年]:[得点]],0)))</f>
        <v/>
      </c>
      <c r="K124" s="203" t="str">
        <f>IF($A124&gt;MAX(入力シート!$AF$6:$AF$505),"",INDEX(テーブル22[[学年]:[得点]],MATCH(体力優良証交付申請!$A124,入力シート!$AF$6:$AF$505,0),MATCH(体力優良証交付申請!K$14,テーブル22[[#Headers],[学年]:[得点]],0)))</f>
        <v/>
      </c>
      <c r="L124" s="203" t="str">
        <f>IF($A124&gt;MAX(入力シート!$AF$6:$AF$505),"",INDEX(テーブル22[[学年]:[得点]],MATCH(体力優良証交付申請!$A124,入力シート!$AF$6:$AF$505,0),MATCH(体力優良証交付申請!L$14,テーブル22[[#Headers],[学年]:[得点]],0)))</f>
        <v/>
      </c>
      <c r="M124" s="28" t="str">
        <f>IF($A124&gt;MAX(入力シート!$AF$6:$AF$505),"",INDEX(テーブル22[[学年]:[得点]],MATCH(体力優良証交付申請!$A124,入力シート!$AF$6:$AF$505,0),MATCH(体力優良証交付申請!M$14,テーブル22[[#Headers],[学年]:[得点]],0)))</f>
        <v/>
      </c>
    </row>
    <row r="125" spans="1:13" x14ac:dyDescent="0.2">
      <c r="A125" s="16">
        <v>111</v>
      </c>
      <c r="B125" s="130" t="str">
        <f>IF($A125&gt;MAX(入力シート!$AF$6:$AF$505),"",INDEX(テーブル22[[学年]:[得点]],MATCH(体力優良証交付申請!$A125,入力シート!$AF$6:$AF$505,0),MATCH(体力優良証交付申請!B$14,テーブル22[[#Headers],[学年]:[得点]],0)))</f>
        <v/>
      </c>
      <c r="C125" s="203" t="str">
        <f>IF($A125&gt;MAX(入力シート!$AF$6:$AF$505),"",INDEX(テーブル22[[学年]:[得点]],MATCH(体力優良証交付申請!$A125,入力シート!$AF$6:$AF$505,0),MATCH(体力優良証交付申請!C$14,テーブル22[[#Headers],[学年]:[得点]],0)))</f>
        <v/>
      </c>
      <c r="D125" s="203" t="str">
        <f>IF($A125&gt;MAX(入力シート!$AF$6:$AF$505),"",INDEX(テーブル22[[学年]:[得点]],MATCH(体力優良証交付申請!$A125,入力シート!$AF$6:$AF$505,0),MATCH(体力優良証交付申請!D$14,テーブル22[[#Headers],[学年]:[得点]],0)))</f>
        <v/>
      </c>
      <c r="E125" s="203" t="str">
        <f>IF($A125&gt;MAX(入力シート!$AF$6:$AF$505),"",INDEX(テーブル22[[学年]:[得点]],MATCH(体力優良証交付申請!$A125,入力シート!$AF$6:$AF$505,0),MATCH(体力優良証交付申請!E$14,テーブル22[[#Headers],[学年]:[得点]],0)))</f>
        <v/>
      </c>
      <c r="F125" s="203" t="str">
        <f>IF($A125&gt;MAX(入力シート!$AF$6:$AF$505),"",INDEX(テーブル22[[学年]:[得点]],MATCH(体力優良証交付申請!$A125,入力シート!$AF$6:$AF$505,0),MATCH(体力優良証交付申請!F$14,テーブル22[[#Headers],[学年]:[得点]],0)))</f>
        <v/>
      </c>
      <c r="G125" s="203" t="str">
        <f>IF($A125&gt;MAX(入力シート!$AF$6:$AF$505),"",INDEX(テーブル22[[学年]:[得点]],MATCH(体力優良証交付申請!$A125,入力シート!$AF$6:$AF$505,0),MATCH(体力優良証交付申請!G$14,テーブル22[[#Headers],[学年]:[得点]],0)))</f>
        <v/>
      </c>
      <c r="H125" s="203" t="str">
        <f>IF($A125&gt;MAX(入力シート!$AF$6:$AF$505),"",INDEX(テーブル22[[学年]:[得点]],MATCH(体力優良証交付申請!$A125,入力シート!$AF$6:$AF$505,0),MATCH(体力優良証交付申請!H$14,テーブル22[[#Headers],[学年]:[得点]],0)))</f>
        <v/>
      </c>
      <c r="I125" s="203" t="str">
        <f>IF($A125&gt;MAX(入力シート!$AF$6:$AF$505),"",INDEX(テーブル22[[学年]:[得点]],MATCH(体力優良証交付申請!$A125,入力シート!$AF$6:$AF$505,0),MATCH(体力優良証交付申請!I$14,テーブル22[[#Headers],[学年]:[得点]],0)))</f>
        <v/>
      </c>
      <c r="J125" s="114" t="str">
        <f>IF($A125&gt;MAX(入力シート!$AF$6:$AF$505),"",INDEX(テーブル22[[学年]:[得点]],MATCH(体力優良証交付申請!$A125,入力シート!$AF$6:$AF$505,0),MATCH(体力優良証交付申請!J$14,テーブル22[[#Headers],[学年]:[得点]],0)))</f>
        <v/>
      </c>
      <c r="K125" s="203" t="str">
        <f>IF($A125&gt;MAX(入力シート!$AF$6:$AF$505),"",INDEX(テーブル22[[学年]:[得点]],MATCH(体力優良証交付申請!$A125,入力シート!$AF$6:$AF$505,0),MATCH(体力優良証交付申請!K$14,テーブル22[[#Headers],[学年]:[得点]],0)))</f>
        <v/>
      </c>
      <c r="L125" s="203" t="str">
        <f>IF($A125&gt;MAX(入力シート!$AF$6:$AF$505),"",INDEX(テーブル22[[学年]:[得点]],MATCH(体力優良証交付申請!$A125,入力シート!$AF$6:$AF$505,0),MATCH(体力優良証交付申請!L$14,テーブル22[[#Headers],[学年]:[得点]],0)))</f>
        <v/>
      </c>
      <c r="M125" s="28" t="str">
        <f>IF($A125&gt;MAX(入力シート!$AF$6:$AF$505),"",INDEX(テーブル22[[学年]:[得点]],MATCH(体力優良証交付申請!$A125,入力シート!$AF$6:$AF$505,0),MATCH(体力優良証交付申請!M$14,テーブル22[[#Headers],[学年]:[得点]],0)))</f>
        <v/>
      </c>
    </row>
    <row r="126" spans="1:13" x14ac:dyDescent="0.2">
      <c r="A126" s="16">
        <v>112</v>
      </c>
      <c r="B126" s="130" t="str">
        <f>IF($A126&gt;MAX(入力シート!$AF$6:$AF$505),"",INDEX(テーブル22[[学年]:[得点]],MATCH(体力優良証交付申請!$A126,入力シート!$AF$6:$AF$505,0),MATCH(体力優良証交付申請!B$14,テーブル22[[#Headers],[学年]:[得点]],0)))</f>
        <v/>
      </c>
      <c r="C126" s="203" t="str">
        <f>IF($A126&gt;MAX(入力シート!$AF$6:$AF$505),"",INDEX(テーブル22[[学年]:[得点]],MATCH(体力優良証交付申請!$A126,入力シート!$AF$6:$AF$505,0),MATCH(体力優良証交付申請!C$14,テーブル22[[#Headers],[学年]:[得点]],0)))</f>
        <v/>
      </c>
      <c r="D126" s="203" t="str">
        <f>IF($A126&gt;MAX(入力シート!$AF$6:$AF$505),"",INDEX(テーブル22[[学年]:[得点]],MATCH(体力優良証交付申請!$A126,入力シート!$AF$6:$AF$505,0),MATCH(体力優良証交付申請!D$14,テーブル22[[#Headers],[学年]:[得点]],0)))</f>
        <v/>
      </c>
      <c r="E126" s="203" t="str">
        <f>IF($A126&gt;MAX(入力シート!$AF$6:$AF$505),"",INDEX(テーブル22[[学年]:[得点]],MATCH(体力優良証交付申請!$A126,入力シート!$AF$6:$AF$505,0),MATCH(体力優良証交付申請!E$14,テーブル22[[#Headers],[学年]:[得点]],0)))</f>
        <v/>
      </c>
      <c r="F126" s="203" t="str">
        <f>IF($A126&gt;MAX(入力シート!$AF$6:$AF$505),"",INDEX(テーブル22[[学年]:[得点]],MATCH(体力優良証交付申請!$A126,入力シート!$AF$6:$AF$505,0),MATCH(体力優良証交付申請!F$14,テーブル22[[#Headers],[学年]:[得点]],0)))</f>
        <v/>
      </c>
      <c r="G126" s="203" t="str">
        <f>IF($A126&gt;MAX(入力シート!$AF$6:$AF$505),"",INDEX(テーブル22[[学年]:[得点]],MATCH(体力優良証交付申請!$A126,入力シート!$AF$6:$AF$505,0),MATCH(体力優良証交付申請!G$14,テーブル22[[#Headers],[学年]:[得点]],0)))</f>
        <v/>
      </c>
      <c r="H126" s="203" t="str">
        <f>IF($A126&gt;MAX(入力シート!$AF$6:$AF$505),"",INDEX(テーブル22[[学年]:[得点]],MATCH(体力優良証交付申請!$A126,入力シート!$AF$6:$AF$505,0),MATCH(体力優良証交付申請!H$14,テーブル22[[#Headers],[学年]:[得点]],0)))</f>
        <v/>
      </c>
      <c r="I126" s="203" t="str">
        <f>IF($A126&gt;MAX(入力シート!$AF$6:$AF$505),"",INDEX(テーブル22[[学年]:[得点]],MATCH(体力優良証交付申請!$A126,入力シート!$AF$6:$AF$505,0),MATCH(体力優良証交付申請!I$14,テーブル22[[#Headers],[学年]:[得点]],0)))</f>
        <v/>
      </c>
      <c r="J126" s="114" t="str">
        <f>IF($A126&gt;MAX(入力シート!$AF$6:$AF$505),"",INDEX(テーブル22[[学年]:[得点]],MATCH(体力優良証交付申請!$A126,入力シート!$AF$6:$AF$505,0),MATCH(体力優良証交付申請!J$14,テーブル22[[#Headers],[学年]:[得点]],0)))</f>
        <v/>
      </c>
      <c r="K126" s="203" t="str">
        <f>IF($A126&gt;MAX(入力シート!$AF$6:$AF$505),"",INDEX(テーブル22[[学年]:[得点]],MATCH(体力優良証交付申請!$A126,入力シート!$AF$6:$AF$505,0),MATCH(体力優良証交付申請!K$14,テーブル22[[#Headers],[学年]:[得点]],0)))</f>
        <v/>
      </c>
      <c r="L126" s="203" t="str">
        <f>IF($A126&gt;MAX(入力シート!$AF$6:$AF$505),"",INDEX(テーブル22[[学年]:[得点]],MATCH(体力優良証交付申請!$A126,入力シート!$AF$6:$AF$505,0),MATCH(体力優良証交付申請!L$14,テーブル22[[#Headers],[学年]:[得点]],0)))</f>
        <v/>
      </c>
      <c r="M126" s="28" t="str">
        <f>IF($A126&gt;MAX(入力シート!$AF$6:$AF$505),"",INDEX(テーブル22[[学年]:[得点]],MATCH(体力優良証交付申請!$A126,入力シート!$AF$6:$AF$505,0),MATCH(体力優良証交付申請!M$14,テーブル22[[#Headers],[学年]:[得点]],0)))</f>
        <v/>
      </c>
    </row>
    <row r="127" spans="1:13" x14ac:dyDescent="0.2">
      <c r="A127" s="16">
        <v>113</v>
      </c>
      <c r="B127" s="130" t="str">
        <f>IF($A127&gt;MAX(入力シート!$AF$6:$AF$505),"",INDEX(テーブル22[[学年]:[得点]],MATCH(体力優良証交付申請!$A127,入力シート!$AF$6:$AF$505,0),MATCH(体力優良証交付申請!B$14,テーブル22[[#Headers],[学年]:[得点]],0)))</f>
        <v/>
      </c>
      <c r="C127" s="203" t="str">
        <f>IF($A127&gt;MAX(入力シート!$AF$6:$AF$505),"",INDEX(テーブル22[[学年]:[得点]],MATCH(体力優良証交付申請!$A127,入力シート!$AF$6:$AF$505,0),MATCH(体力優良証交付申請!C$14,テーブル22[[#Headers],[学年]:[得点]],0)))</f>
        <v/>
      </c>
      <c r="D127" s="203" t="str">
        <f>IF($A127&gt;MAX(入力シート!$AF$6:$AF$505),"",INDEX(テーブル22[[学年]:[得点]],MATCH(体力優良証交付申請!$A127,入力シート!$AF$6:$AF$505,0),MATCH(体力優良証交付申請!D$14,テーブル22[[#Headers],[学年]:[得点]],0)))</f>
        <v/>
      </c>
      <c r="E127" s="203" t="str">
        <f>IF($A127&gt;MAX(入力シート!$AF$6:$AF$505),"",INDEX(テーブル22[[学年]:[得点]],MATCH(体力優良証交付申請!$A127,入力シート!$AF$6:$AF$505,0),MATCH(体力優良証交付申請!E$14,テーブル22[[#Headers],[学年]:[得点]],0)))</f>
        <v/>
      </c>
      <c r="F127" s="203" t="str">
        <f>IF($A127&gt;MAX(入力シート!$AF$6:$AF$505),"",INDEX(テーブル22[[学年]:[得点]],MATCH(体力優良証交付申請!$A127,入力シート!$AF$6:$AF$505,0),MATCH(体力優良証交付申請!F$14,テーブル22[[#Headers],[学年]:[得点]],0)))</f>
        <v/>
      </c>
      <c r="G127" s="203" t="str">
        <f>IF($A127&gt;MAX(入力シート!$AF$6:$AF$505),"",INDEX(テーブル22[[学年]:[得点]],MATCH(体力優良証交付申請!$A127,入力シート!$AF$6:$AF$505,0),MATCH(体力優良証交付申請!G$14,テーブル22[[#Headers],[学年]:[得点]],0)))</f>
        <v/>
      </c>
      <c r="H127" s="203" t="str">
        <f>IF($A127&gt;MAX(入力シート!$AF$6:$AF$505),"",INDEX(テーブル22[[学年]:[得点]],MATCH(体力優良証交付申請!$A127,入力シート!$AF$6:$AF$505,0),MATCH(体力優良証交付申請!H$14,テーブル22[[#Headers],[学年]:[得点]],0)))</f>
        <v/>
      </c>
      <c r="I127" s="203" t="str">
        <f>IF($A127&gt;MAX(入力シート!$AF$6:$AF$505),"",INDEX(テーブル22[[学年]:[得点]],MATCH(体力優良証交付申請!$A127,入力シート!$AF$6:$AF$505,0),MATCH(体力優良証交付申請!I$14,テーブル22[[#Headers],[学年]:[得点]],0)))</f>
        <v/>
      </c>
      <c r="J127" s="114" t="str">
        <f>IF($A127&gt;MAX(入力シート!$AF$6:$AF$505),"",INDEX(テーブル22[[学年]:[得点]],MATCH(体力優良証交付申請!$A127,入力シート!$AF$6:$AF$505,0),MATCH(体力優良証交付申請!J$14,テーブル22[[#Headers],[学年]:[得点]],0)))</f>
        <v/>
      </c>
      <c r="K127" s="203" t="str">
        <f>IF($A127&gt;MAX(入力シート!$AF$6:$AF$505),"",INDEX(テーブル22[[学年]:[得点]],MATCH(体力優良証交付申請!$A127,入力シート!$AF$6:$AF$505,0),MATCH(体力優良証交付申請!K$14,テーブル22[[#Headers],[学年]:[得点]],0)))</f>
        <v/>
      </c>
      <c r="L127" s="203" t="str">
        <f>IF($A127&gt;MAX(入力シート!$AF$6:$AF$505),"",INDEX(テーブル22[[学年]:[得点]],MATCH(体力優良証交付申請!$A127,入力シート!$AF$6:$AF$505,0),MATCH(体力優良証交付申請!L$14,テーブル22[[#Headers],[学年]:[得点]],0)))</f>
        <v/>
      </c>
      <c r="M127" s="28" t="str">
        <f>IF($A127&gt;MAX(入力シート!$AF$6:$AF$505),"",INDEX(テーブル22[[学年]:[得点]],MATCH(体力優良証交付申請!$A127,入力シート!$AF$6:$AF$505,0),MATCH(体力優良証交付申請!M$14,テーブル22[[#Headers],[学年]:[得点]],0)))</f>
        <v/>
      </c>
    </row>
    <row r="128" spans="1:13" x14ac:dyDescent="0.2">
      <c r="A128" s="16">
        <v>114</v>
      </c>
      <c r="B128" s="130" t="str">
        <f>IF($A128&gt;MAX(入力シート!$AF$6:$AF$505),"",INDEX(テーブル22[[学年]:[得点]],MATCH(体力優良証交付申請!$A128,入力シート!$AF$6:$AF$505,0),MATCH(体力優良証交付申請!B$14,テーブル22[[#Headers],[学年]:[得点]],0)))</f>
        <v/>
      </c>
      <c r="C128" s="203" t="str">
        <f>IF($A128&gt;MAX(入力シート!$AF$6:$AF$505),"",INDEX(テーブル22[[学年]:[得点]],MATCH(体力優良証交付申請!$A128,入力シート!$AF$6:$AF$505,0),MATCH(体力優良証交付申請!C$14,テーブル22[[#Headers],[学年]:[得点]],0)))</f>
        <v/>
      </c>
      <c r="D128" s="203" t="str">
        <f>IF($A128&gt;MAX(入力シート!$AF$6:$AF$505),"",INDEX(テーブル22[[学年]:[得点]],MATCH(体力優良証交付申請!$A128,入力シート!$AF$6:$AF$505,0),MATCH(体力優良証交付申請!D$14,テーブル22[[#Headers],[学年]:[得点]],0)))</f>
        <v/>
      </c>
      <c r="E128" s="203" t="str">
        <f>IF($A128&gt;MAX(入力シート!$AF$6:$AF$505),"",INDEX(テーブル22[[学年]:[得点]],MATCH(体力優良証交付申請!$A128,入力シート!$AF$6:$AF$505,0),MATCH(体力優良証交付申請!E$14,テーブル22[[#Headers],[学年]:[得点]],0)))</f>
        <v/>
      </c>
      <c r="F128" s="203" t="str">
        <f>IF($A128&gt;MAX(入力シート!$AF$6:$AF$505),"",INDEX(テーブル22[[学年]:[得点]],MATCH(体力優良証交付申請!$A128,入力シート!$AF$6:$AF$505,0),MATCH(体力優良証交付申請!F$14,テーブル22[[#Headers],[学年]:[得点]],0)))</f>
        <v/>
      </c>
      <c r="G128" s="203" t="str">
        <f>IF($A128&gt;MAX(入力シート!$AF$6:$AF$505),"",INDEX(テーブル22[[学年]:[得点]],MATCH(体力優良証交付申請!$A128,入力シート!$AF$6:$AF$505,0),MATCH(体力優良証交付申請!G$14,テーブル22[[#Headers],[学年]:[得点]],0)))</f>
        <v/>
      </c>
      <c r="H128" s="203" t="str">
        <f>IF($A128&gt;MAX(入力シート!$AF$6:$AF$505),"",INDEX(テーブル22[[学年]:[得点]],MATCH(体力優良証交付申請!$A128,入力シート!$AF$6:$AF$505,0),MATCH(体力優良証交付申請!H$14,テーブル22[[#Headers],[学年]:[得点]],0)))</f>
        <v/>
      </c>
      <c r="I128" s="203" t="str">
        <f>IF($A128&gt;MAX(入力シート!$AF$6:$AF$505),"",INDEX(テーブル22[[学年]:[得点]],MATCH(体力優良証交付申請!$A128,入力シート!$AF$6:$AF$505,0),MATCH(体力優良証交付申請!I$14,テーブル22[[#Headers],[学年]:[得点]],0)))</f>
        <v/>
      </c>
      <c r="J128" s="114" t="str">
        <f>IF($A128&gt;MAX(入力シート!$AF$6:$AF$505),"",INDEX(テーブル22[[学年]:[得点]],MATCH(体力優良証交付申請!$A128,入力シート!$AF$6:$AF$505,0),MATCH(体力優良証交付申請!J$14,テーブル22[[#Headers],[学年]:[得点]],0)))</f>
        <v/>
      </c>
      <c r="K128" s="203" t="str">
        <f>IF($A128&gt;MAX(入力シート!$AF$6:$AF$505),"",INDEX(テーブル22[[学年]:[得点]],MATCH(体力優良証交付申請!$A128,入力シート!$AF$6:$AF$505,0),MATCH(体力優良証交付申請!K$14,テーブル22[[#Headers],[学年]:[得点]],0)))</f>
        <v/>
      </c>
      <c r="L128" s="203" t="str">
        <f>IF($A128&gt;MAX(入力シート!$AF$6:$AF$505),"",INDEX(テーブル22[[学年]:[得点]],MATCH(体力優良証交付申請!$A128,入力シート!$AF$6:$AF$505,0),MATCH(体力優良証交付申請!L$14,テーブル22[[#Headers],[学年]:[得点]],0)))</f>
        <v/>
      </c>
      <c r="M128" s="28" t="str">
        <f>IF($A128&gt;MAX(入力シート!$AF$6:$AF$505),"",INDEX(テーブル22[[学年]:[得点]],MATCH(体力優良証交付申請!$A128,入力シート!$AF$6:$AF$505,0),MATCH(体力優良証交付申請!M$14,テーブル22[[#Headers],[学年]:[得点]],0)))</f>
        <v/>
      </c>
    </row>
    <row r="129" spans="1:13" x14ac:dyDescent="0.2">
      <c r="A129" s="16">
        <v>115</v>
      </c>
      <c r="B129" s="130" t="str">
        <f>IF($A129&gt;MAX(入力シート!$AF$6:$AF$505),"",INDEX(テーブル22[[学年]:[得点]],MATCH(体力優良証交付申請!$A129,入力シート!$AF$6:$AF$505,0),MATCH(体力優良証交付申請!B$14,テーブル22[[#Headers],[学年]:[得点]],0)))</f>
        <v/>
      </c>
      <c r="C129" s="203" t="str">
        <f>IF($A129&gt;MAX(入力シート!$AF$6:$AF$505),"",INDEX(テーブル22[[学年]:[得点]],MATCH(体力優良証交付申請!$A129,入力シート!$AF$6:$AF$505,0),MATCH(体力優良証交付申請!C$14,テーブル22[[#Headers],[学年]:[得点]],0)))</f>
        <v/>
      </c>
      <c r="D129" s="203" t="str">
        <f>IF($A129&gt;MAX(入力シート!$AF$6:$AF$505),"",INDEX(テーブル22[[学年]:[得点]],MATCH(体力優良証交付申請!$A129,入力シート!$AF$6:$AF$505,0),MATCH(体力優良証交付申請!D$14,テーブル22[[#Headers],[学年]:[得点]],0)))</f>
        <v/>
      </c>
      <c r="E129" s="203" t="str">
        <f>IF($A129&gt;MAX(入力シート!$AF$6:$AF$505),"",INDEX(テーブル22[[学年]:[得点]],MATCH(体力優良証交付申請!$A129,入力シート!$AF$6:$AF$505,0),MATCH(体力優良証交付申請!E$14,テーブル22[[#Headers],[学年]:[得点]],0)))</f>
        <v/>
      </c>
      <c r="F129" s="203" t="str">
        <f>IF($A129&gt;MAX(入力シート!$AF$6:$AF$505),"",INDEX(テーブル22[[学年]:[得点]],MATCH(体力優良証交付申請!$A129,入力シート!$AF$6:$AF$505,0),MATCH(体力優良証交付申請!F$14,テーブル22[[#Headers],[学年]:[得点]],0)))</f>
        <v/>
      </c>
      <c r="G129" s="203" t="str">
        <f>IF($A129&gt;MAX(入力シート!$AF$6:$AF$505),"",INDEX(テーブル22[[学年]:[得点]],MATCH(体力優良証交付申請!$A129,入力シート!$AF$6:$AF$505,0),MATCH(体力優良証交付申請!G$14,テーブル22[[#Headers],[学年]:[得点]],0)))</f>
        <v/>
      </c>
      <c r="H129" s="203" t="str">
        <f>IF($A129&gt;MAX(入力シート!$AF$6:$AF$505),"",INDEX(テーブル22[[学年]:[得点]],MATCH(体力優良証交付申請!$A129,入力シート!$AF$6:$AF$505,0),MATCH(体力優良証交付申請!H$14,テーブル22[[#Headers],[学年]:[得点]],0)))</f>
        <v/>
      </c>
      <c r="I129" s="203" t="str">
        <f>IF($A129&gt;MAX(入力シート!$AF$6:$AF$505),"",INDEX(テーブル22[[学年]:[得点]],MATCH(体力優良証交付申請!$A129,入力シート!$AF$6:$AF$505,0),MATCH(体力優良証交付申請!I$14,テーブル22[[#Headers],[学年]:[得点]],0)))</f>
        <v/>
      </c>
      <c r="J129" s="114" t="str">
        <f>IF($A129&gt;MAX(入力シート!$AF$6:$AF$505),"",INDEX(テーブル22[[学年]:[得点]],MATCH(体力優良証交付申請!$A129,入力シート!$AF$6:$AF$505,0),MATCH(体力優良証交付申請!J$14,テーブル22[[#Headers],[学年]:[得点]],0)))</f>
        <v/>
      </c>
      <c r="K129" s="203" t="str">
        <f>IF($A129&gt;MAX(入力シート!$AF$6:$AF$505),"",INDEX(テーブル22[[学年]:[得点]],MATCH(体力優良証交付申請!$A129,入力シート!$AF$6:$AF$505,0),MATCH(体力優良証交付申請!K$14,テーブル22[[#Headers],[学年]:[得点]],0)))</f>
        <v/>
      </c>
      <c r="L129" s="203" t="str">
        <f>IF($A129&gt;MAX(入力シート!$AF$6:$AF$505),"",INDEX(テーブル22[[学年]:[得点]],MATCH(体力優良証交付申請!$A129,入力シート!$AF$6:$AF$505,0),MATCH(体力優良証交付申請!L$14,テーブル22[[#Headers],[学年]:[得点]],0)))</f>
        <v/>
      </c>
      <c r="M129" s="28" t="str">
        <f>IF($A129&gt;MAX(入力シート!$AF$6:$AF$505),"",INDEX(テーブル22[[学年]:[得点]],MATCH(体力優良証交付申請!$A129,入力シート!$AF$6:$AF$505,0),MATCH(体力優良証交付申請!M$14,テーブル22[[#Headers],[学年]:[得点]],0)))</f>
        <v/>
      </c>
    </row>
    <row r="130" spans="1:13" x14ac:dyDescent="0.2">
      <c r="A130" s="16">
        <v>116</v>
      </c>
      <c r="B130" s="130" t="str">
        <f>IF($A130&gt;MAX(入力シート!$AF$6:$AF$505),"",INDEX(テーブル22[[学年]:[得点]],MATCH(体力優良証交付申請!$A130,入力シート!$AF$6:$AF$505,0),MATCH(体力優良証交付申請!B$14,テーブル22[[#Headers],[学年]:[得点]],0)))</f>
        <v/>
      </c>
      <c r="C130" s="203" t="str">
        <f>IF($A130&gt;MAX(入力シート!$AF$6:$AF$505),"",INDEX(テーブル22[[学年]:[得点]],MATCH(体力優良証交付申請!$A130,入力シート!$AF$6:$AF$505,0),MATCH(体力優良証交付申請!C$14,テーブル22[[#Headers],[学年]:[得点]],0)))</f>
        <v/>
      </c>
      <c r="D130" s="203" t="str">
        <f>IF($A130&gt;MAX(入力シート!$AF$6:$AF$505),"",INDEX(テーブル22[[学年]:[得点]],MATCH(体力優良証交付申請!$A130,入力シート!$AF$6:$AF$505,0),MATCH(体力優良証交付申請!D$14,テーブル22[[#Headers],[学年]:[得点]],0)))</f>
        <v/>
      </c>
      <c r="E130" s="203" t="str">
        <f>IF($A130&gt;MAX(入力シート!$AF$6:$AF$505),"",INDEX(テーブル22[[学年]:[得点]],MATCH(体力優良証交付申請!$A130,入力シート!$AF$6:$AF$505,0),MATCH(体力優良証交付申請!E$14,テーブル22[[#Headers],[学年]:[得点]],0)))</f>
        <v/>
      </c>
      <c r="F130" s="203" t="str">
        <f>IF($A130&gt;MAX(入力シート!$AF$6:$AF$505),"",INDEX(テーブル22[[学年]:[得点]],MATCH(体力優良証交付申請!$A130,入力シート!$AF$6:$AF$505,0),MATCH(体力優良証交付申請!F$14,テーブル22[[#Headers],[学年]:[得点]],0)))</f>
        <v/>
      </c>
      <c r="G130" s="203" t="str">
        <f>IF($A130&gt;MAX(入力シート!$AF$6:$AF$505),"",INDEX(テーブル22[[学年]:[得点]],MATCH(体力優良証交付申請!$A130,入力シート!$AF$6:$AF$505,0),MATCH(体力優良証交付申請!G$14,テーブル22[[#Headers],[学年]:[得点]],0)))</f>
        <v/>
      </c>
      <c r="H130" s="203" t="str">
        <f>IF($A130&gt;MAX(入力シート!$AF$6:$AF$505),"",INDEX(テーブル22[[学年]:[得点]],MATCH(体力優良証交付申請!$A130,入力シート!$AF$6:$AF$505,0),MATCH(体力優良証交付申請!H$14,テーブル22[[#Headers],[学年]:[得点]],0)))</f>
        <v/>
      </c>
      <c r="I130" s="203" t="str">
        <f>IF($A130&gt;MAX(入力シート!$AF$6:$AF$505),"",INDEX(テーブル22[[学年]:[得点]],MATCH(体力優良証交付申請!$A130,入力シート!$AF$6:$AF$505,0),MATCH(体力優良証交付申請!I$14,テーブル22[[#Headers],[学年]:[得点]],0)))</f>
        <v/>
      </c>
      <c r="J130" s="114" t="str">
        <f>IF($A130&gt;MAX(入力シート!$AF$6:$AF$505),"",INDEX(テーブル22[[学年]:[得点]],MATCH(体力優良証交付申請!$A130,入力シート!$AF$6:$AF$505,0),MATCH(体力優良証交付申請!J$14,テーブル22[[#Headers],[学年]:[得点]],0)))</f>
        <v/>
      </c>
      <c r="K130" s="203" t="str">
        <f>IF($A130&gt;MAX(入力シート!$AF$6:$AF$505),"",INDEX(テーブル22[[学年]:[得点]],MATCH(体力優良証交付申請!$A130,入力シート!$AF$6:$AF$505,0),MATCH(体力優良証交付申請!K$14,テーブル22[[#Headers],[学年]:[得点]],0)))</f>
        <v/>
      </c>
      <c r="L130" s="203" t="str">
        <f>IF($A130&gt;MAX(入力シート!$AF$6:$AF$505),"",INDEX(テーブル22[[学年]:[得点]],MATCH(体力優良証交付申請!$A130,入力シート!$AF$6:$AF$505,0),MATCH(体力優良証交付申請!L$14,テーブル22[[#Headers],[学年]:[得点]],0)))</f>
        <v/>
      </c>
      <c r="M130" s="28" t="str">
        <f>IF($A130&gt;MAX(入力シート!$AF$6:$AF$505),"",INDEX(テーブル22[[学年]:[得点]],MATCH(体力優良証交付申請!$A130,入力シート!$AF$6:$AF$505,0),MATCH(体力優良証交付申請!M$14,テーブル22[[#Headers],[学年]:[得点]],0)))</f>
        <v/>
      </c>
    </row>
    <row r="131" spans="1:13" x14ac:dyDescent="0.2">
      <c r="A131" s="16">
        <v>117</v>
      </c>
      <c r="B131" s="130" t="str">
        <f>IF($A131&gt;MAX(入力シート!$AF$6:$AF$505),"",INDEX(テーブル22[[学年]:[得点]],MATCH(体力優良証交付申請!$A131,入力シート!$AF$6:$AF$505,0),MATCH(体力優良証交付申請!B$14,テーブル22[[#Headers],[学年]:[得点]],0)))</f>
        <v/>
      </c>
      <c r="C131" s="203" t="str">
        <f>IF($A131&gt;MAX(入力シート!$AF$6:$AF$505),"",INDEX(テーブル22[[学年]:[得点]],MATCH(体力優良証交付申請!$A131,入力シート!$AF$6:$AF$505,0),MATCH(体力優良証交付申請!C$14,テーブル22[[#Headers],[学年]:[得点]],0)))</f>
        <v/>
      </c>
      <c r="D131" s="203" t="str">
        <f>IF($A131&gt;MAX(入力シート!$AF$6:$AF$505),"",INDEX(テーブル22[[学年]:[得点]],MATCH(体力優良証交付申請!$A131,入力シート!$AF$6:$AF$505,0),MATCH(体力優良証交付申請!D$14,テーブル22[[#Headers],[学年]:[得点]],0)))</f>
        <v/>
      </c>
      <c r="E131" s="203" t="str">
        <f>IF($A131&gt;MAX(入力シート!$AF$6:$AF$505),"",INDEX(テーブル22[[学年]:[得点]],MATCH(体力優良証交付申請!$A131,入力シート!$AF$6:$AF$505,0),MATCH(体力優良証交付申請!E$14,テーブル22[[#Headers],[学年]:[得点]],0)))</f>
        <v/>
      </c>
      <c r="F131" s="203" t="str">
        <f>IF($A131&gt;MAX(入力シート!$AF$6:$AF$505),"",INDEX(テーブル22[[学年]:[得点]],MATCH(体力優良証交付申請!$A131,入力シート!$AF$6:$AF$505,0),MATCH(体力優良証交付申請!F$14,テーブル22[[#Headers],[学年]:[得点]],0)))</f>
        <v/>
      </c>
      <c r="G131" s="203" t="str">
        <f>IF($A131&gt;MAX(入力シート!$AF$6:$AF$505),"",INDEX(テーブル22[[学年]:[得点]],MATCH(体力優良証交付申請!$A131,入力シート!$AF$6:$AF$505,0),MATCH(体力優良証交付申請!G$14,テーブル22[[#Headers],[学年]:[得点]],0)))</f>
        <v/>
      </c>
      <c r="H131" s="203" t="str">
        <f>IF($A131&gt;MAX(入力シート!$AF$6:$AF$505),"",INDEX(テーブル22[[学年]:[得点]],MATCH(体力優良証交付申請!$A131,入力シート!$AF$6:$AF$505,0),MATCH(体力優良証交付申請!H$14,テーブル22[[#Headers],[学年]:[得点]],0)))</f>
        <v/>
      </c>
      <c r="I131" s="203" t="str">
        <f>IF($A131&gt;MAX(入力シート!$AF$6:$AF$505),"",INDEX(テーブル22[[学年]:[得点]],MATCH(体力優良証交付申請!$A131,入力シート!$AF$6:$AF$505,0),MATCH(体力優良証交付申請!I$14,テーブル22[[#Headers],[学年]:[得点]],0)))</f>
        <v/>
      </c>
      <c r="J131" s="114" t="str">
        <f>IF($A131&gt;MAX(入力シート!$AF$6:$AF$505),"",INDEX(テーブル22[[学年]:[得点]],MATCH(体力優良証交付申請!$A131,入力シート!$AF$6:$AF$505,0),MATCH(体力優良証交付申請!J$14,テーブル22[[#Headers],[学年]:[得点]],0)))</f>
        <v/>
      </c>
      <c r="K131" s="203" t="str">
        <f>IF($A131&gt;MAX(入力シート!$AF$6:$AF$505),"",INDEX(テーブル22[[学年]:[得点]],MATCH(体力優良証交付申請!$A131,入力シート!$AF$6:$AF$505,0),MATCH(体力優良証交付申請!K$14,テーブル22[[#Headers],[学年]:[得点]],0)))</f>
        <v/>
      </c>
      <c r="L131" s="203" t="str">
        <f>IF($A131&gt;MAX(入力シート!$AF$6:$AF$505),"",INDEX(テーブル22[[学年]:[得点]],MATCH(体力優良証交付申請!$A131,入力シート!$AF$6:$AF$505,0),MATCH(体力優良証交付申請!L$14,テーブル22[[#Headers],[学年]:[得点]],0)))</f>
        <v/>
      </c>
      <c r="M131" s="28" t="str">
        <f>IF($A131&gt;MAX(入力シート!$AF$6:$AF$505),"",INDEX(テーブル22[[学年]:[得点]],MATCH(体力優良証交付申請!$A131,入力シート!$AF$6:$AF$505,0),MATCH(体力優良証交付申請!M$14,テーブル22[[#Headers],[学年]:[得点]],0)))</f>
        <v/>
      </c>
    </row>
    <row r="132" spans="1:13" x14ac:dyDescent="0.2">
      <c r="A132" s="16">
        <v>118</v>
      </c>
      <c r="B132" s="130" t="str">
        <f>IF($A132&gt;MAX(入力シート!$AF$6:$AF$505),"",INDEX(テーブル22[[学年]:[得点]],MATCH(体力優良証交付申請!$A132,入力シート!$AF$6:$AF$505,0),MATCH(体力優良証交付申請!B$14,テーブル22[[#Headers],[学年]:[得点]],0)))</f>
        <v/>
      </c>
      <c r="C132" s="203" t="str">
        <f>IF($A132&gt;MAX(入力シート!$AF$6:$AF$505),"",INDEX(テーブル22[[学年]:[得点]],MATCH(体力優良証交付申請!$A132,入力シート!$AF$6:$AF$505,0),MATCH(体力優良証交付申請!C$14,テーブル22[[#Headers],[学年]:[得点]],0)))</f>
        <v/>
      </c>
      <c r="D132" s="203" t="str">
        <f>IF($A132&gt;MAX(入力シート!$AF$6:$AF$505),"",INDEX(テーブル22[[学年]:[得点]],MATCH(体力優良証交付申請!$A132,入力シート!$AF$6:$AF$505,0),MATCH(体力優良証交付申請!D$14,テーブル22[[#Headers],[学年]:[得点]],0)))</f>
        <v/>
      </c>
      <c r="E132" s="203" t="str">
        <f>IF($A132&gt;MAX(入力シート!$AF$6:$AF$505),"",INDEX(テーブル22[[学年]:[得点]],MATCH(体力優良証交付申請!$A132,入力シート!$AF$6:$AF$505,0),MATCH(体力優良証交付申請!E$14,テーブル22[[#Headers],[学年]:[得点]],0)))</f>
        <v/>
      </c>
      <c r="F132" s="203" t="str">
        <f>IF($A132&gt;MAX(入力シート!$AF$6:$AF$505),"",INDEX(テーブル22[[学年]:[得点]],MATCH(体力優良証交付申請!$A132,入力シート!$AF$6:$AF$505,0),MATCH(体力優良証交付申請!F$14,テーブル22[[#Headers],[学年]:[得点]],0)))</f>
        <v/>
      </c>
      <c r="G132" s="203" t="str">
        <f>IF($A132&gt;MAX(入力シート!$AF$6:$AF$505),"",INDEX(テーブル22[[学年]:[得点]],MATCH(体力優良証交付申請!$A132,入力シート!$AF$6:$AF$505,0),MATCH(体力優良証交付申請!G$14,テーブル22[[#Headers],[学年]:[得点]],0)))</f>
        <v/>
      </c>
      <c r="H132" s="203" t="str">
        <f>IF($A132&gt;MAX(入力シート!$AF$6:$AF$505),"",INDEX(テーブル22[[学年]:[得点]],MATCH(体力優良証交付申請!$A132,入力シート!$AF$6:$AF$505,0),MATCH(体力優良証交付申請!H$14,テーブル22[[#Headers],[学年]:[得点]],0)))</f>
        <v/>
      </c>
      <c r="I132" s="203" t="str">
        <f>IF($A132&gt;MAX(入力シート!$AF$6:$AF$505),"",INDEX(テーブル22[[学年]:[得点]],MATCH(体力優良証交付申請!$A132,入力シート!$AF$6:$AF$505,0),MATCH(体力優良証交付申請!I$14,テーブル22[[#Headers],[学年]:[得点]],0)))</f>
        <v/>
      </c>
      <c r="J132" s="114" t="str">
        <f>IF($A132&gt;MAX(入力シート!$AF$6:$AF$505),"",INDEX(テーブル22[[学年]:[得点]],MATCH(体力優良証交付申請!$A132,入力シート!$AF$6:$AF$505,0),MATCH(体力優良証交付申請!J$14,テーブル22[[#Headers],[学年]:[得点]],0)))</f>
        <v/>
      </c>
      <c r="K132" s="203" t="str">
        <f>IF($A132&gt;MAX(入力シート!$AF$6:$AF$505),"",INDEX(テーブル22[[学年]:[得点]],MATCH(体力優良証交付申請!$A132,入力シート!$AF$6:$AF$505,0),MATCH(体力優良証交付申請!K$14,テーブル22[[#Headers],[学年]:[得点]],0)))</f>
        <v/>
      </c>
      <c r="L132" s="203" t="str">
        <f>IF($A132&gt;MAX(入力シート!$AF$6:$AF$505),"",INDEX(テーブル22[[学年]:[得点]],MATCH(体力優良証交付申請!$A132,入力シート!$AF$6:$AF$505,0),MATCH(体力優良証交付申請!L$14,テーブル22[[#Headers],[学年]:[得点]],0)))</f>
        <v/>
      </c>
      <c r="M132" s="28" t="str">
        <f>IF($A132&gt;MAX(入力シート!$AF$6:$AF$505),"",INDEX(テーブル22[[学年]:[得点]],MATCH(体力優良証交付申請!$A132,入力シート!$AF$6:$AF$505,0),MATCH(体力優良証交付申請!M$14,テーブル22[[#Headers],[学年]:[得点]],0)))</f>
        <v/>
      </c>
    </row>
    <row r="133" spans="1:13" x14ac:dyDescent="0.2">
      <c r="A133" s="16">
        <v>119</v>
      </c>
      <c r="B133" s="130" t="str">
        <f>IF($A133&gt;MAX(入力シート!$AF$6:$AF$505),"",INDEX(テーブル22[[学年]:[得点]],MATCH(体力優良証交付申請!$A133,入力シート!$AF$6:$AF$505,0),MATCH(体力優良証交付申請!B$14,テーブル22[[#Headers],[学年]:[得点]],0)))</f>
        <v/>
      </c>
      <c r="C133" s="203" t="str">
        <f>IF($A133&gt;MAX(入力シート!$AF$6:$AF$505),"",INDEX(テーブル22[[学年]:[得点]],MATCH(体力優良証交付申請!$A133,入力シート!$AF$6:$AF$505,0),MATCH(体力優良証交付申請!C$14,テーブル22[[#Headers],[学年]:[得点]],0)))</f>
        <v/>
      </c>
      <c r="D133" s="203" t="str">
        <f>IF($A133&gt;MAX(入力シート!$AF$6:$AF$505),"",INDEX(テーブル22[[学年]:[得点]],MATCH(体力優良証交付申請!$A133,入力シート!$AF$6:$AF$505,0),MATCH(体力優良証交付申請!D$14,テーブル22[[#Headers],[学年]:[得点]],0)))</f>
        <v/>
      </c>
      <c r="E133" s="203" t="str">
        <f>IF($A133&gt;MAX(入力シート!$AF$6:$AF$505),"",INDEX(テーブル22[[学年]:[得点]],MATCH(体力優良証交付申請!$A133,入力シート!$AF$6:$AF$505,0),MATCH(体力優良証交付申請!E$14,テーブル22[[#Headers],[学年]:[得点]],0)))</f>
        <v/>
      </c>
      <c r="F133" s="203" t="str">
        <f>IF($A133&gt;MAX(入力シート!$AF$6:$AF$505),"",INDEX(テーブル22[[学年]:[得点]],MATCH(体力優良証交付申請!$A133,入力シート!$AF$6:$AF$505,0),MATCH(体力優良証交付申請!F$14,テーブル22[[#Headers],[学年]:[得点]],0)))</f>
        <v/>
      </c>
      <c r="G133" s="203" t="str">
        <f>IF($A133&gt;MAX(入力シート!$AF$6:$AF$505),"",INDEX(テーブル22[[学年]:[得点]],MATCH(体力優良証交付申請!$A133,入力シート!$AF$6:$AF$505,0),MATCH(体力優良証交付申請!G$14,テーブル22[[#Headers],[学年]:[得点]],0)))</f>
        <v/>
      </c>
      <c r="H133" s="203" t="str">
        <f>IF($A133&gt;MAX(入力シート!$AF$6:$AF$505),"",INDEX(テーブル22[[学年]:[得点]],MATCH(体力優良証交付申請!$A133,入力シート!$AF$6:$AF$505,0),MATCH(体力優良証交付申請!H$14,テーブル22[[#Headers],[学年]:[得点]],0)))</f>
        <v/>
      </c>
      <c r="I133" s="203" t="str">
        <f>IF($A133&gt;MAX(入力シート!$AF$6:$AF$505),"",INDEX(テーブル22[[学年]:[得点]],MATCH(体力優良証交付申請!$A133,入力シート!$AF$6:$AF$505,0),MATCH(体力優良証交付申請!I$14,テーブル22[[#Headers],[学年]:[得点]],0)))</f>
        <v/>
      </c>
      <c r="J133" s="114" t="str">
        <f>IF($A133&gt;MAX(入力シート!$AF$6:$AF$505),"",INDEX(テーブル22[[学年]:[得点]],MATCH(体力優良証交付申請!$A133,入力シート!$AF$6:$AF$505,0),MATCH(体力優良証交付申請!J$14,テーブル22[[#Headers],[学年]:[得点]],0)))</f>
        <v/>
      </c>
      <c r="K133" s="203" t="str">
        <f>IF($A133&gt;MAX(入力シート!$AF$6:$AF$505),"",INDEX(テーブル22[[学年]:[得点]],MATCH(体力優良証交付申請!$A133,入力シート!$AF$6:$AF$505,0),MATCH(体力優良証交付申請!K$14,テーブル22[[#Headers],[学年]:[得点]],0)))</f>
        <v/>
      </c>
      <c r="L133" s="203" t="str">
        <f>IF($A133&gt;MAX(入力シート!$AF$6:$AF$505),"",INDEX(テーブル22[[学年]:[得点]],MATCH(体力優良証交付申請!$A133,入力シート!$AF$6:$AF$505,0),MATCH(体力優良証交付申請!L$14,テーブル22[[#Headers],[学年]:[得点]],0)))</f>
        <v/>
      </c>
      <c r="M133" s="28" t="str">
        <f>IF($A133&gt;MAX(入力シート!$AF$6:$AF$505),"",INDEX(テーブル22[[学年]:[得点]],MATCH(体力優良証交付申請!$A133,入力シート!$AF$6:$AF$505,0),MATCH(体力優良証交付申請!M$14,テーブル22[[#Headers],[学年]:[得点]],0)))</f>
        <v/>
      </c>
    </row>
    <row r="134" spans="1:13" x14ac:dyDescent="0.2">
      <c r="A134" s="16">
        <v>120</v>
      </c>
      <c r="B134" s="130" t="str">
        <f>IF($A134&gt;MAX(入力シート!$AF$6:$AF$505),"",INDEX(テーブル22[[学年]:[得点]],MATCH(体力優良証交付申請!$A134,入力シート!$AF$6:$AF$505,0),MATCH(体力優良証交付申請!B$14,テーブル22[[#Headers],[学年]:[得点]],0)))</f>
        <v/>
      </c>
      <c r="C134" s="203" t="str">
        <f>IF($A134&gt;MAX(入力シート!$AF$6:$AF$505),"",INDEX(テーブル22[[学年]:[得点]],MATCH(体力優良証交付申請!$A134,入力シート!$AF$6:$AF$505,0),MATCH(体力優良証交付申請!C$14,テーブル22[[#Headers],[学年]:[得点]],0)))</f>
        <v/>
      </c>
      <c r="D134" s="203" t="str">
        <f>IF($A134&gt;MAX(入力シート!$AF$6:$AF$505),"",INDEX(テーブル22[[学年]:[得点]],MATCH(体力優良証交付申請!$A134,入力シート!$AF$6:$AF$505,0),MATCH(体力優良証交付申請!D$14,テーブル22[[#Headers],[学年]:[得点]],0)))</f>
        <v/>
      </c>
      <c r="E134" s="203" t="str">
        <f>IF($A134&gt;MAX(入力シート!$AF$6:$AF$505),"",INDEX(テーブル22[[学年]:[得点]],MATCH(体力優良証交付申請!$A134,入力シート!$AF$6:$AF$505,0),MATCH(体力優良証交付申請!E$14,テーブル22[[#Headers],[学年]:[得点]],0)))</f>
        <v/>
      </c>
      <c r="F134" s="203" t="str">
        <f>IF($A134&gt;MAX(入力シート!$AF$6:$AF$505),"",INDEX(テーブル22[[学年]:[得点]],MATCH(体力優良証交付申請!$A134,入力シート!$AF$6:$AF$505,0),MATCH(体力優良証交付申請!F$14,テーブル22[[#Headers],[学年]:[得点]],0)))</f>
        <v/>
      </c>
      <c r="G134" s="203" t="str">
        <f>IF($A134&gt;MAX(入力シート!$AF$6:$AF$505),"",INDEX(テーブル22[[学年]:[得点]],MATCH(体力優良証交付申請!$A134,入力シート!$AF$6:$AF$505,0),MATCH(体力優良証交付申請!G$14,テーブル22[[#Headers],[学年]:[得点]],0)))</f>
        <v/>
      </c>
      <c r="H134" s="203" t="str">
        <f>IF($A134&gt;MAX(入力シート!$AF$6:$AF$505),"",INDEX(テーブル22[[学年]:[得点]],MATCH(体力優良証交付申請!$A134,入力シート!$AF$6:$AF$505,0),MATCH(体力優良証交付申請!H$14,テーブル22[[#Headers],[学年]:[得点]],0)))</f>
        <v/>
      </c>
      <c r="I134" s="203" t="str">
        <f>IF($A134&gt;MAX(入力シート!$AF$6:$AF$505),"",INDEX(テーブル22[[学年]:[得点]],MATCH(体力優良証交付申請!$A134,入力シート!$AF$6:$AF$505,0),MATCH(体力優良証交付申請!I$14,テーブル22[[#Headers],[学年]:[得点]],0)))</f>
        <v/>
      </c>
      <c r="J134" s="114" t="str">
        <f>IF($A134&gt;MAX(入力シート!$AF$6:$AF$505),"",INDEX(テーブル22[[学年]:[得点]],MATCH(体力優良証交付申請!$A134,入力シート!$AF$6:$AF$505,0),MATCH(体力優良証交付申請!J$14,テーブル22[[#Headers],[学年]:[得点]],0)))</f>
        <v/>
      </c>
      <c r="K134" s="203" t="str">
        <f>IF($A134&gt;MAX(入力シート!$AF$6:$AF$505),"",INDEX(テーブル22[[学年]:[得点]],MATCH(体力優良証交付申請!$A134,入力シート!$AF$6:$AF$505,0),MATCH(体力優良証交付申請!K$14,テーブル22[[#Headers],[学年]:[得点]],0)))</f>
        <v/>
      </c>
      <c r="L134" s="203" t="str">
        <f>IF($A134&gt;MAX(入力シート!$AF$6:$AF$505),"",INDEX(テーブル22[[学年]:[得点]],MATCH(体力優良証交付申請!$A134,入力シート!$AF$6:$AF$505,0),MATCH(体力優良証交付申請!L$14,テーブル22[[#Headers],[学年]:[得点]],0)))</f>
        <v/>
      </c>
      <c r="M134" s="28" t="str">
        <f>IF($A134&gt;MAX(入力シート!$AF$6:$AF$505),"",INDEX(テーブル22[[学年]:[得点]],MATCH(体力優良証交付申請!$A134,入力シート!$AF$6:$AF$505,0),MATCH(体力優良証交付申請!M$14,テーブル22[[#Headers],[学年]:[得点]],0)))</f>
        <v/>
      </c>
    </row>
    <row r="135" spans="1:13" x14ac:dyDescent="0.2">
      <c r="A135" s="16">
        <v>121</v>
      </c>
      <c r="B135" s="130" t="str">
        <f>IF($A135&gt;MAX(入力シート!$AF$6:$AF$505),"",INDEX(テーブル22[[学年]:[得点]],MATCH(体力優良証交付申請!$A135,入力シート!$AF$6:$AF$505,0),MATCH(体力優良証交付申請!B$14,テーブル22[[#Headers],[学年]:[得点]],0)))</f>
        <v/>
      </c>
      <c r="C135" s="203" t="str">
        <f>IF($A135&gt;MAX(入力シート!$AF$6:$AF$505),"",INDEX(テーブル22[[学年]:[得点]],MATCH(体力優良証交付申請!$A135,入力シート!$AF$6:$AF$505,0),MATCH(体力優良証交付申請!C$14,テーブル22[[#Headers],[学年]:[得点]],0)))</f>
        <v/>
      </c>
      <c r="D135" s="203" t="str">
        <f>IF($A135&gt;MAX(入力シート!$AF$6:$AF$505),"",INDEX(テーブル22[[学年]:[得点]],MATCH(体力優良証交付申請!$A135,入力シート!$AF$6:$AF$505,0),MATCH(体力優良証交付申請!D$14,テーブル22[[#Headers],[学年]:[得点]],0)))</f>
        <v/>
      </c>
      <c r="E135" s="203" t="str">
        <f>IF($A135&gt;MAX(入力シート!$AF$6:$AF$505),"",INDEX(テーブル22[[学年]:[得点]],MATCH(体力優良証交付申請!$A135,入力シート!$AF$6:$AF$505,0),MATCH(体力優良証交付申請!E$14,テーブル22[[#Headers],[学年]:[得点]],0)))</f>
        <v/>
      </c>
      <c r="F135" s="203" t="str">
        <f>IF($A135&gt;MAX(入力シート!$AF$6:$AF$505),"",INDEX(テーブル22[[学年]:[得点]],MATCH(体力優良証交付申請!$A135,入力シート!$AF$6:$AF$505,0),MATCH(体力優良証交付申請!F$14,テーブル22[[#Headers],[学年]:[得点]],0)))</f>
        <v/>
      </c>
      <c r="G135" s="203" t="str">
        <f>IF($A135&gt;MAX(入力シート!$AF$6:$AF$505),"",INDEX(テーブル22[[学年]:[得点]],MATCH(体力優良証交付申請!$A135,入力シート!$AF$6:$AF$505,0),MATCH(体力優良証交付申請!G$14,テーブル22[[#Headers],[学年]:[得点]],0)))</f>
        <v/>
      </c>
      <c r="H135" s="203" t="str">
        <f>IF($A135&gt;MAX(入力シート!$AF$6:$AF$505),"",INDEX(テーブル22[[学年]:[得点]],MATCH(体力優良証交付申請!$A135,入力シート!$AF$6:$AF$505,0),MATCH(体力優良証交付申請!H$14,テーブル22[[#Headers],[学年]:[得点]],0)))</f>
        <v/>
      </c>
      <c r="I135" s="203" t="str">
        <f>IF($A135&gt;MAX(入力シート!$AF$6:$AF$505),"",INDEX(テーブル22[[学年]:[得点]],MATCH(体力優良証交付申請!$A135,入力シート!$AF$6:$AF$505,0),MATCH(体力優良証交付申請!I$14,テーブル22[[#Headers],[学年]:[得点]],0)))</f>
        <v/>
      </c>
      <c r="J135" s="114" t="str">
        <f>IF($A135&gt;MAX(入力シート!$AF$6:$AF$505),"",INDEX(テーブル22[[学年]:[得点]],MATCH(体力優良証交付申請!$A135,入力シート!$AF$6:$AF$505,0),MATCH(体力優良証交付申請!J$14,テーブル22[[#Headers],[学年]:[得点]],0)))</f>
        <v/>
      </c>
      <c r="K135" s="203" t="str">
        <f>IF($A135&gt;MAX(入力シート!$AF$6:$AF$505),"",INDEX(テーブル22[[学年]:[得点]],MATCH(体力優良証交付申請!$A135,入力シート!$AF$6:$AF$505,0),MATCH(体力優良証交付申請!K$14,テーブル22[[#Headers],[学年]:[得点]],0)))</f>
        <v/>
      </c>
      <c r="L135" s="203" t="str">
        <f>IF($A135&gt;MAX(入力シート!$AF$6:$AF$505),"",INDEX(テーブル22[[学年]:[得点]],MATCH(体力優良証交付申請!$A135,入力シート!$AF$6:$AF$505,0),MATCH(体力優良証交付申請!L$14,テーブル22[[#Headers],[学年]:[得点]],0)))</f>
        <v/>
      </c>
      <c r="M135" s="28" t="str">
        <f>IF($A135&gt;MAX(入力シート!$AF$6:$AF$505),"",INDEX(テーブル22[[学年]:[得点]],MATCH(体力優良証交付申請!$A135,入力シート!$AF$6:$AF$505,0),MATCH(体力優良証交付申請!M$14,テーブル22[[#Headers],[学年]:[得点]],0)))</f>
        <v/>
      </c>
    </row>
    <row r="136" spans="1:13" x14ac:dyDescent="0.2">
      <c r="A136" s="16">
        <v>122</v>
      </c>
      <c r="B136" s="130" t="str">
        <f>IF($A136&gt;MAX(入力シート!$AF$6:$AF$505),"",INDEX(テーブル22[[学年]:[得点]],MATCH(体力優良証交付申請!$A136,入力シート!$AF$6:$AF$505,0),MATCH(体力優良証交付申請!B$14,テーブル22[[#Headers],[学年]:[得点]],0)))</f>
        <v/>
      </c>
      <c r="C136" s="203" t="str">
        <f>IF($A136&gt;MAX(入力シート!$AF$6:$AF$505),"",INDEX(テーブル22[[学年]:[得点]],MATCH(体力優良証交付申請!$A136,入力シート!$AF$6:$AF$505,0),MATCH(体力優良証交付申請!C$14,テーブル22[[#Headers],[学年]:[得点]],0)))</f>
        <v/>
      </c>
      <c r="D136" s="203" t="str">
        <f>IF($A136&gt;MAX(入力シート!$AF$6:$AF$505),"",INDEX(テーブル22[[学年]:[得点]],MATCH(体力優良証交付申請!$A136,入力シート!$AF$6:$AF$505,0),MATCH(体力優良証交付申請!D$14,テーブル22[[#Headers],[学年]:[得点]],0)))</f>
        <v/>
      </c>
      <c r="E136" s="203" t="str">
        <f>IF($A136&gt;MAX(入力シート!$AF$6:$AF$505),"",INDEX(テーブル22[[学年]:[得点]],MATCH(体力優良証交付申請!$A136,入力シート!$AF$6:$AF$505,0),MATCH(体力優良証交付申請!E$14,テーブル22[[#Headers],[学年]:[得点]],0)))</f>
        <v/>
      </c>
      <c r="F136" s="203" t="str">
        <f>IF($A136&gt;MAX(入力シート!$AF$6:$AF$505),"",INDEX(テーブル22[[学年]:[得点]],MATCH(体力優良証交付申請!$A136,入力シート!$AF$6:$AF$505,0),MATCH(体力優良証交付申請!F$14,テーブル22[[#Headers],[学年]:[得点]],0)))</f>
        <v/>
      </c>
      <c r="G136" s="203" t="str">
        <f>IF($A136&gt;MAX(入力シート!$AF$6:$AF$505),"",INDEX(テーブル22[[学年]:[得点]],MATCH(体力優良証交付申請!$A136,入力シート!$AF$6:$AF$505,0),MATCH(体力優良証交付申請!G$14,テーブル22[[#Headers],[学年]:[得点]],0)))</f>
        <v/>
      </c>
      <c r="H136" s="203" t="str">
        <f>IF($A136&gt;MAX(入力シート!$AF$6:$AF$505),"",INDEX(テーブル22[[学年]:[得点]],MATCH(体力優良証交付申請!$A136,入力シート!$AF$6:$AF$505,0),MATCH(体力優良証交付申請!H$14,テーブル22[[#Headers],[学年]:[得点]],0)))</f>
        <v/>
      </c>
      <c r="I136" s="203" t="str">
        <f>IF($A136&gt;MAX(入力シート!$AF$6:$AF$505),"",INDEX(テーブル22[[学年]:[得点]],MATCH(体力優良証交付申請!$A136,入力シート!$AF$6:$AF$505,0),MATCH(体力優良証交付申請!I$14,テーブル22[[#Headers],[学年]:[得点]],0)))</f>
        <v/>
      </c>
      <c r="J136" s="114" t="str">
        <f>IF($A136&gt;MAX(入力シート!$AF$6:$AF$505),"",INDEX(テーブル22[[学年]:[得点]],MATCH(体力優良証交付申請!$A136,入力シート!$AF$6:$AF$505,0),MATCH(体力優良証交付申請!J$14,テーブル22[[#Headers],[学年]:[得点]],0)))</f>
        <v/>
      </c>
      <c r="K136" s="203" t="str">
        <f>IF($A136&gt;MAX(入力シート!$AF$6:$AF$505),"",INDEX(テーブル22[[学年]:[得点]],MATCH(体力優良証交付申請!$A136,入力シート!$AF$6:$AF$505,0),MATCH(体力優良証交付申請!K$14,テーブル22[[#Headers],[学年]:[得点]],0)))</f>
        <v/>
      </c>
      <c r="L136" s="203" t="str">
        <f>IF($A136&gt;MAX(入力シート!$AF$6:$AF$505),"",INDEX(テーブル22[[学年]:[得点]],MATCH(体力優良証交付申請!$A136,入力シート!$AF$6:$AF$505,0),MATCH(体力優良証交付申請!L$14,テーブル22[[#Headers],[学年]:[得点]],0)))</f>
        <v/>
      </c>
      <c r="M136" s="28" t="str">
        <f>IF($A136&gt;MAX(入力シート!$AF$6:$AF$505),"",INDEX(テーブル22[[学年]:[得点]],MATCH(体力優良証交付申請!$A136,入力シート!$AF$6:$AF$505,0),MATCH(体力優良証交付申請!M$14,テーブル22[[#Headers],[学年]:[得点]],0)))</f>
        <v/>
      </c>
    </row>
    <row r="137" spans="1:13" x14ac:dyDescent="0.2">
      <c r="A137" s="16">
        <v>123</v>
      </c>
      <c r="B137" s="130" t="str">
        <f>IF($A137&gt;MAX(入力シート!$AF$6:$AF$505),"",INDEX(テーブル22[[学年]:[得点]],MATCH(体力優良証交付申請!$A137,入力シート!$AF$6:$AF$505,0),MATCH(体力優良証交付申請!B$14,テーブル22[[#Headers],[学年]:[得点]],0)))</f>
        <v/>
      </c>
      <c r="C137" s="203" t="str">
        <f>IF($A137&gt;MAX(入力シート!$AF$6:$AF$505),"",INDEX(テーブル22[[学年]:[得点]],MATCH(体力優良証交付申請!$A137,入力シート!$AF$6:$AF$505,0),MATCH(体力優良証交付申請!C$14,テーブル22[[#Headers],[学年]:[得点]],0)))</f>
        <v/>
      </c>
      <c r="D137" s="203" t="str">
        <f>IF($A137&gt;MAX(入力シート!$AF$6:$AF$505),"",INDEX(テーブル22[[学年]:[得点]],MATCH(体力優良証交付申請!$A137,入力シート!$AF$6:$AF$505,0),MATCH(体力優良証交付申請!D$14,テーブル22[[#Headers],[学年]:[得点]],0)))</f>
        <v/>
      </c>
      <c r="E137" s="203" t="str">
        <f>IF($A137&gt;MAX(入力シート!$AF$6:$AF$505),"",INDEX(テーブル22[[学年]:[得点]],MATCH(体力優良証交付申請!$A137,入力シート!$AF$6:$AF$505,0),MATCH(体力優良証交付申請!E$14,テーブル22[[#Headers],[学年]:[得点]],0)))</f>
        <v/>
      </c>
      <c r="F137" s="203" t="str">
        <f>IF($A137&gt;MAX(入力シート!$AF$6:$AF$505),"",INDEX(テーブル22[[学年]:[得点]],MATCH(体力優良証交付申請!$A137,入力シート!$AF$6:$AF$505,0),MATCH(体力優良証交付申請!F$14,テーブル22[[#Headers],[学年]:[得点]],0)))</f>
        <v/>
      </c>
      <c r="G137" s="203" t="str">
        <f>IF($A137&gt;MAX(入力シート!$AF$6:$AF$505),"",INDEX(テーブル22[[学年]:[得点]],MATCH(体力優良証交付申請!$A137,入力シート!$AF$6:$AF$505,0),MATCH(体力優良証交付申請!G$14,テーブル22[[#Headers],[学年]:[得点]],0)))</f>
        <v/>
      </c>
      <c r="H137" s="203" t="str">
        <f>IF($A137&gt;MAX(入力シート!$AF$6:$AF$505),"",INDEX(テーブル22[[学年]:[得点]],MATCH(体力優良証交付申請!$A137,入力シート!$AF$6:$AF$505,0),MATCH(体力優良証交付申請!H$14,テーブル22[[#Headers],[学年]:[得点]],0)))</f>
        <v/>
      </c>
      <c r="I137" s="203" t="str">
        <f>IF($A137&gt;MAX(入力シート!$AF$6:$AF$505),"",INDEX(テーブル22[[学年]:[得点]],MATCH(体力優良証交付申請!$A137,入力シート!$AF$6:$AF$505,0),MATCH(体力優良証交付申請!I$14,テーブル22[[#Headers],[学年]:[得点]],0)))</f>
        <v/>
      </c>
      <c r="J137" s="114" t="str">
        <f>IF($A137&gt;MAX(入力シート!$AF$6:$AF$505),"",INDEX(テーブル22[[学年]:[得点]],MATCH(体力優良証交付申請!$A137,入力シート!$AF$6:$AF$505,0),MATCH(体力優良証交付申請!J$14,テーブル22[[#Headers],[学年]:[得点]],0)))</f>
        <v/>
      </c>
      <c r="K137" s="203" t="str">
        <f>IF($A137&gt;MAX(入力シート!$AF$6:$AF$505),"",INDEX(テーブル22[[学年]:[得点]],MATCH(体力優良証交付申請!$A137,入力シート!$AF$6:$AF$505,0),MATCH(体力優良証交付申請!K$14,テーブル22[[#Headers],[学年]:[得点]],0)))</f>
        <v/>
      </c>
      <c r="L137" s="203" t="str">
        <f>IF($A137&gt;MAX(入力シート!$AF$6:$AF$505),"",INDEX(テーブル22[[学年]:[得点]],MATCH(体力優良証交付申請!$A137,入力シート!$AF$6:$AF$505,0),MATCH(体力優良証交付申請!L$14,テーブル22[[#Headers],[学年]:[得点]],0)))</f>
        <v/>
      </c>
      <c r="M137" s="28" t="str">
        <f>IF($A137&gt;MAX(入力シート!$AF$6:$AF$505),"",INDEX(テーブル22[[学年]:[得点]],MATCH(体力優良証交付申請!$A137,入力シート!$AF$6:$AF$505,0),MATCH(体力優良証交付申請!M$14,テーブル22[[#Headers],[学年]:[得点]],0)))</f>
        <v/>
      </c>
    </row>
    <row r="138" spans="1:13" x14ac:dyDescent="0.2">
      <c r="A138" s="16">
        <v>124</v>
      </c>
      <c r="B138" s="130" t="str">
        <f>IF($A138&gt;MAX(入力シート!$AF$6:$AF$505),"",INDEX(テーブル22[[学年]:[得点]],MATCH(体力優良証交付申請!$A138,入力シート!$AF$6:$AF$505,0),MATCH(体力優良証交付申請!B$14,テーブル22[[#Headers],[学年]:[得点]],0)))</f>
        <v/>
      </c>
      <c r="C138" s="203" t="str">
        <f>IF($A138&gt;MAX(入力シート!$AF$6:$AF$505),"",INDEX(テーブル22[[学年]:[得点]],MATCH(体力優良証交付申請!$A138,入力シート!$AF$6:$AF$505,0),MATCH(体力優良証交付申請!C$14,テーブル22[[#Headers],[学年]:[得点]],0)))</f>
        <v/>
      </c>
      <c r="D138" s="203" t="str">
        <f>IF($A138&gt;MAX(入力シート!$AF$6:$AF$505),"",INDEX(テーブル22[[学年]:[得点]],MATCH(体力優良証交付申請!$A138,入力シート!$AF$6:$AF$505,0),MATCH(体力優良証交付申請!D$14,テーブル22[[#Headers],[学年]:[得点]],0)))</f>
        <v/>
      </c>
      <c r="E138" s="203" t="str">
        <f>IF($A138&gt;MAX(入力シート!$AF$6:$AF$505),"",INDEX(テーブル22[[学年]:[得点]],MATCH(体力優良証交付申請!$A138,入力シート!$AF$6:$AF$505,0),MATCH(体力優良証交付申請!E$14,テーブル22[[#Headers],[学年]:[得点]],0)))</f>
        <v/>
      </c>
      <c r="F138" s="203" t="str">
        <f>IF($A138&gt;MAX(入力シート!$AF$6:$AF$505),"",INDEX(テーブル22[[学年]:[得点]],MATCH(体力優良証交付申請!$A138,入力シート!$AF$6:$AF$505,0),MATCH(体力優良証交付申請!F$14,テーブル22[[#Headers],[学年]:[得点]],0)))</f>
        <v/>
      </c>
      <c r="G138" s="203" t="str">
        <f>IF($A138&gt;MAX(入力シート!$AF$6:$AF$505),"",INDEX(テーブル22[[学年]:[得点]],MATCH(体力優良証交付申請!$A138,入力シート!$AF$6:$AF$505,0),MATCH(体力優良証交付申請!G$14,テーブル22[[#Headers],[学年]:[得点]],0)))</f>
        <v/>
      </c>
      <c r="H138" s="203" t="str">
        <f>IF($A138&gt;MAX(入力シート!$AF$6:$AF$505),"",INDEX(テーブル22[[学年]:[得点]],MATCH(体力優良証交付申請!$A138,入力シート!$AF$6:$AF$505,0),MATCH(体力優良証交付申請!H$14,テーブル22[[#Headers],[学年]:[得点]],0)))</f>
        <v/>
      </c>
      <c r="I138" s="203" t="str">
        <f>IF($A138&gt;MAX(入力シート!$AF$6:$AF$505),"",INDEX(テーブル22[[学年]:[得点]],MATCH(体力優良証交付申請!$A138,入力シート!$AF$6:$AF$505,0),MATCH(体力優良証交付申請!I$14,テーブル22[[#Headers],[学年]:[得点]],0)))</f>
        <v/>
      </c>
      <c r="J138" s="114" t="str">
        <f>IF($A138&gt;MAX(入力シート!$AF$6:$AF$505),"",INDEX(テーブル22[[学年]:[得点]],MATCH(体力優良証交付申請!$A138,入力シート!$AF$6:$AF$505,0),MATCH(体力優良証交付申請!J$14,テーブル22[[#Headers],[学年]:[得点]],0)))</f>
        <v/>
      </c>
      <c r="K138" s="203" t="str">
        <f>IF($A138&gt;MAX(入力シート!$AF$6:$AF$505),"",INDEX(テーブル22[[学年]:[得点]],MATCH(体力優良証交付申請!$A138,入力シート!$AF$6:$AF$505,0),MATCH(体力優良証交付申請!K$14,テーブル22[[#Headers],[学年]:[得点]],0)))</f>
        <v/>
      </c>
      <c r="L138" s="203" t="str">
        <f>IF($A138&gt;MAX(入力シート!$AF$6:$AF$505),"",INDEX(テーブル22[[学年]:[得点]],MATCH(体力優良証交付申請!$A138,入力シート!$AF$6:$AF$505,0),MATCH(体力優良証交付申請!L$14,テーブル22[[#Headers],[学年]:[得点]],0)))</f>
        <v/>
      </c>
      <c r="M138" s="28" t="str">
        <f>IF($A138&gt;MAX(入力シート!$AF$6:$AF$505),"",INDEX(テーブル22[[学年]:[得点]],MATCH(体力優良証交付申請!$A138,入力シート!$AF$6:$AF$505,0),MATCH(体力優良証交付申請!M$14,テーブル22[[#Headers],[学年]:[得点]],0)))</f>
        <v/>
      </c>
    </row>
    <row r="139" spans="1:13" x14ac:dyDescent="0.2">
      <c r="A139" s="16">
        <v>125</v>
      </c>
      <c r="B139" s="130" t="str">
        <f>IF($A139&gt;MAX(入力シート!$AF$6:$AF$505),"",INDEX(テーブル22[[学年]:[得点]],MATCH(体力優良証交付申請!$A139,入力シート!$AF$6:$AF$505,0),MATCH(体力優良証交付申請!B$14,テーブル22[[#Headers],[学年]:[得点]],0)))</f>
        <v/>
      </c>
      <c r="C139" s="203" t="str">
        <f>IF($A139&gt;MAX(入力シート!$AF$6:$AF$505),"",INDEX(テーブル22[[学年]:[得点]],MATCH(体力優良証交付申請!$A139,入力シート!$AF$6:$AF$505,0),MATCH(体力優良証交付申請!C$14,テーブル22[[#Headers],[学年]:[得点]],0)))</f>
        <v/>
      </c>
      <c r="D139" s="203" t="str">
        <f>IF($A139&gt;MAX(入力シート!$AF$6:$AF$505),"",INDEX(テーブル22[[学年]:[得点]],MATCH(体力優良証交付申請!$A139,入力シート!$AF$6:$AF$505,0),MATCH(体力優良証交付申請!D$14,テーブル22[[#Headers],[学年]:[得点]],0)))</f>
        <v/>
      </c>
      <c r="E139" s="203" t="str">
        <f>IF($A139&gt;MAX(入力シート!$AF$6:$AF$505),"",INDEX(テーブル22[[学年]:[得点]],MATCH(体力優良証交付申請!$A139,入力シート!$AF$6:$AF$505,0),MATCH(体力優良証交付申請!E$14,テーブル22[[#Headers],[学年]:[得点]],0)))</f>
        <v/>
      </c>
      <c r="F139" s="203" t="str">
        <f>IF($A139&gt;MAX(入力シート!$AF$6:$AF$505),"",INDEX(テーブル22[[学年]:[得点]],MATCH(体力優良証交付申請!$A139,入力シート!$AF$6:$AF$505,0),MATCH(体力優良証交付申請!F$14,テーブル22[[#Headers],[学年]:[得点]],0)))</f>
        <v/>
      </c>
      <c r="G139" s="203" t="str">
        <f>IF($A139&gt;MAX(入力シート!$AF$6:$AF$505),"",INDEX(テーブル22[[学年]:[得点]],MATCH(体力優良証交付申請!$A139,入力シート!$AF$6:$AF$505,0),MATCH(体力優良証交付申請!G$14,テーブル22[[#Headers],[学年]:[得点]],0)))</f>
        <v/>
      </c>
      <c r="H139" s="203" t="str">
        <f>IF($A139&gt;MAX(入力シート!$AF$6:$AF$505),"",INDEX(テーブル22[[学年]:[得点]],MATCH(体力優良証交付申請!$A139,入力シート!$AF$6:$AF$505,0),MATCH(体力優良証交付申請!H$14,テーブル22[[#Headers],[学年]:[得点]],0)))</f>
        <v/>
      </c>
      <c r="I139" s="203" t="str">
        <f>IF($A139&gt;MAX(入力シート!$AF$6:$AF$505),"",INDEX(テーブル22[[学年]:[得点]],MATCH(体力優良証交付申請!$A139,入力シート!$AF$6:$AF$505,0),MATCH(体力優良証交付申請!I$14,テーブル22[[#Headers],[学年]:[得点]],0)))</f>
        <v/>
      </c>
      <c r="J139" s="114" t="str">
        <f>IF($A139&gt;MAX(入力シート!$AF$6:$AF$505),"",INDEX(テーブル22[[学年]:[得点]],MATCH(体力優良証交付申請!$A139,入力シート!$AF$6:$AF$505,0),MATCH(体力優良証交付申請!J$14,テーブル22[[#Headers],[学年]:[得点]],0)))</f>
        <v/>
      </c>
      <c r="K139" s="203" t="str">
        <f>IF($A139&gt;MAX(入力シート!$AF$6:$AF$505),"",INDEX(テーブル22[[学年]:[得点]],MATCH(体力優良証交付申請!$A139,入力シート!$AF$6:$AF$505,0),MATCH(体力優良証交付申請!K$14,テーブル22[[#Headers],[学年]:[得点]],0)))</f>
        <v/>
      </c>
      <c r="L139" s="203" t="str">
        <f>IF($A139&gt;MAX(入力シート!$AF$6:$AF$505),"",INDEX(テーブル22[[学年]:[得点]],MATCH(体力優良証交付申請!$A139,入力シート!$AF$6:$AF$505,0),MATCH(体力優良証交付申請!L$14,テーブル22[[#Headers],[学年]:[得点]],0)))</f>
        <v/>
      </c>
      <c r="M139" s="28" t="str">
        <f>IF($A139&gt;MAX(入力シート!$AF$6:$AF$505),"",INDEX(テーブル22[[学年]:[得点]],MATCH(体力優良証交付申請!$A139,入力シート!$AF$6:$AF$505,0),MATCH(体力優良証交付申請!M$14,テーブル22[[#Headers],[学年]:[得点]],0)))</f>
        <v/>
      </c>
    </row>
    <row r="140" spans="1:13" x14ac:dyDescent="0.2">
      <c r="A140" s="16">
        <v>126</v>
      </c>
      <c r="B140" s="130" t="str">
        <f>IF($A140&gt;MAX(入力シート!$AF$6:$AF$505),"",INDEX(テーブル22[[学年]:[得点]],MATCH(体力優良証交付申請!$A140,入力シート!$AF$6:$AF$505,0),MATCH(体力優良証交付申請!B$14,テーブル22[[#Headers],[学年]:[得点]],0)))</f>
        <v/>
      </c>
      <c r="C140" s="203" t="str">
        <f>IF($A140&gt;MAX(入力シート!$AF$6:$AF$505),"",INDEX(テーブル22[[学年]:[得点]],MATCH(体力優良証交付申請!$A140,入力シート!$AF$6:$AF$505,0),MATCH(体力優良証交付申請!C$14,テーブル22[[#Headers],[学年]:[得点]],0)))</f>
        <v/>
      </c>
      <c r="D140" s="203" t="str">
        <f>IF($A140&gt;MAX(入力シート!$AF$6:$AF$505),"",INDEX(テーブル22[[学年]:[得点]],MATCH(体力優良証交付申請!$A140,入力シート!$AF$6:$AF$505,0),MATCH(体力優良証交付申請!D$14,テーブル22[[#Headers],[学年]:[得点]],0)))</f>
        <v/>
      </c>
      <c r="E140" s="203" t="str">
        <f>IF($A140&gt;MAX(入力シート!$AF$6:$AF$505),"",INDEX(テーブル22[[学年]:[得点]],MATCH(体力優良証交付申請!$A140,入力シート!$AF$6:$AF$505,0),MATCH(体力優良証交付申請!E$14,テーブル22[[#Headers],[学年]:[得点]],0)))</f>
        <v/>
      </c>
      <c r="F140" s="203" t="str">
        <f>IF($A140&gt;MAX(入力シート!$AF$6:$AF$505),"",INDEX(テーブル22[[学年]:[得点]],MATCH(体力優良証交付申請!$A140,入力シート!$AF$6:$AF$505,0),MATCH(体力優良証交付申請!F$14,テーブル22[[#Headers],[学年]:[得点]],0)))</f>
        <v/>
      </c>
      <c r="G140" s="203" t="str">
        <f>IF($A140&gt;MAX(入力シート!$AF$6:$AF$505),"",INDEX(テーブル22[[学年]:[得点]],MATCH(体力優良証交付申請!$A140,入力シート!$AF$6:$AF$505,0),MATCH(体力優良証交付申請!G$14,テーブル22[[#Headers],[学年]:[得点]],0)))</f>
        <v/>
      </c>
      <c r="H140" s="203" t="str">
        <f>IF($A140&gt;MAX(入力シート!$AF$6:$AF$505),"",INDEX(テーブル22[[学年]:[得点]],MATCH(体力優良証交付申請!$A140,入力シート!$AF$6:$AF$505,0),MATCH(体力優良証交付申請!H$14,テーブル22[[#Headers],[学年]:[得点]],0)))</f>
        <v/>
      </c>
      <c r="I140" s="203" t="str">
        <f>IF($A140&gt;MAX(入力シート!$AF$6:$AF$505),"",INDEX(テーブル22[[学年]:[得点]],MATCH(体力優良証交付申請!$A140,入力シート!$AF$6:$AF$505,0),MATCH(体力優良証交付申請!I$14,テーブル22[[#Headers],[学年]:[得点]],0)))</f>
        <v/>
      </c>
      <c r="J140" s="114" t="str">
        <f>IF($A140&gt;MAX(入力シート!$AF$6:$AF$505),"",INDEX(テーブル22[[学年]:[得点]],MATCH(体力優良証交付申請!$A140,入力シート!$AF$6:$AF$505,0),MATCH(体力優良証交付申請!J$14,テーブル22[[#Headers],[学年]:[得点]],0)))</f>
        <v/>
      </c>
      <c r="K140" s="203" t="str">
        <f>IF($A140&gt;MAX(入力シート!$AF$6:$AF$505),"",INDEX(テーブル22[[学年]:[得点]],MATCH(体力優良証交付申請!$A140,入力シート!$AF$6:$AF$505,0),MATCH(体力優良証交付申請!K$14,テーブル22[[#Headers],[学年]:[得点]],0)))</f>
        <v/>
      </c>
      <c r="L140" s="203" t="str">
        <f>IF($A140&gt;MAX(入力シート!$AF$6:$AF$505),"",INDEX(テーブル22[[学年]:[得点]],MATCH(体力優良証交付申請!$A140,入力シート!$AF$6:$AF$505,0),MATCH(体力優良証交付申請!L$14,テーブル22[[#Headers],[学年]:[得点]],0)))</f>
        <v/>
      </c>
      <c r="M140" s="28" t="str">
        <f>IF($A140&gt;MAX(入力シート!$AF$6:$AF$505),"",INDEX(テーブル22[[学年]:[得点]],MATCH(体力優良証交付申請!$A140,入力シート!$AF$6:$AF$505,0),MATCH(体力優良証交付申請!M$14,テーブル22[[#Headers],[学年]:[得点]],0)))</f>
        <v/>
      </c>
    </row>
    <row r="141" spans="1:13" x14ac:dyDescent="0.2">
      <c r="A141" s="16">
        <v>127</v>
      </c>
      <c r="B141" s="130" t="str">
        <f>IF($A141&gt;MAX(入力シート!$AF$6:$AF$505),"",INDEX(テーブル22[[学年]:[得点]],MATCH(体力優良証交付申請!$A141,入力シート!$AF$6:$AF$505,0),MATCH(体力優良証交付申請!B$14,テーブル22[[#Headers],[学年]:[得点]],0)))</f>
        <v/>
      </c>
      <c r="C141" s="203" t="str">
        <f>IF($A141&gt;MAX(入力シート!$AF$6:$AF$505),"",INDEX(テーブル22[[学年]:[得点]],MATCH(体力優良証交付申請!$A141,入力シート!$AF$6:$AF$505,0),MATCH(体力優良証交付申請!C$14,テーブル22[[#Headers],[学年]:[得点]],0)))</f>
        <v/>
      </c>
      <c r="D141" s="203" t="str">
        <f>IF($A141&gt;MAX(入力シート!$AF$6:$AF$505),"",INDEX(テーブル22[[学年]:[得点]],MATCH(体力優良証交付申請!$A141,入力シート!$AF$6:$AF$505,0),MATCH(体力優良証交付申請!D$14,テーブル22[[#Headers],[学年]:[得点]],0)))</f>
        <v/>
      </c>
      <c r="E141" s="203" t="str">
        <f>IF($A141&gt;MAX(入力シート!$AF$6:$AF$505),"",INDEX(テーブル22[[学年]:[得点]],MATCH(体力優良証交付申請!$A141,入力シート!$AF$6:$AF$505,0),MATCH(体力優良証交付申請!E$14,テーブル22[[#Headers],[学年]:[得点]],0)))</f>
        <v/>
      </c>
      <c r="F141" s="203" t="str">
        <f>IF($A141&gt;MAX(入力シート!$AF$6:$AF$505),"",INDEX(テーブル22[[学年]:[得点]],MATCH(体力優良証交付申請!$A141,入力シート!$AF$6:$AF$505,0),MATCH(体力優良証交付申請!F$14,テーブル22[[#Headers],[学年]:[得点]],0)))</f>
        <v/>
      </c>
      <c r="G141" s="203" t="str">
        <f>IF($A141&gt;MAX(入力シート!$AF$6:$AF$505),"",INDEX(テーブル22[[学年]:[得点]],MATCH(体力優良証交付申請!$A141,入力シート!$AF$6:$AF$505,0),MATCH(体力優良証交付申請!G$14,テーブル22[[#Headers],[学年]:[得点]],0)))</f>
        <v/>
      </c>
      <c r="H141" s="203" t="str">
        <f>IF($A141&gt;MAX(入力シート!$AF$6:$AF$505),"",INDEX(テーブル22[[学年]:[得点]],MATCH(体力優良証交付申請!$A141,入力シート!$AF$6:$AF$505,0),MATCH(体力優良証交付申請!H$14,テーブル22[[#Headers],[学年]:[得点]],0)))</f>
        <v/>
      </c>
      <c r="I141" s="203" t="str">
        <f>IF($A141&gt;MAX(入力シート!$AF$6:$AF$505),"",INDEX(テーブル22[[学年]:[得点]],MATCH(体力優良証交付申請!$A141,入力シート!$AF$6:$AF$505,0),MATCH(体力優良証交付申請!I$14,テーブル22[[#Headers],[学年]:[得点]],0)))</f>
        <v/>
      </c>
      <c r="J141" s="114" t="str">
        <f>IF($A141&gt;MAX(入力シート!$AF$6:$AF$505),"",INDEX(テーブル22[[学年]:[得点]],MATCH(体力優良証交付申請!$A141,入力シート!$AF$6:$AF$505,0),MATCH(体力優良証交付申請!J$14,テーブル22[[#Headers],[学年]:[得点]],0)))</f>
        <v/>
      </c>
      <c r="K141" s="203" t="str">
        <f>IF($A141&gt;MAX(入力シート!$AF$6:$AF$505),"",INDEX(テーブル22[[学年]:[得点]],MATCH(体力優良証交付申請!$A141,入力シート!$AF$6:$AF$505,0),MATCH(体力優良証交付申請!K$14,テーブル22[[#Headers],[学年]:[得点]],0)))</f>
        <v/>
      </c>
      <c r="L141" s="203" t="str">
        <f>IF($A141&gt;MAX(入力シート!$AF$6:$AF$505),"",INDEX(テーブル22[[学年]:[得点]],MATCH(体力優良証交付申請!$A141,入力シート!$AF$6:$AF$505,0),MATCH(体力優良証交付申請!L$14,テーブル22[[#Headers],[学年]:[得点]],0)))</f>
        <v/>
      </c>
      <c r="M141" s="28" t="str">
        <f>IF($A141&gt;MAX(入力シート!$AF$6:$AF$505),"",INDEX(テーブル22[[学年]:[得点]],MATCH(体力優良証交付申請!$A141,入力シート!$AF$6:$AF$505,0),MATCH(体力優良証交付申請!M$14,テーブル22[[#Headers],[学年]:[得点]],0)))</f>
        <v/>
      </c>
    </row>
    <row r="142" spans="1:13" x14ac:dyDescent="0.2">
      <c r="A142" s="16">
        <v>128</v>
      </c>
      <c r="B142" s="130" t="str">
        <f>IF($A142&gt;MAX(入力シート!$AF$6:$AF$505),"",INDEX(テーブル22[[学年]:[得点]],MATCH(体力優良証交付申請!$A142,入力シート!$AF$6:$AF$505,0),MATCH(体力優良証交付申請!B$14,テーブル22[[#Headers],[学年]:[得点]],0)))</f>
        <v/>
      </c>
      <c r="C142" s="203" t="str">
        <f>IF($A142&gt;MAX(入力シート!$AF$6:$AF$505),"",INDEX(テーブル22[[学年]:[得点]],MATCH(体力優良証交付申請!$A142,入力シート!$AF$6:$AF$505,0),MATCH(体力優良証交付申請!C$14,テーブル22[[#Headers],[学年]:[得点]],0)))</f>
        <v/>
      </c>
      <c r="D142" s="203" t="str">
        <f>IF($A142&gt;MAX(入力シート!$AF$6:$AF$505),"",INDEX(テーブル22[[学年]:[得点]],MATCH(体力優良証交付申請!$A142,入力シート!$AF$6:$AF$505,0),MATCH(体力優良証交付申請!D$14,テーブル22[[#Headers],[学年]:[得点]],0)))</f>
        <v/>
      </c>
      <c r="E142" s="203" t="str">
        <f>IF($A142&gt;MAX(入力シート!$AF$6:$AF$505),"",INDEX(テーブル22[[学年]:[得点]],MATCH(体力優良証交付申請!$A142,入力シート!$AF$6:$AF$505,0),MATCH(体力優良証交付申請!E$14,テーブル22[[#Headers],[学年]:[得点]],0)))</f>
        <v/>
      </c>
      <c r="F142" s="203" t="str">
        <f>IF($A142&gt;MAX(入力シート!$AF$6:$AF$505),"",INDEX(テーブル22[[学年]:[得点]],MATCH(体力優良証交付申請!$A142,入力シート!$AF$6:$AF$505,0),MATCH(体力優良証交付申請!F$14,テーブル22[[#Headers],[学年]:[得点]],0)))</f>
        <v/>
      </c>
      <c r="G142" s="203" t="str">
        <f>IF($A142&gt;MAX(入力シート!$AF$6:$AF$505),"",INDEX(テーブル22[[学年]:[得点]],MATCH(体力優良証交付申請!$A142,入力シート!$AF$6:$AF$505,0),MATCH(体力優良証交付申請!G$14,テーブル22[[#Headers],[学年]:[得点]],0)))</f>
        <v/>
      </c>
      <c r="H142" s="203" t="str">
        <f>IF($A142&gt;MAX(入力シート!$AF$6:$AF$505),"",INDEX(テーブル22[[学年]:[得点]],MATCH(体力優良証交付申請!$A142,入力シート!$AF$6:$AF$505,0),MATCH(体力優良証交付申請!H$14,テーブル22[[#Headers],[学年]:[得点]],0)))</f>
        <v/>
      </c>
      <c r="I142" s="203" t="str">
        <f>IF($A142&gt;MAX(入力シート!$AF$6:$AF$505),"",INDEX(テーブル22[[学年]:[得点]],MATCH(体力優良証交付申請!$A142,入力シート!$AF$6:$AF$505,0),MATCH(体力優良証交付申請!I$14,テーブル22[[#Headers],[学年]:[得点]],0)))</f>
        <v/>
      </c>
      <c r="J142" s="114" t="str">
        <f>IF($A142&gt;MAX(入力シート!$AF$6:$AF$505),"",INDEX(テーブル22[[学年]:[得点]],MATCH(体力優良証交付申請!$A142,入力シート!$AF$6:$AF$505,0),MATCH(体力優良証交付申請!J$14,テーブル22[[#Headers],[学年]:[得点]],0)))</f>
        <v/>
      </c>
      <c r="K142" s="203" t="str">
        <f>IF($A142&gt;MAX(入力シート!$AF$6:$AF$505),"",INDEX(テーブル22[[学年]:[得点]],MATCH(体力優良証交付申請!$A142,入力シート!$AF$6:$AF$505,0),MATCH(体力優良証交付申請!K$14,テーブル22[[#Headers],[学年]:[得点]],0)))</f>
        <v/>
      </c>
      <c r="L142" s="203" t="str">
        <f>IF($A142&gt;MAX(入力シート!$AF$6:$AF$505),"",INDEX(テーブル22[[学年]:[得点]],MATCH(体力優良証交付申請!$A142,入力シート!$AF$6:$AF$505,0),MATCH(体力優良証交付申請!L$14,テーブル22[[#Headers],[学年]:[得点]],0)))</f>
        <v/>
      </c>
      <c r="M142" s="28" t="str">
        <f>IF($A142&gt;MAX(入力シート!$AF$6:$AF$505),"",INDEX(テーブル22[[学年]:[得点]],MATCH(体力優良証交付申請!$A142,入力シート!$AF$6:$AF$505,0),MATCH(体力優良証交付申請!M$14,テーブル22[[#Headers],[学年]:[得点]],0)))</f>
        <v/>
      </c>
    </row>
    <row r="143" spans="1:13" x14ac:dyDescent="0.2">
      <c r="A143" s="16">
        <v>129</v>
      </c>
      <c r="B143" s="130" t="str">
        <f>IF($A143&gt;MAX(入力シート!$AF$6:$AF$505),"",INDEX(テーブル22[[学年]:[得点]],MATCH(体力優良証交付申請!$A143,入力シート!$AF$6:$AF$505,0),MATCH(体力優良証交付申請!B$14,テーブル22[[#Headers],[学年]:[得点]],0)))</f>
        <v/>
      </c>
      <c r="C143" s="203" t="str">
        <f>IF($A143&gt;MAX(入力シート!$AF$6:$AF$505),"",INDEX(テーブル22[[学年]:[得点]],MATCH(体力優良証交付申請!$A143,入力シート!$AF$6:$AF$505,0),MATCH(体力優良証交付申請!C$14,テーブル22[[#Headers],[学年]:[得点]],0)))</f>
        <v/>
      </c>
      <c r="D143" s="203" t="str">
        <f>IF($A143&gt;MAX(入力シート!$AF$6:$AF$505),"",INDEX(テーブル22[[学年]:[得点]],MATCH(体力優良証交付申請!$A143,入力シート!$AF$6:$AF$505,0),MATCH(体力優良証交付申請!D$14,テーブル22[[#Headers],[学年]:[得点]],0)))</f>
        <v/>
      </c>
      <c r="E143" s="203" t="str">
        <f>IF($A143&gt;MAX(入力シート!$AF$6:$AF$505),"",INDEX(テーブル22[[学年]:[得点]],MATCH(体力優良証交付申請!$A143,入力シート!$AF$6:$AF$505,0),MATCH(体力優良証交付申請!E$14,テーブル22[[#Headers],[学年]:[得点]],0)))</f>
        <v/>
      </c>
      <c r="F143" s="203" t="str">
        <f>IF($A143&gt;MAX(入力シート!$AF$6:$AF$505),"",INDEX(テーブル22[[学年]:[得点]],MATCH(体力優良証交付申請!$A143,入力シート!$AF$6:$AF$505,0),MATCH(体力優良証交付申請!F$14,テーブル22[[#Headers],[学年]:[得点]],0)))</f>
        <v/>
      </c>
      <c r="G143" s="203" t="str">
        <f>IF($A143&gt;MAX(入力シート!$AF$6:$AF$505),"",INDEX(テーブル22[[学年]:[得点]],MATCH(体力優良証交付申請!$A143,入力シート!$AF$6:$AF$505,0),MATCH(体力優良証交付申請!G$14,テーブル22[[#Headers],[学年]:[得点]],0)))</f>
        <v/>
      </c>
      <c r="H143" s="203" t="str">
        <f>IF($A143&gt;MAX(入力シート!$AF$6:$AF$505),"",INDEX(テーブル22[[学年]:[得点]],MATCH(体力優良証交付申請!$A143,入力シート!$AF$6:$AF$505,0),MATCH(体力優良証交付申請!H$14,テーブル22[[#Headers],[学年]:[得点]],0)))</f>
        <v/>
      </c>
      <c r="I143" s="203" t="str">
        <f>IF($A143&gt;MAX(入力シート!$AF$6:$AF$505),"",INDEX(テーブル22[[学年]:[得点]],MATCH(体力優良証交付申請!$A143,入力シート!$AF$6:$AF$505,0),MATCH(体力優良証交付申請!I$14,テーブル22[[#Headers],[学年]:[得点]],0)))</f>
        <v/>
      </c>
      <c r="J143" s="114" t="str">
        <f>IF($A143&gt;MAX(入力シート!$AF$6:$AF$505),"",INDEX(テーブル22[[学年]:[得点]],MATCH(体力優良証交付申請!$A143,入力シート!$AF$6:$AF$505,0),MATCH(体力優良証交付申請!J$14,テーブル22[[#Headers],[学年]:[得点]],0)))</f>
        <v/>
      </c>
      <c r="K143" s="203" t="str">
        <f>IF($A143&gt;MAX(入力シート!$AF$6:$AF$505),"",INDEX(テーブル22[[学年]:[得点]],MATCH(体力優良証交付申請!$A143,入力シート!$AF$6:$AF$505,0),MATCH(体力優良証交付申請!K$14,テーブル22[[#Headers],[学年]:[得点]],0)))</f>
        <v/>
      </c>
      <c r="L143" s="203" t="str">
        <f>IF($A143&gt;MAX(入力シート!$AF$6:$AF$505),"",INDEX(テーブル22[[学年]:[得点]],MATCH(体力優良証交付申請!$A143,入力シート!$AF$6:$AF$505,0),MATCH(体力優良証交付申請!L$14,テーブル22[[#Headers],[学年]:[得点]],0)))</f>
        <v/>
      </c>
      <c r="M143" s="28" t="str">
        <f>IF($A143&gt;MAX(入力シート!$AF$6:$AF$505),"",INDEX(テーブル22[[学年]:[得点]],MATCH(体力優良証交付申請!$A143,入力シート!$AF$6:$AF$505,0),MATCH(体力優良証交付申請!M$14,テーブル22[[#Headers],[学年]:[得点]],0)))</f>
        <v/>
      </c>
    </row>
    <row r="144" spans="1:13" x14ac:dyDescent="0.2">
      <c r="A144" s="16">
        <v>130</v>
      </c>
      <c r="B144" s="130" t="str">
        <f>IF($A144&gt;MAX(入力シート!$AF$6:$AF$505),"",INDEX(テーブル22[[学年]:[得点]],MATCH(体力優良証交付申請!$A144,入力シート!$AF$6:$AF$505,0),MATCH(体力優良証交付申請!B$14,テーブル22[[#Headers],[学年]:[得点]],0)))</f>
        <v/>
      </c>
      <c r="C144" s="203" t="str">
        <f>IF($A144&gt;MAX(入力シート!$AF$6:$AF$505),"",INDEX(テーブル22[[学年]:[得点]],MATCH(体力優良証交付申請!$A144,入力シート!$AF$6:$AF$505,0),MATCH(体力優良証交付申請!C$14,テーブル22[[#Headers],[学年]:[得点]],0)))</f>
        <v/>
      </c>
      <c r="D144" s="203" t="str">
        <f>IF($A144&gt;MAX(入力シート!$AF$6:$AF$505),"",INDEX(テーブル22[[学年]:[得点]],MATCH(体力優良証交付申請!$A144,入力シート!$AF$6:$AF$505,0),MATCH(体力優良証交付申請!D$14,テーブル22[[#Headers],[学年]:[得点]],0)))</f>
        <v/>
      </c>
      <c r="E144" s="203" t="str">
        <f>IF($A144&gt;MAX(入力シート!$AF$6:$AF$505),"",INDEX(テーブル22[[学年]:[得点]],MATCH(体力優良証交付申請!$A144,入力シート!$AF$6:$AF$505,0),MATCH(体力優良証交付申請!E$14,テーブル22[[#Headers],[学年]:[得点]],0)))</f>
        <v/>
      </c>
      <c r="F144" s="203" t="str">
        <f>IF($A144&gt;MAX(入力シート!$AF$6:$AF$505),"",INDEX(テーブル22[[学年]:[得点]],MATCH(体力優良証交付申請!$A144,入力シート!$AF$6:$AF$505,0),MATCH(体力優良証交付申請!F$14,テーブル22[[#Headers],[学年]:[得点]],0)))</f>
        <v/>
      </c>
      <c r="G144" s="203" t="str">
        <f>IF($A144&gt;MAX(入力シート!$AF$6:$AF$505),"",INDEX(テーブル22[[学年]:[得点]],MATCH(体力優良証交付申請!$A144,入力シート!$AF$6:$AF$505,0),MATCH(体力優良証交付申請!G$14,テーブル22[[#Headers],[学年]:[得点]],0)))</f>
        <v/>
      </c>
      <c r="H144" s="203" t="str">
        <f>IF($A144&gt;MAX(入力シート!$AF$6:$AF$505),"",INDEX(テーブル22[[学年]:[得点]],MATCH(体力優良証交付申請!$A144,入力シート!$AF$6:$AF$505,0),MATCH(体力優良証交付申請!H$14,テーブル22[[#Headers],[学年]:[得点]],0)))</f>
        <v/>
      </c>
      <c r="I144" s="203" t="str">
        <f>IF($A144&gt;MAX(入力シート!$AF$6:$AF$505),"",INDEX(テーブル22[[学年]:[得点]],MATCH(体力優良証交付申請!$A144,入力シート!$AF$6:$AF$505,0),MATCH(体力優良証交付申請!I$14,テーブル22[[#Headers],[学年]:[得点]],0)))</f>
        <v/>
      </c>
      <c r="J144" s="114" t="str">
        <f>IF($A144&gt;MAX(入力シート!$AF$6:$AF$505),"",INDEX(テーブル22[[学年]:[得点]],MATCH(体力優良証交付申請!$A144,入力シート!$AF$6:$AF$505,0),MATCH(体力優良証交付申請!J$14,テーブル22[[#Headers],[学年]:[得点]],0)))</f>
        <v/>
      </c>
      <c r="K144" s="203" t="str">
        <f>IF($A144&gt;MAX(入力シート!$AF$6:$AF$505),"",INDEX(テーブル22[[学年]:[得点]],MATCH(体力優良証交付申請!$A144,入力シート!$AF$6:$AF$505,0),MATCH(体力優良証交付申請!K$14,テーブル22[[#Headers],[学年]:[得点]],0)))</f>
        <v/>
      </c>
      <c r="L144" s="203" t="str">
        <f>IF($A144&gt;MAX(入力シート!$AF$6:$AF$505),"",INDEX(テーブル22[[学年]:[得点]],MATCH(体力優良証交付申請!$A144,入力シート!$AF$6:$AF$505,0),MATCH(体力優良証交付申請!L$14,テーブル22[[#Headers],[学年]:[得点]],0)))</f>
        <v/>
      </c>
      <c r="M144" s="28" t="str">
        <f>IF($A144&gt;MAX(入力シート!$AF$6:$AF$505),"",INDEX(テーブル22[[学年]:[得点]],MATCH(体力優良証交付申請!$A144,入力シート!$AF$6:$AF$505,0),MATCH(体力優良証交付申請!M$14,テーブル22[[#Headers],[学年]:[得点]],0)))</f>
        <v/>
      </c>
    </row>
    <row r="145" spans="1:13" x14ac:dyDescent="0.2">
      <c r="A145" s="16">
        <v>131</v>
      </c>
      <c r="B145" s="130" t="str">
        <f>IF($A145&gt;MAX(入力シート!$AF$6:$AF$505),"",INDEX(テーブル22[[学年]:[得点]],MATCH(体力優良証交付申請!$A145,入力シート!$AF$6:$AF$505,0),MATCH(体力優良証交付申請!B$14,テーブル22[[#Headers],[学年]:[得点]],0)))</f>
        <v/>
      </c>
      <c r="C145" s="203" t="str">
        <f>IF($A145&gt;MAX(入力シート!$AF$6:$AF$505),"",INDEX(テーブル22[[学年]:[得点]],MATCH(体力優良証交付申請!$A145,入力シート!$AF$6:$AF$505,0),MATCH(体力優良証交付申請!C$14,テーブル22[[#Headers],[学年]:[得点]],0)))</f>
        <v/>
      </c>
      <c r="D145" s="203" t="str">
        <f>IF($A145&gt;MAX(入力シート!$AF$6:$AF$505),"",INDEX(テーブル22[[学年]:[得点]],MATCH(体力優良証交付申請!$A145,入力シート!$AF$6:$AF$505,0),MATCH(体力優良証交付申請!D$14,テーブル22[[#Headers],[学年]:[得点]],0)))</f>
        <v/>
      </c>
      <c r="E145" s="203" t="str">
        <f>IF($A145&gt;MAX(入力シート!$AF$6:$AF$505),"",INDEX(テーブル22[[学年]:[得点]],MATCH(体力優良証交付申請!$A145,入力シート!$AF$6:$AF$505,0),MATCH(体力優良証交付申請!E$14,テーブル22[[#Headers],[学年]:[得点]],0)))</f>
        <v/>
      </c>
      <c r="F145" s="203" t="str">
        <f>IF($A145&gt;MAX(入力シート!$AF$6:$AF$505),"",INDEX(テーブル22[[学年]:[得点]],MATCH(体力優良証交付申請!$A145,入力シート!$AF$6:$AF$505,0),MATCH(体力優良証交付申請!F$14,テーブル22[[#Headers],[学年]:[得点]],0)))</f>
        <v/>
      </c>
      <c r="G145" s="203" t="str">
        <f>IF($A145&gt;MAX(入力シート!$AF$6:$AF$505),"",INDEX(テーブル22[[学年]:[得点]],MATCH(体力優良証交付申請!$A145,入力シート!$AF$6:$AF$505,0),MATCH(体力優良証交付申請!G$14,テーブル22[[#Headers],[学年]:[得点]],0)))</f>
        <v/>
      </c>
      <c r="H145" s="203" t="str">
        <f>IF($A145&gt;MAX(入力シート!$AF$6:$AF$505),"",INDEX(テーブル22[[学年]:[得点]],MATCH(体力優良証交付申請!$A145,入力シート!$AF$6:$AF$505,0),MATCH(体力優良証交付申請!H$14,テーブル22[[#Headers],[学年]:[得点]],0)))</f>
        <v/>
      </c>
      <c r="I145" s="203" t="str">
        <f>IF($A145&gt;MAX(入力シート!$AF$6:$AF$505),"",INDEX(テーブル22[[学年]:[得点]],MATCH(体力優良証交付申請!$A145,入力シート!$AF$6:$AF$505,0),MATCH(体力優良証交付申請!I$14,テーブル22[[#Headers],[学年]:[得点]],0)))</f>
        <v/>
      </c>
      <c r="J145" s="114" t="str">
        <f>IF($A145&gt;MAX(入力シート!$AF$6:$AF$505),"",INDEX(テーブル22[[学年]:[得点]],MATCH(体力優良証交付申請!$A145,入力シート!$AF$6:$AF$505,0),MATCH(体力優良証交付申請!J$14,テーブル22[[#Headers],[学年]:[得点]],0)))</f>
        <v/>
      </c>
      <c r="K145" s="203" t="str">
        <f>IF($A145&gt;MAX(入力シート!$AF$6:$AF$505),"",INDEX(テーブル22[[学年]:[得点]],MATCH(体力優良証交付申請!$A145,入力シート!$AF$6:$AF$505,0),MATCH(体力優良証交付申請!K$14,テーブル22[[#Headers],[学年]:[得点]],0)))</f>
        <v/>
      </c>
      <c r="L145" s="203" t="str">
        <f>IF($A145&gt;MAX(入力シート!$AF$6:$AF$505),"",INDEX(テーブル22[[学年]:[得点]],MATCH(体力優良証交付申請!$A145,入力シート!$AF$6:$AF$505,0),MATCH(体力優良証交付申請!L$14,テーブル22[[#Headers],[学年]:[得点]],0)))</f>
        <v/>
      </c>
      <c r="M145" s="28" t="str">
        <f>IF($A145&gt;MAX(入力シート!$AF$6:$AF$505),"",INDEX(テーブル22[[学年]:[得点]],MATCH(体力優良証交付申請!$A145,入力シート!$AF$6:$AF$505,0),MATCH(体力優良証交付申請!M$14,テーブル22[[#Headers],[学年]:[得点]],0)))</f>
        <v/>
      </c>
    </row>
    <row r="146" spans="1:13" x14ac:dyDescent="0.2">
      <c r="A146" s="16">
        <v>132</v>
      </c>
      <c r="B146" s="130" t="str">
        <f>IF($A146&gt;MAX(入力シート!$AF$6:$AF$505),"",INDEX(テーブル22[[学年]:[得点]],MATCH(体力優良証交付申請!$A146,入力シート!$AF$6:$AF$505,0),MATCH(体力優良証交付申請!B$14,テーブル22[[#Headers],[学年]:[得点]],0)))</f>
        <v/>
      </c>
      <c r="C146" s="203" t="str">
        <f>IF($A146&gt;MAX(入力シート!$AF$6:$AF$505),"",INDEX(テーブル22[[学年]:[得点]],MATCH(体力優良証交付申請!$A146,入力シート!$AF$6:$AF$505,0),MATCH(体力優良証交付申請!C$14,テーブル22[[#Headers],[学年]:[得点]],0)))</f>
        <v/>
      </c>
      <c r="D146" s="203" t="str">
        <f>IF($A146&gt;MAX(入力シート!$AF$6:$AF$505),"",INDEX(テーブル22[[学年]:[得点]],MATCH(体力優良証交付申請!$A146,入力シート!$AF$6:$AF$505,0),MATCH(体力優良証交付申請!D$14,テーブル22[[#Headers],[学年]:[得点]],0)))</f>
        <v/>
      </c>
      <c r="E146" s="203" t="str">
        <f>IF($A146&gt;MAX(入力シート!$AF$6:$AF$505),"",INDEX(テーブル22[[学年]:[得点]],MATCH(体力優良証交付申請!$A146,入力シート!$AF$6:$AF$505,0),MATCH(体力優良証交付申請!E$14,テーブル22[[#Headers],[学年]:[得点]],0)))</f>
        <v/>
      </c>
      <c r="F146" s="203" t="str">
        <f>IF($A146&gt;MAX(入力シート!$AF$6:$AF$505),"",INDEX(テーブル22[[学年]:[得点]],MATCH(体力優良証交付申請!$A146,入力シート!$AF$6:$AF$505,0),MATCH(体力優良証交付申請!F$14,テーブル22[[#Headers],[学年]:[得点]],0)))</f>
        <v/>
      </c>
      <c r="G146" s="203" t="str">
        <f>IF($A146&gt;MAX(入力シート!$AF$6:$AF$505),"",INDEX(テーブル22[[学年]:[得点]],MATCH(体力優良証交付申請!$A146,入力シート!$AF$6:$AF$505,0),MATCH(体力優良証交付申請!G$14,テーブル22[[#Headers],[学年]:[得点]],0)))</f>
        <v/>
      </c>
      <c r="H146" s="203" t="str">
        <f>IF($A146&gt;MAX(入力シート!$AF$6:$AF$505),"",INDEX(テーブル22[[学年]:[得点]],MATCH(体力優良証交付申請!$A146,入力シート!$AF$6:$AF$505,0),MATCH(体力優良証交付申請!H$14,テーブル22[[#Headers],[学年]:[得点]],0)))</f>
        <v/>
      </c>
      <c r="I146" s="203" t="str">
        <f>IF($A146&gt;MAX(入力シート!$AF$6:$AF$505),"",INDEX(テーブル22[[学年]:[得点]],MATCH(体力優良証交付申請!$A146,入力シート!$AF$6:$AF$505,0),MATCH(体力優良証交付申請!I$14,テーブル22[[#Headers],[学年]:[得点]],0)))</f>
        <v/>
      </c>
      <c r="J146" s="114" t="str">
        <f>IF($A146&gt;MAX(入力シート!$AF$6:$AF$505),"",INDEX(テーブル22[[学年]:[得点]],MATCH(体力優良証交付申請!$A146,入力シート!$AF$6:$AF$505,0),MATCH(体力優良証交付申請!J$14,テーブル22[[#Headers],[学年]:[得点]],0)))</f>
        <v/>
      </c>
      <c r="K146" s="203" t="str">
        <f>IF($A146&gt;MAX(入力シート!$AF$6:$AF$505),"",INDEX(テーブル22[[学年]:[得点]],MATCH(体力優良証交付申請!$A146,入力シート!$AF$6:$AF$505,0),MATCH(体力優良証交付申請!K$14,テーブル22[[#Headers],[学年]:[得点]],0)))</f>
        <v/>
      </c>
      <c r="L146" s="203" t="str">
        <f>IF($A146&gt;MAX(入力シート!$AF$6:$AF$505),"",INDEX(テーブル22[[学年]:[得点]],MATCH(体力優良証交付申請!$A146,入力シート!$AF$6:$AF$505,0),MATCH(体力優良証交付申請!L$14,テーブル22[[#Headers],[学年]:[得点]],0)))</f>
        <v/>
      </c>
      <c r="M146" s="28" t="str">
        <f>IF($A146&gt;MAX(入力シート!$AF$6:$AF$505),"",INDEX(テーブル22[[学年]:[得点]],MATCH(体力優良証交付申請!$A146,入力シート!$AF$6:$AF$505,0),MATCH(体力優良証交付申請!M$14,テーブル22[[#Headers],[学年]:[得点]],0)))</f>
        <v/>
      </c>
    </row>
    <row r="147" spans="1:13" x14ac:dyDescent="0.2">
      <c r="A147" s="16">
        <v>133</v>
      </c>
      <c r="B147" s="130" t="str">
        <f>IF($A147&gt;MAX(入力シート!$AF$6:$AF$505),"",INDEX(テーブル22[[学年]:[得点]],MATCH(体力優良証交付申請!$A147,入力シート!$AF$6:$AF$505,0),MATCH(体力優良証交付申請!B$14,テーブル22[[#Headers],[学年]:[得点]],0)))</f>
        <v/>
      </c>
      <c r="C147" s="203" t="str">
        <f>IF($A147&gt;MAX(入力シート!$AF$6:$AF$505),"",INDEX(テーブル22[[学年]:[得点]],MATCH(体力優良証交付申請!$A147,入力シート!$AF$6:$AF$505,0),MATCH(体力優良証交付申請!C$14,テーブル22[[#Headers],[学年]:[得点]],0)))</f>
        <v/>
      </c>
      <c r="D147" s="203" t="str">
        <f>IF($A147&gt;MAX(入力シート!$AF$6:$AF$505),"",INDEX(テーブル22[[学年]:[得点]],MATCH(体力優良証交付申請!$A147,入力シート!$AF$6:$AF$505,0),MATCH(体力優良証交付申請!D$14,テーブル22[[#Headers],[学年]:[得点]],0)))</f>
        <v/>
      </c>
      <c r="E147" s="203" t="str">
        <f>IF($A147&gt;MAX(入力シート!$AF$6:$AF$505),"",INDEX(テーブル22[[学年]:[得点]],MATCH(体力優良証交付申請!$A147,入力シート!$AF$6:$AF$505,0),MATCH(体力優良証交付申請!E$14,テーブル22[[#Headers],[学年]:[得点]],0)))</f>
        <v/>
      </c>
      <c r="F147" s="203" t="str">
        <f>IF($A147&gt;MAX(入力シート!$AF$6:$AF$505),"",INDEX(テーブル22[[学年]:[得点]],MATCH(体力優良証交付申請!$A147,入力シート!$AF$6:$AF$505,0),MATCH(体力優良証交付申請!F$14,テーブル22[[#Headers],[学年]:[得点]],0)))</f>
        <v/>
      </c>
      <c r="G147" s="203" t="str">
        <f>IF($A147&gt;MAX(入力シート!$AF$6:$AF$505),"",INDEX(テーブル22[[学年]:[得点]],MATCH(体力優良証交付申請!$A147,入力シート!$AF$6:$AF$505,0),MATCH(体力優良証交付申請!G$14,テーブル22[[#Headers],[学年]:[得点]],0)))</f>
        <v/>
      </c>
      <c r="H147" s="203" t="str">
        <f>IF($A147&gt;MAX(入力シート!$AF$6:$AF$505),"",INDEX(テーブル22[[学年]:[得点]],MATCH(体力優良証交付申請!$A147,入力シート!$AF$6:$AF$505,0),MATCH(体力優良証交付申請!H$14,テーブル22[[#Headers],[学年]:[得点]],0)))</f>
        <v/>
      </c>
      <c r="I147" s="203" t="str">
        <f>IF($A147&gt;MAX(入力シート!$AF$6:$AF$505),"",INDEX(テーブル22[[学年]:[得点]],MATCH(体力優良証交付申請!$A147,入力シート!$AF$6:$AF$505,0),MATCH(体力優良証交付申請!I$14,テーブル22[[#Headers],[学年]:[得点]],0)))</f>
        <v/>
      </c>
      <c r="J147" s="114" t="str">
        <f>IF($A147&gt;MAX(入力シート!$AF$6:$AF$505),"",INDEX(テーブル22[[学年]:[得点]],MATCH(体力優良証交付申請!$A147,入力シート!$AF$6:$AF$505,0),MATCH(体力優良証交付申請!J$14,テーブル22[[#Headers],[学年]:[得点]],0)))</f>
        <v/>
      </c>
      <c r="K147" s="203" t="str">
        <f>IF($A147&gt;MAX(入力シート!$AF$6:$AF$505),"",INDEX(テーブル22[[学年]:[得点]],MATCH(体力優良証交付申請!$A147,入力シート!$AF$6:$AF$505,0),MATCH(体力優良証交付申請!K$14,テーブル22[[#Headers],[学年]:[得点]],0)))</f>
        <v/>
      </c>
      <c r="L147" s="203" t="str">
        <f>IF($A147&gt;MAX(入力シート!$AF$6:$AF$505),"",INDEX(テーブル22[[学年]:[得点]],MATCH(体力優良証交付申請!$A147,入力シート!$AF$6:$AF$505,0),MATCH(体力優良証交付申請!L$14,テーブル22[[#Headers],[学年]:[得点]],0)))</f>
        <v/>
      </c>
      <c r="M147" s="28" t="str">
        <f>IF($A147&gt;MAX(入力シート!$AF$6:$AF$505),"",INDEX(テーブル22[[学年]:[得点]],MATCH(体力優良証交付申請!$A147,入力シート!$AF$6:$AF$505,0),MATCH(体力優良証交付申請!M$14,テーブル22[[#Headers],[学年]:[得点]],0)))</f>
        <v/>
      </c>
    </row>
    <row r="148" spans="1:13" x14ac:dyDescent="0.2">
      <c r="A148" s="16">
        <v>134</v>
      </c>
      <c r="B148" s="130" t="str">
        <f>IF($A148&gt;MAX(入力シート!$AF$6:$AF$505),"",INDEX(テーブル22[[学年]:[得点]],MATCH(体力優良証交付申請!$A148,入力シート!$AF$6:$AF$505,0),MATCH(体力優良証交付申請!B$14,テーブル22[[#Headers],[学年]:[得点]],0)))</f>
        <v/>
      </c>
      <c r="C148" s="203" t="str">
        <f>IF($A148&gt;MAX(入力シート!$AF$6:$AF$505),"",INDEX(テーブル22[[学年]:[得点]],MATCH(体力優良証交付申請!$A148,入力シート!$AF$6:$AF$505,0),MATCH(体力優良証交付申請!C$14,テーブル22[[#Headers],[学年]:[得点]],0)))</f>
        <v/>
      </c>
      <c r="D148" s="203" t="str">
        <f>IF($A148&gt;MAX(入力シート!$AF$6:$AF$505),"",INDEX(テーブル22[[学年]:[得点]],MATCH(体力優良証交付申請!$A148,入力シート!$AF$6:$AF$505,0),MATCH(体力優良証交付申請!D$14,テーブル22[[#Headers],[学年]:[得点]],0)))</f>
        <v/>
      </c>
      <c r="E148" s="203" t="str">
        <f>IF($A148&gt;MAX(入力シート!$AF$6:$AF$505),"",INDEX(テーブル22[[学年]:[得点]],MATCH(体力優良証交付申請!$A148,入力シート!$AF$6:$AF$505,0),MATCH(体力優良証交付申請!E$14,テーブル22[[#Headers],[学年]:[得点]],0)))</f>
        <v/>
      </c>
      <c r="F148" s="203" t="str">
        <f>IF($A148&gt;MAX(入力シート!$AF$6:$AF$505),"",INDEX(テーブル22[[学年]:[得点]],MATCH(体力優良証交付申請!$A148,入力シート!$AF$6:$AF$505,0),MATCH(体力優良証交付申請!F$14,テーブル22[[#Headers],[学年]:[得点]],0)))</f>
        <v/>
      </c>
      <c r="G148" s="203" t="str">
        <f>IF($A148&gt;MAX(入力シート!$AF$6:$AF$505),"",INDEX(テーブル22[[学年]:[得点]],MATCH(体力優良証交付申請!$A148,入力シート!$AF$6:$AF$505,0),MATCH(体力優良証交付申請!G$14,テーブル22[[#Headers],[学年]:[得点]],0)))</f>
        <v/>
      </c>
      <c r="H148" s="203" t="str">
        <f>IF($A148&gt;MAX(入力シート!$AF$6:$AF$505),"",INDEX(テーブル22[[学年]:[得点]],MATCH(体力優良証交付申請!$A148,入力シート!$AF$6:$AF$505,0),MATCH(体力優良証交付申請!H$14,テーブル22[[#Headers],[学年]:[得点]],0)))</f>
        <v/>
      </c>
      <c r="I148" s="203" t="str">
        <f>IF($A148&gt;MAX(入力シート!$AF$6:$AF$505),"",INDEX(テーブル22[[学年]:[得点]],MATCH(体力優良証交付申請!$A148,入力シート!$AF$6:$AF$505,0),MATCH(体力優良証交付申請!I$14,テーブル22[[#Headers],[学年]:[得点]],0)))</f>
        <v/>
      </c>
      <c r="J148" s="114" t="str">
        <f>IF($A148&gt;MAX(入力シート!$AF$6:$AF$505),"",INDEX(テーブル22[[学年]:[得点]],MATCH(体力優良証交付申請!$A148,入力シート!$AF$6:$AF$505,0),MATCH(体力優良証交付申請!J$14,テーブル22[[#Headers],[学年]:[得点]],0)))</f>
        <v/>
      </c>
      <c r="K148" s="203" t="str">
        <f>IF($A148&gt;MAX(入力シート!$AF$6:$AF$505),"",INDEX(テーブル22[[学年]:[得点]],MATCH(体力優良証交付申請!$A148,入力シート!$AF$6:$AF$505,0),MATCH(体力優良証交付申請!K$14,テーブル22[[#Headers],[学年]:[得点]],0)))</f>
        <v/>
      </c>
      <c r="L148" s="203" t="str">
        <f>IF($A148&gt;MAX(入力シート!$AF$6:$AF$505),"",INDEX(テーブル22[[学年]:[得点]],MATCH(体力優良証交付申請!$A148,入力シート!$AF$6:$AF$505,0),MATCH(体力優良証交付申請!L$14,テーブル22[[#Headers],[学年]:[得点]],0)))</f>
        <v/>
      </c>
      <c r="M148" s="28" t="str">
        <f>IF($A148&gt;MAX(入力シート!$AF$6:$AF$505),"",INDEX(テーブル22[[学年]:[得点]],MATCH(体力優良証交付申請!$A148,入力シート!$AF$6:$AF$505,0),MATCH(体力優良証交付申請!M$14,テーブル22[[#Headers],[学年]:[得点]],0)))</f>
        <v/>
      </c>
    </row>
    <row r="149" spans="1:13" x14ac:dyDescent="0.2">
      <c r="A149" s="16">
        <v>135</v>
      </c>
      <c r="B149" s="130" t="str">
        <f>IF($A149&gt;MAX(入力シート!$AF$6:$AF$505),"",INDEX(テーブル22[[学年]:[得点]],MATCH(体力優良証交付申請!$A149,入力シート!$AF$6:$AF$505,0),MATCH(体力優良証交付申請!B$14,テーブル22[[#Headers],[学年]:[得点]],0)))</f>
        <v/>
      </c>
      <c r="C149" s="203" t="str">
        <f>IF($A149&gt;MAX(入力シート!$AF$6:$AF$505),"",INDEX(テーブル22[[学年]:[得点]],MATCH(体力優良証交付申請!$A149,入力シート!$AF$6:$AF$505,0),MATCH(体力優良証交付申請!C$14,テーブル22[[#Headers],[学年]:[得点]],0)))</f>
        <v/>
      </c>
      <c r="D149" s="203" t="str">
        <f>IF($A149&gt;MAX(入力シート!$AF$6:$AF$505),"",INDEX(テーブル22[[学年]:[得点]],MATCH(体力優良証交付申請!$A149,入力シート!$AF$6:$AF$505,0),MATCH(体力優良証交付申請!D$14,テーブル22[[#Headers],[学年]:[得点]],0)))</f>
        <v/>
      </c>
      <c r="E149" s="203" t="str">
        <f>IF($A149&gt;MAX(入力シート!$AF$6:$AF$505),"",INDEX(テーブル22[[学年]:[得点]],MATCH(体力優良証交付申請!$A149,入力シート!$AF$6:$AF$505,0),MATCH(体力優良証交付申請!E$14,テーブル22[[#Headers],[学年]:[得点]],0)))</f>
        <v/>
      </c>
      <c r="F149" s="203" t="str">
        <f>IF($A149&gt;MAX(入力シート!$AF$6:$AF$505),"",INDEX(テーブル22[[学年]:[得点]],MATCH(体力優良証交付申請!$A149,入力シート!$AF$6:$AF$505,0),MATCH(体力優良証交付申請!F$14,テーブル22[[#Headers],[学年]:[得点]],0)))</f>
        <v/>
      </c>
      <c r="G149" s="203" t="str">
        <f>IF($A149&gt;MAX(入力シート!$AF$6:$AF$505),"",INDEX(テーブル22[[学年]:[得点]],MATCH(体力優良証交付申請!$A149,入力シート!$AF$6:$AF$505,0),MATCH(体力優良証交付申請!G$14,テーブル22[[#Headers],[学年]:[得点]],0)))</f>
        <v/>
      </c>
      <c r="H149" s="203" t="str">
        <f>IF($A149&gt;MAX(入力シート!$AF$6:$AF$505),"",INDEX(テーブル22[[学年]:[得点]],MATCH(体力優良証交付申請!$A149,入力シート!$AF$6:$AF$505,0),MATCH(体力優良証交付申請!H$14,テーブル22[[#Headers],[学年]:[得点]],0)))</f>
        <v/>
      </c>
      <c r="I149" s="203" t="str">
        <f>IF($A149&gt;MAX(入力シート!$AF$6:$AF$505),"",INDEX(テーブル22[[学年]:[得点]],MATCH(体力優良証交付申請!$A149,入力シート!$AF$6:$AF$505,0),MATCH(体力優良証交付申請!I$14,テーブル22[[#Headers],[学年]:[得点]],0)))</f>
        <v/>
      </c>
      <c r="J149" s="114" t="str">
        <f>IF($A149&gt;MAX(入力シート!$AF$6:$AF$505),"",INDEX(テーブル22[[学年]:[得点]],MATCH(体力優良証交付申請!$A149,入力シート!$AF$6:$AF$505,0),MATCH(体力優良証交付申請!J$14,テーブル22[[#Headers],[学年]:[得点]],0)))</f>
        <v/>
      </c>
      <c r="K149" s="203" t="str">
        <f>IF($A149&gt;MAX(入力シート!$AF$6:$AF$505),"",INDEX(テーブル22[[学年]:[得点]],MATCH(体力優良証交付申請!$A149,入力シート!$AF$6:$AF$505,0),MATCH(体力優良証交付申請!K$14,テーブル22[[#Headers],[学年]:[得点]],0)))</f>
        <v/>
      </c>
      <c r="L149" s="203" t="str">
        <f>IF($A149&gt;MAX(入力シート!$AF$6:$AF$505),"",INDEX(テーブル22[[学年]:[得点]],MATCH(体力優良証交付申請!$A149,入力シート!$AF$6:$AF$505,0),MATCH(体力優良証交付申請!L$14,テーブル22[[#Headers],[学年]:[得点]],0)))</f>
        <v/>
      </c>
      <c r="M149" s="28" t="str">
        <f>IF($A149&gt;MAX(入力シート!$AF$6:$AF$505),"",INDEX(テーブル22[[学年]:[得点]],MATCH(体力優良証交付申請!$A149,入力シート!$AF$6:$AF$505,0),MATCH(体力優良証交付申請!M$14,テーブル22[[#Headers],[学年]:[得点]],0)))</f>
        <v/>
      </c>
    </row>
    <row r="150" spans="1:13" x14ac:dyDescent="0.2">
      <c r="A150" s="16">
        <v>136</v>
      </c>
      <c r="B150" s="130" t="str">
        <f>IF($A150&gt;MAX(入力シート!$AF$6:$AF$505),"",INDEX(テーブル22[[学年]:[得点]],MATCH(体力優良証交付申請!$A150,入力シート!$AF$6:$AF$505,0),MATCH(体力優良証交付申請!B$14,テーブル22[[#Headers],[学年]:[得点]],0)))</f>
        <v/>
      </c>
      <c r="C150" s="203" t="str">
        <f>IF($A150&gt;MAX(入力シート!$AF$6:$AF$505),"",INDEX(テーブル22[[学年]:[得点]],MATCH(体力優良証交付申請!$A150,入力シート!$AF$6:$AF$505,0),MATCH(体力優良証交付申請!C$14,テーブル22[[#Headers],[学年]:[得点]],0)))</f>
        <v/>
      </c>
      <c r="D150" s="203" t="str">
        <f>IF($A150&gt;MAX(入力シート!$AF$6:$AF$505),"",INDEX(テーブル22[[学年]:[得点]],MATCH(体力優良証交付申請!$A150,入力シート!$AF$6:$AF$505,0),MATCH(体力優良証交付申請!D$14,テーブル22[[#Headers],[学年]:[得点]],0)))</f>
        <v/>
      </c>
      <c r="E150" s="203" t="str">
        <f>IF($A150&gt;MAX(入力シート!$AF$6:$AF$505),"",INDEX(テーブル22[[学年]:[得点]],MATCH(体力優良証交付申請!$A150,入力シート!$AF$6:$AF$505,0),MATCH(体力優良証交付申請!E$14,テーブル22[[#Headers],[学年]:[得点]],0)))</f>
        <v/>
      </c>
      <c r="F150" s="203" t="str">
        <f>IF($A150&gt;MAX(入力シート!$AF$6:$AF$505),"",INDEX(テーブル22[[学年]:[得点]],MATCH(体力優良証交付申請!$A150,入力シート!$AF$6:$AF$505,0),MATCH(体力優良証交付申請!F$14,テーブル22[[#Headers],[学年]:[得点]],0)))</f>
        <v/>
      </c>
      <c r="G150" s="203" t="str">
        <f>IF($A150&gt;MAX(入力シート!$AF$6:$AF$505),"",INDEX(テーブル22[[学年]:[得点]],MATCH(体力優良証交付申請!$A150,入力シート!$AF$6:$AF$505,0),MATCH(体力優良証交付申請!G$14,テーブル22[[#Headers],[学年]:[得点]],0)))</f>
        <v/>
      </c>
      <c r="H150" s="203" t="str">
        <f>IF($A150&gt;MAX(入力シート!$AF$6:$AF$505),"",INDEX(テーブル22[[学年]:[得点]],MATCH(体力優良証交付申請!$A150,入力シート!$AF$6:$AF$505,0),MATCH(体力優良証交付申請!H$14,テーブル22[[#Headers],[学年]:[得点]],0)))</f>
        <v/>
      </c>
      <c r="I150" s="203" t="str">
        <f>IF($A150&gt;MAX(入力シート!$AF$6:$AF$505),"",INDEX(テーブル22[[学年]:[得点]],MATCH(体力優良証交付申請!$A150,入力シート!$AF$6:$AF$505,0),MATCH(体力優良証交付申請!I$14,テーブル22[[#Headers],[学年]:[得点]],0)))</f>
        <v/>
      </c>
      <c r="J150" s="114" t="str">
        <f>IF($A150&gt;MAX(入力シート!$AF$6:$AF$505),"",INDEX(テーブル22[[学年]:[得点]],MATCH(体力優良証交付申請!$A150,入力シート!$AF$6:$AF$505,0),MATCH(体力優良証交付申請!J$14,テーブル22[[#Headers],[学年]:[得点]],0)))</f>
        <v/>
      </c>
      <c r="K150" s="203" t="str">
        <f>IF($A150&gt;MAX(入力シート!$AF$6:$AF$505),"",INDEX(テーブル22[[学年]:[得点]],MATCH(体力優良証交付申請!$A150,入力シート!$AF$6:$AF$505,0),MATCH(体力優良証交付申請!K$14,テーブル22[[#Headers],[学年]:[得点]],0)))</f>
        <v/>
      </c>
      <c r="L150" s="203" t="str">
        <f>IF($A150&gt;MAX(入力シート!$AF$6:$AF$505),"",INDEX(テーブル22[[学年]:[得点]],MATCH(体力優良証交付申請!$A150,入力シート!$AF$6:$AF$505,0),MATCH(体力優良証交付申請!L$14,テーブル22[[#Headers],[学年]:[得点]],0)))</f>
        <v/>
      </c>
      <c r="M150" s="28" t="str">
        <f>IF($A150&gt;MAX(入力シート!$AF$6:$AF$505),"",INDEX(テーブル22[[学年]:[得点]],MATCH(体力優良証交付申請!$A150,入力シート!$AF$6:$AF$505,0),MATCH(体力優良証交付申請!M$14,テーブル22[[#Headers],[学年]:[得点]],0)))</f>
        <v/>
      </c>
    </row>
    <row r="151" spans="1:13" x14ac:dyDescent="0.2">
      <c r="A151" s="16">
        <v>137</v>
      </c>
      <c r="B151" s="130" t="str">
        <f>IF($A151&gt;MAX(入力シート!$AF$6:$AF$505),"",INDEX(テーブル22[[学年]:[得点]],MATCH(体力優良証交付申請!$A151,入力シート!$AF$6:$AF$505,0),MATCH(体力優良証交付申請!B$14,テーブル22[[#Headers],[学年]:[得点]],0)))</f>
        <v/>
      </c>
      <c r="C151" s="203" t="str">
        <f>IF($A151&gt;MAX(入力シート!$AF$6:$AF$505),"",INDEX(テーブル22[[学年]:[得点]],MATCH(体力優良証交付申請!$A151,入力シート!$AF$6:$AF$505,0),MATCH(体力優良証交付申請!C$14,テーブル22[[#Headers],[学年]:[得点]],0)))</f>
        <v/>
      </c>
      <c r="D151" s="203" t="str">
        <f>IF($A151&gt;MAX(入力シート!$AF$6:$AF$505),"",INDEX(テーブル22[[学年]:[得点]],MATCH(体力優良証交付申請!$A151,入力シート!$AF$6:$AF$505,0),MATCH(体力優良証交付申請!D$14,テーブル22[[#Headers],[学年]:[得点]],0)))</f>
        <v/>
      </c>
      <c r="E151" s="203" t="str">
        <f>IF($A151&gt;MAX(入力シート!$AF$6:$AF$505),"",INDEX(テーブル22[[学年]:[得点]],MATCH(体力優良証交付申請!$A151,入力シート!$AF$6:$AF$505,0),MATCH(体力優良証交付申請!E$14,テーブル22[[#Headers],[学年]:[得点]],0)))</f>
        <v/>
      </c>
      <c r="F151" s="203" t="str">
        <f>IF($A151&gt;MAX(入力シート!$AF$6:$AF$505),"",INDEX(テーブル22[[学年]:[得点]],MATCH(体力優良証交付申請!$A151,入力シート!$AF$6:$AF$505,0),MATCH(体力優良証交付申請!F$14,テーブル22[[#Headers],[学年]:[得点]],0)))</f>
        <v/>
      </c>
      <c r="G151" s="203" t="str">
        <f>IF($A151&gt;MAX(入力シート!$AF$6:$AF$505),"",INDEX(テーブル22[[学年]:[得点]],MATCH(体力優良証交付申請!$A151,入力シート!$AF$6:$AF$505,0),MATCH(体力優良証交付申請!G$14,テーブル22[[#Headers],[学年]:[得点]],0)))</f>
        <v/>
      </c>
      <c r="H151" s="203" t="str">
        <f>IF($A151&gt;MAX(入力シート!$AF$6:$AF$505),"",INDEX(テーブル22[[学年]:[得点]],MATCH(体力優良証交付申請!$A151,入力シート!$AF$6:$AF$505,0),MATCH(体力優良証交付申請!H$14,テーブル22[[#Headers],[学年]:[得点]],0)))</f>
        <v/>
      </c>
      <c r="I151" s="203" t="str">
        <f>IF($A151&gt;MAX(入力シート!$AF$6:$AF$505),"",INDEX(テーブル22[[学年]:[得点]],MATCH(体力優良証交付申請!$A151,入力シート!$AF$6:$AF$505,0),MATCH(体力優良証交付申請!I$14,テーブル22[[#Headers],[学年]:[得点]],0)))</f>
        <v/>
      </c>
      <c r="J151" s="114" t="str">
        <f>IF($A151&gt;MAX(入力シート!$AF$6:$AF$505),"",INDEX(テーブル22[[学年]:[得点]],MATCH(体力優良証交付申請!$A151,入力シート!$AF$6:$AF$505,0),MATCH(体力優良証交付申請!J$14,テーブル22[[#Headers],[学年]:[得点]],0)))</f>
        <v/>
      </c>
      <c r="K151" s="203" t="str">
        <f>IF($A151&gt;MAX(入力シート!$AF$6:$AF$505),"",INDEX(テーブル22[[学年]:[得点]],MATCH(体力優良証交付申請!$A151,入力シート!$AF$6:$AF$505,0),MATCH(体力優良証交付申請!K$14,テーブル22[[#Headers],[学年]:[得点]],0)))</f>
        <v/>
      </c>
      <c r="L151" s="203" t="str">
        <f>IF($A151&gt;MAX(入力シート!$AF$6:$AF$505),"",INDEX(テーブル22[[学年]:[得点]],MATCH(体力優良証交付申請!$A151,入力シート!$AF$6:$AF$505,0),MATCH(体力優良証交付申請!L$14,テーブル22[[#Headers],[学年]:[得点]],0)))</f>
        <v/>
      </c>
      <c r="M151" s="28" t="str">
        <f>IF($A151&gt;MAX(入力シート!$AF$6:$AF$505),"",INDEX(テーブル22[[学年]:[得点]],MATCH(体力優良証交付申請!$A151,入力シート!$AF$6:$AF$505,0),MATCH(体力優良証交付申請!M$14,テーブル22[[#Headers],[学年]:[得点]],0)))</f>
        <v/>
      </c>
    </row>
    <row r="152" spans="1:13" x14ac:dyDescent="0.2">
      <c r="A152" s="16">
        <v>138</v>
      </c>
      <c r="B152" s="130" t="str">
        <f>IF($A152&gt;MAX(入力シート!$AF$6:$AF$505),"",INDEX(テーブル22[[学年]:[得点]],MATCH(体力優良証交付申請!$A152,入力シート!$AF$6:$AF$505,0),MATCH(体力優良証交付申請!B$14,テーブル22[[#Headers],[学年]:[得点]],0)))</f>
        <v/>
      </c>
      <c r="C152" s="203" t="str">
        <f>IF($A152&gt;MAX(入力シート!$AF$6:$AF$505),"",INDEX(テーブル22[[学年]:[得点]],MATCH(体力優良証交付申請!$A152,入力シート!$AF$6:$AF$505,0),MATCH(体力優良証交付申請!C$14,テーブル22[[#Headers],[学年]:[得点]],0)))</f>
        <v/>
      </c>
      <c r="D152" s="203" t="str">
        <f>IF($A152&gt;MAX(入力シート!$AF$6:$AF$505),"",INDEX(テーブル22[[学年]:[得点]],MATCH(体力優良証交付申請!$A152,入力シート!$AF$6:$AF$505,0),MATCH(体力優良証交付申請!D$14,テーブル22[[#Headers],[学年]:[得点]],0)))</f>
        <v/>
      </c>
      <c r="E152" s="203" t="str">
        <f>IF($A152&gt;MAX(入力シート!$AF$6:$AF$505),"",INDEX(テーブル22[[学年]:[得点]],MATCH(体力優良証交付申請!$A152,入力シート!$AF$6:$AF$505,0),MATCH(体力優良証交付申請!E$14,テーブル22[[#Headers],[学年]:[得点]],0)))</f>
        <v/>
      </c>
      <c r="F152" s="203" t="str">
        <f>IF($A152&gt;MAX(入力シート!$AF$6:$AF$505),"",INDEX(テーブル22[[学年]:[得点]],MATCH(体力優良証交付申請!$A152,入力シート!$AF$6:$AF$505,0),MATCH(体力優良証交付申請!F$14,テーブル22[[#Headers],[学年]:[得点]],0)))</f>
        <v/>
      </c>
      <c r="G152" s="203" t="str">
        <f>IF($A152&gt;MAX(入力シート!$AF$6:$AF$505),"",INDEX(テーブル22[[学年]:[得点]],MATCH(体力優良証交付申請!$A152,入力シート!$AF$6:$AF$505,0),MATCH(体力優良証交付申請!G$14,テーブル22[[#Headers],[学年]:[得点]],0)))</f>
        <v/>
      </c>
      <c r="H152" s="203" t="str">
        <f>IF($A152&gt;MAX(入力シート!$AF$6:$AF$505),"",INDEX(テーブル22[[学年]:[得点]],MATCH(体力優良証交付申請!$A152,入力シート!$AF$6:$AF$505,0),MATCH(体力優良証交付申請!H$14,テーブル22[[#Headers],[学年]:[得点]],0)))</f>
        <v/>
      </c>
      <c r="I152" s="203" t="str">
        <f>IF($A152&gt;MAX(入力シート!$AF$6:$AF$505),"",INDEX(テーブル22[[学年]:[得点]],MATCH(体力優良証交付申請!$A152,入力シート!$AF$6:$AF$505,0),MATCH(体力優良証交付申請!I$14,テーブル22[[#Headers],[学年]:[得点]],0)))</f>
        <v/>
      </c>
      <c r="J152" s="114" t="str">
        <f>IF($A152&gt;MAX(入力シート!$AF$6:$AF$505),"",INDEX(テーブル22[[学年]:[得点]],MATCH(体力優良証交付申請!$A152,入力シート!$AF$6:$AF$505,0),MATCH(体力優良証交付申請!J$14,テーブル22[[#Headers],[学年]:[得点]],0)))</f>
        <v/>
      </c>
      <c r="K152" s="203" t="str">
        <f>IF($A152&gt;MAX(入力シート!$AF$6:$AF$505),"",INDEX(テーブル22[[学年]:[得点]],MATCH(体力優良証交付申請!$A152,入力シート!$AF$6:$AF$505,0),MATCH(体力優良証交付申請!K$14,テーブル22[[#Headers],[学年]:[得点]],0)))</f>
        <v/>
      </c>
      <c r="L152" s="203" t="str">
        <f>IF($A152&gt;MAX(入力シート!$AF$6:$AF$505),"",INDEX(テーブル22[[学年]:[得点]],MATCH(体力優良証交付申請!$A152,入力シート!$AF$6:$AF$505,0),MATCH(体力優良証交付申請!L$14,テーブル22[[#Headers],[学年]:[得点]],0)))</f>
        <v/>
      </c>
      <c r="M152" s="28" t="str">
        <f>IF($A152&gt;MAX(入力シート!$AF$6:$AF$505),"",INDEX(テーブル22[[学年]:[得点]],MATCH(体力優良証交付申請!$A152,入力シート!$AF$6:$AF$505,0),MATCH(体力優良証交付申請!M$14,テーブル22[[#Headers],[学年]:[得点]],0)))</f>
        <v/>
      </c>
    </row>
    <row r="153" spans="1:13" x14ac:dyDescent="0.2">
      <c r="A153" s="16">
        <v>139</v>
      </c>
      <c r="B153" s="130" t="str">
        <f>IF($A153&gt;MAX(入力シート!$AF$6:$AF$505),"",INDEX(テーブル22[[学年]:[得点]],MATCH(体力優良証交付申請!$A153,入力シート!$AF$6:$AF$505,0),MATCH(体力優良証交付申請!B$14,テーブル22[[#Headers],[学年]:[得点]],0)))</f>
        <v/>
      </c>
      <c r="C153" s="203" t="str">
        <f>IF($A153&gt;MAX(入力シート!$AF$6:$AF$505),"",INDEX(テーブル22[[学年]:[得点]],MATCH(体力優良証交付申請!$A153,入力シート!$AF$6:$AF$505,0),MATCH(体力優良証交付申請!C$14,テーブル22[[#Headers],[学年]:[得点]],0)))</f>
        <v/>
      </c>
      <c r="D153" s="203" t="str">
        <f>IF($A153&gt;MAX(入力シート!$AF$6:$AF$505),"",INDEX(テーブル22[[学年]:[得点]],MATCH(体力優良証交付申請!$A153,入力シート!$AF$6:$AF$505,0),MATCH(体力優良証交付申請!D$14,テーブル22[[#Headers],[学年]:[得点]],0)))</f>
        <v/>
      </c>
      <c r="E153" s="203" t="str">
        <f>IF($A153&gt;MAX(入力シート!$AF$6:$AF$505),"",INDEX(テーブル22[[学年]:[得点]],MATCH(体力優良証交付申請!$A153,入力シート!$AF$6:$AF$505,0),MATCH(体力優良証交付申請!E$14,テーブル22[[#Headers],[学年]:[得点]],0)))</f>
        <v/>
      </c>
      <c r="F153" s="203" t="str">
        <f>IF($A153&gt;MAX(入力シート!$AF$6:$AF$505),"",INDEX(テーブル22[[学年]:[得点]],MATCH(体力優良証交付申請!$A153,入力シート!$AF$6:$AF$505,0),MATCH(体力優良証交付申請!F$14,テーブル22[[#Headers],[学年]:[得点]],0)))</f>
        <v/>
      </c>
      <c r="G153" s="203" t="str">
        <f>IF($A153&gt;MAX(入力シート!$AF$6:$AF$505),"",INDEX(テーブル22[[学年]:[得点]],MATCH(体力優良証交付申請!$A153,入力シート!$AF$6:$AF$505,0),MATCH(体力優良証交付申請!G$14,テーブル22[[#Headers],[学年]:[得点]],0)))</f>
        <v/>
      </c>
      <c r="H153" s="203" t="str">
        <f>IF($A153&gt;MAX(入力シート!$AF$6:$AF$505),"",INDEX(テーブル22[[学年]:[得点]],MATCH(体力優良証交付申請!$A153,入力シート!$AF$6:$AF$505,0),MATCH(体力優良証交付申請!H$14,テーブル22[[#Headers],[学年]:[得点]],0)))</f>
        <v/>
      </c>
      <c r="I153" s="203" t="str">
        <f>IF($A153&gt;MAX(入力シート!$AF$6:$AF$505),"",INDEX(テーブル22[[学年]:[得点]],MATCH(体力優良証交付申請!$A153,入力シート!$AF$6:$AF$505,0),MATCH(体力優良証交付申請!I$14,テーブル22[[#Headers],[学年]:[得点]],0)))</f>
        <v/>
      </c>
      <c r="J153" s="114" t="str">
        <f>IF($A153&gt;MAX(入力シート!$AF$6:$AF$505),"",INDEX(テーブル22[[学年]:[得点]],MATCH(体力優良証交付申請!$A153,入力シート!$AF$6:$AF$505,0),MATCH(体力優良証交付申請!J$14,テーブル22[[#Headers],[学年]:[得点]],0)))</f>
        <v/>
      </c>
      <c r="K153" s="203" t="str">
        <f>IF($A153&gt;MAX(入力シート!$AF$6:$AF$505),"",INDEX(テーブル22[[学年]:[得点]],MATCH(体力優良証交付申請!$A153,入力シート!$AF$6:$AF$505,0),MATCH(体力優良証交付申請!K$14,テーブル22[[#Headers],[学年]:[得点]],0)))</f>
        <v/>
      </c>
      <c r="L153" s="203" t="str">
        <f>IF($A153&gt;MAX(入力シート!$AF$6:$AF$505),"",INDEX(テーブル22[[学年]:[得点]],MATCH(体力優良証交付申請!$A153,入力シート!$AF$6:$AF$505,0),MATCH(体力優良証交付申請!L$14,テーブル22[[#Headers],[学年]:[得点]],0)))</f>
        <v/>
      </c>
      <c r="M153" s="28" t="str">
        <f>IF($A153&gt;MAX(入力シート!$AF$6:$AF$505),"",INDEX(テーブル22[[学年]:[得点]],MATCH(体力優良証交付申請!$A153,入力シート!$AF$6:$AF$505,0),MATCH(体力優良証交付申請!M$14,テーブル22[[#Headers],[学年]:[得点]],0)))</f>
        <v/>
      </c>
    </row>
    <row r="154" spans="1:13" x14ac:dyDescent="0.2">
      <c r="A154" s="16">
        <v>140</v>
      </c>
      <c r="B154" s="130" t="str">
        <f>IF($A154&gt;MAX(入力シート!$AF$6:$AF$505),"",INDEX(テーブル22[[学年]:[得点]],MATCH(体力優良証交付申請!$A154,入力シート!$AF$6:$AF$505,0),MATCH(体力優良証交付申請!B$14,テーブル22[[#Headers],[学年]:[得点]],0)))</f>
        <v/>
      </c>
      <c r="C154" s="203" t="str">
        <f>IF($A154&gt;MAX(入力シート!$AF$6:$AF$505),"",INDEX(テーブル22[[学年]:[得点]],MATCH(体力優良証交付申請!$A154,入力シート!$AF$6:$AF$505,0),MATCH(体力優良証交付申請!C$14,テーブル22[[#Headers],[学年]:[得点]],0)))</f>
        <v/>
      </c>
      <c r="D154" s="203" t="str">
        <f>IF($A154&gt;MAX(入力シート!$AF$6:$AF$505),"",INDEX(テーブル22[[学年]:[得点]],MATCH(体力優良証交付申請!$A154,入力シート!$AF$6:$AF$505,0),MATCH(体力優良証交付申請!D$14,テーブル22[[#Headers],[学年]:[得点]],0)))</f>
        <v/>
      </c>
      <c r="E154" s="203" t="str">
        <f>IF($A154&gt;MAX(入力シート!$AF$6:$AF$505),"",INDEX(テーブル22[[学年]:[得点]],MATCH(体力優良証交付申請!$A154,入力シート!$AF$6:$AF$505,0),MATCH(体力優良証交付申請!E$14,テーブル22[[#Headers],[学年]:[得点]],0)))</f>
        <v/>
      </c>
      <c r="F154" s="203" t="str">
        <f>IF($A154&gt;MAX(入力シート!$AF$6:$AF$505),"",INDEX(テーブル22[[学年]:[得点]],MATCH(体力優良証交付申請!$A154,入力シート!$AF$6:$AF$505,0),MATCH(体力優良証交付申請!F$14,テーブル22[[#Headers],[学年]:[得点]],0)))</f>
        <v/>
      </c>
      <c r="G154" s="203" t="str">
        <f>IF($A154&gt;MAX(入力シート!$AF$6:$AF$505),"",INDEX(テーブル22[[学年]:[得点]],MATCH(体力優良証交付申請!$A154,入力シート!$AF$6:$AF$505,0),MATCH(体力優良証交付申請!G$14,テーブル22[[#Headers],[学年]:[得点]],0)))</f>
        <v/>
      </c>
      <c r="H154" s="203" t="str">
        <f>IF($A154&gt;MAX(入力シート!$AF$6:$AF$505),"",INDEX(テーブル22[[学年]:[得点]],MATCH(体力優良証交付申請!$A154,入力シート!$AF$6:$AF$505,0),MATCH(体力優良証交付申請!H$14,テーブル22[[#Headers],[学年]:[得点]],0)))</f>
        <v/>
      </c>
      <c r="I154" s="203" t="str">
        <f>IF($A154&gt;MAX(入力シート!$AF$6:$AF$505),"",INDEX(テーブル22[[学年]:[得点]],MATCH(体力優良証交付申請!$A154,入力シート!$AF$6:$AF$505,0),MATCH(体力優良証交付申請!I$14,テーブル22[[#Headers],[学年]:[得点]],0)))</f>
        <v/>
      </c>
      <c r="J154" s="114" t="str">
        <f>IF($A154&gt;MAX(入力シート!$AF$6:$AF$505),"",INDEX(テーブル22[[学年]:[得点]],MATCH(体力優良証交付申請!$A154,入力シート!$AF$6:$AF$505,0),MATCH(体力優良証交付申請!J$14,テーブル22[[#Headers],[学年]:[得点]],0)))</f>
        <v/>
      </c>
      <c r="K154" s="203" t="str">
        <f>IF($A154&gt;MAX(入力シート!$AF$6:$AF$505),"",INDEX(テーブル22[[学年]:[得点]],MATCH(体力優良証交付申請!$A154,入力シート!$AF$6:$AF$505,0),MATCH(体力優良証交付申請!K$14,テーブル22[[#Headers],[学年]:[得点]],0)))</f>
        <v/>
      </c>
      <c r="L154" s="203" t="str">
        <f>IF($A154&gt;MAX(入力シート!$AF$6:$AF$505),"",INDEX(テーブル22[[学年]:[得点]],MATCH(体力優良証交付申請!$A154,入力シート!$AF$6:$AF$505,0),MATCH(体力優良証交付申請!L$14,テーブル22[[#Headers],[学年]:[得点]],0)))</f>
        <v/>
      </c>
      <c r="M154" s="28" t="str">
        <f>IF($A154&gt;MAX(入力シート!$AF$6:$AF$505),"",INDEX(テーブル22[[学年]:[得点]],MATCH(体力優良証交付申請!$A154,入力シート!$AF$6:$AF$505,0),MATCH(体力優良証交付申請!M$14,テーブル22[[#Headers],[学年]:[得点]],0)))</f>
        <v/>
      </c>
    </row>
    <row r="155" spans="1:13" x14ac:dyDescent="0.2">
      <c r="A155" s="16">
        <v>141</v>
      </c>
      <c r="B155" s="130" t="str">
        <f>IF($A155&gt;MAX(入力シート!$AF$6:$AF$505),"",INDEX(テーブル22[[学年]:[得点]],MATCH(体力優良証交付申請!$A155,入力シート!$AF$6:$AF$505,0),MATCH(体力優良証交付申請!B$14,テーブル22[[#Headers],[学年]:[得点]],0)))</f>
        <v/>
      </c>
      <c r="C155" s="203" t="str">
        <f>IF($A155&gt;MAX(入力シート!$AF$6:$AF$505),"",INDEX(テーブル22[[学年]:[得点]],MATCH(体力優良証交付申請!$A155,入力シート!$AF$6:$AF$505,0),MATCH(体力優良証交付申請!C$14,テーブル22[[#Headers],[学年]:[得点]],0)))</f>
        <v/>
      </c>
      <c r="D155" s="203" t="str">
        <f>IF($A155&gt;MAX(入力シート!$AF$6:$AF$505),"",INDEX(テーブル22[[学年]:[得点]],MATCH(体力優良証交付申請!$A155,入力シート!$AF$6:$AF$505,0),MATCH(体力優良証交付申請!D$14,テーブル22[[#Headers],[学年]:[得点]],0)))</f>
        <v/>
      </c>
      <c r="E155" s="203" t="str">
        <f>IF($A155&gt;MAX(入力シート!$AF$6:$AF$505),"",INDEX(テーブル22[[学年]:[得点]],MATCH(体力優良証交付申請!$A155,入力シート!$AF$6:$AF$505,0),MATCH(体力優良証交付申請!E$14,テーブル22[[#Headers],[学年]:[得点]],0)))</f>
        <v/>
      </c>
      <c r="F155" s="203" t="str">
        <f>IF($A155&gt;MAX(入力シート!$AF$6:$AF$505),"",INDEX(テーブル22[[学年]:[得点]],MATCH(体力優良証交付申請!$A155,入力シート!$AF$6:$AF$505,0),MATCH(体力優良証交付申請!F$14,テーブル22[[#Headers],[学年]:[得点]],0)))</f>
        <v/>
      </c>
      <c r="G155" s="203" t="str">
        <f>IF($A155&gt;MAX(入力シート!$AF$6:$AF$505),"",INDEX(テーブル22[[学年]:[得点]],MATCH(体力優良証交付申請!$A155,入力シート!$AF$6:$AF$505,0),MATCH(体力優良証交付申請!G$14,テーブル22[[#Headers],[学年]:[得点]],0)))</f>
        <v/>
      </c>
      <c r="H155" s="203" t="str">
        <f>IF($A155&gt;MAX(入力シート!$AF$6:$AF$505),"",INDEX(テーブル22[[学年]:[得点]],MATCH(体力優良証交付申請!$A155,入力シート!$AF$6:$AF$505,0),MATCH(体力優良証交付申請!H$14,テーブル22[[#Headers],[学年]:[得点]],0)))</f>
        <v/>
      </c>
      <c r="I155" s="203" t="str">
        <f>IF($A155&gt;MAX(入力シート!$AF$6:$AF$505),"",INDEX(テーブル22[[学年]:[得点]],MATCH(体力優良証交付申請!$A155,入力シート!$AF$6:$AF$505,0),MATCH(体力優良証交付申請!I$14,テーブル22[[#Headers],[学年]:[得点]],0)))</f>
        <v/>
      </c>
      <c r="J155" s="114" t="str">
        <f>IF($A155&gt;MAX(入力シート!$AF$6:$AF$505),"",INDEX(テーブル22[[学年]:[得点]],MATCH(体力優良証交付申請!$A155,入力シート!$AF$6:$AF$505,0),MATCH(体力優良証交付申請!J$14,テーブル22[[#Headers],[学年]:[得点]],0)))</f>
        <v/>
      </c>
      <c r="K155" s="203" t="str">
        <f>IF($A155&gt;MAX(入力シート!$AF$6:$AF$505),"",INDEX(テーブル22[[学年]:[得点]],MATCH(体力優良証交付申請!$A155,入力シート!$AF$6:$AF$505,0),MATCH(体力優良証交付申請!K$14,テーブル22[[#Headers],[学年]:[得点]],0)))</f>
        <v/>
      </c>
      <c r="L155" s="203" t="str">
        <f>IF($A155&gt;MAX(入力シート!$AF$6:$AF$505),"",INDEX(テーブル22[[学年]:[得点]],MATCH(体力優良証交付申請!$A155,入力シート!$AF$6:$AF$505,0),MATCH(体力優良証交付申請!L$14,テーブル22[[#Headers],[学年]:[得点]],0)))</f>
        <v/>
      </c>
      <c r="M155" s="28" t="str">
        <f>IF($A155&gt;MAX(入力シート!$AF$6:$AF$505),"",INDEX(テーブル22[[学年]:[得点]],MATCH(体力優良証交付申請!$A155,入力シート!$AF$6:$AF$505,0),MATCH(体力優良証交付申請!M$14,テーブル22[[#Headers],[学年]:[得点]],0)))</f>
        <v/>
      </c>
    </row>
    <row r="156" spans="1:13" x14ac:dyDescent="0.2">
      <c r="A156" s="16">
        <v>142</v>
      </c>
      <c r="B156" s="130" t="str">
        <f>IF($A156&gt;MAX(入力シート!$AF$6:$AF$505),"",INDEX(テーブル22[[学年]:[得点]],MATCH(体力優良証交付申請!$A156,入力シート!$AF$6:$AF$505,0),MATCH(体力優良証交付申請!B$14,テーブル22[[#Headers],[学年]:[得点]],0)))</f>
        <v/>
      </c>
      <c r="C156" s="203" t="str">
        <f>IF($A156&gt;MAX(入力シート!$AF$6:$AF$505),"",INDEX(テーブル22[[学年]:[得点]],MATCH(体力優良証交付申請!$A156,入力シート!$AF$6:$AF$505,0),MATCH(体力優良証交付申請!C$14,テーブル22[[#Headers],[学年]:[得点]],0)))</f>
        <v/>
      </c>
      <c r="D156" s="203" t="str">
        <f>IF($A156&gt;MAX(入力シート!$AF$6:$AF$505),"",INDEX(テーブル22[[学年]:[得点]],MATCH(体力優良証交付申請!$A156,入力シート!$AF$6:$AF$505,0),MATCH(体力優良証交付申請!D$14,テーブル22[[#Headers],[学年]:[得点]],0)))</f>
        <v/>
      </c>
      <c r="E156" s="203" t="str">
        <f>IF($A156&gt;MAX(入力シート!$AF$6:$AF$505),"",INDEX(テーブル22[[学年]:[得点]],MATCH(体力優良証交付申請!$A156,入力シート!$AF$6:$AF$505,0),MATCH(体力優良証交付申請!E$14,テーブル22[[#Headers],[学年]:[得点]],0)))</f>
        <v/>
      </c>
      <c r="F156" s="203" t="str">
        <f>IF($A156&gt;MAX(入力シート!$AF$6:$AF$505),"",INDEX(テーブル22[[学年]:[得点]],MATCH(体力優良証交付申請!$A156,入力シート!$AF$6:$AF$505,0),MATCH(体力優良証交付申請!F$14,テーブル22[[#Headers],[学年]:[得点]],0)))</f>
        <v/>
      </c>
      <c r="G156" s="203" t="str">
        <f>IF($A156&gt;MAX(入力シート!$AF$6:$AF$505),"",INDEX(テーブル22[[学年]:[得点]],MATCH(体力優良証交付申請!$A156,入力シート!$AF$6:$AF$505,0),MATCH(体力優良証交付申請!G$14,テーブル22[[#Headers],[学年]:[得点]],0)))</f>
        <v/>
      </c>
      <c r="H156" s="203" t="str">
        <f>IF($A156&gt;MAX(入力シート!$AF$6:$AF$505),"",INDEX(テーブル22[[学年]:[得点]],MATCH(体力優良証交付申請!$A156,入力シート!$AF$6:$AF$505,0),MATCH(体力優良証交付申請!H$14,テーブル22[[#Headers],[学年]:[得点]],0)))</f>
        <v/>
      </c>
      <c r="I156" s="203" t="str">
        <f>IF($A156&gt;MAX(入力シート!$AF$6:$AF$505),"",INDEX(テーブル22[[学年]:[得点]],MATCH(体力優良証交付申請!$A156,入力シート!$AF$6:$AF$505,0),MATCH(体力優良証交付申請!I$14,テーブル22[[#Headers],[学年]:[得点]],0)))</f>
        <v/>
      </c>
      <c r="J156" s="114" t="str">
        <f>IF($A156&gt;MAX(入力シート!$AF$6:$AF$505),"",INDEX(テーブル22[[学年]:[得点]],MATCH(体力優良証交付申請!$A156,入力シート!$AF$6:$AF$505,0),MATCH(体力優良証交付申請!J$14,テーブル22[[#Headers],[学年]:[得点]],0)))</f>
        <v/>
      </c>
      <c r="K156" s="203" t="str">
        <f>IF($A156&gt;MAX(入力シート!$AF$6:$AF$505),"",INDEX(テーブル22[[学年]:[得点]],MATCH(体力優良証交付申請!$A156,入力シート!$AF$6:$AF$505,0),MATCH(体力優良証交付申請!K$14,テーブル22[[#Headers],[学年]:[得点]],0)))</f>
        <v/>
      </c>
      <c r="L156" s="203" t="str">
        <f>IF($A156&gt;MAX(入力シート!$AF$6:$AF$505),"",INDEX(テーブル22[[学年]:[得点]],MATCH(体力優良証交付申請!$A156,入力シート!$AF$6:$AF$505,0),MATCH(体力優良証交付申請!L$14,テーブル22[[#Headers],[学年]:[得点]],0)))</f>
        <v/>
      </c>
      <c r="M156" s="28" t="str">
        <f>IF($A156&gt;MAX(入力シート!$AF$6:$AF$505),"",INDEX(テーブル22[[学年]:[得点]],MATCH(体力優良証交付申請!$A156,入力シート!$AF$6:$AF$505,0),MATCH(体力優良証交付申請!M$14,テーブル22[[#Headers],[学年]:[得点]],0)))</f>
        <v/>
      </c>
    </row>
    <row r="157" spans="1:13" x14ac:dyDescent="0.2">
      <c r="A157" s="16">
        <v>143</v>
      </c>
      <c r="B157" s="130" t="str">
        <f>IF($A157&gt;MAX(入力シート!$AF$6:$AF$505),"",INDEX(テーブル22[[学年]:[得点]],MATCH(体力優良証交付申請!$A157,入力シート!$AF$6:$AF$505,0),MATCH(体力優良証交付申請!B$14,テーブル22[[#Headers],[学年]:[得点]],0)))</f>
        <v/>
      </c>
      <c r="C157" s="203" t="str">
        <f>IF($A157&gt;MAX(入力シート!$AF$6:$AF$505),"",INDEX(テーブル22[[学年]:[得点]],MATCH(体力優良証交付申請!$A157,入力シート!$AF$6:$AF$505,0),MATCH(体力優良証交付申請!C$14,テーブル22[[#Headers],[学年]:[得点]],0)))</f>
        <v/>
      </c>
      <c r="D157" s="203" t="str">
        <f>IF($A157&gt;MAX(入力シート!$AF$6:$AF$505),"",INDEX(テーブル22[[学年]:[得点]],MATCH(体力優良証交付申請!$A157,入力シート!$AF$6:$AF$505,0),MATCH(体力優良証交付申請!D$14,テーブル22[[#Headers],[学年]:[得点]],0)))</f>
        <v/>
      </c>
      <c r="E157" s="203" t="str">
        <f>IF($A157&gt;MAX(入力シート!$AF$6:$AF$505),"",INDEX(テーブル22[[学年]:[得点]],MATCH(体力優良証交付申請!$A157,入力シート!$AF$6:$AF$505,0),MATCH(体力優良証交付申請!E$14,テーブル22[[#Headers],[学年]:[得点]],0)))</f>
        <v/>
      </c>
      <c r="F157" s="203" t="str">
        <f>IF($A157&gt;MAX(入力シート!$AF$6:$AF$505),"",INDEX(テーブル22[[学年]:[得点]],MATCH(体力優良証交付申請!$A157,入力シート!$AF$6:$AF$505,0),MATCH(体力優良証交付申請!F$14,テーブル22[[#Headers],[学年]:[得点]],0)))</f>
        <v/>
      </c>
      <c r="G157" s="203" t="str">
        <f>IF($A157&gt;MAX(入力シート!$AF$6:$AF$505),"",INDEX(テーブル22[[学年]:[得点]],MATCH(体力優良証交付申請!$A157,入力シート!$AF$6:$AF$505,0),MATCH(体力優良証交付申請!G$14,テーブル22[[#Headers],[学年]:[得点]],0)))</f>
        <v/>
      </c>
      <c r="H157" s="203" t="str">
        <f>IF($A157&gt;MAX(入力シート!$AF$6:$AF$505),"",INDEX(テーブル22[[学年]:[得点]],MATCH(体力優良証交付申請!$A157,入力シート!$AF$6:$AF$505,0),MATCH(体力優良証交付申請!H$14,テーブル22[[#Headers],[学年]:[得点]],0)))</f>
        <v/>
      </c>
      <c r="I157" s="203" t="str">
        <f>IF($A157&gt;MAX(入力シート!$AF$6:$AF$505),"",INDEX(テーブル22[[学年]:[得点]],MATCH(体力優良証交付申請!$A157,入力シート!$AF$6:$AF$505,0),MATCH(体力優良証交付申請!I$14,テーブル22[[#Headers],[学年]:[得点]],0)))</f>
        <v/>
      </c>
      <c r="J157" s="114" t="str">
        <f>IF($A157&gt;MAX(入力シート!$AF$6:$AF$505),"",INDEX(テーブル22[[学年]:[得点]],MATCH(体力優良証交付申請!$A157,入力シート!$AF$6:$AF$505,0),MATCH(体力優良証交付申請!J$14,テーブル22[[#Headers],[学年]:[得点]],0)))</f>
        <v/>
      </c>
      <c r="K157" s="203" t="str">
        <f>IF($A157&gt;MAX(入力シート!$AF$6:$AF$505),"",INDEX(テーブル22[[学年]:[得点]],MATCH(体力優良証交付申請!$A157,入力シート!$AF$6:$AF$505,0),MATCH(体力優良証交付申請!K$14,テーブル22[[#Headers],[学年]:[得点]],0)))</f>
        <v/>
      </c>
      <c r="L157" s="203" t="str">
        <f>IF($A157&gt;MAX(入力シート!$AF$6:$AF$505),"",INDEX(テーブル22[[学年]:[得点]],MATCH(体力優良証交付申請!$A157,入力シート!$AF$6:$AF$505,0),MATCH(体力優良証交付申請!L$14,テーブル22[[#Headers],[学年]:[得点]],0)))</f>
        <v/>
      </c>
      <c r="M157" s="28" t="str">
        <f>IF($A157&gt;MAX(入力シート!$AF$6:$AF$505),"",INDEX(テーブル22[[学年]:[得点]],MATCH(体力優良証交付申請!$A157,入力シート!$AF$6:$AF$505,0),MATCH(体力優良証交付申請!M$14,テーブル22[[#Headers],[学年]:[得点]],0)))</f>
        <v/>
      </c>
    </row>
    <row r="158" spans="1:13" x14ac:dyDescent="0.2">
      <c r="A158" s="16">
        <v>144</v>
      </c>
      <c r="B158" s="130" t="str">
        <f>IF($A158&gt;MAX(入力シート!$AF$6:$AF$505),"",INDEX(テーブル22[[学年]:[得点]],MATCH(体力優良証交付申請!$A158,入力シート!$AF$6:$AF$505,0),MATCH(体力優良証交付申請!B$14,テーブル22[[#Headers],[学年]:[得点]],0)))</f>
        <v/>
      </c>
      <c r="C158" s="203" t="str">
        <f>IF($A158&gt;MAX(入力シート!$AF$6:$AF$505),"",INDEX(テーブル22[[学年]:[得点]],MATCH(体力優良証交付申請!$A158,入力シート!$AF$6:$AF$505,0),MATCH(体力優良証交付申請!C$14,テーブル22[[#Headers],[学年]:[得点]],0)))</f>
        <v/>
      </c>
      <c r="D158" s="203" t="str">
        <f>IF($A158&gt;MAX(入力シート!$AF$6:$AF$505),"",INDEX(テーブル22[[学年]:[得点]],MATCH(体力優良証交付申請!$A158,入力シート!$AF$6:$AF$505,0),MATCH(体力優良証交付申請!D$14,テーブル22[[#Headers],[学年]:[得点]],0)))</f>
        <v/>
      </c>
      <c r="E158" s="203" t="str">
        <f>IF($A158&gt;MAX(入力シート!$AF$6:$AF$505),"",INDEX(テーブル22[[学年]:[得点]],MATCH(体力優良証交付申請!$A158,入力シート!$AF$6:$AF$505,0),MATCH(体力優良証交付申請!E$14,テーブル22[[#Headers],[学年]:[得点]],0)))</f>
        <v/>
      </c>
      <c r="F158" s="203" t="str">
        <f>IF($A158&gt;MAX(入力シート!$AF$6:$AF$505),"",INDEX(テーブル22[[学年]:[得点]],MATCH(体力優良証交付申請!$A158,入力シート!$AF$6:$AF$505,0),MATCH(体力優良証交付申請!F$14,テーブル22[[#Headers],[学年]:[得点]],0)))</f>
        <v/>
      </c>
      <c r="G158" s="203" t="str">
        <f>IF($A158&gt;MAX(入力シート!$AF$6:$AF$505),"",INDEX(テーブル22[[学年]:[得点]],MATCH(体力優良証交付申請!$A158,入力シート!$AF$6:$AF$505,0),MATCH(体力優良証交付申請!G$14,テーブル22[[#Headers],[学年]:[得点]],0)))</f>
        <v/>
      </c>
      <c r="H158" s="203" t="str">
        <f>IF($A158&gt;MAX(入力シート!$AF$6:$AF$505),"",INDEX(テーブル22[[学年]:[得点]],MATCH(体力優良証交付申請!$A158,入力シート!$AF$6:$AF$505,0),MATCH(体力優良証交付申請!H$14,テーブル22[[#Headers],[学年]:[得点]],0)))</f>
        <v/>
      </c>
      <c r="I158" s="203" t="str">
        <f>IF($A158&gt;MAX(入力シート!$AF$6:$AF$505),"",INDEX(テーブル22[[学年]:[得点]],MATCH(体力優良証交付申請!$A158,入力シート!$AF$6:$AF$505,0),MATCH(体力優良証交付申請!I$14,テーブル22[[#Headers],[学年]:[得点]],0)))</f>
        <v/>
      </c>
      <c r="J158" s="114" t="str">
        <f>IF($A158&gt;MAX(入力シート!$AF$6:$AF$505),"",INDEX(テーブル22[[学年]:[得点]],MATCH(体力優良証交付申請!$A158,入力シート!$AF$6:$AF$505,0),MATCH(体力優良証交付申請!J$14,テーブル22[[#Headers],[学年]:[得点]],0)))</f>
        <v/>
      </c>
      <c r="K158" s="203" t="str">
        <f>IF($A158&gt;MAX(入力シート!$AF$6:$AF$505),"",INDEX(テーブル22[[学年]:[得点]],MATCH(体力優良証交付申請!$A158,入力シート!$AF$6:$AF$505,0),MATCH(体力優良証交付申請!K$14,テーブル22[[#Headers],[学年]:[得点]],0)))</f>
        <v/>
      </c>
      <c r="L158" s="203" t="str">
        <f>IF($A158&gt;MAX(入力シート!$AF$6:$AF$505),"",INDEX(テーブル22[[学年]:[得点]],MATCH(体力優良証交付申請!$A158,入力シート!$AF$6:$AF$505,0),MATCH(体力優良証交付申請!L$14,テーブル22[[#Headers],[学年]:[得点]],0)))</f>
        <v/>
      </c>
      <c r="M158" s="28" t="str">
        <f>IF($A158&gt;MAX(入力シート!$AF$6:$AF$505),"",INDEX(テーブル22[[学年]:[得点]],MATCH(体力優良証交付申請!$A158,入力シート!$AF$6:$AF$505,0),MATCH(体力優良証交付申請!M$14,テーブル22[[#Headers],[学年]:[得点]],0)))</f>
        <v/>
      </c>
    </row>
    <row r="159" spans="1:13" x14ac:dyDescent="0.2">
      <c r="A159" s="16">
        <v>145</v>
      </c>
      <c r="B159" s="130" t="str">
        <f>IF($A159&gt;MAX(入力シート!$AF$6:$AF$505),"",INDEX(テーブル22[[学年]:[得点]],MATCH(体力優良証交付申請!$A159,入力シート!$AF$6:$AF$505,0),MATCH(体力優良証交付申請!B$14,テーブル22[[#Headers],[学年]:[得点]],0)))</f>
        <v/>
      </c>
      <c r="C159" s="203" t="str">
        <f>IF($A159&gt;MAX(入力シート!$AF$6:$AF$505),"",INDEX(テーブル22[[学年]:[得点]],MATCH(体力優良証交付申請!$A159,入力シート!$AF$6:$AF$505,0),MATCH(体力優良証交付申請!C$14,テーブル22[[#Headers],[学年]:[得点]],0)))</f>
        <v/>
      </c>
      <c r="D159" s="203" t="str">
        <f>IF($A159&gt;MAX(入力シート!$AF$6:$AF$505),"",INDEX(テーブル22[[学年]:[得点]],MATCH(体力優良証交付申請!$A159,入力シート!$AF$6:$AF$505,0),MATCH(体力優良証交付申請!D$14,テーブル22[[#Headers],[学年]:[得点]],0)))</f>
        <v/>
      </c>
      <c r="E159" s="203" t="str">
        <f>IF($A159&gt;MAX(入力シート!$AF$6:$AF$505),"",INDEX(テーブル22[[学年]:[得点]],MATCH(体力優良証交付申請!$A159,入力シート!$AF$6:$AF$505,0),MATCH(体力優良証交付申請!E$14,テーブル22[[#Headers],[学年]:[得点]],0)))</f>
        <v/>
      </c>
      <c r="F159" s="203" t="str">
        <f>IF($A159&gt;MAX(入力シート!$AF$6:$AF$505),"",INDEX(テーブル22[[学年]:[得点]],MATCH(体力優良証交付申請!$A159,入力シート!$AF$6:$AF$505,0),MATCH(体力優良証交付申請!F$14,テーブル22[[#Headers],[学年]:[得点]],0)))</f>
        <v/>
      </c>
      <c r="G159" s="203" t="str">
        <f>IF($A159&gt;MAX(入力シート!$AF$6:$AF$505),"",INDEX(テーブル22[[学年]:[得点]],MATCH(体力優良証交付申請!$A159,入力シート!$AF$6:$AF$505,0),MATCH(体力優良証交付申請!G$14,テーブル22[[#Headers],[学年]:[得点]],0)))</f>
        <v/>
      </c>
      <c r="H159" s="203" t="str">
        <f>IF($A159&gt;MAX(入力シート!$AF$6:$AF$505),"",INDEX(テーブル22[[学年]:[得点]],MATCH(体力優良証交付申請!$A159,入力シート!$AF$6:$AF$505,0),MATCH(体力優良証交付申請!H$14,テーブル22[[#Headers],[学年]:[得点]],0)))</f>
        <v/>
      </c>
      <c r="I159" s="203" t="str">
        <f>IF($A159&gt;MAX(入力シート!$AF$6:$AF$505),"",INDEX(テーブル22[[学年]:[得点]],MATCH(体力優良証交付申請!$A159,入力シート!$AF$6:$AF$505,0),MATCH(体力優良証交付申請!I$14,テーブル22[[#Headers],[学年]:[得点]],0)))</f>
        <v/>
      </c>
      <c r="J159" s="114" t="str">
        <f>IF($A159&gt;MAX(入力シート!$AF$6:$AF$505),"",INDEX(テーブル22[[学年]:[得点]],MATCH(体力優良証交付申請!$A159,入力シート!$AF$6:$AF$505,0),MATCH(体力優良証交付申請!J$14,テーブル22[[#Headers],[学年]:[得点]],0)))</f>
        <v/>
      </c>
      <c r="K159" s="203" t="str">
        <f>IF($A159&gt;MAX(入力シート!$AF$6:$AF$505),"",INDEX(テーブル22[[学年]:[得点]],MATCH(体力優良証交付申請!$A159,入力シート!$AF$6:$AF$505,0),MATCH(体力優良証交付申請!K$14,テーブル22[[#Headers],[学年]:[得点]],0)))</f>
        <v/>
      </c>
      <c r="L159" s="203" t="str">
        <f>IF($A159&gt;MAX(入力シート!$AF$6:$AF$505),"",INDEX(テーブル22[[学年]:[得点]],MATCH(体力優良証交付申請!$A159,入力シート!$AF$6:$AF$505,0),MATCH(体力優良証交付申請!L$14,テーブル22[[#Headers],[学年]:[得点]],0)))</f>
        <v/>
      </c>
      <c r="M159" s="28" t="str">
        <f>IF($A159&gt;MAX(入力シート!$AF$6:$AF$505),"",INDEX(テーブル22[[学年]:[得点]],MATCH(体力優良証交付申請!$A159,入力シート!$AF$6:$AF$505,0),MATCH(体力優良証交付申請!M$14,テーブル22[[#Headers],[学年]:[得点]],0)))</f>
        <v/>
      </c>
    </row>
    <row r="160" spans="1:13" x14ac:dyDescent="0.2">
      <c r="A160" s="16">
        <v>146</v>
      </c>
      <c r="B160" s="130" t="str">
        <f>IF($A160&gt;MAX(入力シート!$AF$6:$AF$505),"",INDEX(テーブル22[[学年]:[得点]],MATCH(体力優良証交付申請!$A160,入力シート!$AF$6:$AF$505,0),MATCH(体力優良証交付申請!B$14,テーブル22[[#Headers],[学年]:[得点]],0)))</f>
        <v/>
      </c>
      <c r="C160" s="203" t="str">
        <f>IF($A160&gt;MAX(入力シート!$AF$6:$AF$505),"",INDEX(テーブル22[[学年]:[得点]],MATCH(体力優良証交付申請!$A160,入力シート!$AF$6:$AF$505,0),MATCH(体力優良証交付申請!C$14,テーブル22[[#Headers],[学年]:[得点]],0)))</f>
        <v/>
      </c>
      <c r="D160" s="203" t="str">
        <f>IF($A160&gt;MAX(入力シート!$AF$6:$AF$505),"",INDEX(テーブル22[[学年]:[得点]],MATCH(体力優良証交付申請!$A160,入力シート!$AF$6:$AF$505,0),MATCH(体力優良証交付申請!D$14,テーブル22[[#Headers],[学年]:[得点]],0)))</f>
        <v/>
      </c>
      <c r="E160" s="203" t="str">
        <f>IF($A160&gt;MAX(入力シート!$AF$6:$AF$505),"",INDEX(テーブル22[[学年]:[得点]],MATCH(体力優良証交付申請!$A160,入力シート!$AF$6:$AF$505,0),MATCH(体力優良証交付申請!E$14,テーブル22[[#Headers],[学年]:[得点]],0)))</f>
        <v/>
      </c>
      <c r="F160" s="203" t="str">
        <f>IF($A160&gt;MAX(入力シート!$AF$6:$AF$505),"",INDEX(テーブル22[[学年]:[得点]],MATCH(体力優良証交付申請!$A160,入力シート!$AF$6:$AF$505,0),MATCH(体力優良証交付申請!F$14,テーブル22[[#Headers],[学年]:[得点]],0)))</f>
        <v/>
      </c>
      <c r="G160" s="203" t="str">
        <f>IF($A160&gt;MAX(入力シート!$AF$6:$AF$505),"",INDEX(テーブル22[[学年]:[得点]],MATCH(体力優良証交付申請!$A160,入力シート!$AF$6:$AF$505,0),MATCH(体力優良証交付申請!G$14,テーブル22[[#Headers],[学年]:[得点]],0)))</f>
        <v/>
      </c>
      <c r="H160" s="203" t="str">
        <f>IF($A160&gt;MAX(入力シート!$AF$6:$AF$505),"",INDEX(テーブル22[[学年]:[得点]],MATCH(体力優良証交付申請!$A160,入力シート!$AF$6:$AF$505,0),MATCH(体力優良証交付申請!H$14,テーブル22[[#Headers],[学年]:[得点]],0)))</f>
        <v/>
      </c>
      <c r="I160" s="203" t="str">
        <f>IF($A160&gt;MAX(入力シート!$AF$6:$AF$505),"",INDEX(テーブル22[[学年]:[得点]],MATCH(体力優良証交付申請!$A160,入力シート!$AF$6:$AF$505,0),MATCH(体力優良証交付申請!I$14,テーブル22[[#Headers],[学年]:[得点]],0)))</f>
        <v/>
      </c>
      <c r="J160" s="114" t="str">
        <f>IF($A160&gt;MAX(入力シート!$AF$6:$AF$505),"",INDEX(テーブル22[[学年]:[得点]],MATCH(体力優良証交付申請!$A160,入力シート!$AF$6:$AF$505,0),MATCH(体力優良証交付申請!J$14,テーブル22[[#Headers],[学年]:[得点]],0)))</f>
        <v/>
      </c>
      <c r="K160" s="203" t="str">
        <f>IF($A160&gt;MAX(入力シート!$AF$6:$AF$505),"",INDEX(テーブル22[[学年]:[得点]],MATCH(体力優良証交付申請!$A160,入力シート!$AF$6:$AF$505,0),MATCH(体力優良証交付申請!K$14,テーブル22[[#Headers],[学年]:[得点]],0)))</f>
        <v/>
      </c>
      <c r="L160" s="203" t="str">
        <f>IF($A160&gt;MAX(入力シート!$AF$6:$AF$505),"",INDEX(テーブル22[[学年]:[得点]],MATCH(体力優良証交付申請!$A160,入力シート!$AF$6:$AF$505,0),MATCH(体力優良証交付申請!L$14,テーブル22[[#Headers],[学年]:[得点]],0)))</f>
        <v/>
      </c>
      <c r="M160" s="28" t="str">
        <f>IF($A160&gt;MAX(入力シート!$AF$6:$AF$505),"",INDEX(テーブル22[[学年]:[得点]],MATCH(体力優良証交付申請!$A160,入力シート!$AF$6:$AF$505,0),MATCH(体力優良証交付申請!M$14,テーブル22[[#Headers],[学年]:[得点]],0)))</f>
        <v/>
      </c>
    </row>
    <row r="161" spans="1:13" x14ac:dyDescent="0.2">
      <c r="A161" s="16">
        <v>147</v>
      </c>
      <c r="B161" s="130" t="str">
        <f>IF($A161&gt;MAX(入力シート!$AF$6:$AF$505),"",INDEX(テーブル22[[学年]:[得点]],MATCH(体力優良証交付申請!$A161,入力シート!$AF$6:$AF$505,0),MATCH(体力優良証交付申請!B$14,テーブル22[[#Headers],[学年]:[得点]],0)))</f>
        <v/>
      </c>
      <c r="C161" s="203" t="str">
        <f>IF($A161&gt;MAX(入力シート!$AF$6:$AF$505),"",INDEX(テーブル22[[学年]:[得点]],MATCH(体力優良証交付申請!$A161,入力シート!$AF$6:$AF$505,0),MATCH(体力優良証交付申請!C$14,テーブル22[[#Headers],[学年]:[得点]],0)))</f>
        <v/>
      </c>
      <c r="D161" s="203" t="str">
        <f>IF($A161&gt;MAX(入力シート!$AF$6:$AF$505),"",INDEX(テーブル22[[学年]:[得点]],MATCH(体力優良証交付申請!$A161,入力シート!$AF$6:$AF$505,0),MATCH(体力優良証交付申請!D$14,テーブル22[[#Headers],[学年]:[得点]],0)))</f>
        <v/>
      </c>
      <c r="E161" s="203" t="str">
        <f>IF($A161&gt;MAX(入力シート!$AF$6:$AF$505),"",INDEX(テーブル22[[学年]:[得点]],MATCH(体力優良証交付申請!$A161,入力シート!$AF$6:$AF$505,0),MATCH(体力優良証交付申請!E$14,テーブル22[[#Headers],[学年]:[得点]],0)))</f>
        <v/>
      </c>
      <c r="F161" s="203" t="str">
        <f>IF($A161&gt;MAX(入力シート!$AF$6:$AF$505),"",INDEX(テーブル22[[学年]:[得点]],MATCH(体力優良証交付申請!$A161,入力シート!$AF$6:$AF$505,0),MATCH(体力優良証交付申請!F$14,テーブル22[[#Headers],[学年]:[得点]],0)))</f>
        <v/>
      </c>
      <c r="G161" s="203" t="str">
        <f>IF($A161&gt;MAX(入力シート!$AF$6:$AF$505),"",INDEX(テーブル22[[学年]:[得点]],MATCH(体力優良証交付申請!$A161,入力シート!$AF$6:$AF$505,0),MATCH(体力優良証交付申請!G$14,テーブル22[[#Headers],[学年]:[得点]],0)))</f>
        <v/>
      </c>
      <c r="H161" s="203" t="str">
        <f>IF($A161&gt;MAX(入力シート!$AF$6:$AF$505),"",INDEX(テーブル22[[学年]:[得点]],MATCH(体力優良証交付申請!$A161,入力シート!$AF$6:$AF$505,0),MATCH(体力優良証交付申請!H$14,テーブル22[[#Headers],[学年]:[得点]],0)))</f>
        <v/>
      </c>
      <c r="I161" s="203" t="str">
        <f>IF($A161&gt;MAX(入力シート!$AF$6:$AF$505),"",INDEX(テーブル22[[学年]:[得点]],MATCH(体力優良証交付申請!$A161,入力シート!$AF$6:$AF$505,0),MATCH(体力優良証交付申請!I$14,テーブル22[[#Headers],[学年]:[得点]],0)))</f>
        <v/>
      </c>
      <c r="J161" s="114" t="str">
        <f>IF($A161&gt;MAX(入力シート!$AF$6:$AF$505),"",INDEX(テーブル22[[学年]:[得点]],MATCH(体力優良証交付申請!$A161,入力シート!$AF$6:$AF$505,0),MATCH(体力優良証交付申請!J$14,テーブル22[[#Headers],[学年]:[得点]],0)))</f>
        <v/>
      </c>
      <c r="K161" s="203" t="str">
        <f>IF($A161&gt;MAX(入力シート!$AF$6:$AF$505),"",INDEX(テーブル22[[学年]:[得点]],MATCH(体力優良証交付申請!$A161,入力シート!$AF$6:$AF$505,0),MATCH(体力優良証交付申請!K$14,テーブル22[[#Headers],[学年]:[得点]],0)))</f>
        <v/>
      </c>
      <c r="L161" s="203" t="str">
        <f>IF($A161&gt;MAX(入力シート!$AF$6:$AF$505),"",INDEX(テーブル22[[学年]:[得点]],MATCH(体力優良証交付申請!$A161,入力シート!$AF$6:$AF$505,0),MATCH(体力優良証交付申請!L$14,テーブル22[[#Headers],[学年]:[得点]],0)))</f>
        <v/>
      </c>
      <c r="M161" s="28" t="str">
        <f>IF($A161&gt;MAX(入力シート!$AF$6:$AF$505),"",INDEX(テーブル22[[学年]:[得点]],MATCH(体力優良証交付申請!$A161,入力シート!$AF$6:$AF$505,0),MATCH(体力優良証交付申請!M$14,テーブル22[[#Headers],[学年]:[得点]],0)))</f>
        <v/>
      </c>
    </row>
    <row r="162" spans="1:13" x14ac:dyDescent="0.2">
      <c r="A162" s="16">
        <v>148</v>
      </c>
      <c r="B162" s="130" t="str">
        <f>IF($A162&gt;MAX(入力シート!$AF$6:$AF$505),"",INDEX(テーブル22[[学年]:[得点]],MATCH(体力優良証交付申請!$A162,入力シート!$AF$6:$AF$505,0),MATCH(体力優良証交付申請!B$14,テーブル22[[#Headers],[学年]:[得点]],0)))</f>
        <v/>
      </c>
      <c r="C162" s="203" t="str">
        <f>IF($A162&gt;MAX(入力シート!$AF$6:$AF$505),"",INDEX(テーブル22[[学年]:[得点]],MATCH(体力優良証交付申請!$A162,入力シート!$AF$6:$AF$505,0),MATCH(体力優良証交付申請!C$14,テーブル22[[#Headers],[学年]:[得点]],0)))</f>
        <v/>
      </c>
      <c r="D162" s="203" t="str">
        <f>IF($A162&gt;MAX(入力シート!$AF$6:$AF$505),"",INDEX(テーブル22[[学年]:[得点]],MATCH(体力優良証交付申請!$A162,入力シート!$AF$6:$AF$505,0),MATCH(体力優良証交付申請!D$14,テーブル22[[#Headers],[学年]:[得点]],0)))</f>
        <v/>
      </c>
      <c r="E162" s="203" t="str">
        <f>IF($A162&gt;MAX(入力シート!$AF$6:$AF$505),"",INDEX(テーブル22[[学年]:[得点]],MATCH(体力優良証交付申請!$A162,入力シート!$AF$6:$AF$505,0),MATCH(体力優良証交付申請!E$14,テーブル22[[#Headers],[学年]:[得点]],0)))</f>
        <v/>
      </c>
      <c r="F162" s="203" t="str">
        <f>IF($A162&gt;MAX(入力シート!$AF$6:$AF$505),"",INDEX(テーブル22[[学年]:[得点]],MATCH(体力優良証交付申請!$A162,入力シート!$AF$6:$AF$505,0),MATCH(体力優良証交付申請!F$14,テーブル22[[#Headers],[学年]:[得点]],0)))</f>
        <v/>
      </c>
      <c r="G162" s="203" t="str">
        <f>IF($A162&gt;MAX(入力シート!$AF$6:$AF$505),"",INDEX(テーブル22[[学年]:[得点]],MATCH(体力優良証交付申請!$A162,入力シート!$AF$6:$AF$505,0),MATCH(体力優良証交付申請!G$14,テーブル22[[#Headers],[学年]:[得点]],0)))</f>
        <v/>
      </c>
      <c r="H162" s="203" t="str">
        <f>IF($A162&gt;MAX(入力シート!$AF$6:$AF$505),"",INDEX(テーブル22[[学年]:[得点]],MATCH(体力優良証交付申請!$A162,入力シート!$AF$6:$AF$505,0),MATCH(体力優良証交付申請!H$14,テーブル22[[#Headers],[学年]:[得点]],0)))</f>
        <v/>
      </c>
      <c r="I162" s="203" t="str">
        <f>IF($A162&gt;MAX(入力シート!$AF$6:$AF$505),"",INDEX(テーブル22[[学年]:[得点]],MATCH(体力優良証交付申請!$A162,入力シート!$AF$6:$AF$505,0),MATCH(体力優良証交付申請!I$14,テーブル22[[#Headers],[学年]:[得点]],0)))</f>
        <v/>
      </c>
      <c r="J162" s="114" t="str">
        <f>IF($A162&gt;MAX(入力シート!$AF$6:$AF$505),"",INDEX(テーブル22[[学年]:[得点]],MATCH(体力優良証交付申請!$A162,入力シート!$AF$6:$AF$505,0),MATCH(体力優良証交付申請!J$14,テーブル22[[#Headers],[学年]:[得点]],0)))</f>
        <v/>
      </c>
      <c r="K162" s="203" t="str">
        <f>IF($A162&gt;MAX(入力シート!$AF$6:$AF$505),"",INDEX(テーブル22[[学年]:[得点]],MATCH(体力優良証交付申請!$A162,入力シート!$AF$6:$AF$505,0),MATCH(体力優良証交付申請!K$14,テーブル22[[#Headers],[学年]:[得点]],0)))</f>
        <v/>
      </c>
      <c r="L162" s="203" t="str">
        <f>IF($A162&gt;MAX(入力シート!$AF$6:$AF$505),"",INDEX(テーブル22[[学年]:[得点]],MATCH(体力優良証交付申請!$A162,入力シート!$AF$6:$AF$505,0),MATCH(体力優良証交付申請!L$14,テーブル22[[#Headers],[学年]:[得点]],0)))</f>
        <v/>
      </c>
      <c r="M162" s="28" t="str">
        <f>IF($A162&gt;MAX(入力シート!$AF$6:$AF$505),"",INDEX(テーブル22[[学年]:[得点]],MATCH(体力優良証交付申請!$A162,入力シート!$AF$6:$AF$505,0),MATCH(体力優良証交付申請!M$14,テーブル22[[#Headers],[学年]:[得点]],0)))</f>
        <v/>
      </c>
    </row>
    <row r="163" spans="1:13" x14ac:dyDescent="0.2">
      <c r="A163" s="16">
        <v>149</v>
      </c>
      <c r="B163" s="130" t="str">
        <f>IF($A163&gt;MAX(入力シート!$AF$6:$AF$505),"",INDEX(テーブル22[[学年]:[得点]],MATCH(体力優良証交付申請!$A163,入力シート!$AF$6:$AF$505,0),MATCH(体力優良証交付申請!B$14,テーブル22[[#Headers],[学年]:[得点]],0)))</f>
        <v/>
      </c>
      <c r="C163" s="203" t="str">
        <f>IF($A163&gt;MAX(入力シート!$AF$6:$AF$505),"",INDEX(テーブル22[[学年]:[得点]],MATCH(体力優良証交付申請!$A163,入力シート!$AF$6:$AF$505,0),MATCH(体力優良証交付申請!C$14,テーブル22[[#Headers],[学年]:[得点]],0)))</f>
        <v/>
      </c>
      <c r="D163" s="203" t="str">
        <f>IF($A163&gt;MAX(入力シート!$AF$6:$AF$505),"",INDEX(テーブル22[[学年]:[得点]],MATCH(体力優良証交付申請!$A163,入力シート!$AF$6:$AF$505,0),MATCH(体力優良証交付申請!D$14,テーブル22[[#Headers],[学年]:[得点]],0)))</f>
        <v/>
      </c>
      <c r="E163" s="203" t="str">
        <f>IF($A163&gt;MAX(入力シート!$AF$6:$AF$505),"",INDEX(テーブル22[[学年]:[得点]],MATCH(体力優良証交付申請!$A163,入力シート!$AF$6:$AF$505,0),MATCH(体力優良証交付申請!E$14,テーブル22[[#Headers],[学年]:[得点]],0)))</f>
        <v/>
      </c>
      <c r="F163" s="203" t="str">
        <f>IF($A163&gt;MAX(入力シート!$AF$6:$AF$505),"",INDEX(テーブル22[[学年]:[得点]],MATCH(体力優良証交付申請!$A163,入力シート!$AF$6:$AF$505,0),MATCH(体力優良証交付申請!F$14,テーブル22[[#Headers],[学年]:[得点]],0)))</f>
        <v/>
      </c>
      <c r="G163" s="203" t="str">
        <f>IF($A163&gt;MAX(入力シート!$AF$6:$AF$505),"",INDEX(テーブル22[[学年]:[得点]],MATCH(体力優良証交付申請!$A163,入力シート!$AF$6:$AF$505,0),MATCH(体力優良証交付申請!G$14,テーブル22[[#Headers],[学年]:[得点]],0)))</f>
        <v/>
      </c>
      <c r="H163" s="203" t="str">
        <f>IF($A163&gt;MAX(入力シート!$AF$6:$AF$505),"",INDEX(テーブル22[[学年]:[得点]],MATCH(体力優良証交付申請!$A163,入力シート!$AF$6:$AF$505,0),MATCH(体力優良証交付申請!H$14,テーブル22[[#Headers],[学年]:[得点]],0)))</f>
        <v/>
      </c>
      <c r="I163" s="203" t="str">
        <f>IF($A163&gt;MAX(入力シート!$AF$6:$AF$505),"",INDEX(テーブル22[[学年]:[得点]],MATCH(体力優良証交付申請!$A163,入力シート!$AF$6:$AF$505,0),MATCH(体力優良証交付申請!I$14,テーブル22[[#Headers],[学年]:[得点]],0)))</f>
        <v/>
      </c>
      <c r="J163" s="114" t="str">
        <f>IF($A163&gt;MAX(入力シート!$AF$6:$AF$505),"",INDEX(テーブル22[[学年]:[得点]],MATCH(体力優良証交付申請!$A163,入力シート!$AF$6:$AF$505,0),MATCH(体力優良証交付申請!J$14,テーブル22[[#Headers],[学年]:[得点]],0)))</f>
        <v/>
      </c>
      <c r="K163" s="203" t="str">
        <f>IF($A163&gt;MAX(入力シート!$AF$6:$AF$505),"",INDEX(テーブル22[[学年]:[得点]],MATCH(体力優良証交付申請!$A163,入力シート!$AF$6:$AF$505,0),MATCH(体力優良証交付申請!K$14,テーブル22[[#Headers],[学年]:[得点]],0)))</f>
        <v/>
      </c>
      <c r="L163" s="203" t="str">
        <f>IF($A163&gt;MAX(入力シート!$AF$6:$AF$505),"",INDEX(テーブル22[[学年]:[得点]],MATCH(体力優良証交付申請!$A163,入力シート!$AF$6:$AF$505,0),MATCH(体力優良証交付申請!L$14,テーブル22[[#Headers],[学年]:[得点]],0)))</f>
        <v/>
      </c>
      <c r="M163" s="28" t="str">
        <f>IF($A163&gt;MAX(入力シート!$AF$6:$AF$505),"",INDEX(テーブル22[[学年]:[得点]],MATCH(体力優良証交付申請!$A163,入力シート!$AF$6:$AF$505,0),MATCH(体力優良証交付申請!M$14,テーブル22[[#Headers],[学年]:[得点]],0)))</f>
        <v/>
      </c>
    </row>
    <row r="164" spans="1:13" x14ac:dyDescent="0.2">
      <c r="A164" s="16">
        <v>150</v>
      </c>
      <c r="B164" s="130" t="str">
        <f>IF($A164&gt;MAX(入力シート!$AF$6:$AF$505),"",INDEX(テーブル22[[学年]:[得点]],MATCH(体力優良証交付申請!$A164,入力シート!$AF$6:$AF$505,0),MATCH(体力優良証交付申請!B$14,テーブル22[[#Headers],[学年]:[得点]],0)))</f>
        <v/>
      </c>
      <c r="C164" s="203" t="str">
        <f>IF($A164&gt;MAX(入力シート!$AF$6:$AF$505),"",INDEX(テーブル22[[学年]:[得点]],MATCH(体力優良証交付申請!$A164,入力シート!$AF$6:$AF$505,0),MATCH(体力優良証交付申請!C$14,テーブル22[[#Headers],[学年]:[得点]],0)))</f>
        <v/>
      </c>
      <c r="D164" s="203" t="str">
        <f>IF($A164&gt;MAX(入力シート!$AF$6:$AF$505),"",INDEX(テーブル22[[学年]:[得点]],MATCH(体力優良証交付申請!$A164,入力シート!$AF$6:$AF$505,0),MATCH(体力優良証交付申請!D$14,テーブル22[[#Headers],[学年]:[得点]],0)))</f>
        <v/>
      </c>
      <c r="E164" s="203" t="str">
        <f>IF($A164&gt;MAX(入力シート!$AF$6:$AF$505),"",INDEX(テーブル22[[学年]:[得点]],MATCH(体力優良証交付申請!$A164,入力シート!$AF$6:$AF$505,0),MATCH(体力優良証交付申請!E$14,テーブル22[[#Headers],[学年]:[得点]],0)))</f>
        <v/>
      </c>
      <c r="F164" s="203" t="str">
        <f>IF($A164&gt;MAX(入力シート!$AF$6:$AF$505),"",INDEX(テーブル22[[学年]:[得点]],MATCH(体力優良証交付申請!$A164,入力シート!$AF$6:$AF$505,0),MATCH(体力優良証交付申請!F$14,テーブル22[[#Headers],[学年]:[得点]],0)))</f>
        <v/>
      </c>
      <c r="G164" s="203" t="str">
        <f>IF($A164&gt;MAX(入力シート!$AF$6:$AF$505),"",INDEX(テーブル22[[学年]:[得点]],MATCH(体力優良証交付申請!$A164,入力シート!$AF$6:$AF$505,0),MATCH(体力優良証交付申請!G$14,テーブル22[[#Headers],[学年]:[得点]],0)))</f>
        <v/>
      </c>
      <c r="H164" s="203" t="str">
        <f>IF($A164&gt;MAX(入力シート!$AF$6:$AF$505),"",INDEX(テーブル22[[学年]:[得点]],MATCH(体力優良証交付申請!$A164,入力シート!$AF$6:$AF$505,0),MATCH(体力優良証交付申請!H$14,テーブル22[[#Headers],[学年]:[得点]],0)))</f>
        <v/>
      </c>
      <c r="I164" s="203" t="str">
        <f>IF($A164&gt;MAX(入力シート!$AF$6:$AF$505),"",INDEX(テーブル22[[学年]:[得点]],MATCH(体力優良証交付申請!$A164,入力シート!$AF$6:$AF$505,0),MATCH(体力優良証交付申請!I$14,テーブル22[[#Headers],[学年]:[得点]],0)))</f>
        <v/>
      </c>
      <c r="J164" s="114" t="str">
        <f>IF($A164&gt;MAX(入力シート!$AF$6:$AF$505),"",INDEX(テーブル22[[学年]:[得点]],MATCH(体力優良証交付申請!$A164,入力シート!$AF$6:$AF$505,0),MATCH(体力優良証交付申請!J$14,テーブル22[[#Headers],[学年]:[得点]],0)))</f>
        <v/>
      </c>
      <c r="K164" s="203" t="str">
        <f>IF($A164&gt;MAX(入力シート!$AF$6:$AF$505),"",INDEX(テーブル22[[学年]:[得点]],MATCH(体力優良証交付申請!$A164,入力シート!$AF$6:$AF$505,0),MATCH(体力優良証交付申請!K$14,テーブル22[[#Headers],[学年]:[得点]],0)))</f>
        <v/>
      </c>
      <c r="L164" s="203" t="str">
        <f>IF($A164&gt;MAX(入力シート!$AF$6:$AF$505),"",INDEX(テーブル22[[学年]:[得点]],MATCH(体力優良証交付申請!$A164,入力シート!$AF$6:$AF$505,0),MATCH(体力優良証交付申請!L$14,テーブル22[[#Headers],[学年]:[得点]],0)))</f>
        <v/>
      </c>
      <c r="M164" s="28" t="str">
        <f>IF($A164&gt;MAX(入力シート!$AF$6:$AF$505),"",INDEX(テーブル22[[学年]:[得点]],MATCH(体力優良証交付申請!$A164,入力シート!$AF$6:$AF$505,0),MATCH(体力優良証交付申請!M$14,テーブル22[[#Headers],[学年]:[得点]],0)))</f>
        <v/>
      </c>
    </row>
    <row r="165" spans="1:13" x14ac:dyDescent="0.2">
      <c r="A165" s="16">
        <v>151</v>
      </c>
      <c r="B165" s="130" t="str">
        <f>IF($A165&gt;MAX(入力シート!$AF$6:$AF$505),"",INDEX(テーブル22[[学年]:[得点]],MATCH(体力優良証交付申請!$A165,入力シート!$AF$6:$AF$505,0),MATCH(体力優良証交付申請!B$14,テーブル22[[#Headers],[学年]:[得点]],0)))</f>
        <v/>
      </c>
      <c r="C165" s="203" t="str">
        <f>IF($A165&gt;MAX(入力シート!$AF$6:$AF$505),"",INDEX(テーブル22[[学年]:[得点]],MATCH(体力優良証交付申請!$A165,入力シート!$AF$6:$AF$505,0),MATCH(体力優良証交付申請!C$14,テーブル22[[#Headers],[学年]:[得点]],0)))</f>
        <v/>
      </c>
      <c r="D165" s="203" t="str">
        <f>IF($A165&gt;MAX(入力シート!$AF$6:$AF$505),"",INDEX(テーブル22[[学年]:[得点]],MATCH(体力優良証交付申請!$A165,入力シート!$AF$6:$AF$505,0),MATCH(体力優良証交付申請!D$14,テーブル22[[#Headers],[学年]:[得点]],0)))</f>
        <v/>
      </c>
      <c r="E165" s="203" t="str">
        <f>IF($A165&gt;MAX(入力シート!$AF$6:$AF$505),"",INDEX(テーブル22[[学年]:[得点]],MATCH(体力優良証交付申請!$A165,入力シート!$AF$6:$AF$505,0),MATCH(体力優良証交付申請!E$14,テーブル22[[#Headers],[学年]:[得点]],0)))</f>
        <v/>
      </c>
      <c r="F165" s="203" t="str">
        <f>IF($A165&gt;MAX(入力シート!$AF$6:$AF$505),"",INDEX(テーブル22[[学年]:[得点]],MATCH(体力優良証交付申請!$A165,入力シート!$AF$6:$AF$505,0),MATCH(体力優良証交付申請!F$14,テーブル22[[#Headers],[学年]:[得点]],0)))</f>
        <v/>
      </c>
      <c r="G165" s="203" t="str">
        <f>IF($A165&gt;MAX(入力シート!$AF$6:$AF$505),"",INDEX(テーブル22[[学年]:[得点]],MATCH(体力優良証交付申請!$A165,入力シート!$AF$6:$AF$505,0),MATCH(体力優良証交付申請!G$14,テーブル22[[#Headers],[学年]:[得点]],0)))</f>
        <v/>
      </c>
      <c r="H165" s="203" t="str">
        <f>IF($A165&gt;MAX(入力シート!$AF$6:$AF$505),"",INDEX(テーブル22[[学年]:[得点]],MATCH(体力優良証交付申請!$A165,入力シート!$AF$6:$AF$505,0),MATCH(体力優良証交付申請!H$14,テーブル22[[#Headers],[学年]:[得点]],0)))</f>
        <v/>
      </c>
      <c r="I165" s="203" t="str">
        <f>IF($A165&gt;MAX(入力シート!$AF$6:$AF$505),"",INDEX(テーブル22[[学年]:[得点]],MATCH(体力優良証交付申請!$A165,入力シート!$AF$6:$AF$505,0),MATCH(体力優良証交付申請!I$14,テーブル22[[#Headers],[学年]:[得点]],0)))</f>
        <v/>
      </c>
      <c r="J165" s="114" t="str">
        <f>IF($A165&gt;MAX(入力シート!$AF$6:$AF$505),"",INDEX(テーブル22[[学年]:[得点]],MATCH(体力優良証交付申請!$A165,入力シート!$AF$6:$AF$505,0),MATCH(体力優良証交付申請!J$14,テーブル22[[#Headers],[学年]:[得点]],0)))</f>
        <v/>
      </c>
      <c r="K165" s="203" t="str">
        <f>IF($A165&gt;MAX(入力シート!$AF$6:$AF$505),"",INDEX(テーブル22[[学年]:[得点]],MATCH(体力優良証交付申請!$A165,入力シート!$AF$6:$AF$505,0),MATCH(体力優良証交付申請!K$14,テーブル22[[#Headers],[学年]:[得点]],0)))</f>
        <v/>
      </c>
      <c r="L165" s="203" t="str">
        <f>IF($A165&gt;MAX(入力シート!$AF$6:$AF$505),"",INDEX(テーブル22[[学年]:[得点]],MATCH(体力優良証交付申請!$A165,入力シート!$AF$6:$AF$505,0),MATCH(体力優良証交付申請!L$14,テーブル22[[#Headers],[学年]:[得点]],0)))</f>
        <v/>
      </c>
      <c r="M165" s="28" t="str">
        <f>IF($A165&gt;MAX(入力シート!$AF$6:$AF$505),"",INDEX(テーブル22[[学年]:[得点]],MATCH(体力優良証交付申請!$A165,入力シート!$AF$6:$AF$505,0),MATCH(体力優良証交付申請!M$14,テーブル22[[#Headers],[学年]:[得点]],0)))</f>
        <v/>
      </c>
    </row>
    <row r="166" spans="1:13" x14ac:dyDescent="0.2">
      <c r="A166" s="16">
        <v>152</v>
      </c>
      <c r="B166" s="130" t="str">
        <f>IF($A166&gt;MAX(入力シート!$AF$6:$AF$505),"",INDEX(テーブル22[[学年]:[得点]],MATCH(体力優良証交付申請!$A166,入力シート!$AF$6:$AF$505,0),MATCH(体力優良証交付申請!B$14,テーブル22[[#Headers],[学年]:[得点]],0)))</f>
        <v/>
      </c>
      <c r="C166" s="203" t="str">
        <f>IF($A166&gt;MAX(入力シート!$AF$6:$AF$505),"",INDEX(テーブル22[[学年]:[得点]],MATCH(体力優良証交付申請!$A166,入力シート!$AF$6:$AF$505,0),MATCH(体力優良証交付申請!C$14,テーブル22[[#Headers],[学年]:[得点]],0)))</f>
        <v/>
      </c>
      <c r="D166" s="203" t="str">
        <f>IF($A166&gt;MAX(入力シート!$AF$6:$AF$505),"",INDEX(テーブル22[[学年]:[得点]],MATCH(体力優良証交付申請!$A166,入力シート!$AF$6:$AF$505,0),MATCH(体力優良証交付申請!D$14,テーブル22[[#Headers],[学年]:[得点]],0)))</f>
        <v/>
      </c>
      <c r="E166" s="203" t="str">
        <f>IF($A166&gt;MAX(入力シート!$AF$6:$AF$505),"",INDEX(テーブル22[[学年]:[得点]],MATCH(体力優良証交付申請!$A166,入力シート!$AF$6:$AF$505,0),MATCH(体力優良証交付申請!E$14,テーブル22[[#Headers],[学年]:[得点]],0)))</f>
        <v/>
      </c>
      <c r="F166" s="203" t="str">
        <f>IF($A166&gt;MAX(入力シート!$AF$6:$AF$505),"",INDEX(テーブル22[[学年]:[得点]],MATCH(体力優良証交付申請!$A166,入力シート!$AF$6:$AF$505,0),MATCH(体力優良証交付申請!F$14,テーブル22[[#Headers],[学年]:[得点]],0)))</f>
        <v/>
      </c>
      <c r="G166" s="203" t="str">
        <f>IF($A166&gt;MAX(入力シート!$AF$6:$AF$505),"",INDEX(テーブル22[[学年]:[得点]],MATCH(体力優良証交付申請!$A166,入力シート!$AF$6:$AF$505,0),MATCH(体力優良証交付申請!G$14,テーブル22[[#Headers],[学年]:[得点]],0)))</f>
        <v/>
      </c>
      <c r="H166" s="203" t="str">
        <f>IF($A166&gt;MAX(入力シート!$AF$6:$AF$505),"",INDEX(テーブル22[[学年]:[得点]],MATCH(体力優良証交付申請!$A166,入力シート!$AF$6:$AF$505,0),MATCH(体力優良証交付申請!H$14,テーブル22[[#Headers],[学年]:[得点]],0)))</f>
        <v/>
      </c>
      <c r="I166" s="203" t="str">
        <f>IF($A166&gt;MAX(入力シート!$AF$6:$AF$505),"",INDEX(テーブル22[[学年]:[得点]],MATCH(体力優良証交付申請!$A166,入力シート!$AF$6:$AF$505,0),MATCH(体力優良証交付申請!I$14,テーブル22[[#Headers],[学年]:[得点]],0)))</f>
        <v/>
      </c>
      <c r="J166" s="114" t="str">
        <f>IF($A166&gt;MAX(入力シート!$AF$6:$AF$505),"",INDEX(テーブル22[[学年]:[得点]],MATCH(体力優良証交付申請!$A166,入力シート!$AF$6:$AF$505,0),MATCH(体力優良証交付申請!J$14,テーブル22[[#Headers],[学年]:[得点]],0)))</f>
        <v/>
      </c>
      <c r="K166" s="203" t="str">
        <f>IF($A166&gt;MAX(入力シート!$AF$6:$AF$505),"",INDEX(テーブル22[[学年]:[得点]],MATCH(体力優良証交付申請!$A166,入力シート!$AF$6:$AF$505,0),MATCH(体力優良証交付申請!K$14,テーブル22[[#Headers],[学年]:[得点]],0)))</f>
        <v/>
      </c>
      <c r="L166" s="203" t="str">
        <f>IF($A166&gt;MAX(入力シート!$AF$6:$AF$505),"",INDEX(テーブル22[[学年]:[得点]],MATCH(体力優良証交付申請!$A166,入力シート!$AF$6:$AF$505,0),MATCH(体力優良証交付申請!L$14,テーブル22[[#Headers],[学年]:[得点]],0)))</f>
        <v/>
      </c>
      <c r="M166" s="28" t="str">
        <f>IF($A166&gt;MAX(入力シート!$AF$6:$AF$505),"",INDEX(テーブル22[[学年]:[得点]],MATCH(体力優良証交付申請!$A166,入力シート!$AF$6:$AF$505,0),MATCH(体力優良証交付申請!M$14,テーブル22[[#Headers],[学年]:[得点]],0)))</f>
        <v/>
      </c>
    </row>
    <row r="167" spans="1:13" x14ac:dyDescent="0.2">
      <c r="A167" s="16">
        <v>153</v>
      </c>
      <c r="B167" s="130" t="str">
        <f>IF($A167&gt;MAX(入力シート!$AF$6:$AF$505),"",INDEX(テーブル22[[学年]:[得点]],MATCH(体力優良証交付申請!$A167,入力シート!$AF$6:$AF$505,0),MATCH(体力優良証交付申請!B$14,テーブル22[[#Headers],[学年]:[得点]],0)))</f>
        <v/>
      </c>
      <c r="C167" s="203" t="str">
        <f>IF($A167&gt;MAX(入力シート!$AF$6:$AF$505),"",INDEX(テーブル22[[学年]:[得点]],MATCH(体力優良証交付申請!$A167,入力シート!$AF$6:$AF$505,0),MATCH(体力優良証交付申請!C$14,テーブル22[[#Headers],[学年]:[得点]],0)))</f>
        <v/>
      </c>
      <c r="D167" s="203" t="str">
        <f>IF($A167&gt;MAX(入力シート!$AF$6:$AF$505),"",INDEX(テーブル22[[学年]:[得点]],MATCH(体力優良証交付申請!$A167,入力シート!$AF$6:$AF$505,0),MATCH(体力優良証交付申請!D$14,テーブル22[[#Headers],[学年]:[得点]],0)))</f>
        <v/>
      </c>
      <c r="E167" s="203" t="str">
        <f>IF($A167&gt;MAX(入力シート!$AF$6:$AF$505),"",INDEX(テーブル22[[学年]:[得点]],MATCH(体力優良証交付申請!$A167,入力シート!$AF$6:$AF$505,0),MATCH(体力優良証交付申請!E$14,テーブル22[[#Headers],[学年]:[得点]],0)))</f>
        <v/>
      </c>
      <c r="F167" s="203" t="str">
        <f>IF($A167&gt;MAX(入力シート!$AF$6:$AF$505),"",INDEX(テーブル22[[学年]:[得点]],MATCH(体力優良証交付申請!$A167,入力シート!$AF$6:$AF$505,0),MATCH(体力優良証交付申請!F$14,テーブル22[[#Headers],[学年]:[得点]],0)))</f>
        <v/>
      </c>
      <c r="G167" s="203" t="str">
        <f>IF($A167&gt;MAX(入力シート!$AF$6:$AF$505),"",INDEX(テーブル22[[学年]:[得点]],MATCH(体力優良証交付申請!$A167,入力シート!$AF$6:$AF$505,0),MATCH(体力優良証交付申請!G$14,テーブル22[[#Headers],[学年]:[得点]],0)))</f>
        <v/>
      </c>
      <c r="H167" s="203" t="str">
        <f>IF($A167&gt;MAX(入力シート!$AF$6:$AF$505),"",INDEX(テーブル22[[学年]:[得点]],MATCH(体力優良証交付申請!$A167,入力シート!$AF$6:$AF$505,0),MATCH(体力優良証交付申請!H$14,テーブル22[[#Headers],[学年]:[得点]],0)))</f>
        <v/>
      </c>
      <c r="I167" s="203" t="str">
        <f>IF($A167&gt;MAX(入力シート!$AF$6:$AF$505),"",INDEX(テーブル22[[学年]:[得点]],MATCH(体力優良証交付申請!$A167,入力シート!$AF$6:$AF$505,0),MATCH(体力優良証交付申請!I$14,テーブル22[[#Headers],[学年]:[得点]],0)))</f>
        <v/>
      </c>
      <c r="J167" s="114" t="str">
        <f>IF($A167&gt;MAX(入力シート!$AF$6:$AF$505),"",INDEX(テーブル22[[学年]:[得点]],MATCH(体力優良証交付申請!$A167,入力シート!$AF$6:$AF$505,0),MATCH(体力優良証交付申請!J$14,テーブル22[[#Headers],[学年]:[得点]],0)))</f>
        <v/>
      </c>
      <c r="K167" s="203" t="str">
        <f>IF($A167&gt;MAX(入力シート!$AF$6:$AF$505),"",INDEX(テーブル22[[学年]:[得点]],MATCH(体力優良証交付申請!$A167,入力シート!$AF$6:$AF$505,0),MATCH(体力優良証交付申請!K$14,テーブル22[[#Headers],[学年]:[得点]],0)))</f>
        <v/>
      </c>
      <c r="L167" s="203" t="str">
        <f>IF($A167&gt;MAX(入力シート!$AF$6:$AF$505),"",INDEX(テーブル22[[学年]:[得点]],MATCH(体力優良証交付申請!$A167,入力シート!$AF$6:$AF$505,0),MATCH(体力優良証交付申請!L$14,テーブル22[[#Headers],[学年]:[得点]],0)))</f>
        <v/>
      </c>
      <c r="M167" s="28" t="str">
        <f>IF($A167&gt;MAX(入力シート!$AF$6:$AF$505),"",INDEX(テーブル22[[学年]:[得点]],MATCH(体力優良証交付申請!$A167,入力シート!$AF$6:$AF$505,0),MATCH(体力優良証交付申請!M$14,テーブル22[[#Headers],[学年]:[得点]],0)))</f>
        <v/>
      </c>
    </row>
    <row r="168" spans="1:13" x14ac:dyDescent="0.2">
      <c r="A168" s="16">
        <v>154</v>
      </c>
      <c r="B168" s="130" t="str">
        <f>IF($A168&gt;MAX(入力シート!$AF$6:$AF$505),"",INDEX(テーブル22[[学年]:[得点]],MATCH(体力優良証交付申請!$A168,入力シート!$AF$6:$AF$505,0),MATCH(体力優良証交付申請!B$14,テーブル22[[#Headers],[学年]:[得点]],0)))</f>
        <v/>
      </c>
      <c r="C168" s="203" t="str">
        <f>IF($A168&gt;MAX(入力シート!$AF$6:$AF$505),"",INDEX(テーブル22[[学年]:[得点]],MATCH(体力優良証交付申請!$A168,入力シート!$AF$6:$AF$505,0),MATCH(体力優良証交付申請!C$14,テーブル22[[#Headers],[学年]:[得点]],0)))</f>
        <v/>
      </c>
      <c r="D168" s="203" t="str">
        <f>IF($A168&gt;MAX(入力シート!$AF$6:$AF$505),"",INDEX(テーブル22[[学年]:[得点]],MATCH(体力優良証交付申請!$A168,入力シート!$AF$6:$AF$505,0),MATCH(体力優良証交付申請!D$14,テーブル22[[#Headers],[学年]:[得点]],0)))</f>
        <v/>
      </c>
      <c r="E168" s="203" t="str">
        <f>IF($A168&gt;MAX(入力シート!$AF$6:$AF$505),"",INDEX(テーブル22[[学年]:[得点]],MATCH(体力優良証交付申請!$A168,入力シート!$AF$6:$AF$505,0),MATCH(体力優良証交付申請!E$14,テーブル22[[#Headers],[学年]:[得点]],0)))</f>
        <v/>
      </c>
      <c r="F168" s="203" t="str">
        <f>IF($A168&gt;MAX(入力シート!$AF$6:$AF$505),"",INDEX(テーブル22[[学年]:[得点]],MATCH(体力優良証交付申請!$A168,入力シート!$AF$6:$AF$505,0),MATCH(体力優良証交付申請!F$14,テーブル22[[#Headers],[学年]:[得点]],0)))</f>
        <v/>
      </c>
      <c r="G168" s="203" t="str">
        <f>IF($A168&gt;MAX(入力シート!$AF$6:$AF$505),"",INDEX(テーブル22[[学年]:[得点]],MATCH(体力優良証交付申請!$A168,入力シート!$AF$6:$AF$505,0),MATCH(体力優良証交付申請!G$14,テーブル22[[#Headers],[学年]:[得点]],0)))</f>
        <v/>
      </c>
      <c r="H168" s="203" t="str">
        <f>IF($A168&gt;MAX(入力シート!$AF$6:$AF$505),"",INDEX(テーブル22[[学年]:[得点]],MATCH(体力優良証交付申請!$A168,入力シート!$AF$6:$AF$505,0),MATCH(体力優良証交付申請!H$14,テーブル22[[#Headers],[学年]:[得点]],0)))</f>
        <v/>
      </c>
      <c r="I168" s="203" t="str">
        <f>IF($A168&gt;MAX(入力シート!$AF$6:$AF$505),"",INDEX(テーブル22[[学年]:[得点]],MATCH(体力優良証交付申請!$A168,入力シート!$AF$6:$AF$505,0),MATCH(体力優良証交付申請!I$14,テーブル22[[#Headers],[学年]:[得点]],0)))</f>
        <v/>
      </c>
      <c r="J168" s="114" t="str">
        <f>IF($A168&gt;MAX(入力シート!$AF$6:$AF$505),"",INDEX(テーブル22[[学年]:[得点]],MATCH(体力優良証交付申請!$A168,入力シート!$AF$6:$AF$505,0),MATCH(体力優良証交付申請!J$14,テーブル22[[#Headers],[学年]:[得点]],0)))</f>
        <v/>
      </c>
      <c r="K168" s="203" t="str">
        <f>IF($A168&gt;MAX(入力シート!$AF$6:$AF$505),"",INDEX(テーブル22[[学年]:[得点]],MATCH(体力優良証交付申請!$A168,入力シート!$AF$6:$AF$505,0),MATCH(体力優良証交付申請!K$14,テーブル22[[#Headers],[学年]:[得点]],0)))</f>
        <v/>
      </c>
      <c r="L168" s="203" t="str">
        <f>IF($A168&gt;MAX(入力シート!$AF$6:$AF$505),"",INDEX(テーブル22[[学年]:[得点]],MATCH(体力優良証交付申請!$A168,入力シート!$AF$6:$AF$505,0),MATCH(体力優良証交付申請!L$14,テーブル22[[#Headers],[学年]:[得点]],0)))</f>
        <v/>
      </c>
      <c r="M168" s="28" t="str">
        <f>IF($A168&gt;MAX(入力シート!$AF$6:$AF$505),"",INDEX(テーブル22[[学年]:[得点]],MATCH(体力優良証交付申請!$A168,入力シート!$AF$6:$AF$505,0),MATCH(体力優良証交付申請!M$14,テーブル22[[#Headers],[学年]:[得点]],0)))</f>
        <v/>
      </c>
    </row>
    <row r="169" spans="1:13" x14ac:dyDescent="0.2">
      <c r="A169" s="16">
        <v>155</v>
      </c>
      <c r="B169" s="130" t="str">
        <f>IF($A169&gt;MAX(入力シート!$AF$6:$AF$505),"",INDEX(テーブル22[[学年]:[得点]],MATCH(体力優良証交付申請!$A169,入力シート!$AF$6:$AF$505,0),MATCH(体力優良証交付申請!B$14,テーブル22[[#Headers],[学年]:[得点]],0)))</f>
        <v/>
      </c>
      <c r="C169" s="203" t="str">
        <f>IF($A169&gt;MAX(入力シート!$AF$6:$AF$505),"",INDEX(テーブル22[[学年]:[得点]],MATCH(体力優良証交付申請!$A169,入力シート!$AF$6:$AF$505,0),MATCH(体力優良証交付申請!C$14,テーブル22[[#Headers],[学年]:[得点]],0)))</f>
        <v/>
      </c>
      <c r="D169" s="203" t="str">
        <f>IF($A169&gt;MAX(入力シート!$AF$6:$AF$505),"",INDEX(テーブル22[[学年]:[得点]],MATCH(体力優良証交付申請!$A169,入力シート!$AF$6:$AF$505,0),MATCH(体力優良証交付申請!D$14,テーブル22[[#Headers],[学年]:[得点]],0)))</f>
        <v/>
      </c>
      <c r="E169" s="203" t="str">
        <f>IF($A169&gt;MAX(入力シート!$AF$6:$AF$505),"",INDEX(テーブル22[[学年]:[得点]],MATCH(体力優良証交付申請!$A169,入力シート!$AF$6:$AF$505,0),MATCH(体力優良証交付申請!E$14,テーブル22[[#Headers],[学年]:[得点]],0)))</f>
        <v/>
      </c>
      <c r="F169" s="203" t="str">
        <f>IF($A169&gt;MAX(入力シート!$AF$6:$AF$505),"",INDEX(テーブル22[[学年]:[得点]],MATCH(体力優良証交付申請!$A169,入力シート!$AF$6:$AF$505,0),MATCH(体力優良証交付申請!F$14,テーブル22[[#Headers],[学年]:[得点]],0)))</f>
        <v/>
      </c>
      <c r="G169" s="203" t="str">
        <f>IF($A169&gt;MAX(入力シート!$AF$6:$AF$505),"",INDEX(テーブル22[[学年]:[得点]],MATCH(体力優良証交付申請!$A169,入力シート!$AF$6:$AF$505,0),MATCH(体力優良証交付申請!G$14,テーブル22[[#Headers],[学年]:[得点]],0)))</f>
        <v/>
      </c>
      <c r="H169" s="203" t="str">
        <f>IF($A169&gt;MAX(入力シート!$AF$6:$AF$505),"",INDEX(テーブル22[[学年]:[得点]],MATCH(体力優良証交付申請!$A169,入力シート!$AF$6:$AF$505,0),MATCH(体力優良証交付申請!H$14,テーブル22[[#Headers],[学年]:[得点]],0)))</f>
        <v/>
      </c>
      <c r="I169" s="203" t="str">
        <f>IF($A169&gt;MAX(入力シート!$AF$6:$AF$505),"",INDEX(テーブル22[[学年]:[得点]],MATCH(体力優良証交付申請!$A169,入力シート!$AF$6:$AF$505,0),MATCH(体力優良証交付申請!I$14,テーブル22[[#Headers],[学年]:[得点]],0)))</f>
        <v/>
      </c>
      <c r="J169" s="114" t="str">
        <f>IF($A169&gt;MAX(入力シート!$AF$6:$AF$505),"",INDEX(テーブル22[[学年]:[得点]],MATCH(体力優良証交付申請!$A169,入力シート!$AF$6:$AF$505,0),MATCH(体力優良証交付申請!J$14,テーブル22[[#Headers],[学年]:[得点]],0)))</f>
        <v/>
      </c>
      <c r="K169" s="203" t="str">
        <f>IF($A169&gt;MAX(入力シート!$AF$6:$AF$505),"",INDEX(テーブル22[[学年]:[得点]],MATCH(体力優良証交付申請!$A169,入力シート!$AF$6:$AF$505,0),MATCH(体力優良証交付申請!K$14,テーブル22[[#Headers],[学年]:[得点]],0)))</f>
        <v/>
      </c>
      <c r="L169" s="203" t="str">
        <f>IF($A169&gt;MAX(入力シート!$AF$6:$AF$505),"",INDEX(テーブル22[[学年]:[得点]],MATCH(体力優良証交付申請!$A169,入力シート!$AF$6:$AF$505,0),MATCH(体力優良証交付申請!L$14,テーブル22[[#Headers],[学年]:[得点]],0)))</f>
        <v/>
      </c>
      <c r="M169" s="28" t="str">
        <f>IF($A169&gt;MAX(入力シート!$AF$6:$AF$505),"",INDEX(テーブル22[[学年]:[得点]],MATCH(体力優良証交付申請!$A169,入力シート!$AF$6:$AF$505,0),MATCH(体力優良証交付申請!M$14,テーブル22[[#Headers],[学年]:[得点]],0)))</f>
        <v/>
      </c>
    </row>
    <row r="170" spans="1:13" x14ac:dyDescent="0.2">
      <c r="A170" s="16">
        <v>156</v>
      </c>
      <c r="B170" s="130" t="str">
        <f>IF($A170&gt;MAX(入力シート!$AF$6:$AF$505),"",INDEX(テーブル22[[学年]:[得点]],MATCH(体力優良証交付申請!$A170,入力シート!$AF$6:$AF$505,0),MATCH(体力優良証交付申請!B$14,テーブル22[[#Headers],[学年]:[得点]],0)))</f>
        <v/>
      </c>
      <c r="C170" s="203" t="str">
        <f>IF($A170&gt;MAX(入力シート!$AF$6:$AF$505),"",INDEX(テーブル22[[学年]:[得点]],MATCH(体力優良証交付申請!$A170,入力シート!$AF$6:$AF$505,0),MATCH(体力優良証交付申請!C$14,テーブル22[[#Headers],[学年]:[得点]],0)))</f>
        <v/>
      </c>
      <c r="D170" s="203" t="str">
        <f>IF($A170&gt;MAX(入力シート!$AF$6:$AF$505),"",INDEX(テーブル22[[学年]:[得点]],MATCH(体力優良証交付申請!$A170,入力シート!$AF$6:$AF$505,0),MATCH(体力優良証交付申請!D$14,テーブル22[[#Headers],[学年]:[得点]],0)))</f>
        <v/>
      </c>
      <c r="E170" s="203" t="str">
        <f>IF($A170&gt;MAX(入力シート!$AF$6:$AF$505),"",INDEX(テーブル22[[学年]:[得点]],MATCH(体力優良証交付申請!$A170,入力シート!$AF$6:$AF$505,0),MATCH(体力優良証交付申請!E$14,テーブル22[[#Headers],[学年]:[得点]],0)))</f>
        <v/>
      </c>
      <c r="F170" s="203" t="str">
        <f>IF($A170&gt;MAX(入力シート!$AF$6:$AF$505),"",INDEX(テーブル22[[学年]:[得点]],MATCH(体力優良証交付申請!$A170,入力シート!$AF$6:$AF$505,0),MATCH(体力優良証交付申請!F$14,テーブル22[[#Headers],[学年]:[得点]],0)))</f>
        <v/>
      </c>
      <c r="G170" s="203" t="str">
        <f>IF($A170&gt;MAX(入力シート!$AF$6:$AF$505),"",INDEX(テーブル22[[学年]:[得点]],MATCH(体力優良証交付申請!$A170,入力シート!$AF$6:$AF$505,0),MATCH(体力優良証交付申請!G$14,テーブル22[[#Headers],[学年]:[得点]],0)))</f>
        <v/>
      </c>
      <c r="H170" s="203" t="str">
        <f>IF($A170&gt;MAX(入力シート!$AF$6:$AF$505),"",INDEX(テーブル22[[学年]:[得点]],MATCH(体力優良証交付申請!$A170,入力シート!$AF$6:$AF$505,0),MATCH(体力優良証交付申請!H$14,テーブル22[[#Headers],[学年]:[得点]],0)))</f>
        <v/>
      </c>
      <c r="I170" s="203" t="str">
        <f>IF($A170&gt;MAX(入力シート!$AF$6:$AF$505),"",INDEX(テーブル22[[学年]:[得点]],MATCH(体力優良証交付申請!$A170,入力シート!$AF$6:$AF$505,0),MATCH(体力優良証交付申請!I$14,テーブル22[[#Headers],[学年]:[得点]],0)))</f>
        <v/>
      </c>
      <c r="J170" s="114" t="str">
        <f>IF($A170&gt;MAX(入力シート!$AF$6:$AF$505),"",INDEX(テーブル22[[学年]:[得点]],MATCH(体力優良証交付申請!$A170,入力シート!$AF$6:$AF$505,0),MATCH(体力優良証交付申請!J$14,テーブル22[[#Headers],[学年]:[得点]],0)))</f>
        <v/>
      </c>
      <c r="K170" s="203" t="str">
        <f>IF($A170&gt;MAX(入力シート!$AF$6:$AF$505),"",INDEX(テーブル22[[学年]:[得点]],MATCH(体力優良証交付申請!$A170,入力シート!$AF$6:$AF$505,0),MATCH(体力優良証交付申請!K$14,テーブル22[[#Headers],[学年]:[得点]],0)))</f>
        <v/>
      </c>
      <c r="L170" s="203" t="str">
        <f>IF($A170&gt;MAX(入力シート!$AF$6:$AF$505),"",INDEX(テーブル22[[学年]:[得点]],MATCH(体力優良証交付申請!$A170,入力シート!$AF$6:$AF$505,0),MATCH(体力優良証交付申請!L$14,テーブル22[[#Headers],[学年]:[得点]],0)))</f>
        <v/>
      </c>
      <c r="M170" s="28" t="str">
        <f>IF($A170&gt;MAX(入力シート!$AF$6:$AF$505),"",INDEX(テーブル22[[学年]:[得点]],MATCH(体力優良証交付申請!$A170,入力シート!$AF$6:$AF$505,0),MATCH(体力優良証交付申請!M$14,テーブル22[[#Headers],[学年]:[得点]],0)))</f>
        <v/>
      </c>
    </row>
    <row r="171" spans="1:13" x14ac:dyDescent="0.2">
      <c r="A171" s="16">
        <v>157</v>
      </c>
      <c r="B171" s="130" t="str">
        <f>IF($A171&gt;MAX(入力シート!$AF$6:$AF$505),"",INDEX(テーブル22[[学年]:[得点]],MATCH(体力優良証交付申請!$A171,入力シート!$AF$6:$AF$505,0),MATCH(体力優良証交付申請!B$14,テーブル22[[#Headers],[学年]:[得点]],0)))</f>
        <v/>
      </c>
      <c r="C171" s="203" t="str">
        <f>IF($A171&gt;MAX(入力シート!$AF$6:$AF$505),"",INDEX(テーブル22[[学年]:[得点]],MATCH(体力優良証交付申請!$A171,入力シート!$AF$6:$AF$505,0),MATCH(体力優良証交付申請!C$14,テーブル22[[#Headers],[学年]:[得点]],0)))</f>
        <v/>
      </c>
      <c r="D171" s="203" t="str">
        <f>IF($A171&gt;MAX(入力シート!$AF$6:$AF$505),"",INDEX(テーブル22[[学年]:[得点]],MATCH(体力優良証交付申請!$A171,入力シート!$AF$6:$AF$505,0),MATCH(体力優良証交付申請!D$14,テーブル22[[#Headers],[学年]:[得点]],0)))</f>
        <v/>
      </c>
      <c r="E171" s="203" t="str">
        <f>IF($A171&gt;MAX(入力シート!$AF$6:$AF$505),"",INDEX(テーブル22[[学年]:[得点]],MATCH(体力優良証交付申請!$A171,入力シート!$AF$6:$AF$505,0),MATCH(体力優良証交付申請!E$14,テーブル22[[#Headers],[学年]:[得点]],0)))</f>
        <v/>
      </c>
      <c r="F171" s="203" t="str">
        <f>IF($A171&gt;MAX(入力シート!$AF$6:$AF$505),"",INDEX(テーブル22[[学年]:[得点]],MATCH(体力優良証交付申請!$A171,入力シート!$AF$6:$AF$505,0),MATCH(体力優良証交付申請!F$14,テーブル22[[#Headers],[学年]:[得点]],0)))</f>
        <v/>
      </c>
      <c r="G171" s="203" t="str">
        <f>IF($A171&gt;MAX(入力シート!$AF$6:$AF$505),"",INDEX(テーブル22[[学年]:[得点]],MATCH(体力優良証交付申請!$A171,入力シート!$AF$6:$AF$505,0),MATCH(体力優良証交付申請!G$14,テーブル22[[#Headers],[学年]:[得点]],0)))</f>
        <v/>
      </c>
      <c r="H171" s="203" t="str">
        <f>IF($A171&gt;MAX(入力シート!$AF$6:$AF$505),"",INDEX(テーブル22[[学年]:[得点]],MATCH(体力優良証交付申請!$A171,入力シート!$AF$6:$AF$505,0),MATCH(体力優良証交付申請!H$14,テーブル22[[#Headers],[学年]:[得点]],0)))</f>
        <v/>
      </c>
      <c r="I171" s="203" t="str">
        <f>IF($A171&gt;MAX(入力シート!$AF$6:$AF$505),"",INDEX(テーブル22[[学年]:[得点]],MATCH(体力優良証交付申請!$A171,入力シート!$AF$6:$AF$505,0),MATCH(体力優良証交付申請!I$14,テーブル22[[#Headers],[学年]:[得点]],0)))</f>
        <v/>
      </c>
      <c r="J171" s="114" t="str">
        <f>IF($A171&gt;MAX(入力シート!$AF$6:$AF$505),"",INDEX(テーブル22[[学年]:[得点]],MATCH(体力優良証交付申請!$A171,入力シート!$AF$6:$AF$505,0),MATCH(体力優良証交付申請!J$14,テーブル22[[#Headers],[学年]:[得点]],0)))</f>
        <v/>
      </c>
      <c r="K171" s="203" t="str">
        <f>IF($A171&gt;MAX(入力シート!$AF$6:$AF$505),"",INDEX(テーブル22[[学年]:[得点]],MATCH(体力優良証交付申請!$A171,入力シート!$AF$6:$AF$505,0),MATCH(体力優良証交付申請!K$14,テーブル22[[#Headers],[学年]:[得点]],0)))</f>
        <v/>
      </c>
      <c r="L171" s="203" t="str">
        <f>IF($A171&gt;MAX(入力シート!$AF$6:$AF$505),"",INDEX(テーブル22[[学年]:[得点]],MATCH(体力優良証交付申請!$A171,入力シート!$AF$6:$AF$505,0),MATCH(体力優良証交付申請!L$14,テーブル22[[#Headers],[学年]:[得点]],0)))</f>
        <v/>
      </c>
      <c r="M171" s="28" t="str">
        <f>IF($A171&gt;MAX(入力シート!$AF$6:$AF$505),"",INDEX(テーブル22[[学年]:[得点]],MATCH(体力優良証交付申請!$A171,入力シート!$AF$6:$AF$505,0),MATCH(体力優良証交付申請!M$14,テーブル22[[#Headers],[学年]:[得点]],0)))</f>
        <v/>
      </c>
    </row>
    <row r="172" spans="1:13" x14ac:dyDescent="0.2">
      <c r="A172" s="16">
        <v>158</v>
      </c>
      <c r="B172" s="130" t="str">
        <f>IF($A172&gt;MAX(入力シート!$AF$6:$AF$505),"",INDEX(テーブル22[[学年]:[得点]],MATCH(体力優良証交付申請!$A172,入力シート!$AF$6:$AF$505,0),MATCH(体力優良証交付申請!B$14,テーブル22[[#Headers],[学年]:[得点]],0)))</f>
        <v/>
      </c>
      <c r="C172" s="203" t="str">
        <f>IF($A172&gt;MAX(入力シート!$AF$6:$AF$505),"",INDEX(テーブル22[[学年]:[得点]],MATCH(体力優良証交付申請!$A172,入力シート!$AF$6:$AF$505,0),MATCH(体力優良証交付申請!C$14,テーブル22[[#Headers],[学年]:[得点]],0)))</f>
        <v/>
      </c>
      <c r="D172" s="203" t="str">
        <f>IF($A172&gt;MAX(入力シート!$AF$6:$AF$505),"",INDEX(テーブル22[[学年]:[得点]],MATCH(体力優良証交付申請!$A172,入力シート!$AF$6:$AF$505,0),MATCH(体力優良証交付申請!D$14,テーブル22[[#Headers],[学年]:[得点]],0)))</f>
        <v/>
      </c>
      <c r="E172" s="203" t="str">
        <f>IF($A172&gt;MAX(入力シート!$AF$6:$AF$505),"",INDEX(テーブル22[[学年]:[得点]],MATCH(体力優良証交付申請!$A172,入力シート!$AF$6:$AF$505,0),MATCH(体力優良証交付申請!E$14,テーブル22[[#Headers],[学年]:[得点]],0)))</f>
        <v/>
      </c>
      <c r="F172" s="203" t="str">
        <f>IF($A172&gt;MAX(入力シート!$AF$6:$AF$505),"",INDEX(テーブル22[[学年]:[得点]],MATCH(体力優良証交付申請!$A172,入力シート!$AF$6:$AF$505,0),MATCH(体力優良証交付申請!F$14,テーブル22[[#Headers],[学年]:[得点]],0)))</f>
        <v/>
      </c>
      <c r="G172" s="203" t="str">
        <f>IF($A172&gt;MAX(入力シート!$AF$6:$AF$505),"",INDEX(テーブル22[[学年]:[得点]],MATCH(体力優良証交付申請!$A172,入力シート!$AF$6:$AF$505,0),MATCH(体力優良証交付申請!G$14,テーブル22[[#Headers],[学年]:[得点]],0)))</f>
        <v/>
      </c>
      <c r="H172" s="203" t="str">
        <f>IF($A172&gt;MAX(入力シート!$AF$6:$AF$505),"",INDEX(テーブル22[[学年]:[得点]],MATCH(体力優良証交付申請!$A172,入力シート!$AF$6:$AF$505,0),MATCH(体力優良証交付申請!H$14,テーブル22[[#Headers],[学年]:[得点]],0)))</f>
        <v/>
      </c>
      <c r="I172" s="203" t="str">
        <f>IF($A172&gt;MAX(入力シート!$AF$6:$AF$505),"",INDEX(テーブル22[[学年]:[得点]],MATCH(体力優良証交付申請!$A172,入力シート!$AF$6:$AF$505,0),MATCH(体力優良証交付申請!I$14,テーブル22[[#Headers],[学年]:[得点]],0)))</f>
        <v/>
      </c>
      <c r="J172" s="114" t="str">
        <f>IF($A172&gt;MAX(入力シート!$AF$6:$AF$505),"",INDEX(テーブル22[[学年]:[得点]],MATCH(体力優良証交付申請!$A172,入力シート!$AF$6:$AF$505,0),MATCH(体力優良証交付申請!J$14,テーブル22[[#Headers],[学年]:[得点]],0)))</f>
        <v/>
      </c>
      <c r="K172" s="203" t="str">
        <f>IF($A172&gt;MAX(入力シート!$AF$6:$AF$505),"",INDEX(テーブル22[[学年]:[得点]],MATCH(体力優良証交付申請!$A172,入力シート!$AF$6:$AF$505,0),MATCH(体力優良証交付申請!K$14,テーブル22[[#Headers],[学年]:[得点]],0)))</f>
        <v/>
      </c>
      <c r="L172" s="203" t="str">
        <f>IF($A172&gt;MAX(入力シート!$AF$6:$AF$505),"",INDEX(テーブル22[[学年]:[得点]],MATCH(体力優良証交付申請!$A172,入力シート!$AF$6:$AF$505,0),MATCH(体力優良証交付申請!L$14,テーブル22[[#Headers],[学年]:[得点]],0)))</f>
        <v/>
      </c>
      <c r="M172" s="28" t="str">
        <f>IF($A172&gt;MAX(入力シート!$AF$6:$AF$505),"",INDEX(テーブル22[[学年]:[得点]],MATCH(体力優良証交付申請!$A172,入力シート!$AF$6:$AF$505,0),MATCH(体力優良証交付申請!M$14,テーブル22[[#Headers],[学年]:[得点]],0)))</f>
        <v/>
      </c>
    </row>
    <row r="173" spans="1:13" x14ac:dyDescent="0.2">
      <c r="A173" s="16">
        <v>159</v>
      </c>
      <c r="B173" s="130" t="str">
        <f>IF($A173&gt;MAX(入力シート!$AF$6:$AF$505),"",INDEX(テーブル22[[学年]:[得点]],MATCH(体力優良証交付申請!$A173,入力シート!$AF$6:$AF$505,0),MATCH(体力優良証交付申請!B$14,テーブル22[[#Headers],[学年]:[得点]],0)))</f>
        <v/>
      </c>
      <c r="C173" s="203" t="str">
        <f>IF($A173&gt;MAX(入力シート!$AF$6:$AF$505),"",INDEX(テーブル22[[学年]:[得点]],MATCH(体力優良証交付申請!$A173,入力シート!$AF$6:$AF$505,0),MATCH(体力優良証交付申請!C$14,テーブル22[[#Headers],[学年]:[得点]],0)))</f>
        <v/>
      </c>
      <c r="D173" s="203" t="str">
        <f>IF($A173&gt;MAX(入力シート!$AF$6:$AF$505),"",INDEX(テーブル22[[学年]:[得点]],MATCH(体力優良証交付申請!$A173,入力シート!$AF$6:$AF$505,0),MATCH(体力優良証交付申請!D$14,テーブル22[[#Headers],[学年]:[得点]],0)))</f>
        <v/>
      </c>
      <c r="E173" s="203" t="str">
        <f>IF($A173&gt;MAX(入力シート!$AF$6:$AF$505),"",INDEX(テーブル22[[学年]:[得点]],MATCH(体力優良証交付申請!$A173,入力シート!$AF$6:$AF$505,0),MATCH(体力優良証交付申請!E$14,テーブル22[[#Headers],[学年]:[得点]],0)))</f>
        <v/>
      </c>
      <c r="F173" s="203" t="str">
        <f>IF($A173&gt;MAX(入力シート!$AF$6:$AF$505),"",INDEX(テーブル22[[学年]:[得点]],MATCH(体力優良証交付申請!$A173,入力シート!$AF$6:$AF$505,0),MATCH(体力優良証交付申請!F$14,テーブル22[[#Headers],[学年]:[得点]],0)))</f>
        <v/>
      </c>
      <c r="G173" s="203" t="str">
        <f>IF($A173&gt;MAX(入力シート!$AF$6:$AF$505),"",INDEX(テーブル22[[学年]:[得点]],MATCH(体力優良証交付申請!$A173,入力シート!$AF$6:$AF$505,0),MATCH(体力優良証交付申請!G$14,テーブル22[[#Headers],[学年]:[得点]],0)))</f>
        <v/>
      </c>
      <c r="H173" s="203" t="str">
        <f>IF($A173&gt;MAX(入力シート!$AF$6:$AF$505),"",INDEX(テーブル22[[学年]:[得点]],MATCH(体力優良証交付申請!$A173,入力シート!$AF$6:$AF$505,0),MATCH(体力優良証交付申請!H$14,テーブル22[[#Headers],[学年]:[得点]],0)))</f>
        <v/>
      </c>
      <c r="I173" s="203" t="str">
        <f>IF($A173&gt;MAX(入力シート!$AF$6:$AF$505),"",INDEX(テーブル22[[学年]:[得点]],MATCH(体力優良証交付申請!$A173,入力シート!$AF$6:$AF$505,0),MATCH(体力優良証交付申請!I$14,テーブル22[[#Headers],[学年]:[得点]],0)))</f>
        <v/>
      </c>
      <c r="J173" s="114" t="str">
        <f>IF($A173&gt;MAX(入力シート!$AF$6:$AF$505),"",INDEX(テーブル22[[学年]:[得点]],MATCH(体力優良証交付申請!$A173,入力シート!$AF$6:$AF$505,0),MATCH(体力優良証交付申請!J$14,テーブル22[[#Headers],[学年]:[得点]],0)))</f>
        <v/>
      </c>
      <c r="K173" s="203" t="str">
        <f>IF($A173&gt;MAX(入力シート!$AF$6:$AF$505),"",INDEX(テーブル22[[学年]:[得点]],MATCH(体力優良証交付申請!$A173,入力シート!$AF$6:$AF$505,0),MATCH(体力優良証交付申請!K$14,テーブル22[[#Headers],[学年]:[得点]],0)))</f>
        <v/>
      </c>
      <c r="L173" s="203" t="str">
        <f>IF($A173&gt;MAX(入力シート!$AF$6:$AF$505),"",INDEX(テーブル22[[学年]:[得点]],MATCH(体力優良証交付申請!$A173,入力シート!$AF$6:$AF$505,0),MATCH(体力優良証交付申請!L$14,テーブル22[[#Headers],[学年]:[得点]],0)))</f>
        <v/>
      </c>
      <c r="M173" s="28" t="str">
        <f>IF($A173&gt;MAX(入力シート!$AF$6:$AF$505),"",INDEX(テーブル22[[学年]:[得点]],MATCH(体力優良証交付申請!$A173,入力シート!$AF$6:$AF$505,0),MATCH(体力優良証交付申請!M$14,テーブル22[[#Headers],[学年]:[得点]],0)))</f>
        <v/>
      </c>
    </row>
    <row r="174" spans="1:13" x14ac:dyDescent="0.2">
      <c r="A174" s="16">
        <v>160</v>
      </c>
      <c r="B174" s="130" t="str">
        <f>IF($A174&gt;MAX(入力シート!$AF$6:$AF$505),"",INDEX(テーブル22[[学年]:[得点]],MATCH(体力優良証交付申請!$A174,入力シート!$AF$6:$AF$505,0),MATCH(体力優良証交付申請!B$14,テーブル22[[#Headers],[学年]:[得点]],0)))</f>
        <v/>
      </c>
      <c r="C174" s="203" t="str">
        <f>IF($A174&gt;MAX(入力シート!$AF$6:$AF$505),"",INDEX(テーブル22[[学年]:[得点]],MATCH(体力優良証交付申請!$A174,入力シート!$AF$6:$AF$505,0),MATCH(体力優良証交付申請!C$14,テーブル22[[#Headers],[学年]:[得点]],0)))</f>
        <v/>
      </c>
      <c r="D174" s="203" t="str">
        <f>IF($A174&gt;MAX(入力シート!$AF$6:$AF$505),"",INDEX(テーブル22[[学年]:[得点]],MATCH(体力優良証交付申請!$A174,入力シート!$AF$6:$AF$505,0),MATCH(体力優良証交付申請!D$14,テーブル22[[#Headers],[学年]:[得点]],0)))</f>
        <v/>
      </c>
      <c r="E174" s="203" t="str">
        <f>IF($A174&gt;MAX(入力シート!$AF$6:$AF$505),"",INDEX(テーブル22[[学年]:[得点]],MATCH(体力優良証交付申請!$A174,入力シート!$AF$6:$AF$505,0),MATCH(体力優良証交付申請!E$14,テーブル22[[#Headers],[学年]:[得点]],0)))</f>
        <v/>
      </c>
      <c r="F174" s="203" t="str">
        <f>IF($A174&gt;MAX(入力シート!$AF$6:$AF$505),"",INDEX(テーブル22[[学年]:[得点]],MATCH(体力優良証交付申請!$A174,入力シート!$AF$6:$AF$505,0),MATCH(体力優良証交付申請!F$14,テーブル22[[#Headers],[学年]:[得点]],0)))</f>
        <v/>
      </c>
      <c r="G174" s="203" t="str">
        <f>IF($A174&gt;MAX(入力シート!$AF$6:$AF$505),"",INDEX(テーブル22[[学年]:[得点]],MATCH(体力優良証交付申請!$A174,入力シート!$AF$6:$AF$505,0),MATCH(体力優良証交付申請!G$14,テーブル22[[#Headers],[学年]:[得点]],0)))</f>
        <v/>
      </c>
      <c r="H174" s="203" t="str">
        <f>IF($A174&gt;MAX(入力シート!$AF$6:$AF$505),"",INDEX(テーブル22[[学年]:[得点]],MATCH(体力優良証交付申請!$A174,入力シート!$AF$6:$AF$505,0),MATCH(体力優良証交付申請!H$14,テーブル22[[#Headers],[学年]:[得点]],0)))</f>
        <v/>
      </c>
      <c r="I174" s="203" t="str">
        <f>IF($A174&gt;MAX(入力シート!$AF$6:$AF$505),"",INDEX(テーブル22[[学年]:[得点]],MATCH(体力優良証交付申請!$A174,入力シート!$AF$6:$AF$505,0),MATCH(体力優良証交付申請!I$14,テーブル22[[#Headers],[学年]:[得点]],0)))</f>
        <v/>
      </c>
      <c r="J174" s="114" t="str">
        <f>IF($A174&gt;MAX(入力シート!$AF$6:$AF$505),"",INDEX(テーブル22[[学年]:[得点]],MATCH(体力優良証交付申請!$A174,入力シート!$AF$6:$AF$505,0),MATCH(体力優良証交付申請!J$14,テーブル22[[#Headers],[学年]:[得点]],0)))</f>
        <v/>
      </c>
      <c r="K174" s="203" t="str">
        <f>IF($A174&gt;MAX(入力シート!$AF$6:$AF$505),"",INDEX(テーブル22[[学年]:[得点]],MATCH(体力優良証交付申請!$A174,入力シート!$AF$6:$AF$505,0),MATCH(体力優良証交付申請!K$14,テーブル22[[#Headers],[学年]:[得点]],0)))</f>
        <v/>
      </c>
      <c r="L174" s="203" t="str">
        <f>IF($A174&gt;MAX(入力シート!$AF$6:$AF$505),"",INDEX(テーブル22[[学年]:[得点]],MATCH(体力優良証交付申請!$A174,入力シート!$AF$6:$AF$505,0),MATCH(体力優良証交付申請!L$14,テーブル22[[#Headers],[学年]:[得点]],0)))</f>
        <v/>
      </c>
      <c r="M174" s="28" t="str">
        <f>IF($A174&gt;MAX(入力シート!$AF$6:$AF$505),"",INDEX(テーブル22[[学年]:[得点]],MATCH(体力優良証交付申請!$A174,入力シート!$AF$6:$AF$505,0),MATCH(体力優良証交付申請!M$14,テーブル22[[#Headers],[学年]:[得点]],0)))</f>
        <v/>
      </c>
    </row>
    <row r="175" spans="1:13" x14ac:dyDescent="0.2">
      <c r="A175" s="16">
        <v>161</v>
      </c>
      <c r="B175" s="130" t="str">
        <f>IF($A175&gt;MAX(入力シート!$AF$6:$AF$505),"",INDEX(テーブル22[[学年]:[得点]],MATCH(体力優良証交付申請!$A175,入力シート!$AF$6:$AF$505,0),MATCH(体力優良証交付申請!B$14,テーブル22[[#Headers],[学年]:[得点]],0)))</f>
        <v/>
      </c>
      <c r="C175" s="203" t="str">
        <f>IF($A175&gt;MAX(入力シート!$AF$6:$AF$505),"",INDEX(テーブル22[[学年]:[得点]],MATCH(体力優良証交付申請!$A175,入力シート!$AF$6:$AF$505,0),MATCH(体力優良証交付申請!C$14,テーブル22[[#Headers],[学年]:[得点]],0)))</f>
        <v/>
      </c>
      <c r="D175" s="203" t="str">
        <f>IF($A175&gt;MAX(入力シート!$AF$6:$AF$505),"",INDEX(テーブル22[[学年]:[得点]],MATCH(体力優良証交付申請!$A175,入力シート!$AF$6:$AF$505,0),MATCH(体力優良証交付申請!D$14,テーブル22[[#Headers],[学年]:[得点]],0)))</f>
        <v/>
      </c>
      <c r="E175" s="203" t="str">
        <f>IF($A175&gt;MAX(入力シート!$AF$6:$AF$505),"",INDEX(テーブル22[[学年]:[得点]],MATCH(体力優良証交付申請!$A175,入力シート!$AF$6:$AF$505,0),MATCH(体力優良証交付申請!E$14,テーブル22[[#Headers],[学年]:[得点]],0)))</f>
        <v/>
      </c>
      <c r="F175" s="203" t="str">
        <f>IF($A175&gt;MAX(入力シート!$AF$6:$AF$505),"",INDEX(テーブル22[[学年]:[得点]],MATCH(体力優良証交付申請!$A175,入力シート!$AF$6:$AF$505,0),MATCH(体力優良証交付申請!F$14,テーブル22[[#Headers],[学年]:[得点]],0)))</f>
        <v/>
      </c>
      <c r="G175" s="203" t="str">
        <f>IF($A175&gt;MAX(入力シート!$AF$6:$AF$505),"",INDEX(テーブル22[[学年]:[得点]],MATCH(体力優良証交付申請!$A175,入力シート!$AF$6:$AF$505,0),MATCH(体力優良証交付申請!G$14,テーブル22[[#Headers],[学年]:[得点]],0)))</f>
        <v/>
      </c>
      <c r="H175" s="203" t="str">
        <f>IF($A175&gt;MAX(入力シート!$AF$6:$AF$505),"",INDEX(テーブル22[[学年]:[得点]],MATCH(体力優良証交付申請!$A175,入力シート!$AF$6:$AF$505,0),MATCH(体力優良証交付申請!H$14,テーブル22[[#Headers],[学年]:[得点]],0)))</f>
        <v/>
      </c>
      <c r="I175" s="203" t="str">
        <f>IF($A175&gt;MAX(入力シート!$AF$6:$AF$505),"",INDEX(テーブル22[[学年]:[得点]],MATCH(体力優良証交付申請!$A175,入力シート!$AF$6:$AF$505,0),MATCH(体力優良証交付申請!I$14,テーブル22[[#Headers],[学年]:[得点]],0)))</f>
        <v/>
      </c>
      <c r="J175" s="114" t="str">
        <f>IF($A175&gt;MAX(入力シート!$AF$6:$AF$505),"",INDEX(テーブル22[[学年]:[得点]],MATCH(体力優良証交付申請!$A175,入力シート!$AF$6:$AF$505,0),MATCH(体力優良証交付申請!J$14,テーブル22[[#Headers],[学年]:[得点]],0)))</f>
        <v/>
      </c>
      <c r="K175" s="203" t="str">
        <f>IF($A175&gt;MAX(入力シート!$AF$6:$AF$505),"",INDEX(テーブル22[[学年]:[得点]],MATCH(体力優良証交付申請!$A175,入力シート!$AF$6:$AF$505,0),MATCH(体力優良証交付申請!K$14,テーブル22[[#Headers],[学年]:[得点]],0)))</f>
        <v/>
      </c>
      <c r="L175" s="203" t="str">
        <f>IF($A175&gt;MAX(入力シート!$AF$6:$AF$505),"",INDEX(テーブル22[[学年]:[得点]],MATCH(体力優良証交付申請!$A175,入力シート!$AF$6:$AF$505,0),MATCH(体力優良証交付申請!L$14,テーブル22[[#Headers],[学年]:[得点]],0)))</f>
        <v/>
      </c>
      <c r="M175" s="28" t="str">
        <f>IF($A175&gt;MAX(入力シート!$AF$6:$AF$505),"",INDEX(テーブル22[[学年]:[得点]],MATCH(体力優良証交付申請!$A175,入力シート!$AF$6:$AF$505,0),MATCH(体力優良証交付申請!M$14,テーブル22[[#Headers],[学年]:[得点]],0)))</f>
        <v/>
      </c>
    </row>
    <row r="176" spans="1:13" x14ac:dyDescent="0.2">
      <c r="A176" s="16">
        <v>162</v>
      </c>
      <c r="B176" s="130" t="str">
        <f>IF($A176&gt;MAX(入力シート!$AF$6:$AF$505),"",INDEX(テーブル22[[学年]:[得点]],MATCH(体力優良証交付申請!$A176,入力シート!$AF$6:$AF$505,0),MATCH(体力優良証交付申請!B$14,テーブル22[[#Headers],[学年]:[得点]],0)))</f>
        <v/>
      </c>
      <c r="C176" s="203" t="str">
        <f>IF($A176&gt;MAX(入力シート!$AF$6:$AF$505),"",INDEX(テーブル22[[学年]:[得点]],MATCH(体力優良証交付申請!$A176,入力シート!$AF$6:$AF$505,0),MATCH(体力優良証交付申請!C$14,テーブル22[[#Headers],[学年]:[得点]],0)))</f>
        <v/>
      </c>
      <c r="D176" s="203" t="str">
        <f>IF($A176&gt;MAX(入力シート!$AF$6:$AF$505),"",INDEX(テーブル22[[学年]:[得点]],MATCH(体力優良証交付申請!$A176,入力シート!$AF$6:$AF$505,0),MATCH(体力優良証交付申請!D$14,テーブル22[[#Headers],[学年]:[得点]],0)))</f>
        <v/>
      </c>
      <c r="E176" s="203" t="str">
        <f>IF($A176&gt;MAX(入力シート!$AF$6:$AF$505),"",INDEX(テーブル22[[学年]:[得点]],MATCH(体力優良証交付申請!$A176,入力シート!$AF$6:$AF$505,0),MATCH(体力優良証交付申請!E$14,テーブル22[[#Headers],[学年]:[得点]],0)))</f>
        <v/>
      </c>
      <c r="F176" s="203" t="str">
        <f>IF($A176&gt;MAX(入力シート!$AF$6:$AF$505),"",INDEX(テーブル22[[学年]:[得点]],MATCH(体力優良証交付申請!$A176,入力シート!$AF$6:$AF$505,0),MATCH(体力優良証交付申請!F$14,テーブル22[[#Headers],[学年]:[得点]],0)))</f>
        <v/>
      </c>
      <c r="G176" s="203" t="str">
        <f>IF($A176&gt;MAX(入力シート!$AF$6:$AF$505),"",INDEX(テーブル22[[学年]:[得点]],MATCH(体力優良証交付申請!$A176,入力シート!$AF$6:$AF$505,0),MATCH(体力優良証交付申請!G$14,テーブル22[[#Headers],[学年]:[得点]],0)))</f>
        <v/>
      </c>
      <c r="H176" s="203" t="str">
        <f>IF($A176&gt;MAX(入力シート!$AF$6:$AF$505),"",INDEX(テーブル22[[学年]:[得点]],MATCH(体力優良証交付申請!$A176,入力シート!$AF$6:$AF$505,0),MATCH(体力優良証交付申請!H$14,テーブル22[[#Headers],[学年]:[得点]],0)))</f>
        <v/>
      </c>
      <c r="I176" s="203" t="str">
        <f>IF($A176&gt;MAX(入力シート!$AF$6:$AF$505),"",INDEX(テーブル22[[学年]:[得点]],MATCH(体力優良証交付申請!$A176,入力シート!$AF$6:$AF$505,0),MATCH(体力優良証交付申請!I$14,テーブル22[[#Headers],[学年]:[得点]],0)))</f>
        <v/>
      </c>
      <c r="J176" s="114" t="str">
        <f>IF($A176&gt;MAX(入力シート!$AF$6:$AF$505),"",INDEX(テーブル22[[学年]:[得点]],MATCH(体力優良証交付申請!$A176,入力シート!$AF$6:$AF$505,0),MATCH(体力優良証交付申請!J$14,テーブル22[[#Headers],[学年]:[得点]],0)))</f>
        <v/>
      </c>
      <c r="K176" s="203" t="str">
        <f>IF($A176&gt;MAX(入力シート!$AF$6:$AF$505),"",INDEX(テーブル22[[学年]:[得点]],MATCH(体力優良証交付申請!$A176,入力シート!$AF$6:$AF$505,0),MATCH(体力優良証交付申請!K$14,テーブル22[[#Headers],[学年]:[得点]],0)))</f>
        <v/>
      </c>
      <c r="L176" s="203" t="str">
        <f>IF($A176&gt;MAX(入力シート!$AF$6:$AF$505),"",INDEX(テーブル22[[学年]:[得点]],MATCH(体力優良証交付申請!$A176,入力シート!$AF$6:$AF$505,0),MATCH(体力優良証交付申請!L$14,テーブル22[[#Headers],[学年]:[得点]],0)))</f>
        <v/>
      </c>
      <c r="M176" s="28" t="str">
        <f>IF($A176&gt;MAX(入力シート!$AF$6:$AF$505),"",INDEX(テーブル22[[学年]:[得点]],MATCH(体力優良証交付申請!$A176,入力シート!$AF$6:$AF$505,0),MATCH(体力優良証交付申請!M$14,テーブル22[[#Headers],[学年]:[得点]],0)))</f>
        <v/>
      </c>
    </row>
    <row r="177" spans="1:13" x14ac:dyDescent="0.2">
      <c r="A177" s="16">
        <v>163</v>
      </c>
      <c r="B177" s="130" t="str">
        <f>IF($A177&gt;MAX(入力シート!$AF$6:$AF$505),"",INDEX(テーブル22[[学年]:[得点]],MATCH(体力優良証交付申請!$A177,入力シート!$AF$6:$AF$505,0),MATCH(体力優良証交付申請!B$14,テーブル22[[#Headers],[学年]:[得点]],0)))</f>
        <v/>
      </c>
      <c r="C177" s="203" t="str">
        <f>IF($A177&gt;MAX(入力シート!$AF$6:$AF$505),"",INDEX(テーブル22[[学年]:[得点]],MATCH(体力優良証交付申請!$A177,入力シート!$AF$6:$AF$505,0),MATCH(体力優良証交付申請!C$14,テーブル22[[#Headers],[学年]:[得点]],0)))</f>
        <v/>
      </c>
      <c r="D177" s="203" t="str">
        <f>IF($A177&gt;MAX(入力シート!$AF$6:$AF$505),"",INDEX(テーブル22[[学年]:[得点]],MATCH(体力優良証交付申請!$A177,入力シート!$AF$6:$AF$505,0),MATCH(体力優良証交付申請!D$14,テーブル22[[#Headers],[学年]:[得点]],0)))</f>
        <v/>
      </c>
      <c r="E177" s="203" t="str">
        <f>IF($A177&gt;MAX(入力シート!$AF$6:$AF$505),"",INDEX(テーブル22[[学年]:[得点]],MATCH(体力優良証交付申請!$A177,入力シート!$AF$6:$AF$505,0),MATCH(体力優良証交付申請!E$14,テーブル22[[#Headers],[学年]:[得点]],0)))</f>
        <v/>
      </c>
      <c r="F177" s="203" t="str">
        <f>IF($A177&gt;MAX(入力シート!$AF$6:$AF$505),"",INDEX(テーブル22[[学年]:[得点]],MATCH(体力優良証交付申請!$A177,入力シート!$AF$6:$AF$505,0),MATCH(体力優良証交付申請!F$14,テーブル22[[#Headers],[学年]:[得点]],0)))</f>
        <v/>
      </c>
      <c r="G177" s="203" t="str">
        <f>IF($A177&gt;MAX(入力シート!$AF$6:$AF$505),"",INDEX(テーブル22[[学年]:[得点]],MATCH(体力優良証交付申請!$A177,入力シート!$AF$6:$AF$505,0),MATCH(体力優良証交付申請!G$14,テーブル22[[#Headers],[学年]:[得点]],0)))</f>
        <v/>
      </c>
      <c r="H177" s="203" t="str">
        <f>IF($A177&gt;MAX(入力シート!$AF$6:$AF$505),"",INDEX(テーブル22[[学年]:[得点]],MATCH(体力優良証交付申請!$A177,入力シート!$AF$6:$AF$505,0),MATCH(体力優良証交付申請!H$14,テーブル22[[#Headers],[学年]:[得点]],0)))</f>
        <v/>
      </c>
      <c r="I177" s="203" t="str">
        <f>IF($A177&gt;MAX(入力シート!$AF$6:$AF$505),"",INDEX(テーブル22[[学年]:[得点]],MATCH(体力優良証交付申請!$A177,入力シート!$AF$6:$AF$505,0),MATCH(体力優良証交付申請!I$14,テーブル22[[#Headers],[学年]:[得点]],0)))</f>
        <v/>
      </c>
      <c r="J177" s="114" t="str">
        <f>IF($A177&gt;MAX(入力シート!$AF$6:$AF$505),"",INDEX(テーブル22[[学年]:[得点]],MATCH(体力優良証交付申請!$A177,入力シート!$AF$6:$AF$505,0),MATCH(体力優良証交付申請!J$14,テーブル22[[#Headers],[学年]:[得点]],0)))</f>
        <v/>
      </c>
      <c r="K177" s="203" t="str">
        <f>IF($A177&gt;MAX(入力シート!$AF$6:$AF$505),"",INDEX(テーブル22[[学年]:[得点]],MATCH(体力優良証交付申請!$A177,入力シート!$AF$6:$AF$505,0),MATCH(体力優良証交付申請!K$14,テーブル22[[#Headers],[学年]:[得点]],0)))</f>
        <v/>
      </c>
      <c r="L177" s="203" t="str">
        <f>IF($A177&gt;MAX(入力シート!$AF$6:$AF$505),"",INDEX(テーブル22[[学年]:[得点]],MATCH(体力優良証交付申請!$A177,入力シート!$AF$6:$AF$505,0),MATCH(体力優良証交付申請!L$14,テーブル22[[#Headers],[学年]:[得点]],0)))</f>
        <v/>
      </c>
      <c r="M177" s="28" t="str">
        <f>IF($A177&gt;MAX(入力シート!$AF$6:$AF$505),"",INDEX(テーブル22[[学年]:[得点]],MATCH(体力優良証交付申請!$A177,入力シート!$AF$6:$AF$505,0),MATCH(体力優良証交付申請!M$14,テーブル22[[#Headers],[学年]:[得点]],0)))</f>
        <v/>
      </c>
    </row>
    <row r="178" spans="1:13" x14ac:dyDescent="0.2">
      <c r="A178" s="16">
        <v>164</v>
      </c>
      <c r="B178" s="130" t="str">
        <f>IF($A178&gt;MAX(入力シート!$AF$6:$AF$505),"",INDEX(テーブル22[[学年]:[得点]],MATCH(体力優良証交付申請!$A178,入力シート!$AF$6:$AF$505,0),MATCH(体力優良証交付申請!B$14,テーブル22[[#Headers],[学年]:[得点]],0)))</f>
        <v/>
      </c>
      <c r="C178" s="203" t="str">
        <f>IF($A178&gt;MAX(入力シート!$AF$6:$AF$505),"",INDEX(テーブル22[[学年]:[得点]],MATCH(体力優良証交付申請!$A178,入力シート!$AF$6:$AF$505,0),MATCH(体力優良証交付申請!C$14,テーブル22[[#Headers],[学年]:[得点]],0)))</f>
        <v/>
      </c>
      <c r="D178" s="203" t="str">
        <f>IF($A178&gt;MAX(入力シート!$AF$6:$AF$505),"",INDEX(テーブル22[[学年]:[得点]],MATCH(体力優良証交付申請!$A178,入力シート!$AF$6:$AF$505,0),MATCH(体力優良証交付申請!D$14,テーブル22[[#Headers],[学年]:[得点]],0)))</f>
        <v/>
      </c>
      <c r="E178" s="203" t="str">
        <f>IF($A178&gt;MAX(入力シート!$AF$6:$AF$505),"",INDEX(テーブル22[[学年]:[得点]],MATCH(体力優良証交付申請!$A178,入力シート!$AF$6:$AF$505,0),MATCH(体力優良証交付申請!E$14,テーブル22[[#Headers],[学年]:[得点]],0)))</f>
        <v/>
      </c>
      <c r="F178" s="203" t="str">
        <f>IF($A178&gt;MAX(入力シート!$AF$6:$AF$505),"",INDEX(テーブル22[[学年]:[得点]],MATCH(体力優良証交付申請!$A178,入力シート!$AF$6:$AF$505,0),MATCH(体力優良証交付申請!F$14,テーブル22[[#Headers],[学年]:[得点]],0)))</f>
        <v/>
      </c>
      <c r="G178" s="203" t="str">
        <f>IF($A178&gt;MAX(入力シート!$AF$6:$AF$505),"",INDEX(テーブル22[[学年]:[得点]],MATCH(体力優良証交付申請!$A178,入力シート!$AF$6:$AF$505,0),MATCH(体力優良証交付申請!G$14,テーブル22[[#Headers],[学年]:[得点]],0)))</f>
        <v/>
      </c>
      <c r="H178" s="203" t="str">
        <f>IF($A178&gt;MAX(入力シート!$AF$6:$AF$505),"",INDEX(テーブル22[[学年]:[得点]],MATCH(体力優良証交付申請!$A178,入力シート!$AF$6:$AF$505,0),MATCH(体力優良証交付申請!H$14,テーブル22[[#Headers],[学年]:[得点]],0)))</f>
        <v/>
      </c>
      <c r="I178" s="203" t="str">
        <f>IF($A178&gt;MAX(入力シート!$AF$6:$AF$505),"",INDEX(テーブル22[[学年]:[得点]],MATCH(体力優良証交付申請!$A178,入力シート!$AF$6:$AF$505,0),MATCH(体力優良証交付申請!I$14,テーブル22[[#Headers],[学年]:[得点]],0)))</f>
        <v/>
      </c>
      <c r="J178" s="114" t="str">
        <f>IF($A178&gt;MAX(入力シート!$AF$6:$AF$505),"",INDEX(テーブル22[[学年]:[得点]],MATCH(体力優良証交付申請!$A178,入力シート!$AF$6:$AF$505,0),MATCH(体力優良証交付申請!J$14,テーブル22[[#Headers],[学年]:[得点]],0)))</f>
        <v/>
      </c>
      <c r="K178" s="203" t="str">
        <f>IF($A178&gt;MAX(入力シート!$AF$6:$AF$505),"",INDEX(テーブル22[[学年]:[得点]],MATCH(体力優良証交付申請!$A178,入力シート!$AF$6:$AF$505,0),MATCH(体力優良証交付申請!K$14,テーブル22[[#Headers],[学年]:[得点]],0)))</f>
        <v/>
      </c>
      <c r="L178" s="203" t="str">
        <f>IF($A178&gt;MAX(入力シート!$AF$6:$AF$505),"",INDEX(テーブル22[[学年]:[得点]],MATCH(体力優良証交付申請!$A178,入力シート!$AF$6:$AF$505,0),MATCH(体力優良証交付申請!L$14,テーブル22[[#Headers],[学年]:[得点]],0)))</f>
        <v/>
      </c>
      <c r="M178" s="28" t="str">
        <f>IF($A178&gt;MAX(入力シート!$AF$6:$AF$505),"",INDEX(テーブル22[[学年]:[得点]],MATCH(体力優良証交付申請!$A178,入力シート!$AF$6:$AF$505,0),MATCH(体力優良証交付申請!M$14,テーブル22[[#Headers],[学年]:[得点]],0)))</f>
        <v/>
      </c>
    </row>
    <row r="179" spans="1:13" x14ac:dyDescent="0.2">
      <c r="A179" s="16">
        <v>165</v>
      </c>
      <c r="B179" s="130" t="str">
        <f>IF($A179&gt;MAX(入力シート!$AF$6:$AF$505),"",INDEX(テーブル22[[学年]:[得点]],MATCH(体力優良証交付申請!$A179,入力シート!$AF$6:$AF$505,0),MATCH(体力優良証交付申請!B$14,テーブル22[[#Headers],[学年]:[得点]],0)))</f>
        <v/>
      </c>
      <c r="C179" s="203" t="str">
        <f>IF($A179&gt;MAX(入力シート!$AF$6:$AF$505),"",INDEX(テーブル22[[学年]:[得点]],MATCH(体力優良証交付申請!$A179,入力シート!$AF$6:$AF$505,0),MATCH(体力優良証交付申請!C$14,テーブル22[[#Headers],[学年]:[得点]],0)))</f>
        <v/>
      </c>
      <c r="D179" s="203" t="str">
        <f>IF($A179&gt;MAX(入力シート!$AF$6:$AF$505),"",INDEX(テーブル22[[学年]:[得点]],MATCH(体力優良証交付申請!$A179,入力シート!$AF$6:$AF$505,0),MATCH(体力優良証交付申請!D$14,テーブル22[[#Headers],[学年]:[得点]],0)))</f>
        <v/>
      </c>
      <c r="E179" s="203" t="str">
        <f>IF($A179&gt;MAX(入力シート!$AF$6:$AF$505),"",INDEX(テーブル22[[学年]:[得点]],MATCH(体力優良証交付申請!$A179,入力シート!$AF$6:$AF$505,0),MATCH(体力優良証交付申請!E$14,テーブル22[[#Headers],[学年]:[得点]],0)))</f>
        <v/>
      </c>
      <c r="F179" s="203" t="str">
        <f>IF($A179&gt;MAX(入力シート!$AF$6:$AF$505),"",INDEX(テーブル22[[学年]:[得点]],MATCH(体力優良証交付申請!$A179,入力シート!$AF$6:$AF$505,0),MATCH(体力優良証交付申請!F$14,テーブル22[[#Headers],[学年]:[得点]],0)))</f>
        <v/>
      </c>
      <c r="G179" s="203" t="str">
        <f>IF($A179&gt;MAX(入力シート!$AF$6:$AF$505),"",INDEX(テーブル22[[学年]:[得点]],MATCH(体力優良証交付申請!$A179,入力シート!$AF$6:$AF$505,0),MATCH(体力優良証交付申請!G$14,テーブル22[[#Headers],[学年]:[得点]],0)))</f>
        <v/>
      </c>
      <c r="H179" s="203" t="str">
        <f>IF($A179&gt;MAX(入力シート!$AF$6:$AF$505),"",INDEX(テーブル22[[学年]:[得点]],MATCH(体力優良証交付申請!$A179,入力シート!$AF$6:$AF$505,0),MATCH(体力優良証交付申請!H$14,テーブル22[[#Headers],[学年]:[得点]],0)))</f>
        <v/>
      </c>
      <c r="I179" s="203" t="str">
        <f>IF($A179&gt;MAX(入力シート!$AF$6:$AF$505),"",INDEX(テーブル22[[学年]:[得点]],MATCH(体力優良証交付申請!$A179,入力シート!$AF$6:$AF$505,0),MATCH(体力優良証交付申請!I$14,テーブル22[[#Headers],[学年]:[得点]],0)))</f>
        <v/>
      </c>
      <c r="J179" s="114" t="str">
        <f>IF($A179&gt;MAX(入力シート!$AF$6:$AF$505),"",INDEX(テーブル22[[学年]:[得点]],MATCH(体力優良証交付申請!$A179,入力シート!$AF$6:$AF$505,0),MATCH(体力優良証交付申請!J$14,テーブル22[[#Headers],[学年]:[得点]],0)))</f>
        <v/>
      </c>
      <c r="K179" s="203" t="str">
        <f>IF($A179&gt;MAX(入力シート!$AF$6:$AF$505),"",INDEX(テーブル22[[学年]:[得点]],MATCH(体力優良証交付申請!$A179,入力シート!$AF$6:$AF$505,0),MATCH(体力優良証交付申請!K$14,テーブル22[[#Headers],[学年]:[得点]],0)))</f>
        <v/>
      </c>
      <c r="L179" s="203" t="str">
        <f>IF($A179&gt;MAX(入力シート!$AF$6:$AF$505),"",INDEX(テーブル22[[学年]:[得点]],MATCH(体力優良証交付申請!$A179,入力シート!$AF$6:$AF$505,0),MATCH(体力優良証交付申請!L$14,テーブル22[[#Headers],[学年]:[得点]],0)))</f>
        <v/>
      </c>
      <c r="M179" s="28" t="str">
        <f>IF($A179&gt;MAX(入力シート!$AF$6:$AF$505),"",INDEX(テーブル22[[学年]:[得点]],MATCH(体力優良証交付申請!$A179,入力シート!$AF$6:$AF$505,0),MATCH(体力優良証交付申請!M$14,テーブル22[[#Headers],[学年]:[得点]],0)))</f>
        <v/>
      </c>
    </row>
    <row r="180" spans="1:13" x14ac:dyDescent="0.2">
      <c r="A180" s="16">
        <v>166</v>
      </c>
      <c r="B180" s="130" t="str">
        <f>IF($A180&gt;MAX(入力シート!$AF$6:$AF$505),"",INDEX(テーブル22[[学年]:[得点]],MATCH(体力優良証交付申請!$A180,入力シート!$AF$6:$AF$505,0),MATCH(体力優良証交付申請!B$14,テーブル22[[#Headers],[学年]:[得点]],0)))</f>
        <v/>
      </c>
      <c r="C180" s="203" t="str">
        <f>IF($A180&gt;MAX(入力シート!$AF$6:$AF$505),"",INDEX(テーブル22[[学年]:[得点]],MATCH(体力優良証交付申請!$A180,入力シート!$AF$6:$AF$505,0),MATCH(体力優良証交付申請!C$14,テーブル22[[#Headers],[学年]:[得点]],0)))</f>
        <v/>
      </c>
      <c r="D180" s="203" t="str">
        <f>IF($A180&gt;MAX(入力シート!$AF$6:$AF$505),"",INDEX(テーブル22[[学年]:[得点]],MATCH(体力優良証交付申請!$A180,入力シート!$AF$6:$AF$505,0),MATCH(体力優良証交付申請!D$14,テーブル22[[#Headers],[学年]:[得点]],0)))</f>
        <v/>
      </c>
      <c r="E180" s="203" t="str">
        <f>IF($A180&gt;MAX(入力シート!$AF$6:$AF$505),"",INDEX(テーブル22[[学年]:[得点]],MATCH(体力優良証交付申請!$A180,入力シート!$AF$6:$AF$505,0),MATCH(体力優良証交付申請!E$14,テーブル22[[#Headers],[学年]:[得点]],0)))</f>
        <v/>
      </c>
      <c r="F180" s="203" t="str">
        <f>IF($A180&gt;MAX(入力シート!$AF$6:$AF$505),"",INDEX(テーブル22[[学年]:[得点]],MATCH(体力優良証交付申請!$A180,入力シート!$AF$6:$AF$505,0),MATCH(体力優良証交付申請!F$14,テーブル22[[#Headers],[学年]:[得点]],0)))</f>
        <v/>
      </c>
      <c r="G180" s="203" t="str">
        <f>IF($A180&gt;MAX(入力シート!$AF$6:$AF$505),"",INDEX(テーブル22[[学年]:[得点]],MATCH(体力優良証交付申請!$A180,入力シート!$AF$6:$AF$505,0),MATCH(体力優良証交付申請!G$14,テーブル22[[#Headers],[学年]:[得点]],0)))</f>
        <v/>
      </c>
      <c r="H180" s="203" t="str">
        <f>IF($A180&gt;MAX(入力シート!$AF$6:$AF$505),"",INDEX(テーブル22[[学年]:[得点]],MATCH(体力優良証交付申請!$A180,入力シート!$AF$6:$AF$505,0),MATCH(体力優良証交付申請!H$14,テーブル22[[#Headers],[学年]:[得点]],0)))</f>
        <v/>
      </c>
      <c r="I180" s="203" t="str">
        <f>IF($A180&gt;MAX(入力シート!$AF$6:$AF$505),"",INDEX(テーブル22[[学年]:[得点]],MATCH(体力優良証交付申請!$A180,入力シート!$AF$6:$AF$505,0),MATCH(体力優良証交付申請!I$14,テーブル22[[#Headers],[学年]:[得点]],0)))</f>
        <v/>
      </c>
      <c r="J180" s="114" t="str">
        <f>IF($A180&gt;MAX(入力シート!$AF$6:$AF$505),"",INDEX(テーブル22[[学年]:[得点]],MATCH(体力優良証交付申請!$A180,入力シート!$AF$6:$AF$505,0),MATCH(体力優良証交付申請!J$14,テーブル22[[#Headers],[学年]:[得点]],0)))</f>
        <v/>
      </c>
      <c r="K180" s="203" t="str">
        <f>IF($A180&gt;MAX(入力シート!$AF$6:$AF$505),"",INDEX(テーブル22[[学年]:[得点]],MATCH(体力優良証交付申請!$A180,入力シート!$AF$6:$AF$505,0),MATCH(体力優良証交付申請!K$14,テーブル22[[#Headers],[学年]:[得点]],0)))</f>
        <v/>
      </c>
      <c r="L180" s="203" t="str">
        <f>IF($A180&gt;MAX(入力シート!$AF$6:$AF$505),"",INDEX(テーブル22[[学年]:[得点]],MATCH(体力優良証交付申請!$A180,入力シート!$AF$6:$AF$505,0),MATCH(体力優良証交付申請!L$14,テーブル22[[#Headers],[学年]:[得点]],0)))</f>
        <v/>
      </c>
      <c r="M180" s="28" t="str">
        <f>IF($A180&gt;MAX(入力シート!$AF$6:$AF$505),"",INDEX(テーブル22[[学年]:[得点]],MATCH(体力優良証交付申請!$A180,入力シート!$AF$6:$AF$505,0),MATCH(体力優良証交付申請!M$14,テーブル22[[#Headers],[学年]:[得点]],0)))</f>
        <v/>
      </c>
    </row>
    <row r="181" spans="1:13" x14ac:dyDescent="0.2">
      <c r="A181" s="16">
        <v>167</v>
      </c>
      <c r="B181" s="130" t="str">
        <f>IF($A181&gt;MAX(入力シート!$AF$6:$AF$505),"",INDEX(テーブル22[[学年]:[得点]],MATCH(体力優良証交付申請!$A181,入力シート!$AF$6:$AF$505,0),MATCH(体力優良証交付申請!B$14,テーブル22[[#Headers],[学年]:[得点]],0)))</f>
        <v/>
      </c>
      <c r="C181" s="203" t="str">
        <f>IF($A181&gt;MAX(入力シート!$AF$6:$AF$505),"",INDEX(テーブル22[[学年]:[得点]],MATCH(体力優良証交付申請!$A181,入力シート!$AF$6:$AF$505,0),MATCH(体力優良証交付申請!C$14,テーブル22[[#Headers],[学年]:[得点]],0)))</f>
        <v/>
      </c>
      <c r="D181" s="203" t="str">
        <f>IF($A181&gt;MAX(入力シート!$AF$6:$AF$505),"",INDEX(テーブル22[[学年]:[得点]],MATCH(体力優良証交付申請!$A181,入力シート!$AF$6:$AF$505,0),MATCH(体力優良証交付申請!D$14,テーブル22[[#Headers],[学年]:[得点]],0)))</f>
        <v/>
      </c>
      <c r="E181" s="203" t="str">
        <f>IF($A181&gt;MAX(入力シート!$AF$6:$AF$505),"",INDEX(テーブル22[[学年]:[得点]],MATCH(体力優良証交付申請!$A181,入力シート!$AF$6:$AF$505,0),MATCH(体力優良証交付申請!E$14,テーブル22[[#Headers],[学年]:[得点]],0)))</f>
        <v/>
      </c>
      <c r="F181" s="203" t="str">
        <f>IF($A181&gt;MAX(入力シート!$AF$6:$AF$505),"",INDEX(テーブル22[[学年]:[得点]],MATCH(体力優良証交付申請!$A181,入力シート!$AF$6:$AF$505,0),MATCH(体力優良証交付申請!F$14,テーブル22[[#Headers],[学年]:[得点]],0)))</f>
        <v/>
      </c>
      <c r="G181" s="203" t="str">
        <f>IF($A181&gt;MAX(入力シート!$AF$6:$AF$505),"",INDEX(テーブル22[[学年]:[得点]],MATCH(体力優良証交付申請!$A181,入力シート!$AF$6:$AF$505,0),MATCH(体力優良証交付申請!G$14,テーブル22[[#Headers],[学年]:[得点]],0)))</f>
        <v/>
      </c>
      <c r="H181" s="203" t="str">
        <f>IF($A181&gt;MAX(入力シート!$AF$6:$AF$505),"",INDEX(テーブル22[[学年]:[得点]],MATCH(体力優良証交付申請!$A181,入力シート!$AF$6:$AF$505,0),MATCH(体力優良証交付申請!H$14,テーブル22[[#Headers],[学年]:[得点]],0)))</f>
        <v/>
      </c>
      <c r="I181" s="203" t="str">
        <f>IF($A181&gt;MAX(入力シート!$AF$6:$AF$505),"",INDEX(テーブル22[[学年]:[得点]],MATCH(体力優良証交付申請!$A181,入力シート!$AF$6:$AF$505,0),MATCH(体力優良証交付申請!I$14,テーブル22[[#Headers],[学年]:[得点]],0)))</f>
        <v/>
      </c>
      <c r="J181" s="114" t="str">
        <f>IF($A181&gt;MAX(入力シート!$AF$6:$AF$505),"",INDEX(テーブル22[[学年]:[得点]],MATCH(体力優良証交付申請!$A181,入力シート!$AF$6:$AF$505,0),MATCH(体力優良証交付申請!J$14,テーブル22[[#Headers],[学年]:[得点]],0)))</f>
        <v/>
      </c>
      <c r="K181" s="203" t="str">
        <f>IF($A181&gt;MAX(入力シート!$AF$6:$AF$505),"",INDEX(テーブル22[[学年]:[得点]],MATCH(体力優良証交付申請!$A181,入力シート!$AF$6:$AF$505,0),MATCH(体力優良証交付申請!K$14,テーブル22[[#Headers],[学年]:[得点]],0)))</f>
        <v/>
      </c>
      <c r="L181" s="203" t="str">
        <f>IF($A181&gt;MAX(入力シート!$AF$6:$AF$505),"",INDEX(テーブル22[[学年]:[得点]],MATCH(体力優良証交付申請!$A181,入力シート!$AF$6:$AF$505,0),MATCH(体力優良証交付申請!L$14,テーブル22[[#Headers],[学年]:[得点]],0)))</f>
        <v/>
      </c>
      <c r="M181" s="28" t="str">
        <f>IF($A181&gt;MAX(入力シート!$AF$6:$AF$505),"",INDEX(テーブル22[[学年]:[得点]],MATCH(体力優良証交付申請!$A181,入力シート!$AF$6:$AF$505,0),MATCH(体力優良証交付申請!M$14,テーブル22[[#Headers],[学年]:[得点]],0)))</f>
        <v/>
      </c>
    </row>
    <row r="182" spans="1:13" x14ac:dyDescent="0.2">
      <c r="A182" s="16">
        <v>168</v>
      </c>
      <c r="B182" s="130" t="str">
        <f>IF($A182&gt;MAX(入力シート!$AF$6:$AF$505),"",INDEX(テーブル22[[学年]:[得点]],MATCH(体力優良証交付申請!$A182,入力シート!$AF$6:$AF$505,0),MATCH(体力優良証交付申請!B$14,テーブル22[[#Headers],[学年]:[得点]],0)))</f>
        <v/>
      </c>
      <c r="C182" s="203" t="str">
        <f>IF($A182&gt;MAX(入力シート!$AF$6:$AF$505),"",INDEX(テーブル22[[学年]:[得点]],MATCH(体力優良証交付申請!$A182,入力シート!$AF$6:$AF$505,0),MATCH(体力優良証交付申請!C$14,テーブル22[[#Headers],[学年]:[得点]],0)))</f>
        <v/>
      </c>
      <c r="D182" s="203" t="str">
        <f>IF($A182&gt;MAX(入力シート!$AF$6:$AF$505),"",INDEX(テーブル22[[学年]:[得点]],MATCH(体力優良証交付申請!$A182,入力シート!$AF$6:$AF$505,0),MATCH(体力優良証交付申請!D$14,テーブル22[[#Headers],[学年]:[得点]],0)))</f>
        <v/>
      </c>
      <c r="E182" s="203" t="str">
        <f>IF($A182&gt;MAX(入力シート!$AF$6:$AF$505),"",INDEX(テーブル22[[学年]:[得点]],MATCH(体力優良証交付申請!$A182,入力シート!$AF$6:$AF$505,0),MATCH(体力優良証交付申請!E$14,テーブル22[[#Headers],[学年]:[得点]],0)))</f>
        <v/>
      </c>
      <c r="F182" s="203" t="str">
        <f>IF($A182&gt;MAX(入力シート!$AF$6:$AF$505),"",INDEX(テーブル22[[学年]:[得点]],MATCH(体力優良証交付申請!$A182,入力シート!$AF$6:$AF$505,0),MATCH(体力優良証交付申請!F$14,テーブル22[[#Headers],[学年]:[得点]],0)))</f>
        <v/>
      </c>
      <c r="G182" s="203" t="str">
        <f>IF($A182&gt;MAX(入力シート!$AF$6:$AF$505),"",INDEX(テーブル22[[学年]:[得点]],MATCH(体力優良証交付申請!$A182,入力シート!$AF$6:$AF$505,0),MATCH(体力優良証交付申請!G$14,テーブル22[[#Headers],[学年]:[得点]],0)))</f>
        <v/>
      </c>
      <c r="H182" s="203" t="str">
        <f>IF($A182&gt;MAX(入力シート!$AF$6:$AF$505),"",INDEX(テーブル22[[学年]:[得点]],MATCH(体力優良証交付申請!$A182,入力シート!$AF$6:$AF$505,0),MATCH(体力優良証交付申請!H$14,テーブル22[[#Headers],[学年]:[得点]],0)))</f>
        <v/>
      </c>
      <c r="I182" s="203" t="str">
        <f>IF($A182&gt;MAX(入力シート!$AF$6:$AF$505),"",INDEX(テーブル22[[学年]:[得点]],MATCH(体力優良証交付申請!$A182,入力シート!$AF$6:$AF$505,0),MATCH(体力優良証交付申請!I$14,テーブル22[[#Headers],[学年]:[得点]],0)))</f>
        <v/>
      </c>
      <c r="J182" s="114" t="str">
        <f>IF($A182&gt;MAX(入力シート!$AF$6:$AF$505),"",INDEX(テーブル22[[学年]:[得点]],MATCH(体力優良証交付申請!$A182,入力シート!$AF$6:$AF$505,0),MATCH(体力優良証交付申請!J$14,テーブル22[[#Headers],[学年]:[得点]],0)))</f>
        <v/>
      </c>
      <c r="K182" s="203" t="str">
        <f>IF($A182&gt;MAX(入力シート!$AF$6:$AF$505),"",INDEX(テーブル22[[学年]:[得点]],MATCH(体力優良証交付申請!$A182,入力シート!$AF$6:$AF$505,0),MATCH(体力優良証交付申請!K$14,テーブル22[[#Headers],[学年]:[得点]],0)))</f>
        <v/>
      </c>
      <c r="L182" s="203" t="str">
        <f>IF($A182&gt;MAX(入力シート!$AF$6:$AF$505),"",INDEX(テーブル22[[学年]:[得点]],MATCH(体力優良証交付申請!$A182,入力シート!$AF$6:$AF$505,0),MATCH(体力優良証交付申請!L$14,テーブル22[[#Headers],[学年]:[得点]],0)))</f>
        <v/>
      </c>
      <c r="M182" s="28" t="str">
        <f>IF($A182&gt;MAX(入力シート!$AF$6:$AF$505),"",INDEX(テーブル22[[学年]:[得点]],MATCH(体力優良証交付申請!$A182,入力シート!$AF$6:$AF$505,0),MATCH(体力優良証交付申請!M$14,テーブル22[[#Headers],[学年]:[得点]],0)))</f>
        <v/>
      </c>
    </row>
    <row r="183" spans="1:13" x14ac:dyDescent="0.2">
      <c r="A183" s="16">
        <v>169</v>
      </c>
      <c r="B183" s="130" t="str">
        <f>IF($A183&gt;MAX(入力シート!$AF$6:$AF$505),"",INDEX(テーブル22[[学年]:[得点]],MATCH(体力優良証交付申請!$A183,入力シート!$AF$6:$AF$505,0),MATCH(体力優良証交付申請!B$14,テーブル22[[#Headers],[学年]:[得点]],0)))</f>
        <v/>
      </c>
      <c r="C183" s="203" t="str">
        <f>IF($A183&gt;MAX(入力シート!$AF$6:$AF$505),"",INDEX(テーブル22[[学年]:[得点]],MATCH(体力優良証交付申請!$A183,入力シート!$AF$6:$AF$505,0),MATCH(体力優良証交付申請!C$14,テーブル22[[#Headers],[学年]:[得点]],0)))</f>
        <v/>
      </c>
      <c r="D183" s="203" t="str">
        <f>IF($A183&gt;MAX(入力シート!$AF$6:$AF$505),"",INDEX(テーブル22[[学年]:[得点]],MATCH(体力優良証交付申請!$A183,入力シート!$AF$6:$AF$505,0),MATCH(体力優良証交付申請!D$14,テーブル22[[#Headers],[学年]:[得点]],0)))</f>
        <v/>
      </c>
      <c r="E183" s="203" t="str">
        <f>IF($A183&gt;MAX(入力シート!$AF$6:$AF$505),"",INDEX(テーブル22[[学年]:[得点]],MATCH(体力優良証交付申請!$A183,入力シート!$AF$6:$AF$505,0),MATCH(体力優良証交付申請!E$14,テーブル22[[#Headers],[学年]:[得点]],0)))</f>
        <v/>
      </c>
      <c r="F183" s="203" t="str">
        <f>IF($A183&gt;MAX(入力シート!$AF$6:$AF$505),"",INDEX(テーブル22[[学年]:[得点]],MATCH(体力優良証交付申請!$A183,入力シート!$AF$6:$AF$505,0),MATCH(体力優良証交付申請!F$14,テーブル22[[#Headers],[学年]:[得点]],0)))</f>
        <v/>
      </c>
      <c r="G183" s="203" t="str">
        <f>IF($A183&gt;MAX(入力シート!$AF$6:$AF$505),"",INDEX(テーブル22[[学年]:[得点]],MATCH(体力優良証交付申請!$A183,入力シート!$AF$6:$AF$505,0),MATCH(体力優良証交付申請!G$14,テーブル22[[#Headers],[学年]:[得点]],0)))</f>
        <v/>
      </c>
      <c r="H183" s="203" t="str">
        <f>IF($A183&gt;MAX(入力シート!$AF$6:$AF$505),"",INDEX(テーブル22[[学年]:[得点]],MATCH(体力優良証交付申請!$A183,入力シート!$AF$6:$AF$505,0),MATCH(体力優良証交付申請!H$14,テーブル22[[#Headers],[学年]:[得点]],0)))</f>
        <v/>
      </c>
      <c r="I183" s="203" t="str">
        <f>IF($A183&gt;MAX(入力シート!$AF$6:$AF$505),"",INDEX(テーブル22[[学年]:[得点]],MATCH(体力優良証交付申請!$A183,入力シート!$AF$6:$AF$505,0),MATCH(体力優良証交付申請!I$14,テーブル22[[#Headers],[学年]:[得点]],0)))</f>
        <v/>
      </c>
      <c r="J183" s="114" t="str">
        <f>IF($A183&gt;MAX(入力シート!$AF$6:$AF$505),"",INDEX(テーブル22[[学年]:[得点]],MATCH(体力優良証交付申請!$A183,入力シート!$AF$6:$AF$505,0),MATCH(体力優良証交付申請!J$14,テーブル22[[#Headers],[学年]:[得点]],0)))</f>
        <v/>
      </c>
      <c r="K183" s="203" t="str">
        <f>IF($A183&gt;MAX(入力シート!$AF$6:$AF$505),"",INDEX(テーブル22[[学年]:[得点]],MATCH(体力優良証交付申請!$A183,入力シート!$AF$6:$AF$505,0),MATCH(体力優良証交付申請!K$14,テーブル22[[#Headers],[学年]:[得点]],0)))</f>
        <v/>
      </c>
      <c r="L183" s="203" t="str">
        <f>IF($A183&gt;MAX(入力シート!$AF$6:$AF$505),"",INDEX(テーブル22[[学年]:[得点]],MATCH(体力優良証交付申請!$A183,入力シート!$AF$6:$AF$505,0),MATCH(体力優良証交付申請!L$14,テーブル22[[#Headers],[学年]:[得点]],0)))</f>
        <v/>
      </c>
      <c r="M183" s="28" t="str">
        <f>IF($A183&gt;MAX(入力シート!$AF$6:$AF$505),"",INDEX(テーブル22[[学年]:[得点]],MATCH(体力優良証交付申請!$A183,入力シート!$AF$6:$AF$505,0),MATCH(体力優良証交付申請!M$14,テーブル22[[#Headers],[学年]:[得点]],0)))</f>
        <v/>
      </c>
    </row>
    <row r="184" spans="1:13" x14ac:dyDescent="0.2">
      <c r="A184" s="16">
        <v>170</v>
      </c>
      <c r="B184" s="130" t="str">
        <f>IF($A184&gt;MAX(入力シート!$AF$6:$AF$505),"",INDEX(テーブル22[[学年]:[得点]],MATCH(体力優良証交付申請!$A184,入力シート!$AF$6:$AF$505,0),MATCH(体力優良証交付申請!B$14,テーブル22[[#Headers],[学年]:[得点]],0)))</f>
        <v/>
      </c>
      <c r="C184" s="203" t="str">
        <f>IF($A184&gt;MAX(入力シート!$AF$6:$AF$505),"",INDEX(テーブル22[[学年]:[得点]],MATCH(体力優良証交付申請!$A184,入力シート!$AF$6:$AF$505,0),MATCH(体力優良証交付申請!C$14,テーブル22[[#Headers],[学年]:[得点]],0)))</f>
        <v/>
      </c>
      <c r="D184" s="203" t="str">
        <f>IF($A184&gt;MAX(入力シート!$AF$6:$AF$505),"",INDEX(テーブル22[[学年]:[得点]],MATCH(体力優良証交付申請!$A184,入力シート!$AF$6:$AF$505,0),MATCH(体力優良証交付申請!D$14,テーブル22[[#Headers],[学年]:[得点]],0)))</f>
        <v/>
      </c>
      <c r="E184" s="203" t="str">
        <f>IF($A184&gt;MAX(入力シート!$AF$6:$AF$505),"",INDEX(テーブル22[[学年]:[得点]],MATCH(体力優良証交付申請!$A184,入力シート!$AF$6:$AF$505,0),MATCH(体力優良証交付申請!E$14,テーブル22[[#Headers],[学年]:[得点]],0)))</f>
        <v/>
      </c>
      <c r="F184" s="203" t="str">
        <f>IF($A184&gt;MAX(入力シート!$AF$6:$AF$505),"",INDEX(テーブル22[[学年]:[得点]],MATCH(体力優良証交付申請!$A184,入力シート!$AF$6:$AF$505,0),MATCH(体力優良証交付申請!F$14,テーブル22[[#Headers],[学年]:[得点]],0)))</f>
        <v/>
      </c>
      <c r="G184" s="203" t="str">
        <f>IF($A184&gt;MAX(入力シート!$AF$6:$AF$505),"",INDEX(テーブル22[[学年]:[得点]],MATCH(体力優良証交付申請!$A184,入力シート!$AF$6:$AF$505,0),MATCH(体力優良証交付申請!G$14,テーブル22[[#Headers],[学年]:[得点]],0)))</f>
        <v/>
      </c>
      <c r="H184" s="203" t="str">
        <f>IF($A184&gt;MAX(入力シート!$AF$6:$AF$505),"",INDEX(テーブル22[[学年]:[得点]],MATCH(体力優良証交付申請!$A184,入力シート!$AF$6:$AF$505,0),MATCH(体力優良証交付申請!H$14,テーブル22[[#Headers],[学年]:[得点]],0)))</f>
        <v/>
      </c>
      <c r="I184" s="203" t="str">
        <f>IF($A184&gt;MAX(入力シート!$AF$6:$AF$505),"",INDEX(テーブル22[[学年]:[得点]],MATCH(体力優良証交付申請!$A184,入力シート!$AF$6:$AF$505,0),MATCH(体力優良証交付申請!I$14,テーブル22[[#Headers],[学年]:[得点]],0)))</f>
        <v/>
      </c>
      <c r="J184" s="114" t="str">
        <f>IF($A184&gt;MAX(入力シート!$AF$6:$AF$505),"",INDEX(テーブル22[[学年]:[得点]],MATCH(体力優良証交付申請!$A184,入力シート!$AF$6:$AF$505,0),MATCH(体力優良証交付申請!J$14,テーブル22[[#Headers],[学年]:[得点]],0)))</f>
        <v/>
      </c>
      <c r="K184" s="203" t="str">
        <f>IF($A184&gt;MAX(入力シート!$AF$6:$AF$505),"",INDEX(テーブル22[[学年]:[得点]],MATCH(体力優良証交付申請!$A184,入力シート!$AF$6:$AF$505,0),MATCH(体力優良証交付申請!K$14,テーブル22[[#Headers],[学年]:[得点]],0)))</f>
        <v/>
      </c>
      <c r="L184" s="203" t="str">
        <f>IF($A184&gt;MAX(入力シート!$AF$6:$AF$505),"",INDEX(テーブル22[[学年]:[得点]],MATCH(体力優良証交付申請!$A184,入力シート!$AF$6:$AF$505,0),MATCH(体力優良証交付申請!L$14,テーブル22[[#Headers],[学年]:[得点]],0)))</f>
        <v/>
      </c>
      <c r="M184" s="28" t="str">
        <f>IF($A184&gt;MAX(入力シート!$AF$6:$AF$505),"",INDEX(テーブル22[[学年]:[得点]],MATCH(体力優良証交付申請!$A184,入力シート!$AF$6:$AF$505,0),MATCH(体力優良証交付申請!M$14,テーブル22[[#Headers],[学年]:[得点]],0)))</f>
        <v/>
      </c>
    </row>
    <row r="185" spans="1:13" x14ac:dyDescent="0.2">
      <c r="A185" s="16">
        <v>171</v>
      </c>
      <c r="B185" s="130" t="str">
        <f>IF($A185&gt;MAX(入力シート!$AF$6:$AF$505),"",INDEX(テーブル22[[学年]:[得点]],MATCH(体力優良証交付申請!$A185,入力シート!$AF$6:$AF$505,0),MATCH(体力優良証交付申請!B$14,テーブル22[[#Headers],[学年]:[得点]],0)))</f>
        <v/>
      </c>
      <c r="C185" s="203" t="str">
        <f>IF($A185&gt;MAX(入力シート!$AF$6:$AF$505),"",INDEX(テーブル22[[学年]:[得点]],MATCH(体力優良証交付申請!$A185,入力シート!$AF$6:$AF$505,0),MATCH(体力優良証交付申請!C$14,テーブル22[[#Headers],[学年]:[得点]],0)))</f>
        <v/>
      </c>
      <c r="D185" s="203" t="str">
        <f>IF($A185&gt;MAX(入力シート!$AF$6:$AF$505),"",INDEX(テーブル22[[学年]:[得点]],MATCH(体力優良証交付申請!$A185,入力シート!$AF$6:$AF$505,0),MATCH(体力優良証交付申請!D$14,テーブル22[[#Headers],[学年]:[得点]],0)))</f>
        <v/>
      </c>
      <c r="E185" s="203" t="str">
        <f>IF($A185&gt;MAX(入力シート!$AF$6:$AF$505),"",INDEX(テーブル22[[学年]:[得点]],MATCH(体力優良証交付申請!$A185,入力シート!$AF$6:$AF$505,0),MATCH(体力優良証交付申請!E$14,テーブル22[[#Headers],[学年]:[得点]],0)))</f>
        <v/>
      </c>
      <c r="F185" s="203" t="str">
        <f>IF($A185&gt;MAX(入力シート!$AF$6:$AF$505),"",INDEX(テーブル22[[学年]:[得点]],MATCH(体力優良証交付申請!$A185,入力シート!$AF$6:$AF$505,0),MATCH(体力優良証交付申請!F$14,テーブル22[[#Headers],[学年]:[得点]],0)))</f>
        <v/>
      </c>
      <c r="G185" s="203" t="str">
        <f>IF($A185&gt;MAX(入力シート!$AF$6:$AF$505),"",INDEX(テーブル22[[学年]:[得点]],MATCH(体力優良証交付申請!$A185,入力シート!$AF$6:$AF$505,0),MATCH(体力優良証交付申請!G$14,テーブル22[[#Headers],[学年]:[得点]],0)))</f>
        <v/>
      </c>
      <c r="H185" s="203" t="str">
        <f>IF($A185&gt;MAX(入力シート!$AF$6:$AF$505),"",INDEX(テーブル22[[学年]:[得点]],MATCH(体力優良証交付申請!$A185,入力シート!$AF$6:$AF$505,0),MATCH(体力優良証交付申請!H$14,テーブル22[[#Headers],[学年]:[得点]],0)))</f>
        <v/>
      </c>
      <c r="I185" s="203" t="str">
        <f>IF($A185&gt;MAX(入力シート!$AF$6:$AF$505),"",INDEX(テーブル22[[学年]:[得点]],MATCH(体力優良証交付申請!$A185,入力シート!$AF$6:$AF$505,0),MATCH(体力優良証交付申請!I$14,テーブル22[[#Headers],[学年]:[得点]],0)))</f>
        <v/>
      </c>
      <c r="J185" s="114" t="str">
        <f>IF($A185&gt;MAX(入力シート!$AF$6:$AF$505),"",INDEX(テーブル22[[学年]:[得点]],MATCH(体力優良証交付申請!$A185,入力シート!$AF$6:$AF$505,0),MATCH(体力優良証交付申請!J$14,テーブル22[[#Headers],[学年]:[得点]],0)))</f>
        <v/>
      </c>
      <c r="K185" s="203" t="str">
        <f>IF($A185&gt;MAX(入力シート!$AF$6:$AF$505),"",INDEX(テーブル22[[学年]:[得点]],MATCH(体力優良証交付申請!$A185,入力シート!$AF$6:$AF$505,0),MATCH(体力優良証交付申請!K$14,テーブル22[[#Headers],[学年]:[得点]],0)))</f>
        <v/>
      </c>
      <c r="L185" s="203" t="str">
        <f>IF($A185&gt;MAX(入力シート!$AF$6:$AF$505),"",INDEX(テーブル22[[学年]:[得点]],MATCH(体力優良証交付申請!$A185,入力シート!$AF$6:$AF$505,0),MATCH(体力優良証交付申請!L$14,テーブル22[[#Headers],[学年]:[得点]],0)))</f>
        <v/>
      </c>
      <c r="M185" s="28" t="str">
        <f>IF($A185&gt;MAX(入力シート!$AF$6:$AF$505),"",INDEX(テーブル22[[学年]:[得点]],MATCH(体力優良証交付申請!$A185,入力シート!$AF$6:$AF$505,0),MATCH(体力優良証交付申請!M$14,テーブル22[[#Headers],[学年]:[得点]],0)))</f>
        <v/>
      </c>
    </row>
    <row r="186" spans="1:13" x14ac:dyDescent="0.2">
      <c r="A186" s="16">
        <v>172</v>
      </c>
      <c r="B186" s="130" t="str">
        <f>IF($A186&gt;MAX(入力シート!$AF$6:$AF$505),"",INDEX(テーブル22[[学年]:[得点]],MATCH(体力優良証交付申請!$A186,入力シート!$AF$6:$AF$505,0),MATCH(体力優良証交付申請!B$14,テーブル22[[#Headers],[学年]:[得点]],0)))</f>
        <v/>
      </c>
      <c r="C186" s="203" t="str">
        <f>IF($A186&gt;MAX(入力シート!$AF$6:$AF$505),"",INDEX(テーブル22[[学年]:[得点]],MATCH(体力優良証交付申請!$A186,入力シート!$AF$6:$AF$505,0),MATCH(体力優良証交付申請!C$14,テーブル22[[#Headers],[学年]:[得点]],0)))</f>
        <v/>
      </c>
      <c r="D186" s="203" t="str">
        <f>IF($A186&gt;MAX(入力シート!$AF$6:$AF$505),"",INDEX(テーブル22[[学年]:[得点]],MATCH(体力優良証交付申請!$A186,入力シート!$AF$6:$AF$505,0),MATCH(体力優良証交付申請!D$14,テーブル22[[#Headers],[学年]:[得点]],0)))</f>
        <v/>
      </c>
      <c r="E186" s="203" t="str">
        <f>IF($A186&gt;MAX(入力シート!$AF$6:$AF$505),"",INDEX(テーブル22[[学年]:[得点]],MATCH(体力優良証交付申請!$A186,入力シート!$AF$6:$AF$505,0),MATCH(体力優良証交付申請!E$14,テーブル22[[#Headers],[学年]:[得点]],0)))</f>
        <v/>
      </c>
      <c r="F186" s="203" t="str">
        <f>IF($A186&gt;MAX(入力シート!$AF$6:$AF$505),"",INDEX(テーブル22[[学年]:[得点]],MATCH(体力優良証交付申請!$A186,入力シート!$AF$6:$AF$505,0),MATCH(体力優良証交付申請!F$14,テーブル22[[#Headers],[学年]:[得点]],0)))</f>
        <v/>
      </c>
      <c r="G186" s="203" t="str">
        <f>IF($A186&gt;MAX(入力シート!$AF$6:$AF$505),"",INDEX(テーブル22[[学年]:[得点]],MATCH(体力優良証交付申請!$A186,入力シート!$AF$6:$AF$505,0),MATCH(体力優良証交付申請!G$14,テーブル22[[#Headers],[学年]:[得点]],0)))</f>
        <v/>
      </c>
      <c r="H186" s="203" t="str">
        <f>IF($A186&gt;MAX(入力シート!$AF$6:$AF$505),"",INDEX(テーブル22[[学年]:[得点]],MATCH(体力優良証交付申請!$A186,入力シート!$AF$6:$AF$505,0),MATCH(体力優良証交付申請!H$14,テーブル22[[#Headers],[学年]:[得点]],0)))</f>
        <v/>
      </c>
      <c r="I186" s="203" t="str">
        <f>IF($A186&gt;MAX(入力シート!$AF$6:$AF$505),"",INDEX(テーブル22[[学年]:[得点]],MATCH(体力優良証交付申請!$A186,入力シート!$AF$6:$AF$505,0),MATCH(体力優良証交付申請!I$14,テーブル22[[#Headers],[学年]:[得点]],0)))</f>
        <v/>
      </c>
      <c r="J186" s="114" t="str">
        <f>IF($A186&gt;MAX(入力シート!$AF$6:$AF$505),"",INDEX(テーブル22[[学年]:[得点]],MATCH(体力優良証交付申請!$A186,入力シート!$AF$6:$AF$505,0),MATCH(体力優良証交付申請!J$14,テーブル22[[#Headers],[学年]:[得点]],0)))</f>
        <v/>
      </c>
      <c r="K186" s="203" t="str">
        <f>IF($A186&gt;MAX(入力シート!$AF$6:$AF$505),"",INDEX(テーブル22[[学年]:[得点]],MATCH(体力優良証交付申請!$A186,入力シート!$AF$6:$AF$505,0),MATCH(体力優良証交付申請!K$14,テーブル22[[#Headers],[学年]:[得点]],0)))</f>
        <v/>
      </c>
      <c r="L186" s="203" t="str">
        <f>IF($A186&gt;MAX(入力シート!$AF$6:$AF$505),"",INDEX(テーブル22[[学年]:[得点]],MATCH(体力優良証交付申請!$A186,入力シート!$AF$6:$AF$505,0),MATCH(体力優良証交付申請!L$14,テーブル22[[#Headers],[学年]:[得点]],0)))</f>
        <v/>
      </c>
      <c r="M186" s="28" t="str">
        <f>IF($A186&gt;MAX(入力シート!$AF$6:$AF$505),"",INDEX(テーブル22[[学年]:[得点]],MATCH(体力優良証交付申請!$A186,入力シート!$AF$6:$AF$505,0),MATCH(体力優良証交付申請!M$14,テーブル22[[#Headers],[学年]:[得点]],0)))</f>
        <v/>
      </c>
    </row>
    <row r="187" spans="1:13" x14ac:dyDescent="0.2">
      <c r="A187" s="16">
        <v>173</v>
      </c>
      <c r="B187" s="130" t="str">
        <f>IF($A187&gt;MAX(入力シート!$AF$6:$AF$505),"",INDEX(テーブル22[[学年]:[得点]],MATCH(体力優良証交付申請!$A187,入力シート!$AF$6:$AF$505,0),MATCH(体力優良証交付申請!B$14,テーブル22[[#Headers],[学年]:[得点]],0)))</f>
        <v/>
      </c>
      <c r="C187" s="203" t="str">
        <f>IF($A187&gt;MAX(入力シート!$AF$6:$AF$505),"",INDEX(テーブル22[[学年]:[得点]],MATCH(体力優良証交付申請!$A187,入力シート!$AF$6:$AF$505,0),MATCH(体力優良証交付申請!C$14,テーブル22[[#Headers],[学年]:[得点]],0)))</f>
        <v/>
      </c>
      <c r="D187" s="203" t="str">
        <f>IF($A187&gt;MAX(入力シート!$AF$6:$AF$505),"",INDEX(テーブル22[[学年]:[得点]],MATCH(体力優良証交付申請!$A187,入力シート!$AF$6:$AF$505,0),MATCH(体力優良証交付申請!D$14,テーブル22[[#Headers],[学年]:[得点]],0)))</f>
        <v/>
      </c>
      <c r="E187" s="203" t="str">
        <f>IF($A187&gt;MAX(入力シート!$AF$6:$AF$505),"",INDEX(テーブル22[[学年]:[得点]],MATCH(体力優良証交付申請!$A187,入力シート!$AF$6:$AF$505,0),MATCH(体力優良証交付申請!E$14,テーブル22[[#Headers],[学年]:[得点]],0)))</f>
        <v/>
      </c>
      <c r="F187" s="203" t="str">
        <f>IF($A187&gt;MAX(入力シート!$AF$6:$AF$505),"",INDEX(テーブル22[[学年]:[得点]],MATCH(体力優良証交付申請!$A187,入力シート!$AF$6:$AF$505,0),MATCH(体力優良証交付申請!F$14,テーブル22[[#Headers],[学年]:[得点]],0)))</f>
        <v/>
      </c>
      <c r="G187" s="203" t="str">
        <f>IF($A187&gt;MAX(入力シート!$AF$6:$AF$505),"",INDEX(テーブル22[[学年]:[得点]],MATCH(体力優良証交付申請!$A187,入力シート!$AF$6:$AF$505,0),MATCH(体力優良証交付申請!G$14,テーブル22[[#Headers],[学年]:[得点]],0)))</f>
        <v/>
      </c>
      <c r="H187" s="203" t="str">
        <f>IF($A187&gt;MAX(入力シート!$AF$6:$AF$505),"",INDEX(テーブル22[[学年]:[得点]],MATCH(体力優良証交付申請!$A187,入力シート!$AF$6:$AF$505,0),MATCH(体力優良証交付申請!H$14,テーブル22[[#Headers],[学年]:[得点]],0)))</f>
        <v/>
      </c>
      <c r="I187" s="203" t="str">
        <f>IF($A187&gt;MAX(入力シート!$AF$6:$AF$505),"",INDEX(テーブル22[[学年]:[得点]],MATCH(体力優良証交付申請!$A187,入力シート!$AF$6:$AF$505,0),MATCH(体力優良証交付申請!I$14,テーブル22[[#Headers],[学年]:[得点]],0)))</f>
        <v/>
      </c>
      <c r="J187" s="114" t="str">
        <f>IF($A187&gt;MAX(入力シート!$AF$6:$AF$505),"",INDEX(テーブル22[[学年]:[得点]],MATCH(体力優良証交付申請!$A187,入力シート!$AF$6:$AF$505,0),MATCH(体力優良証交付申請!J$14,テーブル22[[#Headers],[学年]:[得点]],0)))</f>
        <v/>
      </c>
      <c r="K187" s="203" t="str">
        <f>IF($A187&gt;MAX(入力シート!$AF$6:$AF$505),"",INDEX(テーブル22[[学年]:[得点]],MATCH(体力優良証交付申請!$A187,入力シート!$AF$6:$AF$505,0),MATCH(体力優良証交付申請!K$14,テーブル22[[#Headers],[学年]:[得点]],0)))</f>
        <v/>
      </c>
      <c r="L187" s="203" t="str">
        <f>IF($A187&gt;MAX(入力シート!$AF$6:$AF$505),"",INDEX(テーブル22[[学年]:[得点]],MATCH(体力優良証交付申請!$A187,入力シート!$AF$6:$AF$505,0),MATCH(体力優良証交付申請!L$14,テーブル22[[#Headers],[学年]:[得点]],0)))</f>
        <v/>
      </c>
      <c r="M187" s="28" t="str">
        <f>IF($A187&gt;MAX(入力シート!$AF$6:$AF$505),"",INDEX(テーブル22[[学年]:[得点]],MATCH(体力優良証交付申請!$A187,入力シート!$AF$6:$AF$505,0),MATCH(体力優良証交付申請!M$14,テーブル22[[#Headers],[学年]:[得点]],0)))</f>
        <v/>
      </c>
    </row>
    <row r="188" spans="1:13" x14ac:dyDescent="0.2">
      <c r="A188" s="16">
        <v>174</v>
      </c>
      <c r="B188" s="130" t="str">
        <f>IF($A188&gt;MAX(入力シート!$AF$6:$AF$505),"",INDEX(テーブル22[[学年]:[得点]],MATCH(体力優良証交付申請!$A188,入力シート!$AF$6:$AF$505,0),MATCH(体力優良証交付申請!B$14,テーブル22[[#Headers],[学年]:[得点]],0)))</f>
        <v/>
      </c>
      <c r="C188" s="203" t="str">
        <f>IF($A188&gt;MAX(入力シート!$AF$6:$AF$505),"",INDEX(テーブル22[[学年]:[得点]],MATCH(体力優良証交付申請!$A188,入力シート!$AF$6:$AF$505,0),MATCH(体力優良証交付申請!C$14,テーブル22[[#Headers],[学年]:[得点]],0)))</f>
        <v/>
      </c>
      <c r="D188" s="203" t="str">
        <f>IF($A188&gt;MAX(入力シート!$AF$6:$AF$505),"",INDEX(テーブル22[[学年]:[得点]],MATCH(体力優良証交付申請!$A188,入力シート!$AF$6:$AF$505,0),MATCH(体力優良証交付申請!D$14,テーブル22[[#Headers],[学年]:[得点]],0)))</f>
        <v/>
      </c>
      <c r="E188" s="203" t="str">
        <f>IF($A188&gt;MAX(入力シート!$AF$6:$AF$505),"",INDEX(テーブル22[[学年]:[得点]],MATCH(体力優良証交付申請!$A188,入力シート!$AF$6:$AF$505,0),MATCH(体力優良証交付申請!E$14,テーブル22[[#Headers],[学年]:[得点]],0)))</f>
        <v/>
      </c>
      <c r="F188" s="203" t="str">
        <f>IF($A188&gt;MAX(入力シート!$AF$6:$AF$505),"",INDEX(テーブル22[[学年]:[得点]],MATCH(体力優良証交付申請!$A188,入力シート!$AF$6:$AF$505,0),MATCH(体力優良証交付申請!F$14,テーブル22[[#Headers],[学年]:[得点]],0)))</f>
        <v/>
      </c>
      <c r="G188" s="203" t="str">
        <f>IF($A188&gt;MAX(入力シート!$AF$6:$AF$505),"",INDEX(テーブル22[[学年]:[得点]],MATCH(体力優良証交付申請!$A188,入力シート!$AF$6:$AF$505,0),MATCH(体力優良証交付申請!G$14,テーブル22[[#Headers],[学年]:[得点]],0)))</f>
        <v/>
      </c>
      <c r="H188" s="203" t="str">
        <f>IF($A188&gt;MAX(入力シート!$AF$6:$AF$505),"",INDEX(テーブル22[[学年]:[得点]],MATCH(体力優良証交付申請!$A188,入力シート!$AF$6:$AF$505,0),MATCH(体力優良証交付申請!H$14,テーブル22[[#Headers],[学年]:[得点]],0)))</f>
        <v/>
      </c>
      <c r="I188" s="203" t="str">
        <f>IF($A188&gt;MAX(入力シート!$AF$6:$AF$505),"",INDEX(テーブル22[[学年]:[得点]],MATCH(体力優良証交付申請!$A188,入力シート!$AF$6:$AF$505,0),MATCH(体力優良証交付申請!I$14,テーブル22[[#Headers],[学年]:[得点]],0)))</f>
        <v/>
      </c>
      <c r="J188" s="114" t="str">
        <f>IF($A188&gt;MAX(入力シート!$AF$6:$AF$505),"",INDEX(テーブル22[[学年]:[得点]],MATCH(体力優良証交付申請!$A188,入力シート!$AF$6:$AF$505,0),MATCH(体力優良証交付申請!J$14,テーブル22[[#Headers],[学年]:[得点]],0)))</f>
        <v/>
      </c>
      <c r="K188" s="203" t="str">
        <f>IF($A188&gt;MAX(入力シート!$AF$6:$AF$505),"",INDEX(テーブル22[[学年]:[得点]],MATCH(体力優良証交付申請!$A188,入力シート!$AF$6:$AF$505,0),MATCH(体力優良証交付申請!K$14,テーブル22[[#Headers],[学年]:[得点]],0)))</f>
        <v/>
      </c>
      <c r="L188" s="203" t="str">
        <f>IF($A188&gt;MAX(入力シート!$AF$6:$AF$505),"",INDEX(テーブル22[[学年]:[得点]],MATCH(体力優良証交付申請!$A188,入力シート!$AF$6:$AF$505,0),MATCH(体力優良証交付申請!L$14,テーブル22[[#Headers],[学年]:[得点]],0)))</f>
        <v/>
      </c>
      <c r="M188" s="28" t="str">
        <f>IF($A188&gt;MAX(入力シート!$AF$6:$AF$505),"",INDEX(テーブル22[[学年]:[得点]],MATCH(体力優良証交付申請!$A188,入力シート!$AF$6:$AF$505,0),MATCH(体力優良証交付申請!M$14,テーブル22[[#Headers],[学年]:[得点]],0)))</f>
        <v/>
      </c>
    </row>
    <row r="189" spans="1:13" x14ac:dyDescent="0.2">
      <c r="A189" s="16">
        <v>175</v>
      </c>
      <c r="B189" s="130" t="str">
        <f>IF($A189&gt;MAX(入力シート!$AF$6:$AF$505),"",INDEX(テーブル22[[学年]:[得点]],MATCH(体力優良証交付申請!$A189,入力シート!$AF$6:$AF$505,0),MATCH(体力優良証交付申請!B$14,テーブル22[[#Headers],[学年]:[得点]],0)))</f>
        <v/>
      </c>
      <c r="C189" s="203" t="str">
        <f>IF($A189&gt;MAX(入力シート!$AF$6:$AF$505),"",INDEX(テーブル22[[学年]:[得点]],MATCH(体力優良証交付申請!$A189,入力シート!$AF$6:$AF$505,0),MATCH(体力優良証交付申請!C$14,テーブル22[[#Headers],[学年]:[得点]],0)))</f>
        <v/>
      </c>
      <c r="D189" s="203" t="str">
        <f>IF($A189&gt;MAX(入力シート!$AF$6:$AF$505),"",INDEX(テーブル22[[学年]:[得点]],MATCH(体力優良証交付申請!$A189,入力シート!$AF$6:$AF$505,0),MATCH(体力優良証交付申請!D$14,テーブル22[[#Headers],[学年]:[得点]],0)))</f>
        <v/>
      </c>
      <c r="E189" s="203" t="str">
        <f>IF($A189&gt;MAX(入力シート!$AF$6:$AF$505),"",INDEX(テーブル22[[学年]:[得点]],MATCH(体力優良証交付申請!$A189,入力シート!$AF$6:$AF$505,0),MATCH(体力優良証交付申請!E$14,テーブル22[[#Headers],[学年]:[得点]],0)))</f>
        <v/>
      </c>
      <c r="F189" s="203" t="str">
        <f>IF($A189&gt;MAX(入力シート!$AF$6:$AF$505),"",INDEX(テーブル22[[学年]:[得点]],MATCH(体力優良証交付申請!$A189,入力シート!$AF$6:$AF$505,0),MATCH(体力優良証交付申請!F$14,テーブル22[[#Headers],[学年]:[得点]],0)))</f>
        <v/>
      </c>
      <c r="G189" s="203" t="str">
        <f>IF($A189&gt;MAX(入力シート!$AF$6:$AF$505),"",INDEX(テーブル22[[学年]:[得点]],MATCH(体力優良証交付申請!$A189,入力シート!$AF$6:$AF$505,0),MATCH(体力優良証交付申請!G$14,テーブル22[[#Headers],[学年]:[得点]],0)))</f>
        <v/>
      </c>
      <c r="H189" s="203" t="str">
        <f>IF($A189&gt;MAX(入力シート!$AF$6:$AF$505),"",INDEX(テーブル22[[学年]:[得点]],MATCH(体力優良証交付申請!$A189,入力シート!$AF$6:$AF$505,0),MATCH(体力優良証交付申請!H$14,テーブル22[[#Headers],[学年]:[得点]],0)))</f>
        <v/>
      </c>
      <c r="I189" s="203" t="str">
        <f>IF($A189&gt;MAX(入力シート!$AF$6:$AF$505),"",INDEX(テーブル22[[学年]:[得点]],MATCH(体力優良証交付申請!$A189,入力シート!$AF$6:$AF$505,0),MATCH(体力優良証交付申請!I$14,テーブル22[[#Headers],[学年]:[得点]],0)))</f>
        <v/>
      </c>
      <c r="J189" s="114" t="str">
        <f>IF($A189&gt;MAX(入力シート!$AF$6:$AF$505),"",INDEX(テーブル22[[学年]:[得点]],MATCH(体力優良証交付申請!$A189,入力シート!$AF$6:$AF$505,0),MATCH(体力優良証交付申請!J$14,テーブル22[[#Headers],[学年]:[得点]],0)))</f>
        <v/>
      </c>
      <c r="K189" s="203" t="str">
        <f>IF($A189&gt;MAX(入力シート!$AF$6:$AF$505),"",INDEX(テーブル22[[学年]:[得点]],MATCH(体力優良証交付申請!$A189,入力シート!$AF$6:$AF$505,0),MATCH(体力優良証交付申請!K$14,テーブル22[[#Headers],[学年]:[得点]],0)))</f>
        <v/>
      </c>
      <c r="L189" s="203" t="str">
        <f>IF($A189&gt;MAX(入力シート!$AF$6:$AF$505),"",INDEX(テーブル22[[学年]:[得点]],MATCH(体力優良証交付申請!$A189,入力シート!$AF$6:$AF$505,0),MATCH(体力優良証交付申請!L$14,テーブル22[[#Headers],[学年]:[得点]],0)))</f>
        <v/>
      </c>
      <c r="M189" s="28" t="str">
        <f>IF($A189&gt;MAX(入力シート!$AF$6:$AF$505),"",INDEX(テーブル22[[学年]:[得点]],MATCH(体力優良証交付申請!$A189,入力シート!$AF$6:$AF$505,0),MATCH(体力優良証交付申請!M$14,テーブル22[[#Headers],[学年]:[得点]],0)))</f>
        <v/>
      </c>
    </row>
    <row r="190" spans="1:13" x14ac:dyDescent="0.2">
      <c r="A190" s="16">
        <v>176</v>
      </c>
      <c r="B190" s="130" t="str">
        <f>IF($A190&gt;MAX(入力シート!$AF$6:$AF$505),"",INDEX(テーブル22[[学年]:[得点]],MATCH(体力優良証交付申請!$A190,入力シート!$AF$6:$AF$505,0),MATCH(体力優良証交付申請!B$14,テーブル22[[#Headers],[学年]:[得点]],0)))</f>
        <v/>
      </c>
      <c r="C190" s="203" t="str">
        <f>IF($A190&gt;MAX(入力シート!$AF$6:$AF$505),"",INDEX(テーブル22[[学年]:[得点]],MATCH(体力優良証交付申請!$A190,入力シート!$AF$6:$AF$505,0),MATCH(体力優良証交付申請!C$14,テーブル22[[#Headers],[学年]:[得点]],0)))</f>
        <v/>
      </c>
      <c r="D190" s="203" t="str">
        <f>IF($A190&gt;MAX(入力シート!$AF$6:$AF$505),"",INDEX(テーブル22[[学年]:[得点]],MATCH(体力優良証交付申請!$A190,入力シート!$AF$6:$AF$505,0),MATCH(体力優良証交付申請!D$14,テーブル22[[#Headers],[学年]:[得点]],0)))</f>
        <v/>
      </c>
      <c r="E190" s="203" t="str">
        <f>IF($A190&gt;MAX(入力シート!$AF$6:$AF$505),"",INDEX(テーブル22[[学年]:[得点]],MATCH(体力優良証交付申請!$A190,入力シート!$AF$6:$AF$505,0),MATCH(体力優良証交付申請!E$14,テーブル22[[#Headers],[学年]:[得点]],0)))</f>
        <v/>
      </c>
      <c r="F190" s="203" t="str">
        <f>IF($A190&gt;MAX(入力シート!$AF$6:$AF$505),"",INDEX(テーブル22[[学年]:[得点]],MATCH(体力優良証交付申請!$A190,入力シート!$AF$6:$AF$505,0),MATCH(体力優良証交付申請!F$14,テーブル22[[#Headers],[学年]:[得点]],0)))</f>
        <v/>
      </c>
      <c r="G190" s="203" t="str">
        <f>IF($A190&gt;MAX(入力シート!$AF$6:$AF$505),"",INDEX(テーブル22[[学年]:[得点]],MATCH(体力優良証交付申請!$A190,入力シート!$AF$6:$AF$505,0),MATCH(体力優良証交付申請!G$14,テーブル22[[#Headers],[学年]:[得点]],0)))</f>
        <v/>
      </c>
      <c r="H190" s="203" t="str">
        <f>IF($A190&gt;MAX(入力シート!$AF$6:$AF$505),"",INDEX(テーブル22[[学年]:[得点]],MATCH(体力優良証交付申請!$A190,入力シート!$AF$6:$AF$505,0),MATCH(体力優良証交付申請!H$14,テーブル22[[#Headers],[学年]:[得点]],0)))</f>
        <v/>
      </c>
      <c r="I190" s="203" t="str">
        <f>IF($A190&gt;MAX(入力シート!$AF$6:$AF$505),"",INDEX(テーブル22[[学年]:[得点]],MATCH(体力優良証交付申請!$A190,入力シート!$AF$6:$AF$505,0),MATCH(体力優良証交付申請!I$14,テーブル22[[#Headers],[学年]:[得点]],0)))</f>
        <v/>
      </c>
      <c r="J190" s="114" t="str">
        <f>IF($A190&gt;MAX(入力シート!$AF$6:$AF$505),"",INDEX(テーブル22[[学年]:[得点]],MATCH(体力優良証交付申請!$A190,入力シート!$AF$6:$AF$505,0),MATCH(体力優良証交付申請!J$14,テーブル22[[#Headers],[学年]:[得点]],0)))</f>
        <v/>
      </c>
      <c r="K190" s="203" t="str">
        <f>IF($A190&gt;MAX(入力シート!$AF$6:$AF$505),"",INDEX(テーブル22[[学年]:[得点]],MATCH(体力優良証交付申請!$A190,入力シート!$AF$6:$AF$505,0),MATCH(体力優良証交付申請!K$14,テーブル22[[#Headers],[学年]:[得点]],0)))</f>
        <v/>
      </c>
      <c r="L190" s="203" t="str">
        <f>IF($A190&gt;MAX(入力シート!$AF$6:$AF$505),"",INDEX(テーブル22[[学年]:[得点]],MATCH(体力優良証交付申請!$A190,入力シート!$AF$6:$AF$505,0),MATCH(体力優良証交付申請!L$14,テーブル22[[#Headers],[学年]:[得点]],0)))</f>
        <v/>
      </c>
      <c r="M190" s="28" t="str">
        <f>IF($A190&gt;MAX(入力シート!$AF$6:$AF$505),"",INDEX(テーブル22[[学年]:[得点]],MATCH(体力優良証交付申請!$A190,入力シート!$AF$6:$AF$505,0),MATCH(体力優良証交付申請!M$14,テーブル22[[#Headers],[学年]:[得点]],0)))</f>
        <v/>
      </c>
    </row>
    <row r="191" spans="1:13" x14ac:dyDescent="0.2">
      <c r="A191" s="16">
        <v>177</v>
      </c>
      <c r="B191" s="130" t="str">
        <f>IF($A191&gt;MAX(入力シート!$AF$6:$AF$505),"",INDEX(テーブル22[[学年]:[得点]],MATCH(体力優良証交付申請!$A191,入力シート!$AF$6:$AF$505,0),MATCH(体力優良証交付申請!B$14,テーブル22[[#Headers],[学年]:[得点]],0)))</f>
        <v/>
      </c>
      <c r="C191" s="203" t="str">
        <f>IF($A191&gt;MAX(入力シート!$AF$6:$AF$505),"",INDEX(テーブル22[[学年]:[得点]],MATCH(体力優良証交付申請!$A191,入力シート!$AF$6:$AF$505,0),MATCH(体力優良証交付申請!C$14,テーブル22[[#Headers],[学年]:[得点]],0)))</f>
        <v/>
      </c>
      <c r="D191" s="203" t="str">
        <f>IF($A191&gt;MAX(入力シート!$AF$6:$AF$505),"",INDEX(テーブル22[[学年]:[得点]],MATCH(体力優良証交付申請!$A191,入力シート!$AF$6:$AF$505,0),MATCH(体力優良証交付申請!D$14,テーブル22[[#Headers],[学年]:[得点]],0)))</f>
        <v/>
      </c>
      <c r="E191" s="203" t="str">
        <f>IF($A191&gt;MAX(入力シート!$AF$6:$AF$505),"",INDEX(テーブル22[[学年]:[得点]],MATCH(体力優良証交付申請!$A191,入力シート!$AF$6:$AF$505,0),MATCH(体力優良証交付申請!E$14,テーブル22[[#Headers],[学年]:[得点]],0)))</f>
        <v/>
      </c>
      <c r="F191" s="203" t="str">
        <f>IF($A191&gt;MAX(入力シート!$AF$6:$AF$505),"",INDEX(テーブル22[[学年]:[得点]],MATCH(体力優良証交付申請!$A191,入力シート!$AF$6:$AF$505,0),MATCH(体力優良証交付申請!F$14,テーブル22[[#Headers],[学年]:[得点]],0)))</f>
        <v/>
      </c>
      <c r="G191" s="203" t="str">
        <f>IF($A191&gt;MAX(入力シート!$AF$6:$AF$505),"",INDEX(テーブル22[[学年]:[得点]],MATCH(体力優良証交付申請!$A191,入力シート!$AF$6:$AF$505,0),MATCH(体力優良証交付申請!G$14,テーブル22[[#Headers],[学年]:[得点]],0)))</f>
        <v/>
      </c>
      <c r="H191" s="203" t="str">
        <f>IF($A191&gt;MAX(入力シート!$AF$6:$AF$505),"",INDEX(テーブル22[[学年]:[得点]],MATCH(体力優良証交付申請!$A191,入力シート!$AF$6:$AF$505,0),MATCH(体力優良証交付申請!H$14,テーブル22[[#Headers],[学年]:[得点]],0)))</f>
        <v/>
      </c>
      <c r="I191" s="203" t="str">
        <f>IF($A191&gt;MAX(入力シート!$AF$6:$AF$505),"",INDEX(テーブル22[[学年]:[得点]],MATCH(体力優良証交付申請!$A191,入力シート!$AF$6:$AF$505,0),MATCH(体力優良証交付申請!I$14,テーブル22[[#Headers],[学年]:[得点]],0)))</f>
        <v/>
      </c>
      <c r="J191" s="114" t="str">
        <f>IF($A191&gt;MAX(入力シート!$AF$6:$AF$505),"",INDEX(テーブル22[[学年]:[得点]],MATCH(体力優良証交付申請!$A191,入力シート!$AF$6:$AF$505,0),MATCH(体力優良証交付申請!J$14,テーブル22[[#Headers],[学年]:[得点]],0)))</f>
        <v/>
      </c>
      <c r="K191" s="203" t="str">
        <f>IF($A191&gt;MAX(入力シート!$AF$6:$AF$505),"",INDEX(テーブル22[[学年]:[得点]],MATCH(体力優良証交付申請!$A191,入力シート!$AF$6:$AF$505,0),MATCH(体力優良証交付申請!K$14,テーブル22[[#Headers],[学年]:[得点]],0)))</f>
        <v/>
      </c>
      <c r="L191" s="203" t="str">
        <f>IF($A191&gt;MAX(入力シート!$AF$6:$AF$505),"",INDEX(テーブル22[[学年]:[得点]],MATCH(体力優良証交付申請!$A191,入力シート!$AF$6:$AF$505,0),MATCH(体力優良証交付申請!L$14,テーブル22[[#Headers],[学年]:[得点]],0)))</f>
        <v/>
      </c>
      <c r="M191" s="28" t="str">
        <f>IF($A191&gt;MAX(入力シート!$AF$6:$AF$505),"",INDEX(テーブル22[[学年]:[得点]],MATCH(体力優良証交付申請!$A191,入力シート!$AF$6:$AF$505,0),MATCH(体力優良証交付申請!M$14,テーブル22[[#Headers],[学年]:[得点]],0)))</f>
        <v/>
      </c>
    </row>
    <row r="192" spans="1:13" x14ac:dyDescent="0.2">
      <c r="A192" s="16">
        <v>178</v>
      </c>
      <c r="B192" s="130" t="str">
        <f>IF($A192&gt;MAX(入力シート!$AF$6:$AF$505),"",INDEX(テーブル22[[学年]:[得点]],MATCH(体力優良証交付申請!$A192,入力シート!$AF$6:$AF$505,0),MATCH(体力優良証交付申請!B$14,テーブル22[[#Headers],[学年]:[得点]],0)))</f>
        <v/>
      </c>
      <c r="C192" s="203" t="str">
        <f>IF($A192&gt;MAX(入力シート!$AF$6:$AF$505),"",INDEX(テーブル22[[学年]:[得点]],MATCH(体力優良証交付申請!$A192,入力シート!$AF$6:$AF$505,0),MATCH(体力優良証交付申請!C$14,テーブル22[[#Headers],[学年]:[得点]],0)))</f>
        <v/>
      </c>
      <c r="D192" s="203" t="str">
        <f>IF($A192&gt;MAX(入力シート!$AF$6:$AF$505),"",INDEX(テーブル22[[学年]:[得点]],MATCH(体力優良証交付申請!$A192,入力シート!$AF$6:$AF$505,0),MATCH(体力優良証交付申請!D$14,テーブル22[[#Headers],[学年]:[得点]],0)))</f>
        <v/>
      </c>
      <c r="E192" s="203" t="str">
        <f>IF($A192&gt;MAX(入力シート!$AF$6:$AF$505),"",INDEX(テーブル22[[学年]:[得点]],MATCH(体力優良証交付申請!$A192,入力シート!$AF$6:$AF$505,0),MATCH(体力優良証交付申請!E$14,テーブル22[[#Headers],[学年]:[得点]],0)))</f>
        <v/>
      </c>
      <c r="F192" s="203" t="str">
        <f>IF($A192&gt;MAX(入力シート!$AF$6:$AF$505),"",INDEX(テーブル22[[学年]:[得点]],MATCH(体力優良証交付申請!$A192,入力シート!$AF$6:$AF$505,0),MATCH(体力優良証交付申請!F$14,テーブル22[[#Headers],[学年]:[得点]],0)))</f>
        <v/>
      </c>
      <c r="G192" s="203" t="str">
        <f>IF($A192&gt;MAX(入力シート!$AF$6:$AF$505),"",INDEX(テーブル22[[学年]:[得点]],MATCH(体力優良証交付申請!$A192,入力シート!$AF$6:$AF$505,0),MATCH(体力優良証交付申請!G$14,テーブル22[[#Headers],[学年]:[得点]],0)))</f>
        <v/>
      </c>
      <c r="H192" s="203" t="str">
        <f>IF($A192&gt;MAX(入力シート!$AF$6:$AF$505),"",INDEX(テーブル22[[学年]:[得点]],MATCH(体力優良証交付申請!$A192,入力シート!$AF$6:$AF$505,0),MATCH(体力優良証交付申請!H$14,テーブル22[[#Headers],[学年]:[得点]],0)))</f>
        <v/>
      </c>
      <c r="I192" s="203" t="str">
        <f>IF($A192&gt;MAX(入力シート!$AF$6:$AF$505),"",INDEX(テーブル22[[学年]:[得点]],MATCH(体力優良証交付申請!$A192,入力シート!$AF$6:$AF$505,0),MATCH(体力優良証交付申請!I$14,テーブル22[[#Headers],[学年]:[得点]],0)))</f>
        <v/>
      </c>
      <c r="J192" s="114" t="str">
        <f>IF($A192&gt;MAX(入力シート!$AF$6:$AF$505),"",INDEX(テーブル22[[学年]:[得点]],MATCH(体力優良証交付申請!$A192,入力シート!$AF$6:$AF$505,0),MATCH(体力優良証交付申請!J$14,テーブル22[[#Headers],[学年]:[得点]],0)))</f>
        <v/>
      </c>
      <c r="K192" s="203" t="str">
        <f>IF($A192&gt;MAX(入力シート!$AF$6:$AF$505),"",INDEX(テーブル22[[学年]:[得点]],MATCH(体力優良証交付申請!$A192,入力シート!$AF$6:$AF$505,0),MATCH(体力優良証交付申請!K$14,テーブル22[[#Headers],[学年]:[得点]],0)))</f>
        <v/>
      </c>
      <c r="L192" s="203" t="str">
        <f>IF($A192&gt;MAX(入力シート!$AF$6:$AF$505),"",INDEX(テーブル22[[学年]:[得点]],MATCH(体力優良証交付申請!$A192,入力シート!$AF$6:$AF$505,0),MATCH(体力優良証交付申請!L$14,テーブル22[[#Headers],[学年]:[得点]],0)))</f>
        <v/>
      </c>
      <c r="M192" s="28" t="str">
        <f>IF($A192&gt;MAX(入力シート!$AF$6:$AF$505),"",INDEX(テーブル22[[学年]:[得点]],MATCH(体力優良証交付申請!$A192,入力シート!$AF$6:$AF$505,0),MATCH(体力優良証交付申請!M$14,テーブル22[[#Headers],[学年]:[得点]],0)))</f>
        <v/>
      </c>
    </row>
    <row r="193" spans="1:13" x14ac:dyDescent="0.2">
      <c r="A193" s="16">
        <v>179</v>
      </c>
      <c r="B193" s="130" t="str">
        <f>IF($A193&gt;MAX(入力シート!$AF$6:$AF$505),"",INDEX(テーブル22[[学年]:[得点]],MATCH(体力優良証交付申請!$A193,入力シート!$AF$6:$AF$505,0),MATCH(体力優良証交付申請!B$14,テーブル22[[#Headers],[学年]:[得点]],0)))</f>
        <v/>
      </c>
      <c r="C193" s="203" t="str">
        <f>IF($A193&gt;MAX(入力シート!$AF$6:$AF$505),"",INDEX(テーブル22[[学年]:[得点]],MATCH(体力優良証交付申請!$A193,入力シート!$AF$6:$AF$505,0),MATCH(体力優良証交付申請!C$14,テーブル22[[#Headers],[学年]:[得点]],0)))</f>
        <v/>
      </c>
      <c r="D193" s="203" t="str">
        <f>IF($A193&gt;MAX(入力シート!$AF$6:$AF$505),"",INDEX(テーブル22[[学年]:[得点]],MATCH(体力優良証交付申請!$A193,入力シート!$AF$6:$AF$505,0),MATCH(体力優良証交付申請!D$14,テーブル22[[#Headers],[学年]:[得点]],0)))</f>
        <v/>
      </c>
      <c r="E193" s="203" t="str">
        <f>IF($A193&gt;MAX(入力シート!$AF$6:$AF$505),"",INDEX(テーブル22[[学年]:[得点]],MATCH(体力優良証交付申請!$A193,入力シート!$AF$6:$AF$505,0),MATCH(体力優良証交付申請!E$14,テーブル22[[#Headers],[学年]:[得点]],0)))</f>
        <v/>
      </c>
      <c r="F193" s="203" t="str">
        <f>IF($A193&gt;MAX(入力シート!$AF$6:$AF$505),"",INDEX(テーブル22[[学年]:[得点]],MATCH(体力優良証交付申請!$A193,入力シート!$AF$6:$AF$505,0),MATCH(体力優良証交付申請!F$14,テーブル22[[#Headers],[学年]:[得点]],0)))</f>
        <v/>
      </c>
      <c r="G193" s="203" t="str">
        <f>IF($A193&gt;MAX(入力シート!$AF$6:$AF$505),"",INDEX(テーブル22[[学年]:[得点]],MATCH(体力優良証交付申請!$A193,入力シート!$AF$6:$AF$505,0),MATCH(体力優良証交付申請!G$14,テーブル22[[#Headers],[学年]:[得点]],0)))</f>
        <v/>
      </c>
      <c r="H193" s="203" t="str">
        <f>IF($A193&gt;MAX(入力シート!$AF$6:$AF$505),"",INDEX(テーブル22[[学年]:[得点]],MATCH(体力優良証交付申請!$A193,入力シート!$AF$6:$AF$505,0),MATCH(体力優良証交付申請!H$14,テーブル22[[#Headers],[学年]:[得点]],0)))</f>
        <v/>
      </c>
      <c r="I193" s="203" t="str">
        <f>IF($A193&gt;MAX(入力シート!$AF$6:$AF$505),"",INDEX(テーブル22[[学年]:[得点]],MATCH(体力優良証交付申請!$A193,入力シート!$AF$6:$AF$505,0),MATCH(体力優良証交付申請!I$14,テーブル22[[#Headers],[学年]:[得点]],0)))</f>
        <v/>
      </c>
      <c r="J193" s="114" t="str">
        <f>IF($A193&gt;MAX(入力シート!$AF$6:$AF$505),"",INDEX(テーブル22[[学年]:[得点]],MATCH(体力優良証交付申請!$A193,入力シート!$AF$6:$AF$505,0),MATCH(体力優良証交付申請!J$14,テーブル22[[#Headers],[学年]:[得点]],0)))</f>
        <v/>
      </c>
      <c r="K193" s="203" t="str">
        <f>IF($A193&gt;MAX(入力シート!$AF$6:$AF$505),"",INDEX(テーブル22[[学年]:[得点]],MATCH(体力優良証交付申請!$A193,入力シート!$AF$6:$AF$505,0),MATCH(体力優良証交付申請!K$14,テーブル22[[#Headers],[学年]:[得点]],0)))</f>
        <v/>
      </c>
      <c r="L193" s="203" t="str">
        <f>IF($A193&gt;MAX(入力シート!$AF$6:$AF$505),"",INDEX(テーブル22[[学年]:[得点]],MATCH(体力優良証交付申請!$A193,入力シート!$AF$6:$AF$505,0),MATCH(体力優良証交付申請!L$14,テーブル22[[#Headers],[学年]:[得点]],0)))</f>
        <v/>
      </c>
      <c r="M193" s="28" t="str">
        <f>IF($A193&gt;MAX(入力シート!$AF$6:$AF$505),"",INDEX(テーブル22[[学年]:[得点]],MATCH(体力優良証交付申請!$A193,入力シート!$AF$6:$AF$505,0),MATCH(体力優良証交付申請!M$14,テーブル22[[#Headers],[学年]:[得点]],0)))</f>
        <v/>
      </c>
    </row>
    <row r="194" spans="1:13" x14ac:dyDescent="0.2">
      <c r="A194" s="16">
        <v>180</v>
      </c>
      <c r="B194" s="130" t="str">
        <f>IF($A194&gt;MAX(入力シート!$AF$6:$AF$505),"",INDEX(テーブル22[[学年]:[得点]],MATCH(体力優良証交付申請!$A194,入力シート!$AF$6:$AF$505,0),MATCH(体力優良証交付申請!B$14,テーブル22[[#Headers],[学年]:[得点]],0)))</f>
        <v/>
      </c>
      <c r="C194" s="203" t="str">
        <f>IF($A194&gt;MAX(入力シート!$AF$6:$AF$505),"",INDEX(テーブル22[[学年]:[得点]],MATCH(体力優良証交付申請!$A194,入力シート!$AF$6:$AF$505,0),MATCH(体力優良証交付申請!C$14,テーブル22[[#Headers],[学年]:[得点]],0)))</f>
        <v/>
      </c>
      <c r="D194" s="203" t="str">
        <f>IF($A194&gt;MAX(入力シート!$AF$6:$AF$505),"",INDEX(テーブル22[[学年]:[得点]],MATCH(体力優良証交付申請!$A194,入力シート!$AF$6:$AF$505,0),MATCH(体力優良証交付申請!D$14,テーブル22[[#Headers],[学年]:[得点]],0)))</f>
        <v/>
      </c>
      <c r="E194" s="203" t="str">
        <f>IF($A194&gt;MAX(入力シート!$AF$6:$AF$505),"",INDEX(テーブル22[[学年]:[得点]],MATCH(体力優良証交付申請!$A194,入力シート!$AF$6:$AF$505,0),MATCH(体力優良証交付申請!E$14,テーブル22[[#Headers],[学年]:[得点]],0)))</f>
        <v/>
      </c>
      <c r="F194" s="203" t="str">
        <f>IF($A194&gt;MAX(入力シート!$AF$6:$AF$505),"",INDEX(テーブル22[[学年]:[得点]],MATCH(体力優良証交付申請!$A194,入力シート!$AF$6:$AF$505,0),MATCH(体力優良証交付申請!F$14,テーブル22[[#Headers],[学年]:[得点]],0)))</f>
        <v/>
      </c>
      <c r="G194" s="203" t="str">
        <f>IF($A194&gt;MAX(入力シート!$AF$6:$AF$505),"",INDEX(テーブル22[[学年]:[得点]],MATCH(体力優良証交付申請!$A194,入力シート!$AF$6:$AF$505,0),MATCH(体力優良証交付申請!G$14,テーブル22[[#Headers],[学年]:[得点]],0)))</f>
        <v/>
      </c>
      <c r="H194" s="203" t="str">
        <f>IF($A194&gt;MAX(入力シート!$AF$6:$AF$505),"",INDEX(テーブル22[[学年]:[得点]],MATCH(体力優良証交付申請!$A194,入力シート!$AF$6:$AF$505,0),MATCH(体力優良証交付申請!H$14,テーブル22[[#Headers],[学年]:[得点]],0)))</f>
        <v/>
      </c>
      <c r="I194" s="203" t="str">
        <f>IF($A194&gt;MAX(入力シート!$AF$6:$AF$505),"",INDEX(テーブル22[[学年]:[得点]],MATCH(体力優良証交付申請!$A194,入力シート!$AF$6:$AF$505,0),MATCH(体力優良証交付申請!I$14,テーブル22[[#Headers],[学年]:[得点]],0)))</f>
        <v/>
      </c>
      <c r="J194" s="114" t="str">
        <f>IF($A194&gt;MAX(入力シート!$AF$6:$AF$505),"",INDEX(テーブル22[[学年]:[得点]],MATCH(体力優良証交付申請!$A194,入力シート!$AF$6:$AF$505,0),MATCH(体力優良証交付申請!J$14,テーブル22[[#Headers],[学年]:[得点]],0)))</f>
        <v/>
      </c>
      <c r="K194" s="203" t="str">
        <f>IF($A194&gt;MAX(入力シート!$AF$6:$AF$505),"",INDEX(テーブル22[[学年]:[得点]],MATCH(体力優良証交付申請!$A194,入力シート!$AF$6:$AF$505,0),MATCH(体力優良証交付申請!K$14,テーブル22[[#Headers],[学年]:[得点]],0)))</f>
        <v/>
      </c>
      <c r="L194" s="203" t="str">
        <f>IF($A194&gt;MAX(入力シート!$AF$6:$AF$505),"",INDEX(テーブル22[[学年]:[得点]],MATCH(体力優良証交付申請!$A194,入力シート!$AF$6:$AF$505,0),MATCH(体力優良証交付申請!L$14,テーブル22[[#Headers],[学年]:[得点]],0)))</f>
        <v/>
      </c>
      <c r="M194" s="28" t="str">
        <f>IF($A194&gt;MAX(入力シート!$AF$6:$AF$505),"",INDEX(テーブル22[[学年]:[得点]],MATCH(体力優良証交付申請!$A194,入力シート!$AF$6:$AF$505,0),MATCH(体力優良証交付申請!M$14,テーブル22[[#Headers],[学年]:[得点]],0)))</f>
        <v/>
      </c>
    </row>
    <row r="195" spans="1:13" x14ac:dyDescent="0.2">
      <c r="A195" s="16">
        <v>181</v>
      </c>
      <c r="B195" s="130" t="str">
        <f>IF($A195&gt;MAX(入力シート!$AF$6:$AF$505),"",INDEX(テーブル22[[学年]:[得点]],MATCH(体力優良証交付申請!$A195,入力シート!$AF$6:$AF$505,0),MATCH(体力優良証交付申請!B$14,テーブル22[[#Headers],[学年]:[得点]],0)))</f>
        <v/>
      </c>
      <c r="C195" s="203" t="str">
        <f>IF($A195&gt;MAX(入力シート!$AF$6:$AF$505),"",INDEX(テーブル22[[学年]:[得点]],MATCH(体力優良証交付申請!$A195,入力シート!$AF$6:$AF$505,0),MATCH(体力優良証交付申請!C$14,テーブル22[[#Headers],[学年]:[得点]],0)))</f>
        <v/>
      </c>
      <c r="D195" s="203" t="str">
        <f>IF($A195&gt;MAX(入力シート!$AF$6:$AF$505),"",INDEX(テーブル22[[学年]:[得点]],MATCH(体力優良証交付申請!$A195,入力シート!$AF$6:$AF$505,0),MATCH(体力優良証交付申請!D$14,テーブル22[[#Headers],[学年]:[得点]],0)))</f>
        <v/>
      </c>
      <c r="E195" s="203" t="str">
        <f>IF($A195&gt;MAX(入力シート!$AF$6:$AF$505),"",INDEX(テーブル22[[学年]:[得点]],MATCH(体力優良証交付申請!$A195,入力シート!$AF$6:$AF$505,0),MATCH(体力優良証交付申請!E$14,テーブル22[[#Headers],[学年]:[得点]],0)))</f>
        <v/>
      </c>
      <c r="F195" s="203" t="str">
        <f>IF($A195&gt;MAX(入力シート!$AF$6:$AF$505),"",INDEX(テーブル22[[学年]:[得点]],MATCH(体力優良証交付申請!$A195,入力シート!$AF$6:$AF$505,0),MATCH(体力優良証交付申請!F$14,テーブル22[[#Headers],[学年]:[得点]],0)))</f>
        <v/>
      </c>
      <c r="G195" s="203" t="str">
        <f>IF($A195&gt;MAX(入力シート!$AF$6:$AF$505),"",INDEX(テーブル22[[学年]:[得点]],MATCH(体力優良証交付申請!$A195,入力シート!$AF$6:$AF$505,0),MATCH(体力優良証交付申請!G$14,テーブル22[[#Headers],[学年]:[得点]],0)))</f>
        <v/>
      </c>
      <c r="H195" s="203" t="str">
        <f>IF($A195&gt;MAX(入力シート!$AF$6:$AF$505),"",INDEX(テーブル22[[学年]:[得点]],MATCH(体力優良証交付申請!$A195,入力シート!$AF$6:$AF$505,0),MATCH(体力優良証交付申請!H$14,テーブル22[[#Headers],[学年]:[得点]],0)))</f>
        <v/>
      </c>
      <c r="I195" s="203" t="str">
        <f>IF($A195&gt;MAX(入力シート!$AF$6:$AF$505),"",INDEX(テーブル22[[学年]:[得点]],MATCH(体力優良証交付申請!$A195,入力シート!$AF$6:$AF$505,0),MATCH(体力優良証交付申請!I$14,テーブル22[[#Headers],[学年]:[得点]],0)))</f>
        <v/>
      </c>
      <c r="J195" s="114" t="str">
        <f>IF($A195&gt;MAX(入力シート!$AF$6:$AF$505),"",INDEX(テーブル22[[学年]:[得点]],MATCH(体力優良証交付申請!$A195,入力シート!$AF$6:$AF$505,0),MATCH(体力優良証交付申請!J$14,テーブル22[[#Headers],[学年]:[得点]],0)))</f>
        <v/>
      </c>
      <c r="K195" s="203" t="str">
        <f>IF($A195&gt;MAX(入力シート!$AF$6:$AF$505),"",INDEX(テーブル22[[学年]:[得点]],MATCH(体力優良証交付申請!$A195,入力シート!$AF$6:$AF$505,0),MATCH(体力優良証交付申請!K$14,テーブル22[[#Headers],[学年]:[得点]],0)))</f>
        <v/>
      </c>
      <c r="L195" s="203" t="str">
        <f>IF($A195&gt;MAX(入力シート!$AF$6:$AF$505),"",INDEX(テーブル22[[学年]:[得点]],MATCH(体力優良証交付申請!$A195,入力シート!$AF$6:$AF$505,0),MATCH(体力優良証交付申請!L$14,テーブル22[[#Headers],[学年]:[得点]],0)))</f>
        <v/>
      </c>
      <c r="M195" s="28" t="str">
        <f>IF($A195&gt;MAX(入力シート!$AF$6:$AF$505),"",INDEX(テーブル22[[学年]:[得点]],MATCH(体力優良証交付申請!$A195,入力シート!$AF$6:$AF$505,0),MATCH(体力優良証交付申請!M$14,テーブル22[[#Headers],[学年]:[得点]],0)))</f>
        <v/>
      </c>
    </row>
    <row r="196" spans="1:13" x14ac:dyDescent="0.2">
      <c r="A196" s="16">
        <v>182</v>
      </c>
      <c r="B196" s="130" t="str">
        <f>IF($A196&gt;MAX(入力シート!$AF$6:$AF$505),"",INDEX(テーブル22[[学年]:[得点]],MATCH(体力優良証交付申請!$A196,入力シート!$AF$6:$AF$505,0),MATCH(体力優良証交付申請!B$14,テーブル22[[#Headers],[学年]:[得点]],0)))</f>
        <v/>
      </c>
      <c r="C196" s="203" t="str">
        <f>IF($A196&gt;MAX(入力シート!$AF$6:$AF$505),"",INDEX(テーブル22[[学年]:[得点]],MATCH(体力優良証交付申請!$A196,入力シート!$AF$6:$AF$505,0),MATCH(体力優良証交付申請!C$14,テーブル22[[#Headers],[学年]:[得点]],0)))</f>
        <v/>
      </c>
      <c r="D196" s="203" t="str">
        <f>IF($A196&gt;MAX(入力シート!$AF$6:$AF$505),"",INDEX(テーブル22[[学年]:[得点]],MATCH(体力優良証交付申請!$A196,入力シート!$AF$6:$AF$505,0),MATCH(体力優良証交付申請!D$14,テーブル22[[#Headers],[学年]:[得点]],0)))</f>
        <v/>
      </c>
      <c r="E196" s="203" t="str">
        <f>IF($A196&gt;MAX(入力シート!$AF$6:$AF$505),"",INDEX(テーブル22[[学年]:[得点]],MATCH(体力優良証交付申請!$A196,入力シート!$AF$6:$AF$505,0),MATCH(体力優良証交付申請!E$14,テーブル22[[#Headers],[学年]:[得点]],0)))</f>
        <v/>
      </c>
      <c r="F196" s="203" t="str">
        <f>IF($A196&gt;MAX(入力シート!$AF$6:$AF$505),"",INDEX(テーブル22[[学年]:[得点]],MATCH(体力優良証交付申請!$A196,入力シート!$AF$6:$AF$505,0),MATCH(体力優良証交付申請!F$14,テーブル22[[#Headers],[学年]:[得点]],0)))</f>
        <v/>
      </c>
      <c r="G196" s="203" t="str">
        <f>IF($A196&gt;MAX(入力シート!$AF$6:$AF$505),"",INDEX(テーブル22[[学年]:[得点]],MATCH(体力優良証交付申請!$A196,入力シート!$AF$6:$AF$505,0),MATCH(体力優良証交付申請!G$14,テーブル22[[#Headers],[学年]:[得点]],0)))</f>
        <v/>
      </c>
      <c r="H196" s="203" t="str">
        <f>IF($A196&gt;MAX(入力シート!$AF$6:$AF$505),"",INDEX(テーブル22[[学年]:[得点]],MATCH(体力優良証交付申請!$A196,入力シート!$AF$6:$AF$505,0),MATCH(体力優良証交付申請!H$14,テーブル22[[#Headers],[学年]:[得点]],0)))</f>
        <v/>
      </c>
      <c r="I196" s="203" t="str">
        <f>IF($A196&gt;MAX(入力シート!$AF$6:$AF$505),"",INDEX(テーブル22[[学年]:[得点]],MATCH(体力優良証交付申請!$A196,入力シート!$AF$6:$AF$505,0),MATCH(体力優良証交付申請!I$14,テーブル22[[#Headers],[学年]:[得点]],0)))</f>
        <v/>
      </c>
      <c r="J196" s="114" t="str">
        <f>IF($A196&gt;MAX(入力シート!$AF$6:$AF$505),"",INDEX(テーブル22[[学年]:[得点]],MATCH(体力優良証交付申請!$A196,入力シート!$AF$6:$AF$505,0),MATCH(体力優良証交付申請!J$14,テーブル22[[#Headers],[学年]:[得点]],0)))</f>
        <v/>
      </c>
      <c r="K196" s="203" t="str">
        <f>IF($A196&gt;MAX(入力シート!$AF$6:$AF$505),"",INDEX(テーブル22[[学年]:[得点]],MATCH(体力優良証交付申請!$A196,入力シート!$AF$6:$AF$505,0),MATCH(体力優良証交付申請!K$14,テーブル22[[#Headers],[学年]:[得点]],0)))</f>
        <v/>
      </c>
      <c r="L196" s="203" t="str">
        <f>IF($A196&gt;MAX(入力シート!$AF$6:$AF$505),"",INDEX(テーブル22[[学年]:[得点]],MATCH(体力優良証交付申請!$A196,入力シート!$AF$6:$AF$505,0),MATCH(体力優良証交付申請!L$14,テーブル22[[#Headers],[学年]:[得点]],0)))</f>
        <v/>
      </c>
      <c r="M196" s="28" t="str">
        <f>IF($A196&gt;MAX(入力シート!$AF$6:$AF$505),"",INDEX(テーブル22[[学年]:[得点]],MATCH(体力優良証交付申請!$A196,入力シート!$AF$6:$AF$505,0),MATCH(体力優良証交付申請!M$14,テーブル22[[#Headers],[学年]:[得点]],0)))</f>
        <v/>
      </c>
    </row>
    <row r="197" spans="1:13" x14ac:dyDescent="0.2">
      <c r="A197" s="16">
        <v>183</v>
      </c>
      <c r="B197" s="130" t="str">
        <f>IF($A197&gt;MAX(入力シート!$AF$6:$AF$505),"",INDEX(テーブル22[[学年]:[得点]],MATCH(体力優良証交付申請!$A197,入力シート!$AF$6:$AF$505,0),MATCH(体力優良証交付申請!B$14,テーブル22[[#Headers],[学年]:[得点]],0)))</f>
        <v/>
      </c>
      <c r="C197" s="203" t="str">
        <f>IF($A197&gt;MAX(入力シート!$AF$6:$AF$505),"",INDEX(テーブル22[[学年]:[得点]],MATCH(体力優良証交付申請!$A197,入力シート!$AF$6:$AF$505,0),MATCH(体力優良証交付申請!C$14,テーブル22[[#Headers],[学年]:[得点]],0)))</f>
        <v/>
      </c>
      <c r="D197" s="203" t="str">
        <f>IF($A197&gt;MAX(入力シート!$AF$6:$AF$505),"",INDEX(テーブル22[[学年]:[得点]],MATCH(体力優良証交付申請!$A197,入力シート!$AF$6:$AF$505,0),MATCH(体力優良証交付申請!D$14,テーブル22[[#Headers],[学年]:[得点]],0)))</f>
        <v/>
      </c>
      <c r="E197" s="203" t="str">
        <f>IF($A197&gt;MAX(入力シート!$AF$6:$AF$505),"",INDEX(テーブル22[[学年]:[得点]],MATCH(体力優良証交付申請!$A197,入力シート!$AF$6:$AF$505,0),MATCH(体力優良証交付申請!E$14,テーブル22[[#Headers],[学年]:[得点]],0)))</f>
        <v/>
      </c>
      <c r="F197" s="203" t="str">
        <f>IF($A197&gt;MAX(入力シート!$AF$6:$AF$505),"",INDEX(テーブル22[[学年]:[得点]],MATCH(体力優良証交付申請!$A197,入力シート!$AF$6:$AF$505,0),MATCH(体力優良証交付申請!F$14,テーブル22[[#Headers],[学年]:[得点]],0)))</f>
        <v/>
      </c>
      <c r="G197" s="203" t="str">
        <f>IF($A197&gt;MAX(入力シート!$AF$6:$AF$505),"",INDEX(テーブル22[[学年]:[得点]],MATCH(体力優良証交付申請!$A197,入力シート!$AF$6:$AF$505,0),MATCH(体力優良証交付申請!G$14,テーブル22[[#Headers],[学年]:[得点]],0)))</f>
        <v/>
      </c>
      <c r="H197" s="203" t="str">
        <f>IF($A197&gt;MAX(入力シート!$AF$6:$AF$505),"",INDEX(テーブル22[[学年]:[得点]],MATCH(体力優良証交付申請!$A197,入力シート!$AF$6:$AF$505,0),MATCH(体力優良証交付申請!H$14,テーブル22[[#Headers],[学年]:[得点]],0)))</f>
        <v/>
      </c>
      <c r="I197" s="203" t="str">
        <f>IF($A197&gt;MAX(入力シート!$AF$6:$AF$505),"",INDEX(テーブル22[[学年]:[得点]],MATCH(体力優良証交付申請!$A197,入力シート!$AF$6:$AF$505,0),MATCH(体力優良証交付申請!I$14,テーブル22[[#Headers],[学年]:[得点]],0)))</f>
        <v/>
      </c>
      <c r="J197" s="114" t="str">
        <f>IF($A197&gt;MAX(入力シート!$AF$6:$AF$505),"",INDEX(テーブル22[[学年]:[得点]],MATCH(体力優良証交付申請!$A197,入力シート!$AF$6:$AF$505,0),MATCH(体力優良証交付申請!J$14,テーブル22[[#Headers],[学年]:[得点]],0)))</f>
        <v/>
      </c>
      <c r="K197" s="203" t="str">
        <f>IF($A197&gt;MAX(入力シート!$AF$6:$AF$505),"",INDEX(テーブル22[[学年]:[得点]],MATCH(体力優良証交付申請!$A197,入力シート!$AF$6:$AF$505,0),MATCH(体力優良証交付申請!K$14,テーブル22[[#Headers],[学年]:[得点]],0)))</f>
        <v/>
      </c>
      <c r="L197" s="203" t="str">
        <f>IF($A197&gt;MAX(入力シート!$AF$6:$AF$505),"",INDEX(テーブル22[[学年]:[得点]],MATCH(体力優良証交付申請!$A197,入力シート!$AF$6:$AF$505,0),MATCH(体力優良証交付申請!L$14,テーブル22[[#Headers],[学年]:[得点]],0)))</f>
        <v/>
      </c>
      <c r="M197" s="28" t="str">
        <f>IF($A197&gt;MAX(入力シート!$AF$6:$AF$505),"",INDEX(テーブル22[[学年]:[得点]],MATCH(体力優良証交付申請!$A197,入力シート!$AF$6:$AF$505,0),MATCH(体力優良証交付申請!M$14,テーブル22[[#Headers],[学年]:[得点]],0)))</f>
        <v/>
      </c>
    </row>
    <row r="198" spans="1:13" x14ac:dyDescent="0.2">
      <c r="A198" s="16">
        <v>184</v>
      </c>
      <c r="B198" s="130" t="str">
        <f>IF($A198&gt;MAX(入力シート!$AF$6:$AF$505),"",INDEX(テーブル22[[学年]:[得点]],MATCH(体力優良証交付申請!$A198,入力シート!$AF$6:$AF$505,0),MATCH(体力優良証交付申請!B$14,テーブル22[[#Headers],[学年]:[得点]],0)))</f>
        <v/>
      </c>
      <c r="C198" s="203" t="str">
        <f>IF($A198&gt;MAX(入力シート!$AF$6:$AF$505),"",INDEX(テーブル22[[学年]:[得点]],MATCH(体力優良証交付申請!$A198,入力シート!$AF$6:$AF$505,0),MATCH(体力優良証交付申請!C$14,テーブル22[[#Headers],[学年]:[得点]],0)))</f>
        <v/>
      </c>
      <c r="D198" s="203" t="str">
        <f>IF($A198&gt;MAX(入力シート!$AF$6:$AF$505),"",INDEX(テーブル22[[学年]:[得点]],MATCH(体力優良証交付申請!$A198,入力シート!$AF$6:$AF$505,0),MATCH(体力優良証交付申請!D$14,テーブル22[[#Headers],[学年]:[得点]],0)))</f>
        <v/>
      </c>
      <c r="E198" s="203" t="str">
        <f>IF($A198&gt;MAX(入力シート!$AF$6:$AF$505),"",INDEX(テーブル22[[学年]:[得点]],MATCH(体力優良証交付申請!$A198,入力シート!$AF$6:$AF$505,0),MATCH(体力優良証交付申請!E$14,テーブル22[[#Headers],[学年]:[得点]],0)))</f>
        <v/>
      </c>
      <c r="F198" s="203" t="str">
        <f>IF($A198&gt;MAX(入力シート!$AF$6:$AF$505),"",INDEX(テーブル22[[学年]:[得点]],MATCH(体力優良証交付申請!$A198,入力シート!$AF$6:$AF$505,0),MATCH(体力優良証交付申請!F$14,テーブル22[[#Headers],[学年]:[得点]],0)))</f>
        <v/>
      </c>
      <c r="G198" s="203" t="str">
        <f>IF($A198&gt;MAX(入力シート!$AF$6:$AF$505),"",INDEX(テーブル22[[学年]:[得点]],MATCH(体力優良証交付申請!$A198,入力シート!$AF$6:$AF$505,0),MATCH(体力優良証交付申請!G$14,テーブル22[[#Headers],[学年]:[得点]],0)))</f>
        <v/>
      </c>
      <c r="H198" s="203" t="str">
        <f>IF($A198&gt;MAX(入力シート!$AF$6:$AF$505),"",INDEX(テーブル22[[学年]:[得点]],MATCH(体力優良証交付申請!$A198,入力シート!$AF$6:$AF$505,0),MATCH(体力優良証交付申請!H$14,テーブル22[[#Headers],[学年]:[得点]],0)))</f>
        <v/>
      </c>
      <c r="I198" s="203" t="str">
        <f>IF($A198&gt;MAX(入力シート!$AF$6:$AF$505),"",INDEX(テーブル22[[学年]:[得点]],MATCH(体力優良証交付申請!$A198,入力シート!$AF$6:$AF$505,0),MATCH(体力優良証交付申請!I$14,テーブル22[[#Headers],[学年]:[得点]],0)))</f>
        <v/>
      </c>
      <c r="J198" s="114" t="str">
        <f>IF($A198&gt;MAX(入力シート!$AF$6:$AF$505),"",INDEX(テーブル22[[学年]:[得点]],MATCH(体力優良証交付申請!$A198,入力シート!$AF$6:$AF$505,0),MATCH(体力優良証交付申請!J$14,テーブル22[[#Headers],[学年]:[得点]],0)))</f>
        <v/>
      </c>
      <c r="K198" s="203" t="str">
        <f>IF($A198&gt;MAX(入力シート!$AF$6:$AF$505),"",INDEX(テーブル22[[学年]:[得点]],MATCH(体力優良証交付申請!$A198,入力シート!$AF$6:$AF$505,0),MATCH(体力優良証交付申請!K$14,テーブル22[[#Headers],[学年]:[得点]],0)))</f>
        <v/>
      </c>
      <c r="L198" s="203" t="str">
        <f>IF($A198&gt;MAX(入力シート!$AF$6:$AF$505),"",INDEX(テーブル22[[学年]:[得点]],MATCH(体力優良証交付申請!$A198,入力シート!$AF$6:$AF$505,0),MATCH(体力優良証交付申請!L$14,テーブル22[[#Headers],[学年]:[得点]],0)))</f>
        <v/>
      </c>
      <c r="M198" s="28" t="str">
        <f>IF($A198&gt;MAX(入力シート!$AF$6:$AF$505),"",INDEX(テーブル22[[学年]:[得点]],MATCH(体力優良証交付申請!$A198,入力シート!$AF$6:$AF$505,0),MATCH(体力優良証交付申請!M$14,テーブル22[[#Headers],[学年]:[得点]],0)))</f>
        <v/>
      </c>
    </row>
    <row r="199" spans="1:13" x14ac:dyDescent="0.2">
      <c r="A199" s="16">
        <v>185</v>
      </c>
      <c r="B199" s="130" t="str">
        <f>IF($A199&gt;MAX(入力シート!$AF$6:$AF$505),"",INDEX(テーブル22[[学年]:[得点]],MATCH(体力優良証交付申請!$A199,入力シート!$AF$6:$AF$505,0),MATCH(体力優良証交付申請!B$14,テーブル22[[#Headers],[学年]:[得点]],0)))</f>
        <v/>
      </c>
      <c r="C199" s="203" t="str">
        <f>IF($A199&gt;MAX(入力シート!$AF$6:$AF$505),"",INDEX(テーブル22[[学年]:[得点]],MATCH(体力優良証交付申請!$A199,入力シート!$AF$6:$AF$505,0),MATCH(体力優良証交付申請!C$14,テーブル22[[#Headers],[学年]:[得点]],0)))</f>
        <v/>
      </c>
      <c r="D199" s="203" t="str">
        <f>IF($A199&gt;MAX(入力シート!$AF$6:$AF$505),"",INDEX(テーブル22[[学年]:[得点]],MATCH(体力優良証交付申請!$A199,入力シート!$AF$6:$AF$505,0),MATCH(体力優良証交付申請!D$14,テーブル22[[#Headers],[学年]:[得点]],0)))</f>
        <v/>
      </c>
      <c r="E199" s="203" t="str">
        <f>IF($A199&gt;MAX(入力シート!$AF$6:$AF$505),"",INDEX(テーブル22[[学年]:[得点]],MATCH(体力優良証交付申請!$A199,入力シート!$AF$6:$AF$505,0),MATCH(体力優良証交付申請!E$14,テーブル22[[#Headers],[学年]:[得点]],0)))</f>
        <v/>
      </c>
      <c r="F199" s="203" t="str">
        <f>IF($A199&gt;MAX(入力シート!$AF$6:$AF$505),"",INDEX(テーブル22[[学年]:[得点]],MATCH(体力優良証交付申請!$A199,入力シート!$AF$6:$AF$505,0),MATCH(体力優良証交付申請!F$14,テーブル22[[#Headers],[学年]:[得点]],0)))</f>
        <v/>
      </c>
      <c r="G199" s="203" t="str">
        <f>IF($A199&gt;MAX(入力シート!$AF$6:$AF$505),"",INDEX(テーブル22[[学年]:[得点]],MATCH(体力優良証交付申請!$A199,入力シート!$AF$6:$AF$505,0),MATCH(体力優良証交付申請!G$14,テーブル22[[#Headers],[学年]:[得点]],0)))</f>
        <v/>
      </c>
      <c r="H199" s="203" t="str">
        <f>IF($A199&gt;MAX(入力シート!$AF$6:$AF$505),"",INDEX(テーブル22[[学年]:[得点]],MATCH(体力優良証交付申請!$A199,入力シート!$AF$6:$AF$505,0),MATCH(体力優良証交付申請!H$14,テーブル22[[#Headers],[学年]:[得点]],0)))</f>
        <v/>
      </c>
      <c r="I199" s="203" t="str">
        <f>IF($A199&gt;MAX(入力シート!$AF$6:$AF$505),"",INDEX(テーブル22[[学年]:[得点]],MATCH(体力優良証交付申請!$A199,入力シート!$AF$6:$AF$505,0),MATCH(体力優良証交付申請!I$14,テーブル22[[#Headers],[学年]:[得点]],0)))</f>
        <v/>
      </c>
      <c r="J199" s="114" t="str">
        <f>IF($A199&gt;MAX(入力シート!$AF$6:$AF$505),"",INDEX(テーブル22[[学年]:[得点]],MATCH(体力優良証交付申請!$A199,入力シート!$AF$6:$AF$505,0),MATCH(体力優良証交付申請!J$14,テーブル22[[#Headers],[学年]:[得点]],0)))</f>
        <v/>
      </c>
      <c r="K199" s="203" t="str">
        <f>IF($A199&gt;MAX(入力シート!$AF$6:$AF$505),"",INDEX(テーブル22[[学年]:[得点]],MATCH(体力優良証交付申請!$A199,入力シート!$AF$6:$AF$505,0),MATCH(体力優良証交付申請!K$14,テーブル22[[#Headers],[学年]:[得点]],0)))</f>
        <v/>
      </c>
      <c r="L199" s="203" t="str">
        <f>IF($A199&gt;MAX(入力シート!$AF$6:$AF$505),"",INDEX(テーブル22[[学年]:[得点]],MATCH(体力優良証交付申請!$A199,入力シート!$AF$6:$AF$505,0),MATCH(体力優良証交付申請!L$14,テーブル22[[#Headers],[学年]:[得点]],0)))</f>
        <v/>
      </c>
      <c r="M199" s="28" t="str">
        <f>IF($A199&gt;MAX(入力シート!$AF$6:$AF$505),"",INDEX(テーブル22[[学年]:[得点]],MATCH(体力優良証交付申請!$A199,入力シート!$AF$6:$AF$505,0),MATCH(体力優良証交付申請!M$14,テーブル22[[#Headers],[学年]:[得点]],0)))</f>
        <v/>
      </c>
    </row>
    <row r="200" spans="1:13" x14ac:dyDescent="0.2">
      <c r="A200" s="16">
        <v>186</v>
      </c>
      <c r="B200" s="130" t="str">
        <f>IF($A200&gt;MAX(入力シート!$AF$6:$AF$505),"",INDEX(テーブル22[[学年]:[得点]],MATCH(体力優良証交付申請!$A200,入力シート!$AF$6:$AF$505,0),MATCH(体力優良証交付申請!B$14,テーブル22[[#Headers],[学年]:[得点]],0)))</f>
        <v/>
      </c>
      <c r="C200" s="203" t="str">
        <f>IF($A200&gt;MAX(入力シート!$AF$6:$AF$505),"",INDEX(テーブル22[[学年]:[得点]],MATCH(体力優良証交付申請!$A200,入力シート!$AF$6:$AF$505,0),MATCH(体力優良証交付申請!C$14,テーブル22[[#Headers],[学年]:[得点]],0)))</f>
        <v/>
      </c>
      <c r="D200" s="203" t="str">
        <f>IF($A200&gt;MAX(入力シート!$AF$6:$AF$505),"",INDEX(テーブル22[[学年]:[得点]],MATCH(体力優良証交付申請!$A200,入力シート!$AF$6:$AF$505,0),MATCH(体力優良証交付申請!D$14,テーブル22[[#Headers],[学年]:[得点]],0)))</f>
        <v/>
      </c>
      <c r="E200" s="203" t="str">
        <f>IF($A200&gt;MAX(入力シート!$AF$6:$AF$505),"",INDEX(テーブル22[[学年]:[得点]],MATCH(体力優良証交付申請!$A200,入力シート!$AF$6:$AF$505,0),MATCH(体力優良証交付申請!E$14,テーブル22[[#Headers],[学年]:[得点]],0)))</f>
        <v/>
      </c>
      <c r="F200" s="203" t="str">
        <f>IF($A200&gt;MAX(入力シート!$AF$6:$AF$505),"",INDEX(テーブル22[[学年]:[得点]],MATCH(体力優良証交付申請!$A200,入力シート!$AF$6:$AF$505,0),MATCH(体力優良証交付申請!F$14,テーブル22[[#Headers],[学年]:[得点]],0)))</f>
        <v/>
      </c>
      <c r="G200" s="203" t="str">
        <f>IF($A200&gt;MAX(入力シート!$AF$6:$AF$505),"",INDEX(テーブル22[[学年]:[得点]],MATCH(体力優良証交付申請!$A200,入力シート!$AF$6:$AF$505,0),MATCH(体力優良証交付申請!G$14,テーブル22[[#Headers],[学年]:[得点]],0)))</f>
        <v/>
      </c>
      <c r="H200" s="203" t="str">
        <f>IF($A200&gt;MAX(入力シート!$AF$6:$AF$505),"",INDEX(テーブル22[[学年]:[得点]],MATCH(体力優良証交付申請!$A200,入力シート!$AF$6:$AF$505,0),MATCH(体力優良証交付申請!H$14,テーブル22[[#Headers],[学年]:[得点]],0)))</f>
        <v/>
      </c>
      <c r="I200" s="203" t="str">
        <f>IF($A200&gt;MAX(入力シート!$AF$6:$AF$505),"",INDEX(テーブル22[[学年]:[得点]],MATCH(体力優良証交付申請!$A200,入力シート!$AF$6:$AF$505,0),MATCH(体力優良証交付申請!I$14,テーブル22[[#Headers],[学年]:[得点]],0)))</f>
        <v/>
      </c>
      <c r="J200" s="114" t="str">
        <f>IF($A200&gt;MAX(入力シート!$AF$6:$AF$505),"",INDEX(テーブル22[[学年]:[得点]],MATCH(体力優良証交付申請!$A200,入力シート!$AF$6:$AF$505,0),MATCH(体力優良証交付申請!J$14,テーブル22[[#Headers],[学年]:[得点]],0)))</f>
        <v/>
      </c>
      <c r="K200" s="203" t="str">
        <f>IF($A200&gt;MAX(入力シート!$AF$6:$AF$505),"",INDEX(テーブル22[[学年]:[得点]],MATCH(体力優良証交付申請!$A200,入力シート!$AF$6:$AF$505,0),MATCH(体力優良証交付申請!K$14,テーブル22[[#Headers],[学年]:[得点]],0)))</f>
        <v/>
      </c>
      <c r="L200" s="203" t="str">
        <f>IF($A200&gt;MAX(入力シート!$AF$6:$AF$505),"",INDEX(テーブル22[[学年]:[得点]],MATCH(体力優良証交付申請!$A200,入力シート!$AF$6:$AF$505,0),MATCH(体力優良証交付申請!L$14,テーブル22[[#Headers],[学年]:[得点]],0)))</f>
        <v/>
      </c>
      <c r="M200" s="28" t="str">
        <f>IF($A200&gt;MAX(入力シート!$AF$6:$AF$505),"",INDEX(テーブル22[[学年]:[得点]],MATCH(体力優良証交付申請!$A200,入力シート!$AF$6:$AF$505,0),MATCH(体力優良証交付申請!M$14,テーブル22[[#Headers],[学年]:[得点]],0)))</f>
        <v/>
      </c>
    </row>
    <row r="201" spans="1:13" x14ac:dyDescent="0.2">
      <c r="A201" s="16">
        <v>187</v>
      </c>
      <c r="B201" s="130" t="str">
        <f>IF($A201&gt;MAX(入力シート!$AF$6:$AF$505),"",INDEX(テーブル22[[学年]:[得点]],MATCH(体力優良証交付申請!$A201,入力シート!$AF$6:$AF$505,0),MATCH(体力優良証交付申請!B$14,テーブル22[[#Headers],[学年]:[得点]],0)))</f>
        <v/>
      </c>
      <c r="C201" s="203" t="str">
        <f>IF($A201&gt;MAX(入力シート!$AF$6:$AF$505),"",INDEX(テーブル22[[学年]:[得点]],MATCH(体力優良証交付申請!$A201,入力シート!$AF$6:$AF$505,0),MATCH(体力優良証交付申請!C$14,テーブル22[[#Headers],[学年]:[得点]],0)))</f>
        <v/>
      </c>
      <c r="D201" s="203" t="str">
        <f>IF($A201&gt;MAX(入力シート!$AF$6:$AF$505),"",INDEX(テーブル22[[学年]:[得点]],MATCH(体力優良証交付申請!$A201,入力シート!$AF$6:$AF$505,0),MATCH(体力優良証交付申請!D$14,テーブル22[[#Headers],[学年]:[得点]],0)))</f>
        <v/>
      </c>
      <c r="E201" s="203" t="str">
        <f>IF($A201&gt;MAX(入力シート!$AF$6:$AF$505),"",INDEX(テーブル22[[学年]:[得点]],MATCH(体力優良証交付申請!$A201,入力シート!$AF$6:$AF$505,0),MATCH(体力優良証交付申請!E$14,テーブル22[[#Headers],[学年]:[得点]],0)))</f>
        <v/>
      </c>
      <c r="F201" s="203" t="str">
        <f>IF($A201&gt;MAX(入力シート!$AF$6:$AF$505),"",INDEX(テーブル22[[学年]:[得点]],MATCH(体力優良証交付申請!$A201,入力シート!$AF$6:$AF$505,0),MATCH(体力優良証交付申請!F$14,テーブル22[[#Headers],[学年]:[得点]],0)))</f>
        <v/>
      </c>
      <c r="G201" s="203" t="str">
        <f>IF($A201&gt;MAX(入力シート!$AF$6:$AF$505),"",INDEX(テーブル22[[学年]:[得点]],MATCH(体力優良証交付申請!$A201,入力シート!$AF$6:$AF$505,0),MATCH(体力優良証交付申請!G$14,テーブル22[[#Headers],[学年]:[得点]],0)))</f>
        <v/>
      </c>
      <c r="H201" s="203" t="str">
        <f>IF($A201&gt;MAX(入力シート!$AF$6:$AF$505),"",INDEX(テーブル22[[学年]:[得点]],MATCH(体力優良証交付申請!$A201,入力シート!$AF$6:$AF$505,0),MATCH(体力優良証交付申請!H$14,テーブル22[[#Headers],[学年]:[得点]],0)))</f>
        <v/>
      </c>
      <c r="I201" s="203" t="str">
        <f>IF($A201&gt;MAX(入力シート!$AF$6:$AF$505),"",INDEX(テーブル22[[学年]:[得点]],MATCH(体力優良証交付申請!$A201,入力シート!$AF$6:$AF$505,0),MATCH(体力優良証交付申請!I$14,テーブル22[[#Headers],[学年]:[得点]],0)))</f>
        <v/>
      </c>
      <c r="J201" s="114" t="str">
        <f>IF($A201&gt;MAX(入力シート!$AF$6:$AF$505),"",INDEX(テーブル22[[学年]:[得点]],MATCH(体力優良証交付申請!$A201,入力シート!$AF$6:$AF$505,0),MATCH(体力優良証交付申請!J$14,テーブル22[[#Headers],[学年]:[得点]],0)))</f>
        <v/>
      </c>
      <c r="K201" s="203" t="str">
        <f>IF($A201&gt;MAX(入力シート!$AF$6:$AF$505),"",INDEX(テーブル22[[学年]:[得点]],MATCH(体力優良証交付申請!$A201,入力シート!$AF$6:$AF$505,0),MATCH(体力優良証交付申請!K$14,テーブル22[[#Headers],[学年]:[得点]],0)))</f>
        <v/>
      </c>
      <c r="L201" s="203" t="str">
        <f>IF($A201&gt;MAX(入力シート!$AF$6:$AF$505),"",INDEX(テーブル22[[学年]:[得点]],MATCH(体力優良証交付申請!$A201,入力シート!$AF$6:$AF$505,0),MATCH(体力優良証交付申請!L$14,テーブル22[[#Headers],[学年]:[得点]],0)))</f>
        <v/>
      </c>
      <c r="M201" s="28" t="str">
        <f>IF($A201&gt;MAX(入力シート!$AF$6:$AF$505),"",INDEX(テーブル22[[学年]:[得点]],MATCH(体力優良証交付申請!$A201,入力シート!$AF$6:$AF$505,0),MATCH(体力優良証交付申請!M$14,テーブル22[[#Headers],[学年]:[得点]],0)))</f>
        <v/>
      </c>
    </row>
    <row r="202" spans="1:13" x14ac:dyDescent="0.2">
      <c r="A202" s="16">
        <v>188</v>
      </c>
      <c r="B202" s="130" t="str">
        <f>IF($A202&gt;MAX(入力シート!$AF$6:$AF$505),"",INDEX(テーブル22[[学年]:[得点]],MATCH(体力優良証交付申請!$A202,入力シート!$AF$6:$AF$505,0),MATCH(体力優良証交付申請!B$14,テーブル22[[#Headers],[学年]:[得点]],0)))</f>
        <v/>
      </c>
      <c r="C202" s="203" t="str">
        <f>IF($A202&gt;MAX(入力シート!$AF$6:$AF$505),"",INDEX(テーブル22[[学年]:[得点]],MATCH(体力優良証交付申請!$A202,入力シート!$AF$6:$AF$505,0),MATCH(体力優良証交付申請!C$14,テーブル22[[#Headers],[学年]:[得点]],0)))</f>
        <v/>
      </c>
      <c r="D202" s="203" t="str">
        <f>IF($A202&gt;MAX(入力シート!$AF$6:$AF$505),"",INDEX(テーブル22[[学年]:[得点]],MATCH(体力優良証交付申請!$A202,入力シート!$AF$6:$AF$505,0),MATCH(体力優良証交付申請!D$14,テーブル22[[#Headers],[学年]:[得点]],0)))</f>
        <v/>
      </c>
      <c r="E202" s="203" t="str">
        <f>IF($A202&gt;MAX(入力シート!$AF$6:$AF$505),"",INDEX(テーブル22[[学年]:[得点]],MATCH(体力優良証交付申請!$A202,入力シート!$AF$6:$AF$505,0),MATCH(体力優良証交付申請!E$14,テーブル22[[#Headers],[学年]:[得点]],0)))</f>
        <v/>
      </c>
      <c r="F202" s="203" t="str">
        <f>IF($A202&gt;MAX(入力シート!$AF$6:$AF$505),"",INDEX(テーブル22[[学年]:[得点]],MATCH(体力優良証交付申請!$A202,入力シート!$AF$6:$AF$505,0),MATCH(体力優良証交付申請!F$14,テーブル22[[#Headers],[学年]:[得点]],0)))</f>
        <v/>
      </c>
      <c r="G202" s="203" t="str">
        <f>IF($A202&gt;MAX(入力シート!$AF$6:$AF$505),"",INDEX(テーブル22[[学年]:[得点]],MATCH(体力優良証交付申請!$A202,入力シート!$AF$6:$AF$505,0),MATCH(体力優良証交付申請!G$14,テーブル22[[#Headers],[学年]:[得点]],0)))</f>
        <v/>
      </c>
      <c r="H202" s="203" t="str">
        <f>IF($A202&gt;MAX(入力シート!$AF$6:$AF$505),"",INDEX(テーブル22[[学年]:[得点]],MATCH(体力優良証交付申請!$A202,入力シート!$AF$6:$AF$505,0),MATCH(体力優良証交付申請!H$14,テーブル22[[#Headers],[学年]:[得点]],0)))</f>
        <v/>
      </c>
      <c r="I202" s="203" t="str">
        <f>IF($A202&gt;MAX(入力シート!$AF$6:$AF$505),"",INDEX(テーブル22[[学年]:[得点]],MATCH(体力優良証交付申請!$A202,入力シート!$AF$6:$AF$505,0),MATCH(体力優良証交付申請!I$14,テーブル22[[#Headers],[学年]:[得点]],0)))</f>
        <v/>
      </c>
      <c r="J202" s="114" t="str">
        <f>IF($A202&gt;MAX(入力シート!$AF$6:$AF$505),"",INDEX(テーブル22[[学年]:[得点]],MATCH(体力優良証交付申請!$A202,入力シート!$AF$6:$AF$505,0),MATCH(体力優良証交付申請!J$14,テーブル22[[#Headers],[学年]:[得点]],0)))</f>
        <v/>
      </c>
      <c r="K202" s="203" t="str">
        <f>IF($A202&gt;MAX(入力シート!$AF$6:$AF$505),"",INDEX(テーブル22[[学年]:[得点]],MATCH(体力優良証交付申請!$A202,入力シート!$AF$6:$AF$505,0),MATCH(体力優良証交付申請!K$14,テーブル22[[#Headers],[学年]:[得点]],0)))</f>
        <v/>
      </c>
      <c r="L202" s="203" t="str">
        <f>IF($A202&gt;MAX(入力シート!$AF$6:$AF$505),"",INDEX(テーブル22[[学年]:[得点]],MATCH(体力優良証交付申請!$A202,入力シート!$AF$6:$AF$505,0),MATCH(体力優良証交付申請!L$14,テーブル22[[#Headers],[学年]:[得点]],0)))</f>
        <v/>
      </c>
      <c r="M202" s="28" t="str">
        <f>IF($A202&gt;MAX(入力シート!$AF$6:$AF$505),"",INDEX(テーブル22[[学年]:[得点]],MATCH(体力優良証交付申請!$A202,入力シート!$AF$6:$AF$505,0),MATCH(体力優良証交付申請!M$14,テーブル22[[#Headers],[学年]:[得点]],0)))</f>
        <v/>
      </c>
    </row>
    <row r="203" spans="1:13" x14ac:dyDescent="0.2">
      <c r="A203" s="16">
        <v>189</v>
      </c>
      <c r="B203" s="130" t="str">
        <f>IF($A203&gt;MAX(入力シート!$AF$6:$AF$505),"",INDEX(テーブル22[[学年]:[得点]],MATCH(体力優良証交付申請!$A203,入力シート!$AF$6:$AF$505,0),MATCH(体力優良証交付申請!B$14,テーブル22[[#Headers],[学年]:[得点]],0)))</f>
        <v/>
      </c>
      <c r="C203" s="203" t="str">
        <f>IF($A203&gt;MAX(入力シート!$AF$6:$AF$505),"",INDEX(テーブル22[[学年]:[得点]],MATCH(体力優良証交付申請!$A203,入力シート!$AF$6:$AF$505,0),MATCH(体力優良証交付申請!C$14,テーブル22[[#Headers],[学年]:[得点]],0)))</f>
        <v/>
      </c>
      <c r="D203" s="203" t="str">
        <f>IF($A203&gt;MAX(入力シート!$AF$6:$AF$505),"",INDEX(テーブル22[[学年]:[得点]],MATCH(体力優良証交付申請!$A203,入力シート!$AF$6:$AF$505,0),MATCH(体力優良証交付申請!D$14,テーブル22[[#Headers],[学年]:[得点]],0)))</f>
        <v/>
      </c>
      <c r="E203" s="203" t="str">
        <f>IF($A203&gt;MAX(入力シート!$AF$6:$AF$505),"",INDEX(テーブル22[[学年]:[得点]],MATCH(体力優良証交付申請!$A203,入力シート!$AF$6:$AF$505,0),MATCH(体力優良証交付申請!E$14,テーブル22[[#Headers],[学年]:[得点]],0)))</f>
        <v/>
      </c>
      <c r="F203" s="203" t="str">
        <f>IF($A203&gt;MAX(入力シート!$AF$6:$AF$505),"",INDEX(テーブル22[[学年]:[得点]],MATCH(体力優良証交付申請!$A203,入力シート!$AF$6:$AF$505,0),MATCH(体力優良証交付申請!F$14,テーブル22[[#Headers],[学年]:[得点]],0)))</f>
        <v/>
      </c>
      <c r="G203" s="203" t="str">
        <f>IF($A203&gt;MAX(入力シート!$AF$6:$AF$505),"",INDEX(テーブル22[[学年]:[得点]],MATCH(体力優良証交付申請!$A203,入力シート!$AF$6:$AF$505,0),MATCH(体力優良証交付申請!G$14,テーブル22[[#Headers],[学年]:[得点]],0)))</f>
        <v/>
      </c>
      <c r="H203" s="203" t="str">
        <f>IF($A203&gt;MAX(入力シート!$AF$6:$AF$505),"",INDEX(テーブル22[[学年]:[得点]],MATCH(体力優良証交付申請!$A203,入力シート!$AF$6:$AF$505,0),MATCH(体力優良証交付申請!H$14,テーブル22[[#Headers],[学年]:[得点]],0)))</f>
        <v/>
      </c>
      <c r="I203" s="203" t="str">
        <f>IF($A203&gt;MAX(入力シート!$AF$6:$AF$505),"",INDEX(テーブル22[[学年]:[得点]],MATCH(体力優良証交付申請!$A203,入力シート!$AF$6:$AF$505,0),MATCH(体力優良証交付申請!I$14,テーブル22[[#Headers],[学年]:[得点]],0)))</f>
        <v/>
      </c>
      <c r="J203" s="114" t="str">
        <f>IF($A203&gt;MAX(入力シート!$AF$6:$AF$505),"",INDEX(テーブル22[[学年]:[得点]],MATCH(体力優良証交付申請!$A203,入力シート!$AF$6:$AF$505,0),MATCH(体力優良証交付申請!J$14,テーブル22[[#Headers],[学年]:[得点]],0)))</f>
        <v/>
      </c>
      <c r="K203" s="203" t="str">
        <f>IF($A203&gt;MAX(入力シート!$AF$6:$AF$505),"",INDEX(テーブル22[[学年]:[得点]],MATCH(体力優良証交付申請!$A203,入力シート!$AF$6:$AF$505,0),MATCH(体力優良証交付申請!K$14,テーブル22[[#Headers],[学年]:[得点]],0)))</f>
        <v/>
      </c>
      <c r="L203" s="203" t="str">
        <f>IF($A203&gt;MAX(入力シート!$AF$6:$AF$505),"",INDEX(テーブル22[[学年]:[得点]],MATCH(体力優良証交付申請!$A203,入力シート!$AF$6:$AF$505,0),MATCH(体力優良証交付申請!L$14,テーブル22[[#Headers],[学年]:[得点]],0)))</f>
        <v/>
      </c>
      <c r="M203" s="28" t="str">
        <f>IF($A203&gt;MAX(入力シート!$AF$6:$AF$505),"",INDEX(テーブル22[[学年]:[得点]],MATCH(体力優良証交付申請!$A203,入力シート!$AF$6:$AF$505,0),MATCH(体力優良証交付申請!M$14,テーブル22[[#Headers],[学年]:[得点]],0)))</f>
        <v/>
      </c>
    </row>
    <row r="204" spans="1:13" x14ac:dyDescent="0.2">
      <c r="A204" s="16">
        <v>190</v>
      </c>
      <c r="B204" s="130" t="str">
        <f>IF($A204&gt;MAX(入力シート!$AF$6:$AF$505),"",INDEX(テーブル22[[学年]:[得点]],MATCH(体力優良証交付申請!$A204,入力シート!$AF$6:$AF$505,0),MATCH(体力優良証交付申請!B$14,テーブル22[[#Headers],[学年]:[得点]],0)))</f>
        <v/>
      </c>
      <c r="C204" s="203" t="str">
        <f>IF($A204&gt;MAX(入力シート!$AF$6:$AF$505),"",INDEX(テーブル22[[学年]:[得点]],MATCH(体力優良証交付申請!$A204,入力シート!$AF$6:$AF$505,0),MATCH(体力優良証交付申請!C$14,テーブル22[[#Headers],[学年]:[得点]],0)))</f>
        <v/>
      </c>
      <c r="D204" s="203" t="str">
        <f>IF($A204&gt;MAX(入力シート!$AF$6:$AF$505),"",INDEX(テーブル22[[学年]:[得点]],MATCH(体力優良証交付申請!$A204,入力シート!$AF$6:$AF$505,0),MATCH(体力優良証交付申請!D$14,テーブル22[[#Headers],[学年]:[得点]],0)))</f>
        <v/>
      </c>
      <c r="E204" s="203" t="str">
        <f>IF($A204&gt;MAX(入力シート!$AF$6:$AF$505),"",INDEX(テーブル22[[学年]:[得点]],MATCH(体力優良証交付申請!$A204,入力シート!$AF$6:$AF$505,0),MATCH(体力優良証交付申請!E$14,テーブル22[[#Headers],[学年]:[得点]],0)))</f>
        <v/>
      </c>
      <c r="F204" s="203" t="str">
        <f>IF($A204&gt;MAX(入力シート!$AF$6:$AF$505),"",INDEX(テーブル22[[学年]:[得点]],MATCH(体力優良証交付申請!$A204,入力シート!$AF$6:$AF$505,0),MATCH(体力優良証交付申請!F$14,テーブル22[[#Headers],[学年]:[得点]],0)))</f>
        <v/>
      </c>
      <c r="G204" s="203" t="str">
        <f>IF($A204&gt;MAX(入力シート!$AF$6:$AF$505),"",INDEX(テーブル22[[学年]:[得点]],MATCH(体力優良証交付申請!$A204,入力シート!$AF$6:$AF$505,0),MATCH(体力優良証交付申請!G$14,テーブル22[[#Headers],[学年]:[得点]],0)))</f>
        <v/>
      </c>
      <c r="H204" s="203" t="str">
        <f>IF($A204&gt;MAX(入力シート!$AF$6:$AF$505),"",INDEX(テーブル22[[学年]:[得点]],MATCH(体力優良証交付申請!$A204,入力シート!$AF$6:$AF$505,0),MATCH(体力優良証交付申請!H$14,テーブル22[[#Headers],[学年]:[得点]],0)))</f>
        <v/>
      </c>
      <c r="I204" s="203" t="str">
        <f>IF($A204&gt;MAX(入力シート!$AF$6:$AF$505),"",INDEX(テーブル22[[学年]:[得点]],MATCH(体力優良証交付申請!$A204,入力シート!$AF$6:$AF$505,0),MATCH(体力優良証交付申請!I$14,テーブル22[[#Headers],[学年]:[得点]],0)))</f>
        <v/>
      </c>
      <c r="J204" s="114" t="str">
        <f>IF($A204&gt;MAX(入力シート!$AF$6:$AF$505),"",INDEX(テーブル22[[学年]:[得点]],MATCH(体力優良証交付申請!$A204,入力シート!$AF$6:$AF$505,0),MATCH(体力優良証交付申請!J$14,テーブル22[[#Headers],[学年]:[得点]],0)))</f>
        <v/>
      </c>
      <c r="K204" s="203" t="str">
        <f>IF($A204&gt;MAX(入力シート!$AF$6:$AF$505),"",INDEX(テーブル22[[学年]:[得点]],MATCH(体力優良証交付申請!$A204,入力シート!$AF$6:$AF$505,0),MATCH(体力優良証交付申請!K$14,テーブル22[[#Headers],[学年]:[得点]],0)))</f>
        <v/>
      </c>
      <c r="L204" s="203" t="str">
        <f>IF($A204&gt;MAX(入力シート!$AF$6:$AF$505),"",INDEX(テーブル22[[学年]:[得点]],MATCH(体力優良証交付申請!$A204,入力シート!$AF$6:$AF$505,0),MATCH(体力優良証交付申請!L$14,テーブル22[[#Headers],[学年]:[得点]],0)))</f>
        <v/>
      </c>
      <c r="M204" s="28" t="str">
        <f>IF($A204&gt;MAX(入力シート!$AF$6:$AF$505),"",INDEX(テーブル22[[学年]:[得点]],MATCH(体力優良証交付申請!$A204,入力シート!$AF$6:$AF$505,0),MATCH(体力優良証交付申請!M$14,テーブル22[[#Headers],[学年]:[得点]],0)))</f>
        <v/>
      </c>
    </row>
    <row r="205" spans="1:13" x14ac:dyDescent="0.2">
      <c r="A205" s="16">
        <v>191</v>
      </c>
      <c r="B205" s="130" t="str">
        <f>IF($A205&gt;MAX(入力シート!$AF$6:$AF$505),"",INDEX(テーブル22[[学年]:[得点]],MATCH(体力優良証交付申請!$A205,入力シート!$AF$6:$AF$505,0),MATCH(体力優良証交付申請!B$14,テーブル22[[#Headers],[学年]:[得点]],0)))</f>
        <v/>
      </c>
      <c r="C205" s="203" t="str">
        <f>IF($A205&gt;MAX(入力シート!$AF$6:$AF$505),"",INDEX(テーブル22[[学年]:[得点]],MATCH(体力優良証交付申請!$A205,入力シート!$AF$6:$AF$505,0),MATCH(体力優良証交付申請!C$14,テーブル22[[#Headers],[学年]:[得点]],0)))</f>
        <v/>
      </c>
      <c r="D205" s="203" t="str">
        <f>IF($A205&gt;MAX(入力シート!$AF$6:$AF$505),"",INDEX(テーブル22[[学年]:[得点]],MATCH(体力優良証交付申請!$A205,入力シート!$AF$6:$AF$505,0),MATCH(体力優良証交付申請!D$14,テーブル22[[#Headers],[学年]:[得点]],0)))</f>
        <v/>
      </c>
      <c r="E205" s="203" t="str">
        <f>IF($A205&gt;MAX(入力シート!$AF$6:$AF$505),"",INDEX(テーブル22[[学年]:[得点]],MATCH(体力優良証交付申請!$A205,入力シート!$AF$6:$AF$505,0),MATCH(体力優良証交付申請!E$14,テーブル22[[#Headers],[学年]:[得点]],0)))</f>
        <v/>
      </c>
      <c r="F205" s="203" t="str">
        <f>IF($A205&gt;MAX(入力シート!$AF$6:$AF$505),"",INDEX(テーブル22[[学年]:[得点]],MATCH(体力優良証交付申請!$A205,入力シート!$AF$6:$AF$505,0),MATCH(体力優良証交付申請!F$14,テーブル22[[#Headers],[学年]:[得点]],0)))</f>
        <v/>
      </c>
      <c r="G205" s="203" t="str">
        <f>IF($A205&gt;MAX(入力シート!$AF$6:$AF$505),"",INDEX(テーブル22[[学年]:[得点]],MATCH(体力優良証交付申請!$A205,入力シート!$AF$6:$AF$505,0),MATCH(体力優良証交付申請!G$14,テーブル22[[#Headers],[学年]:[得点]],0)))</f>
        <v/>
      </c>
      <c r="H205" s="203" t="str">
        <f>IF($A205&gt;MAX(入力シート!$AF$6:$AF$505),"",INDEX(テーブル22[[学年]:[得点]],MATCH(体力優良証交付申請!$A205,入力シート!$AF$6:$AF$505,0),MATCH(体力優良証交付申請!H$14,テーブル22[[#Headers],[学年]:[得点]],0)))</f>
        <v/>
      </c>
      <c r="I205" s="203" t="str">
        <f>IF($A205&gt;MAX(入力シート!$AF$6:$AF$505),"",INDEX(テーブル22[[学年]:[得点]],MATCH(体力優良証交付申請!$A205,入力シート!$AF$6:$AF$505,0),MATCH(体力優良証交付申請!I$14,テーブル22[[#Headers],[学年]:[得点]],0)))</f>
        <v/>
      </c>
      <c r="J205" s="114" t="str">
        <f>IF($A205&gt;MAX(入力シート!$AF$6:$AF$505),"",INDEX(テーブル22[[学年]:[得点]],MATCH(体力優良証交付申請!$A205,入力シート!$AF$6:$AF$505,0),MATCH(体力優良証交付申請!J$14,テーブル22[[#Headers],[学年]:[得点]],0)))</f>
        <v/>
      </c>
      <c r="K205" s="203" t="str">
        <f>IF($A205&gt;MAX(入力シート!$AF$6:$AF$505),"",INDEX(テーブル22[[学年]:[得点]],MATCH(体力優良証交付申請!$A205,入力シート!$AF$6:$AF$505,0),MATCH(体力優良証交付申請!K$14,テーブル22[[#Headers],[学年]:[得点]],0)))</f>
        <v/>
      </c>
      <c r="L205" s="203" t="str">
        <f>IF($A205&gt;MAX(入力シート!$AF$6:$AF$505),"",INDEX(テーブル22[[学年]:[得点]],MATCH(体力優良証交付申請!$A205,入力シート!$AF$6:$AF$505,0),MATCH(体力優良証交付申請!L$14,テーブル22[[#Headers],[学年]:[得点]],0)))</f>
        <v/>
      </c>
      <c r="M205" s="28" t="str">
        <f>IF($A205&gt;MAX(入力シート!$AF$6:$AF$505),"",INDEX(テーブル22[[学年]:[得点]],MATCH(体力優良証交付申請!$A205,入力シート!$AF$6:$AF$505,0),MATCH(体力優良証交付申請!M$14,テーブル22[[#Headers],[学年]:[得点]],0)))</f>
        <v/>
      </c>
    </row>
    <row r="206" spans="1:13" x14ac:dyDescent="0.2">
      <c r="A206" s="16">
        <v>192</v>
      </c>
      <c r="B206" s="130" t="str">
        <f>IF($A206&gt;MAX(入力シート!$AF$6:$AF$505),"",INDEX(テーブル22[[学年]:[得点]],MATCH(体力優良証交付申請!$A206,入力シート!$AF$6:$AF$505,0),MATCH(体力優良証交付申請!B$14,テーブル22[[#Headers],[学年]:[得点]],0)))</f>
        <v/>
      </c>
      <c r="C206" s="203" t="str">
        <f>IF($A206&gt;MAX(入力シート!$AF$6:$AF$505),"",INDEX(テーブル22[[学年]:[得点]],MATCH(体力優良証交付申請!$A206,入力シート!$AF$6:$AF$505,0),MATCH(体力優良証交付申請!C$14,テーブル22[[#Headers],[学年]:[得点]],0)))</f>
        <v/>
      </c>
      <c r="D206" s="203" t="str">
        <f>IF($A206&gt;MAX(入力シート!$AF$6:$AF$505),"",INDEX(テーブル22[[学年]:[得点]],MATCH(体力優良証交付申請!$A206,入力シート!$AF$6:$AF$505,0),MATCH(体力優良証交付申請!D$14,テーブル22[[#Headers],[学年]:[得点]],0)))</f>
        <v/>
      </c>
      <c r="E206" s="203" t="str">
        <f>IF($A206&gt;MAX(入力シート!$AF$6:$AF$505),"",INDEX(テーブル22[[学年]:[得点]],MATCH(体力優良証交付申請!$A206,入力シート!$AF$6:$AF$505,0),MATCH(体力優良証交付申請!E$14,テーブル22[[#Headers],[学年]:[得点]],0)))</f>
        <v/>
      </c>
      <c r="F206" s="203" t="str">
        <f>IF($A206&gt;MAX(入力シート!$AF$6:$AF$505),"",INDEX(テーブル22[[学年]:[得点]],MATCH(体力優良証交付申請!$A206,入力シート!$AF$6:$AF$505,0),MATCH(体力優良証交付申請!F$14,テーブル22[[#Headers],[学年]:[得点]],0)))</f>
        <v/>
      </c>
      <c r="G206" s="203" t="str">
        <f>IF($A206&gt;MAX(入力シート!$AF$6:$AF$505),"",INDEX(テーブル22[[学年]:[得点]],MATCH(体力優良証交付申請!$A206,入力シート!$AF$6:$AF$505,0),MATCH(体力優良証交付申請!G$14,テーブル22[[#Headers],[学年]:[得点]],0)))</f>
        <v/>
      </c>
      <c r="H206" s="203" t="str">
        <f>IF($A206&gt;MAX(入力シート!$AF$6:$AF$505),"",INDEX(テーブル22[[学年]:[得点]],MATCH(体力優良証交付申請!$A206,入力シート!$AF$6:$AF$505,0),MATCH(体力優良証交付申請!H$14,テーブル22[[#Headers],[学年]:[得点]],0)))</f>
        <v/>
      </c>
      <c r="I206" s="203" t="str">
        <f>IF($A206&gt;MAX(入力シート!$AF$6:$AF$505),"",INDEX(テーブル22[[学年]:[得点]],MATCH(体力優良証交付申請!$A206,入力シート!$AF$6:$AF$505,0),MATCH(体力優良証交付申請!I$14,テーブル22[[#Headers],[学年]:[得点]],0)))</f>
        <v/>
      </c>
      <c r="J206" s="114" t="str">
        <f>IF($A206&gt;MAX(入力シート!$AF$6:$AF$505),"",INDEX(テーブル22[[学年]:[得点]],MATCH(体力優良証交付申請!$A206,入力シート!$AF$6:$AF$505,0),MATCH(体力優良証交付申請!J$14,テーブル22[[#Headers],[学年]:[得点]],0)))</f>
        <v/>
      </c>
      <c r="K206" s="203" t="str">
        <f>IF($A206&gt;MAX(入力シート!$AF$6:$AF$505),"",INDEX(テーブル22[[学年]:[得点]],MATCH(体力優良証交付申請!$A206,入力シート!$AF$6:$AF$505,0),MATCH(体力優良証交付申請!K$14,テーブル22[[#Headers],[学年]:[得点]],0)))</f>
        <v/>
      </c>
      <c r="L206" s="203" t="str">
        <f>IF($A206&gt;MAX(入力シート!$AF$6:$AF$505),"",INDEX(テーブル22[[学年]:[得点]],MATCH(体力優良証交付申請!$A206,入力シート!$AF$6:$AF$505,0),MATCH(体力優良証交付申請!L$14,テーブル22[[#Headers],[学年]:[得点]],0)))</f>
        <v/>
      </c>
      <c r="M206" s="28" t="str">
        <f>IF($A206&gt;MAX(入力シート!$AF$6:$AF$505),"",INDEX(テーブル22[[学年]:[得点]],MATCH(体力優良証交付申請!$A206,入力シート!$AF$6:$AF$505,0),MATCH(体力優良証交付申請!M$14,テーブル22[[#Headers],[学年]:[得点]],0)))</f>
        <v/>
      </c>
    </row>
    <row r="207" spans="1:13" x14ac:dyDescent="0.2">
      <c r="A207" s="16">
        <v>193</v>
      </c>
      <c r="B207" s="130" t="str">
        <f>IF($A207&gt;MAX(入力シート!$AF$6:$AF$505),"",INDEX(テーブル22[[学年]:[得点]],MATCH(体力優良証交付申請!$A207,入力シート!$AF$6:$AF$505,0),MATCH(体力優良証交付申請!B$14,テーブル22[[#Headers],[学年]:[得点]],0)))</f>
        <v/>
      </c>
      <c r="C207" s="203" t="str">
        <f>IF($A207&gt;MAX(入力シート!$AF$6:$AF$505),"",INDEX(テーブル22[[学年]:[得点]],MATCH(体力優良証交付申請!$A207,入力シート!$AF$6:$AF$505,0),MATCH(体力優良証交付申請!C$14,テーブル22[[#Headers],[学年]:[得点]],0)))</f>
        <v/>
      </c>
      <c r="D207" s="203" t="str">
        <f>IF($A207&gt;MAX(入力シート!$AF$6:$AF$505),"",INDEX(テーブル22[[学年]:[得点]],MATCH(体力優良証交付申請!$A207,入力シート!$AF$6:$AF$505,0),MATCH(体力優良証交付申請!D$14,テーブル22[[#Headers],[学年]:[得点]],0)))</f>
        <v/>
      </c>
      <c r="E207" s="203" t="str">
        <f>IF($A207&gt;MAX(入力シート!$AF$6:$AF$505),"",INDEX(テーブル22[[学年]:[得点]],MATCH(体力優良証交付申請!$A207,入力シート!$AF$6:$AF$505,0),MATCH(体力優良証交付申請!E$14,テーブル22[[#Headers],[学年]:[得点]],0)))</f>
        <v/>
      </c>
      <c r="F207" s="203" t="str">
        <f>IF($A207&gt;MAX(入力シート!$AF$6:$AF$505),"",INDEX(テーブル22[[学年]:[得点]],MATCH(体力優良証交付申請!$A207,入力シート!$AF$6:$AF$505,0),MATCH(体力優良証交付申請!F$14,テーブル22[[#Headers],[学年]:[得点]],0)))</f>
        <v/>
      </c>
      <c r="G207" s="203" t="str">
        <f>IF($A207&gt;MAX(入力シート!$AF$6:$AF$505),"",INDEX(テーブル22[[学年]:[得点]],MATCH(体力優良証交付申請!$A207,入力シート!$AF$6:$AF$505,0),MATCH(体力優良証交付申請!G$14,テーブル22[[#Headers],[学年]:[得点]],0)))</f>
        <v/>
      </c>
      <c r="H207" s="203" t="str">
        <f>IF($A207&gt;MAX(入力シート!$AF$6:$AF$505),"",INDEX(テーブル22[[学年]:[得点]],MATCH(体力優良証交付申請!$A207,入力シート!$AF$6:$AF$505,0),MATCH(体力優良証交付申請!H$14,テーブル22[[#Headers],[学年]:[得点]],0)))</f>
        <v/>
      </c>
      <c r="I207" s="203" t="str">
        <f>IF($A207&gt;MAX(入力シート!$AF$6:$AF$505),"",INDEX(テーブル22[[学年]:[得点]],MATCH(体力優良証交付申請!$A207,入力シート!$AF$6:$AF$505,0),MATCH(体力優良証交付申請!I$14,テーブル22[[#Headers],[学年]:[得点]],0)))</f>
        <v/>
      </c>
      <c r="J207" s="114" t="str">
        <f>IF($A207&gt;MAX(入力シート!$AF$6:$AF$505),"",INDEX(テーブル22[[学年]:[得点]],MATCH(体力優良証交付申請!$A207,入力シート!$AF$6:$AF$505,0),MATCH(体力優良証交付申請!J$14,テーブル22[[#Headers],[学年]:[得点]],0)))</f>
        <v/>
      </c>
      <c r="K207" s="203" t="str">
        <f>IF($A207&gt;MAX(入力シート!$AF$6:$AF$505),"",INDEX(テーブル22[[学年]:[得点]],MATCH(体力優良証交付申請!$A207,入力シート!$AF$6:$AF$505,0),MATCH(体力優良証交付申請!K$14,テーブル22[[#Headers],[学年]:[得点]],0)))</f>
        <v/>
      </c>
      <c r="L207" s="203" t="str">
        <f>IF($A207&gt;MAX(入力シート!$AF$6:$AF$505),"",INDEX(テーブル22[[学年]:[得点]],MATCH(体力優良証交付申請!$A207,入力シート!$AF$6:$AF$505,0),MATCH(体力優良証交付申請!L$14,テーブル22[[#Headers],[学年]:[得点]],0)))</f>
        <v/>
      </c>
      <c r="M207" s="28" t="str">
        <f>IF($A207&gt;MAX(入力シート!$AF$6:$AF$505),"",INDEX(テーブル22[[学年]:[得点]],MATCH(体力優良証交付申請!$A207,入力シート!$AF$6:$AF$505,0),MATCH(体力優良証交付申請!M$14,テーブル22[[#Headers],[学年]:[得点]],0)))</f>
        <v/>
      </c>
    </row>
    <row r="208" spans="1:13" x14ac:dyDescent="0.2">
      <c r="A208" s="16">
        <v>194</v>
      </c>
      <c r="B208" s="130" t="str">
        <f>IF($A208&gt;MAX(入力シート!$AF$6:$AF$505),"",INDEX(テーブル22[[学年]:[得点]],MATCH(体力優良証交付申請!$A208,入力シート!$AF$6:$AF$505,0),MATCH(体力優良証交付申請!B$14,テーブル22[[#Headers],[学年]:[得点]],0)))</f>
        <v/>
      </c>
      <c r="C208" s="203" t="str">
        <f>IF($A208&gt;MAX(入力シート!$AF$6:$AF$505),"",INDEX(テーブル22[[学年]:[得点]],MATCH(体力優良証交付申請!$A208,入力シート!$AF$6:$AF$505,0),MATCH(体力優良証交付申請!C$14,テーブル22[[#Headers],[学年]:[得点]],0)))</f>
        <v/>
      </c>
      <c r="D208" s="203" t="str">
        <f>IF($A208&gt;MAX(入力シート!$AF$6:$AF$505),"",INDEX(テーブル22[[学年]:[得点]],MATCH(体力優良証交付申請!$A208,入力シート!$AF$6:$AF$505,0),MATCH(体力優良証交付申請!D$14,テーブル22[[#Headers],[学年]:[得点]],0)))</f>
        <v/>
      </c>
      <c r="E208" s="203" t="str">
        <f>IF($A208&gt;MAX(入力シート!$AF$6:$AF$505),"",INDEX(テーブル22[[学年]:[得点]],MATCH(体力優良証交付申請!$A208,入力シート!$AF$6:$AF$505,0),MATCH(体力優良証交付申請!E$14,テーブル22[[#Headers],[学年]:[得点]],0)))</f>
        <v/>
      </c>
      <c r="F208" s="203" t="str">
        <f>IF($A208&gt;MAX(入力シート!$AF$6:$AF$505),"",INDEX(テーブル22[[学年]:[得点]],MATCH(体力優良証交付申請!$A208,入力シート!$AF$6:$AF$505,0),MATCH(体力優良証交付申請!F$14,テーブル22[[#Headers],[学年]:[得点]],0)))</f>
        <v/>
      </c>
      <c r="G208" s="203" t="str">
        <f>IF($A208&gt;MAX(入力シート!$AF$6:$AF$505),"",INDEX(テーブル22[[学年]:[得点]],MATCH(体力優良証交付申請!$A208,入力シート!$AF$6:$AF$505,0),MATCH(体力優良証交付申請!G$14,テーブル22[[#Headers],[学年]:[得点]],0)))</f>
        <v/>
      </c>
      <c r="H208" s="203" t="str">
        <f>IF($A208&gt;MAX(入力シート!$AF$6:$AF$505),"",INDEX(テーブル22[[学年]:[得点]],MATCH(体力優良証交付申請!$A208,入力シート!$AF$6:$AF$505,0),MATCH(体力優良証交付申請!H$14,テーブル22[[#Headers],[学年]:[得点]],0)))</f>
        <v/>
      </c>
      <c r="I208" s="203" t="str">
        <f>IF($A208&gt;MAX(入力シート!$AF$6:$AF$505),"",INDEX(テーブル22[[学年]:[得点]],MATCH(体力優良証交付申請!$A208,入力シート!$AF$6:$AF$505,0),MATCH(体力優良証交付申請!I$14,テーブル22[[#Headers],[学年]:[得点]],0)))</f>
        <v/>
      </c>
      <c r="J208" s="114" t="str">
        <f>IF($A208&gt;MAX(入力シート!$AF$6:$AF$505),"",INDEX(テーブル22[[学年]:[得点]],MATCH(体力優良証交付申請!$A208,入力シート!$AF$6:$AF$505,0),MATCH(体力優良証交付申請!J$14,テーブル22[[#Headers],[学年]:[得点]],0)))</f>
        <v/>
      </c>
      <c r="K208" s="203" t="str">
        <f>IF($A208&gt;MAX(入力シート!$AF$6:$AF$505),"",INDEX(テーブル22[[学年]:[得点]],MATCH(体力優良証交付申請!$A208,入力シート!$AF$6:$AF$505,0),MATCH(体力優良証交付申請!K$14,テーブル22[[#Headers],[学年]:[得点]],0)))</f>
        <v/>
      </c>
      <c r="L208" s="203" t="str">
        <f>IF($A208&gt;MAX(入力シート!$AF$6:$AF$505),"",INDEX(テーブル22[[学年]:[得点]],MATCH(体力優良証交付申請!$A208,入力シート!$AF$6:$AF$505,0),MATCH(体力優良証交付申請!L$14,テーブル22[[#Headers],[学年]:[得点]],0)))</f>
        <v/>
      </c>
      <c r="M208" s="28" t="str">
        <f>IF($A208&gt;MAX(入力シート!$AF$6:$AF$505),"",INDEX(テーブル22[[学年]:[得点]],MATCH(体力優良証交付申請!$A208,入力シート!$AF$6:$AF$505,0),MATCH(体力優良証交付申請!M$14,テーブル22[[#Headers],[学年]:[得点]],0)))</f>
        <v/>
      </c>
    </row>
    <row r="209" spans="1:13" x14ac:dyDescent="0.2">
      <c r="A209" s="16">
        <v>195</v>
      </c>
      <c r="B209" s="130" t="str">
        <f>IF($A209&gt;MAX(入力シート!$AF$6:$AF$505),"",INDEX(テーブル22[[学年]:[得点]],MATCH(体力優良証交付申請!$A209,入力シート!$AF$6:$AF$505,0),MATCH(体力優良証交付申請!B$14,テーブル22[[#Headers],[学年]:[得点]],0)))</f>
        <v/>
      </c>
      <c r="C209" s="203" t="str">
        <f>IF($A209&gt;MAX(入力シート!$AF$6:$AF$505),"",INDEX(テーブル22[[学年]:[得点]],MATCH(体力優良証交付申請!$A209,入力シート!$AF$6:$AF$505,0),MATCH(体力優良証交付申請!C$14,テーブル22[[#Headers],[学年]:[得点]],0)))</f>
        <v/>
      </c>
      <c r="D209" s="203" t="str">
        <f>IF($A209&gt;MAX(入力シート!$AF$6:$AF$505),"",INDEX(テーブル22[[学年]:[得点]],MATCH(体力優良証交付申請!$A209,入力シート!$AF$6:$AF$505,0),MATCH(体力優良証交付申請!D$14,テーブル22[[#Headers],[学年]:[得点]],0)))</f>
        <v/>
      </c>
      <c r="E209" s="203" t="str">
        <f>IF($A209&gt;MAX(入力シート!$AF$6:$AF$505),"",INDEX(テーブル22[[学年]:[得点]],MATCH(体力優良証交付申請!$A209,入力シート!$AF$6:$AF$505,0),MATCH(体力優良証交付申請!E$14,テーブル22[[#Headers],[学年]:[得点]],0)))</f>
        <v/>
      </c>
      <c r="F209" s="203" t="str">
        <f>IF($A209&gt;MAX(入力シート!$AF$6:$AF$505),"",INDEX(テーブル22[[学年]:[得点]],MATCH(体力優良証交付申請!$A209,入力シート!$AF$6:$AF$505,0),MATCH(体力優良証交付申請!F$14,テーブル22[[#Headers],[学年]:[得点]],0)))</f>
        <v/>
      </c>
      <c r="G209" s="203" t="str">
        <f>IF($A209&gt;MAX(入力シート!$AF$6:$AF$505),"",INDEX(テーブル22[[学年]:[得点]],MATCH(体力優良証交付申請!$A209,入力シート!$AF$6:$AF$505,0),MATCH(体力優良証交付申請!G$14,テーブル22[[#Headers],[学年]:[得点]],0)))</f>
        <v/>
      </c>
      <c r="H209" s="203" t="str">
        <f>IF($A209&gt;MAX(入力シート!$AF$6:$AF$505),"",INDEX(テーブル22[[学年]:[得点]],MATCH(体力優良証交付申請!$A209,入力シート!$AF$6:$AF$505,0),MATCH(体力優良証交付申請!H$14,テーブル22[[#Headers],[学年]:[得点]],0)))</f>
        <v/>
      </c>
      <c r="I209" s="203" t="str">
        <f>IF($A209&gt;MAX(入力シート!$AF$6:$AF$505),"",INDEX(テーブル22[[学年]:[得点]],MATCH(体力優良証交付申請!$A209,入力シート!$AF$6:$AF$505,0),MATCH(体力優良証交付申請!I$14,テーブル22[[#Headers],[学年]:[得点]],0)))</f>
        <v/>
      </c>
      <c r="J209" s="114" t="str">
        <f>IF($A209&gt;MAX(入力シート!$AF$6:$AF$505),"",INDEX(テーブル22[[学年]:[得点]],MATCH(体力優良証交付申請!$A209,入力シート!$AF$6:$AF$505,0),MATCH(体力優良証交付申請!J$14,テーブル22[[#Headers],[学年]:[得点]],0)))</f>
        <v/>
      </c>
      <c r="K209" s="203" t="str">
        <f>IF($A209&gt;MAX(入力シート!$AF$6:$AF$505),"",INDEX(テーブル22[[学年]:[得点]],MATCH(体力優良証交付申請!$A209,入力シート!$AF$6:$AF$505,0),MATCH(体力優良証交付申請!K$14,テーブル22[[#Headers],[学年]:[得点]],0)))</f>
        <v/>
      </c>
      <c r="L209" s="203" t="str">
        <f>IF($A209&gt;MAX(入力シート!$AF$6:$AF$505),"",INDEX(テーブル22[[学年]:[得点]],MATCH(体力優良証交付申請!$A209,入力シート!$AF$6:$AF$505,0),MATCH(体力優良証交付申請!L$14,テーブル22[[#Headers],[学年]:[得点]],0)))</f>
        <v/>
      </c>
      <c r="M209" s="28" t="str">
        <f>IF($A209&gt;MAX(入力シート!$AF$6:$AF$505),"",INDEX(テーブル22[[学年]:[得点]],MATCH(体力優良証交付申請!$A209,入力シート!$AF$6:$AF$505,0),MATCH(体力優良証交付申請!M$14,テーブル22[[#Headers],[学年]:[得点]],0)))</f>
        <v/>
      </c>
    </row>
    <row r="210" spans="1:13" x14ac:dyDescent="0.2">
      <c r="A210" s="16">
        <v>196</v>
      </c>
      <c r="B210" s="130" t="str">
        <f>IF($A210&gt;MAX(入力シート!$AF$6:$AF$505),"",INDEX(テーブル22[[学年]:[得点]],MATCH(体力優良証交付申請!$A210,入力シート!$AF$6:$AF$505,0),MATCH(体力優良証交付申請!B$14,テーブル22[[#Headers],[学年]:[得点]],0)))</f>
        <v/>
      </c>
      <c r="C210" s="203" t="str">
        <f>IF($A210&gt;MAX(入力シート!$AF$6:$AF$505),"",INDEX(テーブル22[[学年]:[得点]],MATCH(体力優良証交付申請!$A210,入力シート!$AF$6:$AF$505,0),MATCH(体力優良証交付申請!C$14,テーブル22[[#Headers],[学年]:[得点]],0)))</f>
        <v/>
      </c>
      <c r="D210" s="203" t="str">
        <f>IF($A210&gt;MAX(入力シート!$AF$6:$AF$505),"",INDEX(テーブル22[[学年]:[得点]],MATCH(体力優良証交付申請!$A210,入力シート!$AF$6:$AF$505,0),MATCH(体力優良証交付申請!D$14,テーブル22[[#Headers],[学年]:[得点]],0)))</f>
        <v/>
      </c>
      <c r="E210" s="203" t="str">
        <f>IF($A210&gt;MAX(入力シート!$AF$6:$AF$505),"",INDEX(テーブル22[[学年]:[得点]],MATCH(体力優良証交付申請!$A210,入力シート!$AF$6:$AF$505,0),MATCH(体力優良証交付申請!E$14,テーブル22[[#Headers],[学年]:[得点]],0)))</f>
        <v/>
      </c>
      <c r="F210" s="203" t="str">
        <f>IF($A210&gt;MAX(入力シート!$AF$6:$AF$505),"",INDEX(テーブル22[[学年]:[得点]],MATCH(体力優良証交付申請!$A210,入力シート!$AF$6:$AF$505,0),MATCH(体力優良証交付申請!F$14,テーブル22[[#Headers],[学年]:[得点]],0)))</f>
        <v/>
      </c>
      <c r="G210" s="203" t="str">
        <f>IF($A210&gt;MAX(入力シート!$AF$6:$AF$505),"",INDEX(テーブル22[[学年]:[得点]],MATCH(体力優良証交付申請!$A210,入力シート!$AF$6:$AF$505,0),MATCH(体力優良証交付申請!G$14,テーブル22[[#Headers],[学年]:[得点]],0)))</f>
        <v/>
      </c>
      <c r="H210" s="203" t="str">
        <f>IF($A210&gt;MAX(入力シート!$AF$6:$AF$505),"",INDEX(テーブル22[[学年]:[得点]],MATCH(体力優良証交付申請!$A210,入力シート!$AF$6:$AF$505,0),MATCH(体力優良証交付申請!H$14,テーブル22[[#Headers],[学年]:[得点]],0)))</f>
        <v/>
      </c>
      <c r="I210" s="203" t="str">
        <f>IF($A210&gt;MAX(入力シート!$AF$6:$AF$505),"",INDEX(テーブル22[[学年]:[得点]],MATCH(体力優良証交付申請!$A210,入力シート!$AF$6:$AF$505,0),MATCH(体力優良証交付申請!I$14,テーブル22[[#Headers],[学年]:[得点]],0)))</f>
        <v/>
      </c>
      <c r="J210" s="114" t="str">
        <f>IF($A210&gt;MAX(入力シート!$AF$6:$AF$505),"",INDEX(テーブル22[[学年]:[得点]],MATCH(体力優良証交付申請!$A210,入力シート!$AF$6:$AF$505,0),MATCH(体力優良証交付申請!J$14,テーブル22[[#Headers],[学年]:[得点]],0)))</f>
        <v/>
      </c>
      <c r="K210" s="203" t="str">
        <f>IF($A210&gt;MAX(入力シート!$AF$6:$AF$505),"",INDEX(テーブル22[[学年]:[得点]],MATCH(体力優良証交付申請!$A210,入力シート!$AF$6:$AF$505,0),MATCH(体力優良証交付申請!K$14,テーブル22[[#Headers],[学年]:[得点]],0)))</f>
        <v/>
      </c>
      <c r="L210" s="203" t="str">
        <f>IF($A210&gt;MAX(入力シート!$AF$6:$AF$505),"",INDEX(テーブル22[[学年]:[得点]],MATCH(体力優良証交付申請!$A210,入力シート!$AF$6:$AF$505,0),MATCH(体力優良証交付申請!L$14,テーブル22[[#Headers],[学年]:[得点]],0)))</f>
        <v/>
      </c>
      <c r="M210" s="28" t="str">
        <f>IF($A210&gt;MAX(入力シート!$AF$6:$AF$505),"",INDEX(テーブル22[[学年]:[得点]],MATCH(体力優良証交付申請!$A210,入力シート!$AF$6:$AF$505,0),MATCH(体力優良証交付申請!M$14,テーブル22[[#Headers],[学年]:[得点]],0)))</f>
        <v/>
      </c>
    </row>
    <row r="211" spans="1:13" x14ac:dyDescent="0.2">
      <c r="A211" s="16">
        <v>197</v>
      </c>
      <c r="B211" s="130" t="str">
        <f>IF($A211&gt;MAX(入力シート!$AF$6:$AF$505),"",INDEX(テーブル22[[学年]:[得点]],MATCH(体力優良証交付申請!$A211,入力シート!$AF$6:$AF$505,0),MATCH(体力優良証交付申請!B$14,テーブル22[[#Headers],[学年]:[得点]],0)))</f>
        <v/>
      </c>
      <c r="C211" s="203" t="str">
        <f>IF($A211&gt;MAX(入力シート!$AF$6:$AF$505),"",INDEX(テーブル22[[学年]:[得点]],MATCH(体力優良証交付申請!$A211,入力シート!$AF$6:$AF$505,0),MATCH(体力優良証交付申請!C$14,テーブル22[[#Headers],[学年]:[得点]],0)))</f>
        <v/>
      </c>
      <c r="D211" s="203" t="str">
        <f>IF($A211&gt;MAX(入力シート!$AF$6:$AF$505),"",INDEX(テーブル22[[学年]:[得点]],MATCH(体力優良証交付申請!$A211,入力シート!$AF$6:$AF$505,0),MATCH(体力優良証交付申請!D$14,テーブル22[[#Headers],[学年]:[得点]],0)))</f>
        <v/>
      </c>
      <c r="E211" s="203" t="str">
        <f>IF($A211&gt;MAX(入力シート!$AF$6:$AF$505),"",INDEX(テーブル22[[学年]:[得点]],MATCH(体力優良証交付申請!$A211,入力シート!$AF$6:$AF$505,0),MATCH(体力優良証交付申請!E$14,テーブル22[[#Headers],[学年]:[得点]],0)))</f>
        <v/>
      </c>
      <c r="F211" s="203" t="str">
        <f>IF($A211&gt;MAX(入力シート!$AF$6:$AF$505),"",INDEX(テーブル22[[学年]:[得点]],MATCH(体力優良証交付申請!$A211,入力シート!$AF$6:$AF$505,0),MATCH(体力優良証交付申請!F$14,テーブル22[[#Headers],[学年]:[得点]],0)))</f>
        <v/>
      </c>
      <c r="G211" s="203" t="str">
        <f>IF($A211&gt;MAX(入力シート!$AF$6:$AF$505),"",INDEX(テーブル22[[学年]:[得点]],MATCH(体力優良証交付申請!$A211,入力シート!$AF$6:$AF$505,0),MATCH(体力優良証交付申請!G$14,テーブル22[[#Headers],[学年]:[得点]],0)))</f>
        <v/>
      </c>
      <c r="H211" s="203" t="str">
        <f>IF($A211&gt;MAX(入力シート!$AF$6:$AF$505),"",INDEX(テーブル22[[学年]:[得点]],MATCH(体力優良証交付申請!$A211,入力シート!$AF$6:$AF$505,0),MATCH(体力優良証交付申請!H$14,テーブル22[[#Headers],[学年]:[得点]],0)))</f>
        <v/>
      </c>
      <c r="I211" s="203" t="str">
        <f>IF($A211&gt;MAX(入力シート!$AF$6:$AF$505),"",INDEX(テーブル22[[学年]:[得点]],MATCH(体力優良証交付申請!$A211,入力シート!$AF$6:$AF$505,0),MATCH(体力優良証交付申請!I$14,テーブル22[[#Headers],[学年]:[得点]],0)))</f>
        <v/>
      </c>
      <c r="J211" s="114" t="str">
        <f>IF($A211&gt;MAX(入力シート!$AF$6:$AF$505),"",INDEX(テーブル22[[学年]:[得点]],MATCH(体力優良証交付申請!$A211,入力シート!$AF$6:$AF$505,0),MATCH(体力優良証交付申請!J$14,テーブル22[[#Headers],[学年]:[得点]],0)))</f>
        <v/>
      </c>
      <c r="K211" s="203" t="str">
        <f>IF($A211&gt;MAX(入力シート!$AF$6:$AF$505),"",INDEX(テーブル22[[学年]:[得点]],MATCH(体力優良証交付申請!$A211,入力シート!$AF$6:$AF$505,0),MATCH(体力優良証交付申請!K$14,テーブル22[[#Headers],[学年]:[得点]],0)))</f>
        <v/>
      </c>
      <c r="L211" s="203" t="str">
        <f>IF($A211&gt;MAX(入力シート!$AF$6:$AF$505),"",INDEX(テーブル22[[学年]:[得点]],MATCH(体力優良証交付申請!$A211,入力シート!$AF$6:$AF$505,0),MATCH(体力優良証交付申請!L$14,テーブル22[[#Headers],[学年]:[得点]],0)))</f>
        <v/>
      </c>
      <c r="M211" s="28" t="str">
        <f>IF($A211&gt;MAX(入力シート!$AF$6:$AF$505),"",INDEX(テーブル22[[学年]:[得点]],MATCH(体力優良証交付申請!$A211,入力シート!$AF$6:$AF$505,0),MATCH(体力優良証交付申請!M$14,テーブル22[[#Headers],[学年]:[得点]],0)))</f>
        <v/>
      </c>
    </row>
    <row r="212" spans="1:13" x14ac:dyDescent="0.2">
      <c r="A212" s="16">
        <v>198</v>
      </c>
      <c r="B212" s="130" t="str">
        <f>IF($A212&gt;MAX(入力シート!$AF$6:$AF$505),"",INDEX(テーブル22[[学年]:[得点]],MATCH(体力優良証交付申請!$A212,入力シート!$AF$6:$AF$505,0),MATCH(体力優良証交付申請!B$14,テーブル22[[#Headers],[学年]:[得点]],0)))</f>
        <v/>
      </c>
      <c r="C212" s="203" t="str">
        <f>IF($A212&gt;MAX(入力シート!$AF$6:$AF$505),"",INDEX(テーブル22[[学年]:[得点]],MATCH(体力優良証交付申請!$A212,入力シート!$AF$6:$AF$505,0),MATCH(体力優良証交付申請!C$14,テーブル22[[#Headers],[学年]:[得点]],0)))</f>
        <v/>
      </c>
      <c r="D212" s="203" t="str">
        <f>IF($A212&gt;MAX(入力シート!$AF$6:$AF$505),"",INDEX(テーブル22[[学年]:[得点]],MATCH(体力優良証交付申請!$A212,入力シート!$AF$6:$AF$505,0),MATCH(体力優良証交付申請!D$14,テーブル22[[#Headers],[学年]:[得点]],0)))</f>
        <v/>
      </c>
      <c r="E212" s="203" t="str">
        <f>IF($A212&gt;MAX(入力シート!$AF$6:$AF$505),"",INDEX(テーブル22[[学年]:[得点]],MATCH(体力優良証交付申請!$A212,入力シート!$AF$6:$AF$505,0),MATCH(体力優良証交付申請!E$14,テーブル22[[#Headers],[学年]:[得点]],0)))</f>
        <v/>
      </c>
      <c r="F212" s="203" t="str">
        <f>IF($A212&gt;MAX(入力シート!$AF$6:$AF$505),"",INDEX(テーブル22[[学年]:[得点]],MATCH(体力優良証交付申請!$A212,入力シート!$AF$6:$AF$505,0),MATCH(体力優良証交付申請!F$14,テーブル22[[#Headers],[学年]:[得点]],0)))</f>
        <v/>
      </c>
      <c r="G212" s="203" t="str">
        <f>IF($A212&gt;MAX(入力シート!$AF$6:$AF$505),"",INDEX(テーブル22[[学年]:[得点]],MATCH(体力優良証交付申請!$A212,入力シート!$AF$6:$AF$505,0),MATCH(体力優良証交付申請!G$14,テーブル22[[#Headers],[学年]:[得点]],0)))</f>
        <v/>
      </c>
      <c r="H212" s="203" t="str">
        <f>IF($A212&gt;MAX(入力シート!$AF$6:$AF$505),"",INDEX(テーブル22[[学年]:[得点]],MATCH(体力優良証交付申請!$A212,入力シート!$AF$6:$AF$505,0),MATCH(体力優良証交付申請!H$14,テーブル22[[#Headers],[学年]:[得点]],0)))</f>
        <v/>
      </c>
      <c r="I212" s="203" t="str">
        <f>IF($A212&gt;MAX(入力シート!$AF$6:$AF$505),"",INDEX(テーブル22[[学年]:[得点]],MATCH(体力優良証交付申請!$A212,入力シート!$AF$6:$AF$505,0),MATCH(体力優良証交付申請!I$14,テーブル22[[#Headers],[学年]:[得点]],0)))</f>
        <v/>
      </c>
      <c r="J212" s="114" t="str">
        <f>IF($A212&gt;MAX(入力シート!$AF$6:$AF$505),"",INDEX(テーブル22[[学年]:[得点]],MATCH(体力優良証交付申請!$A212,入力シート!$AF$6:$AF$505,0),MATCH(体力優良証交付申請!J$14,テーブル22[[#Headers],[学年]:[得点]],0)))</f>
        <v/>
      </c>
      <c r="K212" s="203" t="str">
        <f>IF($A212&gt;MAX(入力シート!$AF$6:$AF$505),"",INDEX(テーブル22[[学年]:[得点]],MATCH(体力優良証交付申請!$A212,入力シート!$AF$6:$AF$505,0),MATCH(体力優良証交付申請!K$14,テーブル22[[#Headers],[学年]:[得点]],0)))</f>
        <v/>
      </c>
      <c r="L212" s="203" t="str">
        <f>IF($A212&gt;MAX(入力シート!$AF$6:$AF$505),"",INDEX(テーブル22[[学年]:[得点]],MATCH(体力優良証交付申請!$A212,入力シート!$AF$6:$AF$505,0),MATCH(体力優良証交付申請!L$14,テーブル22[[#Headers],[学年]:[得点]],0)))</f>
        <v/>
      </c>
      <c r="M212" s="28" t="str">
        <f>IF($A212&gt;MAX(入力シート!$AF$6:$AF$505),"",INDEX(テーブル22[[学年]:[得点]],MATCH(体力優良証交付申請!$A212,入力シート!$AF$6:$AF$505,0),MATCH(体力優良証交付申請!M$14,テーブル22[[#Headers],[学年]:[得点]],0)))</f>
        <v/>
      </c>
    </row>
    <row r="213" spans="1:13" x14ac:dyDescent="0.2">
      <c r="A213" s="16">
        <v>199</v>
      </c>
      <c r="B213" s="130" t="str">
        <f>IF($A213&gt;MAX(入力シート!$AF$6:$AF$505),"",INDEX(テーブル22[[学年]:[得点]],MATCH(体力優良証交付申請!$A213,入力シート!$AF$6:$AF$505,0),MATCH(体力優良証交付申請!B$14,テーブル22[[#Headers],[学年]:[得点]],0)))</f>
        <v/>
      </c>
      <c r="C213" s="203" t="str">
        <f>IF($A213&gt;MAX(入力シート!$AF$6:$AF$505),"",INDEX(テーブル22[[学年]:[得点]],MATCH(体力優良証交付申請!$A213,入力シート!$AF$6:$AF$505,0),MATCH(体力優良証交付申請!C$14,テーブル22[[#Headers],[学年]:[得点]],0)))</f>
        <v/>
      </c>
      <c r="D213" s="203" t="str">
        <f>IF($A213&gt;MAX(入力シート!$AF$6:$AF$505),"",INDEX(テーブル22[[学年]:[得点]],MATCH(体力優良証交付申請!$A213,入力シート!$AF$6:$AF$505,0),MATCH(体力優良証交付申請!D$14,テーブル22[[#Headers],[学年]:[得点]],0)))</f>
        <v/>
      </c>
      <c r="E213" s="203" t="str">
        <f>IF($A213&gt;MAX(入力シート!$AF$6:$AF$505),"",INDEX(テーブル22[[学年]:[得点]],MATCH(体力優良証交付申請!$A213,入力シート!$AF$6:$AF$505,0),MATCH(体力優良証交付申請!E$14,テーブル22[[#Headers],[学年]:[得点]],0)))</f>
        <v/>
      </c>
      <c r="F213" s="203" t="str">
        <f>IF($A213&gt;MAX(入力シート!$AF$6:$AF$505),"",INDEX(テーブル22[[学年]:[得点]],MATCH(体力優良証交付申請!$A213,入力シート!$AF$6:$AF$505,0),MATCH(体力優良証交付申請!F$14,テーブル22[[#Headers],[学年]:[得点]],0)))</f>
        <v/>
      </c>
      <c r="G213" s="203" t="str">
        <f>IF($A213&gt;MAX(入力シート!$AF$6:$AF$505),"",INDEX(テーブル22[[学年]:[得点]],MATCH(体力優良証交付申請!$A213,入力シート!$AF$6:$AF$505,0),MATCH(体力優良証交付申請!G$14,テーブル22[[#Headers],[学年]:[得点]],0)))</f>
        <v/>
      </c>
      <c r="H213" s="203" t="str">
        <f>IF($A213&gt;MAX(入力シート!$AF$6:$AF$505),"",INDEX(テーブル22[[学年]:[得点]],MATCH(体力優良証交付申請!$A213,入力シート!$AF$6:$AF$505,0),MATCH(体力優良証交付申請!H$14,テーブル22[[#Headers],[学年]:[得点]],0)))</f>
        <v/>
      </c>
      <c r="I213" s="203" t="str">
        <f>IF($A213&gt;MAX(入力シート!$AF$6:$AF$505),"",INDEX(テーブル22[[学年]:[得点]],MATCH(体力優良証交付申請!$A213,入力シート!$AF$6:$AF$505,0),MATCH(体力優良証交付申請!I$14,テーブル22[[#Headers],[学年]:[得点]],0)))</f>
        <v/>
      </c>
      <c r="J213" s="114" t="str">
        <f>IF($A213&gt;MAX(入力シート!$AF$6:$AF$505),"",INDEX(テーブル22[[学年]:[得点]],MATCH(体力優良証交付申請!$A213,入力シート!$AF$6:$AF$505,0),MATCH(体力優良証交付申請!J$14,テーブル22[[#Headers],[学年]:[得点]],0)))</f>
        <v/>
      </c>
      <c r="K213" s="203" t="str">
        <f>IF($A213&gt;MAX(入力シート!$AF$6:$AF$505),"",INDEX(テーブル22[[学年]:[得点]],MATCH(体力優良証交付申請!$A213,入力シート!$AF$6:$AF$505,0),MATCH(体力優良証交付申請!K$14,テーブル22[[#Headers],[学年]:[得点]],0)))</f>
        <v/>
      </c>
      <c r="L213" s="203" t="str">
        <f>IF($A213&gt;MAX(入力シート!$AF$6:$AF$505),"",INDEX(テーブル22[[学年]:[得点]],MATCH(体力優良証交付申請!$A213,入力シート!$AF$6:$AF$505,0),MATCH(体力優良証交付申請!L$14,テーブル22[[#Headers],[学年]:[得点]],0)))</f>
        <v/>
      </c>
      <c r="M213" s="28" t="str">
        <f>IF($A213&gt;MAX(入力シート!$AF$6:$AF$505),"",INDEX(テーブル22[[学年]:[得点]],MATCH(体力優良証交付申請!$A213,入力シート!$AF$6:$AF$505,0),MATCH(体力優良証交付申請!M$14,テーブル22[[#Headers],[学年]:[得点]],0)))</f>
        <v/>
      </c>
    </row>
    <row r="214" spans="1:13" x14ac:dyDescent="0.2">
      <c r="A214" s="16">
        <v>200</v>
      </c>
      <c r="B214" s="130" t="str">
        <f>IF($A214&gt;MAX(入力シート!$AF$6:$AF$505),"",INDEX(テーブル22[[学年]:[得点]],MATCH(体力優良証交付申請!$A214,入力シート!$AF$6:$AF$505,0),MATCH(体力優良証交付申請!B$14,テーブル22[[#Headers],[学年]:[得点]],0)))</f>
        <v/>
      </c>
      <c r="C214" s="203" t="str">
        <f>IF($A214&gt;MAX(入力シート!$AF$6:$AF$505),"",INDEX(テーブル22[[学年]:[得点]],MATCH(体力優良証交付申請!$A214,入力シート!$AF$6:$AF$505,0),MATCH(体力優良証交付申請!C$14,テーブル22[[#Headers],[学年]:[得点]],0)))</f>
        <v/>
      </c>
      <c r="D214" s="203" t="str">
        <f>IF($A214&gt;MAX(入力シート!$AF$6:$AF$505),"",INDEX(テーブル22[[学年]:[得点]],MATCH(体力優良証交付申請!$A214,入力シート!$AF$6:$AF$505,0),MATCH(体力優良証交付申請!D$14,テーブル22[[#Headers],[学年]:[得点]],0)))</f>
        <v/>
      </c>
      <c r="E214" s="203" t="str">
        <f>IF($A214&gt;MAX(入力シート!$AF$6:$AF$505),"",INDEX(テーブル22[[学年]:[得点]],MATCH(体力優良証交付申請!$A214,入力シート!$AF$6:$AF$505,0),MATCH(体力優良証交付申請!E$14,テーブル22[[#Headers],[学年]:[得点]],0)))</f>
        <v/>
      </c>
      <c r="F214" s="203" t="str">
        <f>IF($A214&gt;MAX(入力シート!$AF$6:$AF$505),"",INDEX(テーブル22[[学年]:[得点]],MATCH(体力優良証交付申請!$A214,入力シート!$AF$6:$AF$505,0),MATCH(体力優良証交付申請!F$14,テーブル22[[#Headers],[学年]:[得点]],0)))</f>
        <v/>
      </c>
      <c r="G214" s="203" t="str">
        <f>IF($A214&gt;MAX(入力シート!$AF$6:$AF$505),"",INDEX(テーブル22[[学年]:[得点]],MATCH(体力優良証交付申請!$A214,入力シート!$AF$6:$AF$505,0),MATCH(体力優良証交付申請!G$14,テーブル22[[#Headers],[学年]:[得点]],0)))</f>
        <v/>
      </c>
      <c r="H214" s="203" t="str">
        <f>IF($A214&gt;MAX(入力シート!$AF$6:$AF$505),"",INDEX(テーブル22[[学年]:[得点]],MATCH(体力優良証交付申請!$A214,入力シート!$AF$6:$AF$505,0),MATCH(体力優良証交付申請!H$14,テーブル22[[#Headers],[学年]:[得点]],0)))</f>
        <v/>
      </c>
      <c r="I214" s="203" t="str">
        <f>IF($A214&gt;MAX(入力シート!$AF$6:$AF$505),"",INDEX(テーブル22[[学年]:[得点]],MATCH(体力優良証交付申請!$A214,入力シート!$AF$6:$AF$505,0),MATCH(体力優良証交付申請!I$14,テーブル22[[#Headers],[学年]:[得点]],0)))</f>
        <v/>
      </c>
      <c r="J214" s="114" t="str">
        <f>IF($A214&gt;MAX(入力シート!$AF$6:$AF$505),"",INDEX(テーブル22[[学年]:[得点]],MATCH(体力優良証交付申請!$A214,入力シート!$AF$6:$AF$505,0),MATCH(体力優良証交付申請!J$14,テーブル22[[#Headers],[学年]:[得点]],0)))</f>
        <v/>
      </c>
      <c r="K214" s="203" t="str">
        <f>IF($A214&gt;MAX(入力シート!$AF$6:$AF$505),"",INDEX(テーブル22[[学年]:[得点]],MATCH(体力優良証交付申請!$A214,入力シート!$AF$6:$AF$505,0),MATCH(体力優良証交付申請!K$14,テーブル22[[#Headers],[学年]:[得点]],0)))</f>
        <v/>
      </c>
      <c r="L214" s="203" t="str">
        <f>IF($A214&gt;MAX(入力シート!$AF$6:$AF$505),"",INDEX(テーブル22[[学年]:[得点]],MATCH(体力優良証交付申請!$A214,入力シート!$AF$6:$AF$505,0),MATCH(体力優良証交付申請!L$14,テーブル22[[#Headers],[学年]:[得点]],0)))</f>
        <v/>
      </c>
      <c r="M214" s="28" t="str">
        <f>IF($A214&gt;MAX(入力シート!$AF$6:$AF$505),"",INDEX(テーブル22[[学年]:[得点]],MATCH(体力優良証交付申請!$A214,入力シート!$AF$6:$AF$505,0),MATCH(体力優良証交付申請!M$14,テーブル22[[#Headers],[学年]:[得点]],0)))</f>
        <v/>
      </c>
    </row>
    <row r="215" spans="1:13" x14ac:dyDescent="0.2">
      <c r="A215" s="16">
        <v>201</v>
      </c>
      <c r="B215" s="130" t="str">
        <f>IF($A215&gt;MAX(入力シート!$AF$6:$AF$505),"",INDEX(テーブル22[[学年]:[得点]],MATCH(体力優良証交付申請!$A215,入力シート!$AF$6:$AF$505,0),MATCH(体力優良証交付申請!B$14,テーブル22[[#Headers],[学年]:[得点]],0)))</f>
        <v/>
      </c>
      <c r="C215" s="203" t="str">
        <f>IF($A215&gt;MAX(入力シート!$AF$6:$AF$505),"",INDEX(テーブル22[[学年]:[得点]],MATCH(体力優良証交付申請!$A215,入力シート!$AF$6:$AF$505,0),MATCH(体力優良証交付申請!C$14,テーブル22[[#Headers],[学年]:[得点]],0)))</f>
        <v/>
      </c>
      <c r="D215" s="203" t="str">
        <f>IF($A215&gt;MAX(入力シート!$AF$6:$AF$505),"",INDEX(テーブル22[[学年]:[得点]],MATCH(体力優良証交付申請!$A215,入力シート!$AF$6:$AF$505,0),MATCH(体力優良証交付申請!D$14,テーブル22[[#Headers],[学年]:[得点]],0)))</f>
        <v/>
      </c>
      <c r="E215" s="203" t="str">
        <f>IF($A215&gt;MAX(入力シート!$AF$6:$AF$505),"",INDEX(テーブル22[[学年]:[得点]],MATCH(体力優良証交付申請!$A215,入力シート!$AF$6:$AF$505,0),MATCH(体力優良証交付申請!E$14,テーブル22[[#Headers],[学年]:[得点]],0)))</f>
        <v/>
      </c>
      <c r="F215" s="203" t="str">
        <f>IF($A215&gt;MAX(入力シート!$AF$6:$AF$505),"",INDEX(テーブル22[[学年]:[得点]],MATCH(体力優良証交付申請!$A215,入力シート!$AF$6:$AF$505,0),MATCH(体力優良証交付申請!F$14,テーブル22[[#Headers],[学年]:[得点]],0)))</f>
        <v/>
      </c>
      <c r="G215" s="203" t="str">
        <f>IF($A215&gt;MAX(入力シート!$AF$6:$AF$505),"",INDEX(テーブル22[[学年]:[得点]],MATCH(体力優良証交付申請!$A215,入力シート!$AF$6:$AF$505,0),MATCH(体力優良証交付申請!G$14,テーブル22[[#Headers],[学年]:[得点]],0)))</f>
        <v/>
      </c>
      <c r="H215" s="203" t="str">
        <f>IF($A215&gt;MAX(入力シート!$AF$6:$AF$505),"",INDEX(テーブル22[[学年]:[得点]],MATCH(体力優良証交付申請!$A215,入力シート!$AF$6:$AF$505,0),MATCH(体力優良証交付申請!H$14,テーブル22[[#Headers],[学年]:[得点]],0)))</f>
        <v/>
      </c>
      <c r="I215" s="203" t="str">
        <f>IF($A215&gt;MAX(入力シート!$AF$6:$AF$505),"",INDEX(テーブル22[[学年]:[得点]],MATCH(体力優良証交付申請!$A215,入力シート!$AF$6:$AF$505,0),MATCH(体力優良証交付申請!I$14,テーブル22[[#Headers],[学年]:[得点]],0)))</f>
        <v/>
      </c>
      <c r="J215" s="114" t="str">
        <f>IF($A215&gt;MAX(入力シート!$AF$6:$AF$505),"",INDEX(テーブル22[[学年]:[得点]],MATCH(体力優良証交付申請!$A215,入力シート!$AF$6:$AF$505,0),MATCH(体力優良証交付申請!J$14,テーブル22[[#Headers],[学年]:[得点]],0)))</f>
        <v/>
      </c>
      <c r="K215" s="203" t="str">
        <f>IF($A215&gt;MAX(入力シート!$AF$6:$AF$505),"",INDEX(テーブル22[[学年]:[得点]],MATCH(体力優良証交付申請!$A215,入力シート!$AF$6:$AF$505,0),MATCH(体力優良証交付申請!K$14,テーブル22[[#Headers],[学年]:[得点]],0)))</f>
        <v/>
      </c>
      <c r="L215" s="203" t="str">
        <f>IF($A215&gt;MAX(入力シート!$AF$6:$AF$505),"",INDEX(テーブル22[[学年]:[得点]],MATCH(体力優良証交付申請!$A215,入力シート!$AF$6:$AF$505,0),MATCH(体力優良証交付申請!L$14,テーブル22[[#Headers],[学年]:[得点]],0)))</f>
        <v/>
      </c>
      <c r="M215" s="28" t="str">
        <f>IF($A215&gt;MAX(入力シート!$AF$6:$AF$505),"",INDEX(テーブル22[[学年]:[得点]],MATCH(体力優良証交付申請!$A215,入力シート!$AF$6:$AF$505,0),MATCH(体力優良証交付申請!M$14,テーブル22[[#Headers],[学年]:[得点]],0)))</f>
        <v/>
      </c>
    </row>
    <row r="216" spans="1:13" x14ac:dyDescent="0.2">
      <c r="A216" s="16">
        <v>202</v>
      </c>
      <c r="B216" s="130" t="str">
        <f>IF($A216&gt;MAX(入力シート!$AF$6:$AF$505),"",INDEX(テーブル22[[学年]:[得点]],MATCH(体力優良証交付申請!$A216,入力シート!$AF$6:$AF$505,0),MATCH(体力優良証交付申請!B$14,テーブル22[[#Headers],[学年]:[得点]],0)))</f>
        <v/>
      </c>
      <c r="C216" s="203" t="str">
        <f>IF($A216&gt;MAX(入力シート!$AF$6:$AF$505),"",INDEX(テーブル22[[学年]:[得点]],MATCH(体力優良証交付申請!$A216,入力シート!$AF$6:$AF$505,0),MATCH(体力優良証交付申請!C$14,テーブル22[[#Headers],[学年]:[得点]],0)))</f>
        <v/>
      </c>
      <c r="D216" s="203" t="str">
        <f>IF($A216&gt;MAX(入力シート!$AF$6:$AF$505),"",INDEX(テーブル22[[学年]:[得点]],MATCH(体力優良証交付申請!$A216,入力シート!$AF$6:$AF$505,0),MATCH(体力優良証交付申請!D$14,テーブル22[[#Headers],[学年]:[得点]],0)))</f>
        <v/>
      </c>
      <c r="E216" s="203" t="str">
        <f>IF($A216&gt;MAX(入力シート!$AF$6:$AF$505),"",INDEX(テーブル22[[学年]:[得点]],MATCH(体力優良証交付申請!$A216,入力シート!$AF$6:$AF$505,0),MATCH(体力優良証交付申請!E$14,テーブル22[[#Headers],[学年]:[得点]],0)))</f>
        <v/>
      </c>
      <c r="F216" s="203" t="str">
        <f>IF($A216&gt;MAX(入力シート!$AF$6:$AF$505),"",INDEX(テーブル22[[学年]:[得点]],MATCH(体力優良証交付申請!$A216,入力シート!$AF$6:$AF$505,0),MATCH(体力優良証交付申請!F$14,テーブル22[[#Headers],[学年]:[得点]],0)))</f>
        <v/>
      </c>
      <c r="G216" s="203" t="str">
        <f>IF($A216&gt;MAX(入力シート!$AF$6:$AF$505),"",INDEX(テーブル22[[学年]:[得点]],MATCH(体力優良証交付申請!$A216,入力シート!$AF$6:$AF$505,0),MATCH(体力優良証交付申請!G$14,テーブル22[[#Headers],[学年]:[得点]],0)))</f>
        <v/>
      </c>
      <c r="H216" s="203" t="str">
        <f>IF($A216&gt;MAX(入力シート!$AF$6:$AF$505),"",INDEX(テーブル22[[学年]:[得点]],MATCH(体力優良証交付申請!$A216,入力シート!$AF$6:$AF$505,0),MATCH(体力優良証交付申請!H$14,テーブル22[[#Headers],[学年]:[得点]],0)))</f>
        <v/>
      </c>
      <c r="I216" s="203" t="str">
        <f>IF($A216&gt;MAX(入力シート!$AF$6:$AF$505),"",INDEX(テーブル22[[学年]:[得点]],MATCH(体力優良証交付申請!$A216,入力シート!$AF$6:$AF$505,0),MATCH(体力優良証交付申請!I$14,テーブル22[[#Headers],[学年]:[得点]],0)))</f>
        <v/>
      </c>
      <c r="J216" s="114" t="str">
        <f>IF($A216&gt;MAX(入力シート!$AF$6:$AF$505),"",INDEX(テーブル22[[学年]:[得点]],MATCH(体力優良証交付申請!$A216,入力シート!$AF$6:$AF$505,0),MATCH(体力優良証交付申請!J$14,テーブル22[[#Headers],[学年]:[得点]],0)))</f>
        <v/>
      </c>
      <c r="K216" s="203" t="str">
        <f>IF($A216&gt;MAX(入力シート!$AF$6:$AF$505),"",INDEX(テーブル22[[学年]:[得点]],MATCH(体力優良証交付申請!$A216,入力シート!$AF$6:$AF$505,0),MATCH(体力優良証交付申請!K$14,テーブル22[[#Headers],[学年]:[得点]],0)))</f>
        <v/>
      </c>
      <c r="L216" s="203" t="str">
        <f>IF($A216&gt;MAX(入力シート!$AF$6:$AF$505),"",INDEX(テーブル22[[学年]:[得点]],MATCH(体力優良証交付申請!$A216,入力シート!$AF$6:$AF$505,0),MATCH(体力優良証交付申請!L$14,テーブル22[[#Headers],[学年]:[得点]],0)))</f>
        <v/>
      </c>
      <c r="M216" s="28" t="str">
        <f>IF($A216&gt;MAX(入力シート!$AF$6:$AF$505),"",INDEX(テーブル22[[学年]:[得点]],MATCH(体力優良証交付申請!$A216,入力シート!$AF$6:$AF$505,0),MATCH(体力優良証交付申請!M$14,テーブル22[[#Headers],[学年]:[得点]],0)))</f>
        <v/>
      </c>
    </row>
    <row r="217" spans="1:13" x14ac:dyDescent="0.2">
      <c r="A217" s="16">
        <v>203</v>
      </c>
      <c r="B217" s="130" t="str">
        <f>IF($A217&gt;MAX(入力シート!$AF$6:$AF$505),"",INDEX(テーブル22[[学年]:[得点]],MATCH(体力優良証交付申請!$A217,入力シート!$AF$6:$AF$505,0),MATCH(体力優良証交付申請!B$14,テーブル22[[#Headers],[学年]:[得点]],0)))</f>
        <v/>
      </c>
      <c r="C217" s="203" t="str">
        <f>IF($A217&gt;MAX(入力シート!$AF$6:$AF$505),"",INDEX(テーブル22[[学年]:[得点]],MATCH(体力優良証交付申請!$A217,入力シート!$AF$6:$AF$505,0),MATCH(体力優良証交付申請!C$14,テーブル22[[#Headers],[学年]:[得点]],0)))</f>
        <v/>
      </c>
      <c r="D217" s="203" t="str">
        <f>IF($A217&gt;MAX(入力シート!$AF$6:$AF$505),"",INDEX(テーブル22[[学年]:[得点]],MATCH(体力優良証交付申請!$A217,入力シート!$AF$6:$AF$505,0),MATCH(体力優良証交付申請!D$14,テーブル22[[#Headers],[学年]:[得点]],0)))</f>
        <v/>
      </c>
      <c r="E217" s="203" t="str">
        <f>IF($A217&gt;MAX(入力シート!$AF$6:$AF$505),"",INDEX(テーブル22[[学年]:[得点]],MATCH(体力優良証交付申請!$A217,入力シート!$AF$6:$AF$505,0),MATCH(体力優良証交付申請!E$14,テーブル22[[#Headers],[学年]:[得点]],0)))</f>
        <v/>
      </c>
      <c r="F217" s="203" t="str">
        <f>IF($A217&gt;MAX(入力シート!$AF$6:$AF$505),"",INDEX(テーブル22[[学年]:[得点]],MATCH(体力優良証交付申請!$A217,入力シート!$AF$6:$AF$505,0),MATCH(体力優良証交付申請!F$14,テーブル22[[#Headers],[学年]:[得点]],0)))</f>
        <v/>
      </c>
      <c r="G217" s="203" t="str">
        <f>IF($A217&gt;MAX(入力シート!$AF$6:$AF$505),"",INDEX(テーブル22[[学年]:[得点]],MATCH(体力優良証交付申請!$A217,入力シート!$AF$6:$AF$505,0),MATCH(体力優良証交付申請!G$14,テーブル22[[#Headers],[学年]:[得点]],0)))</f>
        <v/>
      </c>
      <c r="H217" s="203" t="str">
        <f>IF($A217&gt;MAX(入力シート!$AF$6:$AF$505),"",INDEX(テーブル22[[学年]:[得点]],MATCH(体力優良証交付申請!$A217,入力シート!$AF$6:$AF$505,0),MATCH(体力優良証交付申請!H$14,テーブル22[[#Headers],[学年]:[得点]],0)))</f>
        <v/>
      </c>
      <c r="I217" s="203" t="str">
        <f>IF($A217&gt;MAX(入力シート!$AF$6:$AF$505),"",INDEX(テーブル22[[学年]:[得点]],MATCH(体力優良証交付申請!$A217,入力シート!$AF$6:$AF$505,0),MATCH(体力優良証交付申請!I$14,テーブル22[[#Headers],[学年]:[得点]],0)))</f>
        <v/>
      </c>
      <c r="J217" s="114" t="str">
        <f>IF($A217&gt;MAX(入力シート!$AF$6:$AF$505),"",INDEX(テーブル22[[学年]:[得点]],MATCH(体力優良証交付申請!$A217,入力シート!$AF$6:$AF$505,0),MATCH(体力優良証交付申請!J$14,テーブル22[[#Headers],[学年]:[得点]],0)))</f>
        <v/>
      </c>
      <c r="K217" s="203" t="str">
        <f>IF($A217&gt;MAX(入力シート!$AF$6:$AF$505),"",INDEX(テーブル22[[学年]:[得点]],MATCH(体力優良証交付申請!$A217,入力シート!$AF$6:$AF$505,0),MATCH(体力優良証交付申請!K$14,テーブル22[[#Headers],[学年]:[得点]],0)))</f>
        <v/>
      </c>
      <c r="L217" s="203" t="str">
        <f>IF($A217&gt;MAX(入力シート!$AF$6:$AF$505),"",INDEX(テーブル22[[学年]:[得点]],MATCH(体力優良証交付申請!$A217,入力シート!$AF$6:$AF$505,0),MATCH(体力優良証交付申請!L$14,テーブル22[[#Headers],[学年]:[得点]],0)))</f>
        <v/>
      </c>
      <c r="M217" s="28" t="str">
        <f>IF($A217&gt;MAX(入力シート!$AF$6:$AF$505),"",INDEX(テーブル22[[学年]:[得点]],MATCH(体力優良証交付申請!$A217,入力シート!$AF$6:$AF$505,0),MATCH(体力優良証交付申請!M$14,テーブル22[[#Headers],[学年]:[得点]],0)))</f>
        <v/>
      </c>
    </row>
    <row r="218" spans="1:13" x14ac:dyDescent="0.2">
      <c r="A218" s="16">
        <v>204</v>
      </c>
      <c r="B218" s="130" t="str">
        <f>IF($A218&gt;MAX(入力シート!$AF$6:$AF$505),"",INDEX(テーブル22[[学年]:[得点]],MATCH(体力優良証交付申請!$A218,入力シート!$AF$6:$AF$505,0),MATCH(体力優良証交付申請!B$14,テーブル22[[#Headers],[学年]:[得点]],0)))</f>
        <v/>
      </c>
      <c r="C218" s="203" t="str">
        <f>IF($A218&gt;MAX(入力シート!$AF$6:$AF$505),"",INDEX(テーブル22[[学年]:[得点]],MATCH(体力優良証交付申請!$A218,入力シート!$AF$6:$AF$505,0),MATCH(体力優良証交付申請!C$14,テーブル22[[#Headers],[学年]:[得点]],0)))</f>
        <v/>
      </c>
      <c r="D218" s="203" t="str">
        <f>IF($A218&gt;MAX(入力シート!$AF$6:$AF$505),"",INDEX(テーブル22[[学年]:[得点]],MATCH(体力優良証交付申請!$A218,入力シート!$AF$6:$AF$505,0),MATCH(体力優良証交付申請!D$14,テーブル22[[#Headers],[学年]:[得点]],0)))</f>
        <v/>
      </c>
      <c r="E218" s="203" t="str">
        <f>IF($A218&gt;MAX(入力シート!$AF$6:$AF$505),"",INDEX(テーブル22[[学年]:[得点]],MATCH(体力優良証交付申請!$A218,入力シート!$AF$6:$AF$505,0),MATCH(体力優良証交付申請!E$14,テーブル22[[#Headers],[学年]:[得点]],0)))</f>
        <v/>
      </c>
      <c r="F218" s="203" t="str">
        <f>IF($A218&gt;MAX(入力シート!$AF$6:$AF$505),"",INDEX(テーブル22[[学年]:[得点]],MATCH(体力優良証交付申請!$A218,入力シート!$AF$6:$AF$505,0),MATCH(体力優良証交付申請!F$14,テーブル22[[#Headers],[学年]:[得点]],0)))</f>
        <v/>
      </c>
      <c r="G218" s="203" t="str">
        <f>IF($A218&gt;MAX(入力シート!$AF$6:$AF$505),"",INDEX(テーブル22[[学年]:[得点]],MATCH(体力優良証交付申請!$A218,入力シート!$AF$6:$AF$505,0),MATCH(体力優良証交付申請!G$14,テーブル22[[#Headers],[学年]:[得点]],0)))</f>
        <v/>
      </c>
      <c r="H218" s="203" t="str">
        <f>IF($A218&gt;MAX(入力シート!$AF$6:$AF$505),"",INDEX(テーブル22[[学年]:[得点]],MATCH(体力優良証交付申請!$A218,入力シート!$AF$6:$AF$505,0),MATCH(体力優良証交付申請!H$14,テーブル22[[#Headers],[学年]:[得点]],0)))</f>
        <v/>
      </c>
      <c r="I218" s="203" t="str">
        <f>IF($A218&gt;MAX(入力シート!$AF$6:$AF$505),"",INDEX(テーブル22[[学年]:[得点]],MATCH(体力優良証交付申請!$A218,入力シート!$AF$6:$AF$505,0),MATCH(体力優良証交付申請!I$14,テーブル22[[#Headers],[学年]:[得点]],0)))</f>
        <v/>
      </c>
      <c r="J218" s="114" t="str">
        <f>IF($A218&gt;MAX(入力シート!$AF$6:$AF$505),"",INDEX(テーブル22[[学年]:[得点]],MATCH(体力優良証交付申請!$A218,入力シート!$AF$6:$AF$505,0),MATCH(体力優良証交付申請!J$14,テーブル22[[#Headers],[学年]:[得点]],0)))</f>
        <v/>
      </c>
      <c r="K218" s="203" t="str">
        <f>IF($A218&gt;MAX(入力シート!$AF$6:$AF$505),"",INDEX(テーブル22[[学年]:[得点]],MATCH(体力優良証交付申請!$A218,入力シート!$AF$6:$AF$505,0),MATCH(体力優良証交付申請!K$14,テーブル22[[#Headers],[学年]:[得点]],0)))</f>
        <v/>
      </c>
      <c r="L218" s="203" t="str">
        <f>IF($A218&gt;MAX(入力シート!$AF$6:$AF$505),"",INDEX(テーブル22[[学年]:[得点]],MATCH(体力優良証交付申請!$A218,入力シート!$AF$6:$AF$505,0),MATCH(体力優良証交付申請!L$14,テーブル22[[#Headers],[学年]:[得点]],0)))</f>
        <v/>
      </c>
      <c r="M218" s="28" t="str">
        <f>IF($A218&gt;MAX(入力シート!$AF$6:$AF$505),"",INDEX(テーブル22[[学年]:[得点]],MATCH(体力優良証交付申請!$A218,入力シート!$AF$6:$AF$505,0),MATCH(体力優良証交付申請!M$14,テーブル22[[#Headers],[学年]:[得点]],0)))</f>
        <v/>
      </c>
    </row>
    <row r="219" spans="1:13" x14ac:dyDescent="0.2">
      <c r="A219" s="16">
        <v>205</v>
      </c>
      <c r="B219" s="130" t="str">
        <f>IF($A219&gt;MAX(入力シート!$AF$6:$AF$505),"",INDEX(テーブル22[[学年]:[得点]],MATCH(体力優良証交付申請!$A219,入力シート!$AF$6:$AF$505,0),MATCH(体力優良証交付申請!B$14,テーブル22[[#Headers],[学年]:[得点]],0)))</f>
        <v/>
      </c>
      <c r="C219" s="203" t="str">
        <f>IF($A219&gt;MAX(入力シート!$AF$6:$AF$505),"",INDEX(テーブル22[[学年]:[得点]],MATCH(体力優良証交付申請!$A219,入力シート!$AF$6:$AF$505,0),MATCH(体力優良証交付申請!C$14,テーブル22[[#Headers],[学年]:[得点]],0)))</f>
        <v/>
      </c>
      <c r="D219" s="203" t="str">
        <f>IF($A219&gt;MAX(入力シート!$AF$6:$AF$505),"",INDEX(テーブル22[[学年]:[得点]],MATCH(体力優良証交付申請!$A219,入力シート!$AF$6:$AF$505,0),MATCH(体力優良証交付申請!D$14,テーブル22[[#Headers],[学年]:[得点]],0)))</f>
        <v/>
      </c>
      <c r="E219" s="203" t="str">
        <f>IF($A219&gt;MAX(入力シート!$AF$6:$AF$505),"",INDEX(テーブル22[[学年]:[得点]],MATCH(体力優良証交付申請!$A219,入力シート!$AF$6:$AF$505,0),MATCH(体力優良証交付申請!E$14,テーブル22[[#Headers],[学年]:[得点]],0)))</f>
        <v/>
      </c>
      <c r="F219" s="203" t="str">
        <f>IF($A219&gt;MAX(入力シート!$AF$6:$AF$505),"",INDEX(テーブル22[[学年]:[得点]],MATCH(体力優良証交付申請!$A219,入力シート!$AF$6:$AF$505,0),MATCH(体力優良証交付申請!F$14,テーブル22[[#Headers],[学年]:[得点]],0)))</f>
        <v/>
      </c>
      <c r="G219" s="203" t="str">
        <f>IF($A219&gt;MAX(入力シート!$AF$6:$AF$505),"",INDEX(テーブル22[[学年]:[得点]],MATCH(体力優良証交付申請!$A219,入力シート!$AF$6:$AF$505,0),MATCH(体力優良証交付申請!G$14,テーブル22[[#Headers],[学年]:[得点]],0)))</f>
        <v/>
      </c>
      <c r="H219" s="203" t="str">
        <f>IF($A219&gt;MAX(入力シート!$AF$6:$AF$505),"",INDEX(テーブル22[[学年]:[得点]],MATCH(体力優良証交付申請!$A219,入力シート!$AF$6:$AF$505,0),MATCH(体力優良証交付申請!H$14,テーブル22[[#Headers],[学年]:[得点]],0)))</f>
        <v/>
      </c>
      <c r="I219" s="203" t="str">
        <f>IF($A219&gt;MAX(入力シート!$AF$6:$AF$505),"",INDEX(テーブル22[[学年]:[得点]],MATCH(体力優良証交付申請!$A219,入力シート!$AF$6:$AF$505,0),MATCH(体力優良証交付申請!I$14,テーブル22[[#Headers],[学年]:[得点]],0)))</f>
        <v/>
      </c>
      <c r="J219" s="114" t="str">
        <f>IF($A219&gt;MAX(入力シート!$AF$6:$AF$505),"",INDEX(テーブル22[[学年]:[得点]],MATCH(体力優良証交付申請!$A219,入力シート!$AF$6:$AF$505,0),MATCH(体力優良証交付申請!J$14,テーブル22[[#Headers],[学年]:[得点]],0)))</f>
        <v/>
      </c>
      <c r="K219" s="203" t="str">
        <f>IF($A219&gt;MAX(入力シート!$AF$6:$AF$505),"",INDEX(テーブル22[[学年]:[得点]],MATCH(体力優良証交付申請!$A219,入力シート!$AF$6:$AF$505,0),MATCH(体力優良証交付申請!K$14,テーブル22[[#Headers],[学年]:[得点]],0)))</f>
        <v/>
      </c>
      <c r="L219" s="203" t="str">
        <f>IF($A219&gt;MAX(入力シート!$AF$6:$AF$505),"",INDEX(テーブル22[[学年]:[得点]],MATCH(体力優良証交付申請!$A219,入力シート!$AF$6:$AF$505,0),MATCH(体力優良証交付申請!L$14,テーブル22[[#Headers],[学年]:[得点]],0)))</f>
        <v/>
      </c>
      <c r="M219" s="28" t="str">
        <f>IF($A219&gt;MAX(入力シート!$AF$6:$AF$505),"",INDEX(テーブル22[[学年]:[得点]],MATCH(体力優良証交付申請!$A219,入力シート!$AF$6:$AF$505,0),MATCH(体力優良証交付申請!M$14,テーブル22[[#Headers],[学年]:[得点]],0)))</f>
        <v/>
      </c>
    </row>
    <row r="220" spans="1:13" x14ac:dyDescent="0.2">
      <c r="A220" s="16">
        <v>206</v>
      </c>
      <c r="B220" s="130" t="str">
        <f>IF($A220&gt;MAX(入力シート!$AF$6:$AF$505),"",INDEX(テーブル22[[学年]:[得点]],MATCH(体力優良証交付申請!$A220,入力シート!$AF$6:$AF$505,0),MATCH(体力優良証交付申請!B$14,テーブル22[[#Headers],[学年]:[得点]],0)))</f>
        <v/>
      </c>
      <c r="C220" s="203" t="str">
        <f>IF($A220&gt;MAX(入力シート!$AF$6:$AF$505),"",INDEX(テーブル22[[学年]:[得点]],MATCH(体力優良証交付申請!$A220,入力シート!$AF$6:$AF$505,0),MATCH(体力優良証交付申請!C$14,テーブル22[[#Headers],[学年]:[得点]],0)))</f>
        <v/>
      </c>
      <c r="D220" s="203" t="str">
        <f>IF($A220&gt;MAX(入力シート!$AF$6:$AF$505),"",INDEX(テーブル22[[学年]:[得点]],MATCH(体力優良証交付申請!$A220,入力シート!$AF$6:$AF$505,0),MATCH(体力優良証交付申請!D$14,テーブル22[[#Headers],[学年]:[得点]],0)))</f>
        <v/>
      </c>
      <c r="E220" s="203" t="str">
        <f>IF($A220&gt;MAX(入力シート!$AF$6:$AF$505),"",INDEX(テーブル22[[学年]:[得点]],MATCH(体力優良証交付申請!$A220,入力シート!$AF$6:$AF$505,0),MATCH(体力優良証交付申請!E$14,テーブル22[[#Headers],[学年]:[得点]],0)))</f>
        <v/>
      </c>
      <c r="F220" s="203" t="str">
        <f>IF($A220&gt;MAX(入力シート!$AF$6:$AF$505),"",INDEX(テーブル22[[学年]:[得点]],MATCH(体力優良証交付申請!$A220,入力シート!$AF$6:$AF$505,0),MATCH(体力優良証交付申請!F$14,テーブル22[[#Headers],[学年]:[得点]],0)))</f>
        <v/>
      </c>
      <c r="G220" s="203" t="str">
        <f>IF($A220&gt;MAX(入力シート!$AF$6:$AF$505),"",INDEX(テーブル22[[学年]:[得点]],MATCH(体力優良証交付申請!$A220,入力シート!$AF$6:$AF$505,0),MATCH(体力優良証交付申請!G$14,テーブル22[[#Headers],[学年]:[得点]],0)))</f>
        <v/>
      </c>
      <c r="H220" s="203" t="str">
        <f>IF($A220&gt;MAX(入力シート!$AF$6:$AF$505),"",INDEX(テーブル22[[学年]:[得点]],MATCH(体力優良証交付申請!$A220,入力シート!$AF$6:$AF$505,0),MATCH(体力優良証交付申請!H$14,テーブル22[[#Headers],[学年]:[得点]],0)))</f>
        <v/>
      </c>
      <c r="I220" s="203" t="str">
        <f>IF($A220&gt;MAX(入力シート!$AF$6:$AF$505),"",INDEX(テーブル22[[学年]:[得点]],MATCH(体力優良証交付申請!$A220,入力シート!$AF$6:$AF$505,0),MATCH(体力優良証交付申請!I$14,テーブル22[[#Headers],[学年]:[得点]],0)))</f>
        <v/>
      </c>
      <c r="J220" s="114" t="str">
        <f>IF($A220&gt;MAX(入力シート!$AF$6:$AF$505),"",INDEX(テーブル22[[学年]:[得点]],MATCH(体力優良証交付申請!$A220,入力シート!$AF$6:$AF$505,0),MATCH(体力優良証交付申請!J$14,テーブル22[[#Headers],[学年]:[得点]],0)))</f>
        <v/>
      </c>
      <c r="K220" s="203" t="str">
        <f>IF($A220&gt;MAX(入力シート!$AF$6:$AF$505),"",INDEX(テーブル22[[学年]:[得点]],MATCH(体力優良証交付申請!$A220,入力シート!$AF$6:$AF$505,0),MATCH(体力優良証交付申請!K$14,テーブル22[[#Headers],[学年]:[得点]],0)))</f>
        <v/>
      </c>
      <c r="L220" s="203" t="str">
        <f>IF($A220&gt;MAX(入力シート!$AF$6:$AF$505),"",INDEX(テーブル22[[学年]:[得点]],MATCH(体力優良証交付申請!$A220,入力シート!$AF$6:$AF$505,0),MATCH(体力優良証交付申請!L$14,テーブル22[[#Headers],[学年]:[得点]],0)))</f>
        <v/>
      </c>
      <c r="M220" s="28" t="str">
        <f>IF($A220&gt;MAX(入力シート!$AF$6:$AF$505),"",INDEX(テーブル22[[学年]:[得点]],MATCH(体力優良証交付申請!$A220,入力シート!$AF$6:$AF$505,0),MATCH(体力優良証交付申請!M$14,テーブル22[[#Headers],[学年]:[得点]],0)))</f>
        <v/>
      </c>
    </row>
    <row r="221" spans="1:13" x14ac:dyDescent="0.2">
      <c r="A221" s="16">
        <v>207</v>
      </c>
      <c r="B221" s="130" t="str">
        <f>IF($A221&gt;MAX(入力シート!$AF$6:$AF$505),"",INDEX(テーブル22[[学年]:[得点]],MATCH(体力優良証交付申請!$A221,入力シート!$AF$6:$AF$505,0),MATCH(体力優良証交付申請!B$14,テーブル22[[#Headers],[学年]:[得点]],0)))</f>
        <v/>
      </c>
      <c r="C221" s="203" t="str">
        <f>IF($A221&gt;MAX(入力シート!$AF$6:$AF$505),"",INDEX(テーブル22[[学年]:[得点]],MATCH(体力優良証交付申請!$A221,入力シート!$AF$6:$AF$505,0),MATCH(体力優良証交付申請!C$14,テーブル22[[#Headers],[学年]:[得点]],0)))</f>
        <v/>
      </c>
      <c r="D221" s="203" t="str">
        <f>IF($A221&gt;MAX(入力シート!$AF$6:$AF$505),"",INDEX(テーブル22[[学年]:[得点]],MATCH(体力優良証交付申請!$A221,入力シート!$AF$6:$AF$505,0),MATCH(体力優良証交付申請!D$14,テーブル22[[#Headers],[学年]:[得点]],0)))</f>
        <v/>
      </c>
      <c r="E221" s="203" t="str">
        <f>IF($A221&gt;MAX(入力シート!$AF$6:$AF$505),"",INDEX(テーブル22[[学年]:[得点]],MATCH(体力優良証交付申請!$A221,入力シート!$AF$6:$AF$505,0),MATCH(体力優良証交付申請!E$14,テーブル22[[#Headers],[学年]:[得点]],0)))</f>
        <v/>
      </c>
      <c r="F221" s="203" t="str">
        <f>IF($A221&gt;MAX(入力シート!$AF$6:$AF$505),"",INDEX(テーブル22[[学年]:[得点]],MATCH(体力優良証交付申請!$A221,入力シート!$AF$6:$AF$505,0),MATCH(体力優良証交付申請!F$14,テーブル22[[#Headers],[学年]:[得点]],0)))</f>
        <v/>
      </c>
      <c r="G221" s="203" t="str">
        <f>IF($A221&gt;MAX(入力シート!$AF$6:$AF$505),"",INDEX(テーブル22[[学年]:[得点]],MATCH(体力優良証交付申請!$A221,入力シート!$AF$6:$AF$505,0),MATCH(体力優良証交付申請!G$14,テーブル22[[#Headers],[学年]:[得点]],0)))</f>
        <v/>
      </c>
      <c r="H221" s="203" t="str">
        <f>IF($A221&gt;MAX(入力シート!$AF$6:$AF$505),"",INDEX(テーブル22[[学年]:[得点]],MATCH(体力優良証交付申請!$A221,入力シート!$AF$6:$AF$505,0),MATCH(体力優良証交付申請!H$14,テーブル22[[#Headers],[学年]:[得点]],0)))</f>
        <v/>
      </c>
      <c r="I221" s="203" t="str">
        <f>IF($A221&gt;MAX(入力シート!$AF$6:$AF$505),"",INDEX(テーブル22[[学年]:[得点]],MATCH(体力優良証交付申請!$A221,入力シート!$AF$6:$AF$505,0),MATCH(体力優良証交付申請!I$14,テーブル22[[#Headers],[学年]:[得点]],0)))</f>
        <v/>
      </c>
      <c r="J221" s="114" t="str">
        <f>IF($A221&gt;MAX(入力シート!$AF$6:$AF$505),"",INDEX(テーブル22[[学年]:[得点]],MATCH(体力優良証交付申請!$A221,入力シート!$AF$6:$AF$505,0),MATCH(体力優良証交付申請!J$14,テーブル22[[#Headers],[学年]:[得点]],0)))</f>
        <v/>
      </c>
      <c r="K221" s="203" t="str">
        <f>IF($A221&gt;MAX(入力シート!$AF$6:$AF$505),"",INDEX(テーブル22[[学年]:[得点]],MATCH(体力優良証交付申請!$A221,入力シート!$AF$6:$AF$505,0),MATCH(体力優良証交付申請!K$14,テーブル22[[#Headers],[学年]:[得点]],0)))</f>
        <v/>
      </c>
      <c r="L221" s="203" t="str">
        <f>IF($A221&gt;MAX(入力シート!$AF$6:$AF$505),"",INDEX(テーブル22[[学年]:[得点]],MATCH(体力優良証交付申請!$A221,入力シート!$AF$6:$AF$505,0),MATCH(体力優良証交付申請!L$14,テーブル22[[#Headers],[学年]:[得点]],0)))</f>
        <v/>
      </c>
      <c r="M221" s="28" t="str">
        <f>IF($A221&gt;MAX(入力シート!$AF$6:$AF$505),"",INDEX(テーブル22[[学年]:[得点]],MATCH(体力優良証交付申請!$A221,入力シート!$AF$6:$AF$505,0),MATCH(体力優良証交付申請!M$14,テーブル22[[#Headers],[学年]:[得点]],0)))</f>
        <v/>
      </c>
    </row>
    <row r="222" spans="1:13" x14ac:dyDescent="0.2">
      <c r="A222" s="16">
        <v>208</v>
      </c>
      <c r="B222" s="130" t="str">
        <f>IF($A222&gt;MAX(入力シート!$AF$6:$AF$505),"",INDEX(テーブル22[[学年]:[得点]],MATCH(体力優良証交付申請!$A222,入力シート!$AF$6:$AF$505,0),MATCH(体力優良証交付申請!B$14,テーブル22[[#Headers],[学年]:[得点]],0)))</f>
        <v/>
      </c>
      <c r="C222" s="203" t="str">
        <f>IF($A222&gt;MAX(入力シート!$AF$6:$AF$505),"",INDEX(テーブル22[[学年]:[得点]],MATCH(体力優良証交付申請!$A222,入力シート!$AF$6:$AF$505,0),MATCH(体力優良証交付申請!C$14,テーブル22[[#Headers],[学年]:[得点]],0)))</f>
        <v/>
      </c>
      <c r="D222" s="203" t="str">
        <f>IF($A222&gt;MAX(入力シート!$AF$6:$AF$505),"",INDEX(テーブル22[[学年]:[得点]],MATCH(体力優良証交付申請!$A222,入力シート!$AF$6:$AF$505,0),MATCH(体力優良証交付申請!D$14,テーブル22[[#Headers],[学年]:[得点]],0)))</f>
        <v/>
      </c>
      <c r="E222" s="203" t="str">
        <f>IF($A222&gt;MAX(入力シート!$AF$6:$AF$505),"",INDEX(テーブル22[[学年]:[得点]],MATCH(体力優良証交付申請!$A222,入力シート!$AF$6:$AF$505,0),MATCH(体力優良証交付申請!E$14,テーブル22[[#Headers],[学年]:[得点]],0)))</f>
        <v/>
      </c>
      <c r="F222" s="203" t="str">
        <f>IF($A222&gt;MAX(入力シート!$AF$6:$AF$505),"",INDEX(テーブル22[[学年]:[得点]],MATCH(体力優良証交付申請!$A222,入力シート!$AF$6:$AF$505,0),MATCH(体力優良証交付申請!F$14,テーブル22[[#Headers],[学年]:[得点]],0)))</f>
        <v/>
      </c>
      <c r="G222" s="203" t="str">
        <f>IF($A222&gt;MAX(入力シート!$AF$6:$AF$505),"",INDEX(テーブル22[[学年]:[得点]],MATCH(体力優良証交付申請!$A222,入力シート!$AF$6:$AF$505,0),MATCH(体力優良証交付申請!G$14,テーブル22[[#Headers],[学年]:[得点]],0)))</f>
        <v/>
      </c>
      <c r="H222" s="203" t="str">
        <f>IF($A222&gt;MAX(入力シート!$AF$6:$AF$505),"",INDEX(テーブル22[[学年]:[得点]],MATCH(体力優良証交付申請!$A222,入力シート!$AF$6:$AF$505,0),MATCH(体力優良証交付申請!H$14,テーブル22[[#Headers],[学年]:[得点]],0)))</f>
        <v/>
      </c>
      <c r="I222" s="203" t="str">
        <f>IF($A222&gt;MAX(入力シート!$AF$6:$AF$505),"",INDEX(テーブル22[[学年]:[得点]],MATCH(体力優良証交付申請!$A222,入力シート!$AF$6:$AF$505,0),MATCH(体力優良証交付申請!I$14,テーブル22[[#Headers],[学年]:[得点]],0)))</f>
        <v/>
      </c>
      <c r="J222" s="114" t="str">
        <f>IF($A222&gt;MAX(入力シート!$AF$6:$AF$505),"",INDEX(テーブル22[[学年]:[得点]],MATCH(体力優良証交付申請!$A222,入力シート!$AF$6:$AF$505,0),MATCH(体力優良証交付申請!J$14,テーブル22[[#Headers],[学年]:[得点]],0)))</f>
        <v/>
      </c>
      <c r="K222" s="203" t="str">
        <f>IF($A222&gt;MAX(入力シート!$AF$6:$AF$505),"",INDEX(テーブル22[[学年]:[得点]],MATCH(体力優良証交付申請!$A222,入力シート!$AF$6:$AF$505,0),MATCH(体力優良証交付申請!K$14,テーブル22[[#Headers],[学年]:[得点]],0)))</f>
        <v/>
      </c>
      <c r="L222" s="203" t="str">
        <f>IF($A222&gt;MAX(入力シート!$AF$6:$AF$505),"",INDEX(テーブル22[[学年]:[得点]],MATCH(体力優良証交付申請!$A222,入力シート!$AF$6:$AF$505,0),MATCH(体力優良証交付申請!L$14,テーブル22[[#Headers],[学年]:[得点]],0)))</f>
        <v/>
      </c>
      <c r="M222" s="28" t="str">
        <f>IF($A222&gt;MAX(入力シート!$AF$6:$AF$505),"",INDEX(テーブル22[[学年]:[得点]],MATCH(体力優良証交付申請!$A222,入力シート!$AF$6:$AF$505,0),MATCH(体力優良証交付申請!M$14,テーブル22[[#Headers],[学年]:[得点]],0)))</f>
        <v/>
      </c>
    </row>
    <row r="223" spans="1:13" x14ac:dyDescent="0.2">
      <c r="A223" s="16">
        <v>209</v>
      </c>
      <c r="B223" s="130" t="str">
        <f>IF($A223&gt;MAX(入力シート!$AF$6:$AF$505),"",INDEX(テーブル22[[学年]:[得点]],MATCH(体力優良証交付申請!$A223,入力シート!$AF$6:$AF$505,0),MATCH(体力優良証交付申請!B$14,テーブル22[[#Headers],[学年]:[得点]],0)))</f>
        <v/>
      </c>
      <c r="C223" s="203" t="str">
        <f>IF($A223&gt;MAX(入力シート!$AF$6:$AF$505),"",INDEX(テーブル22[[学年]:[得点]],MATCH(体力優良証交付申請!$A223,入力シート!$AF$6:$AF$505,0),MATCH(体力優良証交付申請!C$14,テーブル22[[#Headers],[学年]:[得点]],0)))</f>
        <v/>
      </c>
      <c r="D223" s="203" t="str">
        <f>IF($A223&gt;MAX(入力シート!$AF$6:$AF$505),"",INDEX(テーブル22[[学年]:[得点]],MATCH(体力優良証交付申請!$A223,入力シート!$AF$6:$AF$505,0),MATCH(体力優良証交付申請!D$14,テーブル22[[#Headers],[学年]:[得点]],0)))</f>
        <v/>
      </c>
      <c r="E223" s="203" t="str">
        <f>IF($A223&gt;MAX(入力シート!$AF$6:$AF$505),"",INDEX(テーブル22[[学年]:[得点]],MATCH(体力優良証交付申請!$A223,入力シート!$AF$6:$AF$505,0),MATCH(体力優良証交付申請!E$14,テーブル22[[#Headers],[学年]:[得点]],0)))</f>
        <v/>
      </c>
      <c r="F223" s="203" t="str">
        <f>IF($A223&gt;MAX(入力シート!$AF$6:$AF$505),"",INDEX(テーブル22[[学年]:[得点]],MATCH(体力優良証交付申請!$A223,入力シート!$AF$6:$AF$505,0),MATCH(体力優良証交付申請!F$14,テーブル22[[#Headers],[学年]:[得点]],0)))</f>
        <v/>
      </c>
      <c r="G223" s="203" t="str">
        <f>IF($A223&gt;MAX(入力シート!$AF$6:$AF$505),"",INDEX(テーブル22[[学年]:[得点]],MATCH(体力優良証交付申請!$A223,入力シート!$AF$6:$AF$505,0),MATCH(体力優良証交付申請!G$14,テーブル22[[#Headers],[学年]:[得点]],0)))</f>
        <v/>
      </c>
      <c r="H223" s="203" t="str">
        <f>IF($A223&gt;MAX(入力シート!$AF$6:$AF$505),"",INDEX(テーブル22[[学年]:[得点]],MATCH(体力優良証交付申請!$A223,入力シート!$AF$6:$AF$505,0),MATCH(体力優良証交付申請!H$14,テーブル22[[#Headers],[学年]:[得点]],0)))</f>
        <v/>
      </c>
      <c r="I223" s="203" t="str">
        <f>IF($A223&gt;MAX(入力シート!$AF$6:$AF$505),"",INDEX(テーブル22[[学年]:[得点]],MATCH(体力優良証交付申請!$A223,入力シート!$AF$6:$AF$505,0),MATCH(体力優良証交付申請!I$14,テーブル22[[#Headers],[学年]:[得点]],0)))</f>
        <v/>
      </c>
      <c r="J223" s="114" t="str">
        <f>IF($A223&gt;MAX(入力シート!$AF$6:$AF$505),"",INDEX(テーブル22[[学年]:[得点]],MATCH(体力優良証交付申請!$A223,入力シート!$AF$6:$AF$505,0),MATCH(体力優良証交付申請!J$14,テーブル22[[#Headers],[学年]:[得点]],0)))</f>
        <v/>
      </c>
      <c r="K223" s="203" t="str">
        <f>IF($A223&gt;MAX(入力シート!$AF$6:$AF$505),"",INDEX(テーブル22[[学年]:[得点]],MATCH(体力優良証交付申請!$A223,入力シート!$AF$6:$AF$505,0),MATCH(体力優良証交付申請!K$14,テーブル22[[#Headers],[学年]:[得点]],0)))</f>
        <v/>
      </c>
      <c r="L223" s="203" t="str">
        <f>IF($A223&gt;MAX(入力シート!$AF$6:$AF$505),"",INDEX(テーブル22[[学年]:[得点]],MATCH(体力優良証交付申請!$A223,入力シート!$AF$6:$AF$505,0),MATCH(体力優良証交付申請!L$14,テーブル22[[#Headers],[学年]:[得点]],0)))</f>
        <v/>
      </c>
      <c r="M223" s="28" t="str">
        <f>IF($A223&gt;MAX(入力シート!$AF$6:$AF$505),"",INDEX(テーブル22[[学年]:[得点]],MATCH(体力優良証交付申請!$A223,入力シート!$AF$6:$AF$505,0),MATCH(体力優良証交付申請!M$14,テーブル22[[#Headers],[学年]:[得点]],0)))</f>
        <v/>
      </c>
    </row>
    <row r="224" spans="1:13" x14ac:dyDescent="0.2">
      <c r="A224" s="16">
        <v>210</v>
      </c>
      <c r="B224" s="130" t="str">
        <f>IF($A224&gt;MAX(入力シート!$AF$6:$AF$505),"",INDEX(テーブル22[[学年]:[得点]],MATCH(体力優良証交付申請!$A224,入力シート!$AF$6:$AF$505,0),MATCH(体力優良証交付申請!B$14,テーブル22[[#Headers],[学年]:[得点]],0)))</f>
        <v/>
      </c>
      <c r="C224" s="203" t="str">
        <f>IF($A224&gt;MAX(入力シート!$AF$6:$AF$505),"",INDEX(テーブル22[[学年]:[得点]],MATCH(体力優良証交付申請!$A224,入力シート!$AF$6:$AF$505,0),MATCH(体力優良証交付申請!C$14,テーブル22[[#Headers],[学年]:[得点]],0)))</f>
        <v/>
      </c>
      <c r="D224" s="203" t="str">
        <f>IF($A224&gt;MAX(入力シート!$AF$6:$AF$505),"",INDEX(テーブル22[[学年]:[得点]],MATCH(体力優良証交付申請!$A224,入力シート!$AF$6:$AF$505,0),MATCH(体力優良証交付申請!D$14,テーブル22[[#Headers],[学年]:[得点]],0)))</f>
        <v/>
      </c>
      <c r="E224" s="203" t="str">
        <f>IF($A224&gt;MAX(入力シート!$AF$6:$AF$505),"",INDEX(テーブル22[[学年]:[得点]],MATCH(体力優良証交付申請!$A224,入力シート!$AF$6:$AF$505,0),MATCH(体力優良証交付申請!E$14,テーブル22[[#Headers],[学年]:[得点]],0)))</f>
        <v/>
      </c>
      <c r="F224" s="203" t="str">
        <f>IF($A224&gt;MAX(入力シート!$AF$6:$AF$505),"",INDEX(テーブル22[[学年]:[得点]],MATCH(体力優良証交付申請!$A224,入力シート!$AF$6:$AF$505,0),MATCH(体力優良証交付申請!F$14,テーブル22[[#Headers],[学年]:[得点]],0)))</f>
        <v/>
      </c>
      <c r="G224" s="203" t="str">
        <f>IF($A224&gt;MAX(入力シート!$AF$6:$AF$505),"",INDEX(テーブル22[[学年]:[得点]],MATCH(体力優良証交付申請!$A224,入力シート!$AF$6:$AF$505,0),MATCH(体力優良証交付申請!G$14,テーブル22[[#Headers],[学年]:[得点]],0)))</f>
        <v/>
      </c>
      <c r="H224" s="203" t="str">
        <f>IF($A224&gt;MAX(入力シート!$AF$6:$AF$505),"",INDEX(テーブル22[[学年]:[得点]],MATCH(体力優良証交付申請!$A224,入力シート!$AF$6:$AF$505,0),MATCH(体力優良証交付申請!H$14,テーブル22[[#Headers],[学年]:[得点]],0)))</f>
        <v/>
      </c>
      <c r="I224" s="203" t="str">
        <f>IF($A224&gt;MAX(入力シート!$AF$6:$AF$505),"",INDEX(テーブル22[[学年]:[得点]],MATCH(体力優良証交付申請!$A224,入力シート!$AF$6:$AF$505,0),MATCH(体力優良証交付申請!I$14,テーブル22[[#Headers],[学年]:[得点]],0)))</f>
        <v/>
      </c>
      <c r="J224" s="114" t="str">
        <f>IF($A224&gt;MAX(入力シート!$AF$6:$AF$505),"",INDEX(テーブル22[[学年]:[得点]],MATCH(体力優良証交付申請!$A224,入力シート!$AF$6:$AF$505,0),MATCH(体力優良証交付申請!J$14,テーブル22[[#Headers],[学年]:[得点]],0)))</f>
        <v/>
      </c>
      <c r="K224" s="203" t="str">
        <f>IF($A224&gt;MAX(入力シート!$AF$6:$AF$505),"",INDEX(テーブル22[[学年]:[得点]],MATCH(体力優良証交付申請!$A224,入力シート!$AF$6:$AF$505,0),MATCH(体力優良証交付申請!K$14,テーブル22[[#Headers],[学年]:[得点]],0)))</f>
        <v/>
      </c>
      <c r="L224" s="203" t="str">
        <f>IF($A224&gt;MAX(入力シート!$AF$6:$AF$505),"",INDEX(テーブル22[[学年]:[得点]],MATCH(体力優良証交付申請!$A224,入力シート!$AF$6:$AF$505,0),MATCH(体力優良証交付申請!L$14,テーブル22[[#Headers],[学年]:[得点]],0)))</f>
        <v/>
      </c>
      <c r="M224" s="28" t="str">
        <f>IF($A224&gt;MAX(入力シート!$AF$6:$AF$505),"",INDEX(テーブル22[[学年]:[得点]],MATCH(体力優良証交付申請!$A224,入力シート!$AF$6:$AF$505,0),MATCH(体力優良証交付申請!M$14,テーブル22[[#Headers],[学年]:[得点]],0)))</f>
        <v/>
      </c>
    </row>
    <row r="225" spans="1:13" x14ac:dyDescent="0.2">
      <c r="A225" s="16">
        <v>211</v>
      </c>
      <c r="B225" s="130" t="str">
        <f>IF($A225&gt;MAX(入力シート!$AF$6:$AF$505),"",INDEX(テーブル22[[学年]:[得点]],MATCH(体力優良証交付申請!$A225,入力シート!$AF$6:$AF$505,0),MATCH(体力優良証交付申請!B$14,テーブル22[[#Headers],[学年]:[得点]],0)))</f>
        <v/>
      </c>
      <c r="C225" s="203" t="str">
        <f>IF($A225&gt;MAX(入力シート!$AF$6:$AF$505),"",INDEX(テーブル22[[学年]:[得点]],MATCH(体力優良証交付申請!$A225,入力シート!$AF$6:$AF$505,0),MATCH(体力優良証交付申請!C$14,テーブル22[[#Headers],[学年]:[得点]],0)))</f>
        <v/>
      </c>
      <c r="D225" s="203" t="str">
        <f>IF($A225&gt;MAX(入力シート!$AF$6:$AF$505),"",INDEX(テーブル22[[学年]:[得点]],MATCH(体力優良証交付申請!$A225,入力シート!$AF$6:$AF$505,0),MATCH(体力優良証交付申請!D$14,テーブル22[[#Headers],[学年]:[得点]],0)))</f>
        <v/>
      </c>
      <c r="E225" s="203" t="str">
        <f>IF($A225&gt;MAX(入力シート!$AF$6:$AF$505),"",INDEX(テーブル22[[学年]:[得点]],MATCH(体力優良証交付申請!$A225,入力シート!$AF$6:$AF$505,0),MATCH(体力優良証交付申請!E$14,テーブル22[[#Headers],[学年]:[得点]],0)))</f>
        <v/>
      </c>
      <c r="F225" s="203" t="str">
        <f>IF($A225&gt;MAX(入力シート!$AF$6:$AF$505),"",INDEX(テーブル22[[学年]:[得点]],MATCH(体力優良証交付申請!$A225,入力シート!$AF$6:$AF$505,0),MATCH(体力優良証交付申請!F$14,テーブル22[[#Headers],[学年]:[得点]],0)))</f>
        <v/>
      </c>
      <c r="G225" s="203" t="str">
        <f>IF($A225&gt;MAX(入力シート!$AF$6:$AF$505),"",INDEX(テーブル22[[学年]:[得点]],MATCH(体力優良証交付申請!$A225,入力シート!$AF$6:$AF$505,0),MATCH(体力優良証交付申請!G$14,テーブル22[[#Headers],[学年]:[得点]],0)))</f>
        <v/>
      </c>
      <c r="H225" s="203" t="str">
        <f>IF($A225&gt;MAX(入力シート!$AF$6:$AF$505),"",INDEX(テーブル22[[学年]:[得点]],MATCH(体力優良証交付申請!$A225,入力シート!$AF$6:$AF$505,0),MATCH(体力優良証交付申請!H$14,テーブル22[[#Headers],[学年]:[得点]],0)))</f>
        <v/>
      </c>
      <c r="I225" s="203" t="str">
        <f>IF($A225&gt;MAX(入力シート!$AF$6:$AF$505),"",INDEX(テーブル22[[学年]:[得点]],MATCH(体力優良証交付申請!$A225,入力シート!$AF$6:$AF$505,0),MATCH(体力優良証交付申請!I$14,テーブル22[[#Headers],[学年]:[得点]],0)))</f>
        <v/>
      </c>
      <c r="J225" s="114" t="str">
        <f>IF($A225&gt;MAX(入力シート!$AF$6:$AF$505),"",INDEX(テーブル22[[学年]:[得点]],MATCH(体力優良証交付申請!$A225,入力シート!$AF$6:$AF$505,0),MATCH(体力優良証交付申請!J$14,テーブル22[[#Headers],[学年]:[得点]],0)))</f>
        <v/>
      </c>
      <c r="K225" s="203" t="str">
        <f>IF($A225&gt;MAX(入力シート!$AF$6:$AF$505),"",INDEX(テーブル22[[学年]:[得点]],MATCH(体力優良証交付申請!$A225,入力シート!$AF$6:$AF$505,0),MATCH(体力優良証交付申請!K$14,テーブル22[[#Headers],[学年]:[得点]],0)))</f>
        <v/>
      </c>
      <c r="L225" s="203" t="str">
        <f>IF($A225&gt;MAX(入力シート!$AF$6:$AF$505),"",INDEX(テーブル22[[学年]:[得点]],MATCH(体力優良証交付申請!$A225,入力シート!$AF$6:$AF$505,0),MATCH(体力優良証交付申請!L$14,テーブル22[[#Headers],[学年]:[得点]],0)))</f>
        <v/>
      </c>
      <c r="M225" s="28" t="str">
        <f>IF($A225&gt;MAX(入力シート!$AF$6:$AF$505),"",INDEX(テーブル22[[学年]:[得点]],MATCH(体力優良証交付申請!$A225,入力シート!$AF$6:$AF$505,0),MATCH(体力優良証交付申請!M$14,テーブル22[[#Headers],[学年]:[得点]],0)))</f>
        <v/>
      </c>
    </row>
    <row r="226" spans="1:13" x14ac:dyDescent="0.2">
      <c r="A226" s="16">
        <v>212</v>
      </c>
      <c r="B226" s="130" t="str">
        <f>IF($A226&gt;MAX(入力シート!$AF$6:$AF$505),"",INDEX(テーブル22[[学年]:[得点]],MATCH(体力優良証交付申請!$A226,入力シート!$AF$6:$AF$505,0),MATCH(体力優良証交付申請!B$14,テーブル22[[#Headers],[学年]:[得点]],0)))</f>
        <v/>
      </c>
      <c r="C226" s="203" t="str">
        <f>IF($A226&gt;MAX(入力シート!$AF$6:$AF$505),"",INDEX(テーブル22[[学年]:[得点]],MATCH(体力優良証交付申請!$A226,入力シート!$AF$6:$AF$505,0),MATCH(体力優良証交付申請!C$14,テーブル22[[#Headers],[学年]:[得点]],0)))</f>
        <v/>
      </c>
      <c r="D226" s="203" t="str">
        <f>IF($A226&gt;MAX(入力シート!$AF$6:$AF$505),"",INDEX(テーブル22[[学年]:[得点]],MATCH(体力優良証交付申請!$A226,入力シート!$AF$6:$AF$505,0),MATCH(体力優良証交付申請!D$14,テーブル22[[#Headers],[学年]:[得点]],0)))</f>
        <v/>
      </c>
      <c r="E226" s="203" t="str">
        <f>IF($A226&gt;MAX(入力シート!$AF$6:$AF$505),"",INDEX(テーブル22[[学年]:[得点]],MATCH(体力優良証交付申請!$A226,入力シート!$AF$6:$AF$505,0),MATCH(体力優良証交付申請!E$14,テーブル22[[#Headers],[学年]:[得点]],0)))</f>
        <v/>
      </c>
      <c r="F226" s="203" t="str">
        <f>IF($A226&gt;MAX(入力シート!$AF$6:$AF$505),"",INDEX(テーブル22[[学年]:[得点]],MATCH(体力優良証交付申請!$A226,入力シート!$AF$6:$AF$505,0),MATCH(体力優良証交付申請!F$14,テーブル22[[#Headers],[学年]:[得点]],0)))</f>
        <v/>
      </c>
      <c r="G226" s="203" t="str">
        <f>IF($A226&gt;MAX(入力シート!$AF$6:$AF$505),"",INDEX(テーブル22[[学年]:[得点]],MATCH(体力優良証交付申請!$A226,入力シート!$AF$6:$AF$505,0),MATCH(体力優良証交付申請!G$14,テーブル22[[#Headers],[学年]:[得点]],0)))</f>
        <v/>
      </c>
      <c r="H226" s="203" t="str">
        <f>IF($A226&gt;MAX(入力シート!$AF$6:$AF$505),"",INDEX(テーブル22[[学年]:[得点]],MATCH(体力優良証交付申請!$A226,入力シート!$AF$6:$AF$505,0),MATCH(体力優良証交付申請!H$14,テーブル22[[#Headers],[学年]:[得点]],0)))</f>
        <v/>
      </c>
      <c r="I226" s="203" t="str">
        <f>IF($A226&gt;MAX(入力シート!$AF$6:$AF$505),"",INDEX(テーブル22[[学年]:[得点]],MATCH(体力優良証交付申請!$A226,入力シート!$AF$6:$AF$505,0),MATCH(体力優良証交付申請!I$14,テーブル22[[#Headers],[学年]:[得点]],0)))</f>
        <v/>
      </c>
      <c r="J226" s="114" t="str">
        <f>IF($A226&gt;MAX(入力シート!$AF$6:$AF$505),"",INDEX(テーブル22[[学年]:[得点]],MATCH(体力優良証交付申請!$A226,入力シート!$AF$6:$AF$505,0),MATCH(体力優良証交付申請!J$14,テーブル22[[#Headers],[学年]:[得点]],0)))</f>
        <v/>
      </c>
      <c r="K226" s="203" t="str">
        <f>IF($A226&gt;MAX(入力シート!$AF$6:$AF$505),"",INDEX(テーブル22[[学年]:[得点]],MATCH(体力優良証交付申請!$A226,入力シート!$AF$6:$AF$505,0),MATCH(体力優良証交付申請!K$14,テーブル22[[#Headers],[学年]:[得点]],0)))</f>
        <v/>
      </c>
      <c r="L226" s="203" t="str">
        <f>IF($A226&gt;MAX(入力シート!$AF$6:$AF$505),"",INDEX(テーブル22[[学年]:[得点]],MATCH(体力優良証交付申請!$A226,入力シート!$AF$6:$AF$505,0),MATCH(体力優良証交付申請!L$14,テーブル22[[#Headers],[学年]:[得点]],0)))</f>
        <v/>
      </c>
      <c r="M226" s="28" t="str">
        <f>IF($A226&gt;MAX(入力シート!$AF$6:$AF$505),"",INDEX(テーブル22[[学年]:[得点]],MATCH(体力優良証交付申請!$A226,入力シート!$AF$6:$AF$505,0),MATCH(体力優良証交付申請!M$14,テーブル22[[#Headers],[学年]:[得点]],0)))</f>
        <v/>
      </c>
    </row>
    <row r="227" spans="1:13" x14ac:dyDescent="0.2">
      <c r="A227" s="16">
        <v>213</v>
      </c>
      <c r="B227" s="130" t="str">
        <f>IF($A227&gt;MAX(入力シート!$AF$6:$AF$505),"",INDEX(テーブル22[[学年]:[得点]],MATCH(体力優良証交付申請!$A227,入力シート!$AF$6:$AF$505,0),MATCH(体力優良証交付申請!B$14,テーブル22[[#Headers],[学年]:[得点]],0)))</f>
        <v/>
      </c>
      <c r="C227" s="203" t="str">
        <f>IF($A227&gt;MAX(入力シート!$AF$6:$AF$505),"",INDEX(テーブル22[[学年]:[得点]],MATCH(体力優良証交付申請!$A227,入力シート!$AF$6:$AF$505,0),MATCH(体力優良証交付申請!C$14,テーブル22[[#Headers],[学年]:[得点]],0)))</f>
        <v/>
      </c>
      <c r="D227" s="203" t="str">
        <f>IF($A227&gt;MAX(入力シート!$AF$6:$AF$505),"",INDEX(テーブル22[[学年]:[得点]],MATCH(体力優良証交付申請!$A227,入力シート!$AF$6:$AF$505,0),MATCH(体力優良証交付申請!D$14,テーブル22[[#Headers],[学年]:[得点]],0)))</f>
        <v/>
      </c>
      <c r="E227" s="203" t="str">
        <f>IF($A227&gt;MAX(入力シート!$AF$6:$AF$505),"",INDEX(テーブル22[[学年]:[得点]],MATCH(体力優良証交付申請!$A227,入力シート!$AF$6:$AF$505,0),MATCH(体力優良証交付申請!E$14,テーブル22[[#Headers],[学年]:[得点]],0)))</f>
        <v/>
      </c>
      <c r="F227" s="203" t="str">
        <f>IF($A227&gt;MAX(入力シート!$AF$6:$AF$505),"",INDEX(テーブル22[[学年]:[得点]],MATCH(体力優良証交付申請!$A227,入力シート!$AF$6:$AF$505,0),MATCH(体力優良証交付申請!F$14,テーブル22[[#Headers],[学年]:[得点]],0)))</f>
        <v/>
      </c>
      <c r="G227" s="203" t="str">
        <f>IF($A227&gt;MAX(入力シート!$AF$6:$AF$505),"",INDEX(テーブル22[[学年]:[得点]],MATCH(体力優良証交付申請!$A227,入力シート!$AF$6:$AF$505,0),MATCH(体力優良証交付申請!G$14,テーブル22[[#Headers],[学年]:[得点]],0)))</f>
        <v/>
      </c>
      <c r="H227" s="203" t="str">
        <f>IF($A227&gt;MAX(入力シート!$AF$6:$AF$505),"",INDEX(テーブル22[[学年]:[得点]],MATCH(体力優良証交付申請!$A227,入力シート!$AF$6:$AF$505,0),MATCH(体力優良証交付申請!H$14,テーブル22[[#Headers],[学年]:[得点]],0)))</f>
        <v/>
      </c>
      <c r="I227" s="203" t="str">
        <f>IF($A227&gt;MAX(入力シート!$AF$6:$AF$505),"",INDEX(テーブル22[[学年]:[得点]],MATCH(体力優良証交付申請!$A227,入力シート!$AF$6:$AF$505,0),MATCH(体力優良証交付申請!I$14,テーブル22[[#Headers],[学年]:[得点]],0)))</f>
        <v/>
      </c>
      <c r="J227" s="114" t="str">
        <f>IF($A227&gt;MAX(入力シート!$AF$6:$AF$505),"",INDEX(テーブル22[[学年]:[得点]],MATCH(体力優良証交付申請!$A227,入力シート!$AF$6:$AF$505,0),MATCH(体力優良証交付申請!J$14,テーブル22[[#Headers],[学年]:[得点]],0)))</f>
        <v/>
      </c>
      <c r="K227" s="203" t="str">
        <f>IF($A227&gt;MAX(入力シート!$AF$6:$AF$505),"",INDEX(テーブル22[[学年]:[得点]],MATCH(体力優良証交付申請!$A227,入力シート!$AF$6:$AF$505,0),MATCH(体力優良証交付申請!K$14,テーブル22[[#Headers],[学年]:[得点]],0)))</f>
        <v/>
      </c>
      <c r="L227" s="203" t="str">
        <f>IF($A227&gt;MAX(入力シート!$AF$6:$AF$505),"",INDEX(テーブル22[[学年]:[得点]],MATCH(体力優良証交付申請!$A227,入力シート!$AF$6:$AF$505,0),MATCH(体力優良証交付申請!L$14,テーブル22[[#Headers],[学年]:[得点]],0)))</f>
        <v/>
      </c>
      <c r="M227" s="28" t="str">
        <f>IF($A227&gt;MAX(入力シート!$AF$6:$AF$505),"",INDEX(テーブル22[[学年]:[得点]],MATCH(体力優良証交付申請!$A227,入力シート!$AF$6:$AF$505,0),MATCH(体力優良証交付申請!M$14,テーブル22[[#Headers],[学年]:[得点]],0)))</f>
        <v/>
      </c>
    </row>
    <row r="228" spans="1:13" x14ac:dyDescent="0.2">
      <c r="A228" s="16">
        <v>214</v>
      </c>
      <c r="B228" s="130" t="str">
        <f>IF($A228&gt;MAX(入力シート!$AF$6:$AF$505),"",INDEX(テーブル22[[学年]:[得点]],MATCH(体力優良証交付申請!$A228,入力シート!$AF$6:$AF$505,0),MATCH(体力優良証交付申請!B$14,テーブル22[[#Headers],[学年]:[得点]],0)))</f>
        <v/>
      </c>
      <c r="C228" s="203" t="str">
        <f>IF($A228&gt;MAX(入力シート!$AF$6:$AF$505),"",INDEX(テーブル22[[学年]:[得点]],MATCH(体力優良証交付申請!$A228,入力シート!$AF$6:$AF$505,0),MATCH(体力優良証交付申請!C$14,テーブル22[[#Headers],[学年]:[得点]],0)))</f>
        <v/>
      </c>
      <c r="D228" s="203" t="str">
        <f>IF($A228&gt;MAX(入力シート!$AF$6:$AF$505),"",INDEX(テーブル22[[学年]:[得点]],MATCH(体力優良証交付申請!$A228,入力シート!$AF$6:$AF$505,0),MATCH(体力優良証交付申請!D$14,テーブル22[[#Headers],[学年]:[得点]],0)))</f>
        <v/>
      </c>
      <c r="E228" s="203" t="str">
        <f>IF($A228&gt;MAX(入力シート!$AF$6:$AF$505),"",INDEX(テーブル22[[学年]:[得点]],MATCH(体力優良証交付申請!$A228,入力シート!$AF$6:$AF$505,0),MATCH(体力優良証交付申請!E$14,テーブル22[[#Headers],[学年]:[得点]],0)))</f>
        <v/>
      </c>
      <c r="F228" s="203" t="str">
        <f>IF($A228&gt;MAX(入力シート!$AF$6:$AF$505),"",INDEX(テーブル22[[学年]:[得点]],MATCH(体力優良証交付申請!$A228,入力シート!$AF$6:$AF$505,0),MATCH(体力優良証交付申請!F$14,テーブル22[[#Headers],[学年]:[得点]],0)))</f>
        <v/>
      </c>
      <c r="G228" s="203" t="str">
        <f>IF($A228&gt;MAX(入力シート!$AF$6:$AF$505),"",INDEX(テーブル22[[学年]:[得点]],MATCH(体力優良証交付申請!$A228,入力シート!$AF$6:$AF$505,0),MATCH(体力優良証交付申請!G$14,テーブル22[[#Headers],[学年]:[得点]],0)))</f>
        <v/>
      </c>
      <c r="H228" s="203" t="str">
        <f>IF($A228&gt;MAX(入力シート!$AF$6:$AF$505),"",INDEX(テーブル22[[学年]:[得点]],MATCH(体力優良証交付申請!$A228,入力シート!$AF$6:$AF$505,0),MATCH(体力優良証交付申請!H$14,テーブル22[[#Headers],[学年]:[得点]],0)))</f>
        <v/>
      </c>
      <c r="I228" s="203" t="str">
        <f>IF($A228&gt;MAX(入力シート!$AF$6:$AF$505),"",INDEX(テーブル22[[学年]:[得点]],MATCH(体力優良証交付申請!$A228,入力シート!$AF$6:$AF$505,0),MATCH(体力優良証交付申請!I$14,テーブル22[[#Headers],[学年]:[得点]],0)))</f>
        <v/>
      </c>
      <c r="J228" s="114" t="str">
        <f>IF($A228&gt;MAX(入力シート!$AF$6:$AF$505),"",INDEX(テーブル22[[学年]:[得点]],MATCH(体力優良証交付申請!$A228,入力シート!$AF$6:$AF$505,0),MATCH(体力優良証交付申請!J$14,テーブル22[[#Headers],[学年]:[得点]],0)))</f>
        <v/>
      </c>
      <c r="K228" s="203" t="str">
        <f>IF($A228&gt;MAX(入力シート!$AF$6:$AF$505),"",INDEX(テーブル22[[学年]:[得点]],MATCH(体力優良証交付申請!$A228,入力シート!$AF$6:$AF$505,0),MATCH(体力優良証交付申請!K$14,テーブル22[[#Headers],[学年]:[得点]],0)))</f>
        <v/>
      </c>
      <c r="L228" s="203" t="str">
        <f>IF($A228&gt;MAX(入力シート!$AF$6:$AF$505),"",INDEX(テーブル22[[学年]:[得点]],MATCH(体力優良証交付申請!$A228,入力シート!$AF$6:$AF$505,0),MATCH(体力優良証交付申請!L$14,テーブル22[[#Headers],[学年]:[得点]],0)))</f>
        <v/>
      </c>
      <c r="M228" s="28" t="str">
        <f>IF($A228&gt;MAX(入力シート!$AF$6:$AF$505),"",INDEX(テーブル22[[学年]:[得点]],MATCH(体力優良証交付申請!$A228,入力シート!$AF$6:$AF$505,0),MATCH(体力優良証交付申請!M$14,テーブル22[[#Headers],[学年]:[得点]],0)))</f>
        <v/>
      </c>
    </row>
    <row r="229" spans="1:13" x14ac:dyDescent="0.2">
      <c r="A229" s="16">
        <v>215</v>
      </c>
      <c r="B229" s="130" t="str">
        <f>IF($A229&gt;MAX(入力シート!$AF$6:$AF$505),"",INDEX(テーブル22[[学年]:[得点]],MATCH(体力優良証交付申請!$A229,入力シート!$AF$6:$AF$505,0),MATCH(体力優良証交付申請!B$14,テーブル22[[#Headers],[学年]:[得点]],0)))</f>
        <v/>
      </c>
      <c r="C229" s="203" t="str">
        <f>IF($A229&gt;MAX(入力シート!$AF$6:$AF$505),"",INDEX(テーブル22[[学年]:[得点]],MATCH(体力優良証交付申請!$A229,入力シート!$AF$6:$AF$505,0),MATCH(体力優良証交付申請!C$14,テーブル22[[#Headers],[学年]:[得点]],0)))</f>
        <v/>
      </c>
      <c r="D229" s="203" t="str">
        <f>IF($A229&gt;MAX(入力シート!$AF$6:$AF$505),"",INDEX(テーブル22[[学年]:[得点]],MATCH(体力優良証交付申請!$A229,入力シート!$AF$6:$AF$505,0),MATCH(体力優良証交付申請!D$14,テーブル22[[#Headers],[学年]:[得点]],0)))</f>
        <v/>
      </c>
      <c r="E229" s="203" t="str">
        <f>IF($A229&gt;MAX(入力シート!$AF$6:$AF$505),"",INDEX(テーブル22[[学年]:[得点]],MATCH(体力優良証交付申請!$A229,入力シート!$AF$6:$AF$505,0),MATCH(体力優良証交付申請!E$14,テーブル22[[#Headers],[学年]:[得点]],0)))</f>
        <v/>
      </c>
      <c r="F229" s="203" t="str">
        <f>IF($A229&gt;MAX(入力シート!$AF$6:$AF$505),"",INDEX(テーブル22[[学年]:[得点]],MATCH(体力優良証交付申請!$A229,入力シート!$AF$6:$AF$505,0),MATCH(体力優良証交付申請!F$14,テーブル22[[#Headers],[学年]:[得点]],0)))</f>
        <v/>
      </c>
      <c r="G229" s="203" t="str">
        <f>IF($A229&gt;MAX(入力シート!$AF$6:$AF$505),"",INDEX(テーブル22[[学年]:[得点]],MATCH(体力優良証交付申請!$A229,入力シート!$AF$6:$AF$505,0),MATCH(体力優良証交付申請!G$14,テーブル22[[#Headers],[学年]:[得点]],0)))</f>
        <v/>
      </c>
      <c r="H229" s="203" t="str">
        <f>IF($A229&gt;MAX(入力シート!$AF$6:$AF$505),"",INDEX(テーブル22[[学年]:[得点]],MATCH(体力優良証交付申請!$A229,入力シート!$AF$6:$AF$505,0),MATCH(体力優良証交付申請!H$14,テーブル22[[#Headers],[学年]:[得点]],0)))</f>
        <v/>
      </c>
      <c r="I229" s="203" t="str">
        <f>IF($A229&gt;MAX(入力シート!$AF$6:$AF$505),"",INDEX(テーブル22[[学年]:[得点]],MATCH(体力優良証交付申請!$A229,入力シート!$AF$6:$AF$505,0),MATCH(体力優良証交付申請!I$14,テーブル22[[#Headers],[学年]:[得点]],0)))</f>
        <v/>
      </c>
      <c r="J229" s="114" t="str">
        <f>IF($A229&gt;MAX(入力シート!$AF$6:$AF$505),"",INDEX(テーブル22[[学年]:[得点]],MATCH(体力優良証交付申請!$A229,入力シート!$AF$6:$AF$505,0),MATCH(体力優良証交付申請!J$14,テーブル22[[#Headers],[学年]:[得点]],0)))</f>
        <v/>
      </c>
      <c r="K229" s="203" t="str">
        <f>IF($A229&gt;MAX(入力シート!$AF$6:$AF$505),"",INDEX(テーブル22[[学年]:[得点]],MATCH(体力優良証交付申請!$A229,入力シート!$AF$6:$AF$505,0),MATCH(体力優良証交付申請!K$14,テーブル22[[#Headers],[学年]:[得点]],0)))</f>
        <v/>
      </c>
      <c r="L229" s="203" t="str">
        <f>IF($A229&gt;MAX(入力シート!$AF$6:$AF$505),"",INDEX(テーブル22[[学年]:[得点]],MATCH(体力優良証交付申請!$A229,入力シート!$AF$6:$AF$505,0),MATCH(体力優良証交付申請!L$14,テーブル22[[#Headers],[学年]:[得点]],0)))</f>
        <v/>
      </c>
      <c r="M229" s="28" t="str">
        <f>IF($A229&gt;MAX(入力シート!$AF$6:$AF$505),"",INDEX(テーブル22[[学年]:[得点]],MATCH(体力優良証交付申請!$A229,入力シート!$AF$6:$AF$505,0),MATCH(体力優良証交付申請!M$14,テーブル22[[#Headers],[学年]:[得点]],0)))</f>
        <v/>
      </c>
    </row>
    <row r="230" spans="1:13" x14ac:dyDescent="0.2">
      <c r="A230" s="16">
        <v>216</v>
      </c>
      <c r="B230" s="130" t="str">
        <f>IF($A230&gt;MAX(入力シート!$AF$6:$AF$505),"",INDEX(テーブル22[[学年]:[得点]],MATCH(体力優良証交付申請!$A230,入力シート!$AF$6:$AF$505,0),MATCH(体力優良証交付申請!B$14,テーブル22[[#Headers],[学年]:[得点]],0)))</f>
        <v/>
      </c>
      <c r="C230" s="203" t="str">
        <f>IF($A230&gt;MAX(入力シート!$AF$6:$AF$505),"",INDEX(テーブル22[[学年]:[得点]],MATCH(体力優良証交付申請!$A230,入力シート!$AF$6:$AF$505,0),MATCH(体力優良証交付申請!C$14,テーブル22[[#Headers],[学年]:[得点]],0)))</f>
        <v/>
      </c>
      <c r="D230" s="203" t="str">
        <f>IF($A230&gt;MAX(入力シート!$AF$6:$AF$505),"",INDEX(テーブル22[[学年]:[得点]],MATCH(体力優良証交付申請!$A230,入力シート!$AF$6:$AF$505,0),MATCH(体力優良証交付申請!D$14,テーブル22[[#Headers],[学年]:[得点]],0)))</f>
        <v/>
      </c>
      <c r="E230" s="203" t="str">
        <f>IF($A230&gt;MAX(入力シート!$AF$6:$AF$505),"",INDEX(テーブル22[[学年]:[得点]],MATCH(体力優良証交付申請!$A230,入力シート!$AF$6:$AF$505,0),MATCH(体力優良証交付申請!E$14,テーブル22[[#Headers],[学年]:[得点]],0)))</f>
        <v/>
      </c>
      <c r="F230" s="203" t="str">
        <f>IF($A230&gt;MAX(入力シート!$AF$6:$AF$505),"",INDEX(テーブル22[[学年]:[得点]],MATCH(体力優良証交付申請!$A230,入力シート!$AF$6:$AF$505,0),MATCH(体力優良証交付申請!F$14,テーブル22[[#Headers],[学年]:[得点]],0)))</f>
        <v/>
      </c>
      <c r="G230" s="203" t="str">
        <f>IF($A230&gt;MAX(入力シート!$AF$6:$AF$505),"",INDEX(テーブル22[[学年]:[得点]],MATCH(体力優良証交付申請!$A230,入力シート!$AF$6:$AF$505,0),MATCH(体力優良証交付申請!G$14,テーブル22[[#Headers],[学年]:[得点]],0)))</f>
        <v/>
      </c>
      <c r="H230" s="203" t="str">
        <f>IF($A230&gt;MAX(入力シート!$AF$6:$AF$505),"",INDEX(テーブル22[[学年]:[得点]],MATCH(体力優良証交付申請!$A230,入力シート!$AF$6:$AF$505,0),MATCH(体力優良証交付申請!H$14,テーブル22[[#Headers],[学年]:[得点]],0)))</f>
        <v/>
      </c>
      <c r="I230" s="203" t="str">
        <f>IF($A230&gt;MAX(入力シート!$AF$6:$AF$505),"",INDEX(テーブル22[[学年]:[得点]],MATCH(体力優良証交付申請!$A230,入力シート!$AF$6:$AF$505,0),MATCH(体力優良証交付申請!I$14,テーブル22[[#Headers],[学年]:[得点]],0)))</f>
        <v/>
      </c>
      <c r="J230" s="114" t="str">
        <f>IF($A230&gt;MAX(入力シート!$AF$6:$AF$505),"",INDEX(テーブル22[[学年]:[得点]],MATCH(体力優良証交付申請!$A230,入力シート!$AF$6:$AF$505,0),MATCH(体力優良証交付申請!J$14,テーブル22[[#Headers],[学年]:[得点]],0)))</f>
        <v/>
      </c>
      <c r="K230" s="203" t="str">
        <f>IF($A230&gt;MAX(入力シート!$AF$6:$AF$505),"",INDEX(テーブル22[[学年]:[得点]],MATCH(体力優良証交付申請!$A230,入力シート!$AF$6:$AF$505,0),MATCH(体力優良証交付申請!K$14,テーブル22[[#Headers],[学年]:[得点]],0)))</f>
        <v/>
      </c>
      <c r="L230" s="203" t="str">
        <f>IF($A230&gt;MAX(入力シート!$AF$6:$AF$505),"",INDEX(テーブル22[[学年]:[得点]],MATCH(体力優良証交付申請!$A230,入力シート!$AF$6:$AF$505,0),MATCH(体力優良証交付申請!L$14,テーブル22[[#Headers],[学年]:[得点]],0)))</f>
        <v/>
      </c>
      <c r="M230" s="28" t="str">
        <f>IF($A230&gt;MAX(入力シート!$AF$6:$AF$505),"",INDEX(テーブル22[[学年]:[得点]],MATCH(体力優良証交付申請!$A230,入力シート!$AF$6:$AF$505,0),MATCH(体力優良証交付申請!M$14,テーブル22[[#Headers],[学年]:[得点]],0)))</f>
        <v/>
      </c>
    </row>
    <row r="231" spans="1:13" x14ac:dyDescent="0.2">
      <c r="A231" s="16">
        <v>217</v>
      </c>
      <c r="B231" s="130" t="str">
        <f>IF($A231&gt;MAX(入力シート!$AF$6:$AF$505),"",INDEX(テーブル22[[学年]:[得点]],MATCH(体力優良証交付申請!$A231,入力シート!$AF$6:$AF$505,0),MATCH(体力優良証交付申請!B$14,テーブル22[[#Headers],[学年]:[得点]],0)))</f>
        <v/>
      </c>
      <c r="C231" s="203" t="str">
        <f>IF($A231&gt;MAX(入力シート!$AF$6:$AF$505),"",INDEX(テーブル22[[学年]:[得点]],MATCH(体力優良証交付申請!$A231,入力シート!$AF$6:$AF$505,0),MATCH(体力優良証交付申請!C$14,テーブル22[[#Headers],[学年]:[得点]],0)))</f>
        <v/>
      </c>
      <c r="D231" s="203" t="str">
        <f>IF($A231&gt;MAX(入力シート!$AF$6:$AF$505),"",INDEX(テーブル22[[学年]:[得点]],MATCH(体力優良証交付申請!$A231,入力シート!$AF$6:$AF$505,0),MATCH(体力優良証交付申請!D$14,テーブル22[[#Headers],[学年]:[得点]],0)))</f>
        <v/>
      </c>
      <c r="E231" s="203" t="str">
        <f>IF($A231&gt;MAX(入力シート!$AF$6:$AF$505),"",INDEX(テーブル22[[学年]:[得点]],MATCH(体力優良証交付申請!$A231,入力シート!$AF$6:$AF$505,0),MATCH(体力優良証交付申請!E$14,テーブル22[[#Headers],[学年]:[得点]],0)))</f>
        <v/>
      </c>
      <c r="F231" s="203" t="str">
        <f>IF($A231&gt;MAX(入力シート!$AF$6:$AF$505),"",INDEX(テーブル22[[学年]:[得点]],MATCH(体力優良証交付申請!$A231,入力シート!$AF$6:$AF$505,0),MATCH(体力優良証交付申請!F$14,テーブル22[[#Headers],[学年]:[得点]],0)))</f>
        <v/>
      </c>
      <c r="G231" s="203" t="str">
        <f>IF($A231&gt;MAX(入力シート!$AF$6:$AF$505),"",INDEX(テーブル22[[学年]:[得点]],MATCH(体力優良証交付申請!$A231,入力シート!$AF$6:$AF$505,0),MATCH(体力優良証交付申請!G$14,テーブル22[[#Headers],[学年]:[得点]],0)))</f>
        <v/>
      </c>
      <c r="H231" s="203" t="str">
        <f>IF($A231&gt;MAX(入力シート!$AF$6:$AF$505),"",INDEX(テーブル22[[学年]:[得点]],MATCH(体力優良証交付申請!$A231,入力シート!$AF$6:$AF$505,0),MATCH(体力優良証交付申請!H$14,テーブル22[[#Headers],[学年]:[得点]],0)))</f>
        <v/>
      </c>
      <c r="I231" s="203" t="str">
        <f>IF($A231&gt;MAX(入力シート!$AF$6:$AF$505),"",INDEX(テーブル22[[学年]:[得点]],MATCH(体力優良証交付申請!$A231,入力シート!$AF$6:$AF$505,0),MATCH(体力優良証交付申請!I$14,テーブル22[[#Headers],[学年]:[得点]],0)))</f>
        <v/>
      </c>
      <c r="J231" s="114" t="str">
        <f>IF($A231&gt;MAX(入力シート!$AF$6:$AF$505),"",INDEX(テーブル22[[学年]:[得点]],MATCH(体力優良証交付申請!$A231,入力シート!$AF$6:$AF$505,0),MATCH(体力優良証交付申請!J$14,テーブル22[[#Headers],[学年]:[得点]],0)))</f>
        <v/>
      </c>
      <c r="K231" s="203" t="str">
        <f>IF($A231&gt;MAX(入力シート!$AF$6:$AF$505),"",INDEX(テーブル22[[学年]:[得点]],MATCH(体力優良証交付申請!$A231,入力シート!$AF$6:$AF$505,0),MATCH(体力優良証交付申請!K$14,テーブル22[[#Headers],[学年]:[得点]],0)))</f>
        <v/>
      </c>
      <c r="L231" s="203" t="str">
        <f>IF($A231&gt;MAX(入力シート!$AF$6:$AF$505),"",INDEX(テーブル22[[学年]:[得点]],MATCH(体力優良証交付申請!$A231,入力シート!$AF$6:$AF$505,0),MATCH(体力優良証交付申請!L$14,テーブル22[[#Headers],[学年]:[得点]],0)))</f>
        <v/>
      </c>
      <c r="M231" s="28" t="str">
        <f>IF($A231&gt;MAX(入力シート!$AF$6:$AF$505),"",INDEX(テーブル22[[学年]:[得点]],MATCH(体力優良証交付申請!$A231,入力シート!$AF$6:$AF$505,0),MATCH(体力優良証交付申請!M$14,テーブル22[[#Headers],[学年]:[得点]],0)))</f>
        <v/>
      </c>
    </row>
    <row r="232" spans="1:13" x14ac:dyDescent="0.2">
      <c r="A232" s="16">
        <v>218</v>
      </c>
      <c r="B232" s="130" t="str">
        <f>IF($A232&gt;MAX(入力シート!$AF$6:$AF$505),"",INDEX(テーブル22[[学年]:[得点]],MATCH(体力優良証交付申請!$A232,入力シート!$AF$6:$AF$505,0),MATCH(体力優良証交付申請!B$14,テーブル22[[#Headers],[学年]:[得点]],0)))</f>
        <v/>
      </c>
      <c r="C232" s="203" t="str">
        <f>IF($A232&gt;MAX(入力シート!$AF$6:$AF$505),"",INDEX(テーブル22[[学年]:[得点]],MATCH(体力優良証交付申請!$A232,入力シート!$AF$6:$AF$505,0),MATCH(体力優良証交付申請!C$14,テーブル22[[#Headers],[学年]:[得点]],0)))</f>
        <v/>
      </c>
      <c r="D232" s="203" t="str">
        <f>IF($A232&gt;MAX(入力シート!$AF$6:$AF$505),"",INDEX(テーブル22[[学年]:[得点]],MATCH(体力優良証交付申請!$A232,入力シート!$AF$6:$AF$505,0),MATCH(体力優良証交付申請!D$14,テーブル22[[#Headers],[学年]:[得点]],0)))</f>
        <v/>
      </c>
      <c r="E232" s="203" t="str">
        <f>IF($A232&gt;MAX(入力シート!$AF$6:$AF$505),"",INDEX(テーブル22[[学年]:[得点]],MATCH(体力優良証交付申請!$A232,入力シート!$AF$6:$AF$505,0),MATCH(体力優良証交付申請!E$14,テーブル22[[#Headers],[学年]:[得点]],0)))</f>
        <v/>
      </c>
      <c r="F232" s="203" t="str">
        <f>IF($A232&gt;MAX(入力シート!$AF$6:$AF$505),"",INDEX(テーブル22[[学年]:[得点]],MATCH(体力優良証交付申請!$A232,入力シート!$AF$6:$AF$505,0),MATCH(体力優良証交付申請!F$14,テーブル22[[#Headers],[学年]:[得点]],0)))</f>
        <v/>
      </c>
      <c r="G232" s="203" t="str">
        <f>IF($A232&gt;MAX(入力シート!$AF$6:$AF$505),"",INDEX(テーブル22[[学年]:[得点]],MATCH(体力優良証交付申請!$A232,入力シート!$AF$6:$AF$505,0),MATCH(体力優良証交付申請!G$14,テーブル22[[#Headers],[学年]:[得点]],0)))</f>
        <v/>
      </c>
      <c r="H232" s="203" t="str">
        <f>IF($A232&gt;MAX(入力シート!$AF$6:$AF$505),"",INDEX(テーブル22[[学年]:[得点]],MATCH(体力優良証交付申請!$A232,入力シート!$AF$6:$AF$505,0),MATCH(体力優良証交付申請!H$14,テーブル22[[#Headers],[学年]:[得点]],0)))</f>
        <v/>
      </c>
      <c r="I232" s="203" t="str">
        <f>IF($A232&gt;MAX(入力シート!$AF$6:$AF$505),"",INDEX(テーブル22[[学年]:[得点]],MATCH(体力優良証交付申請!$A232,入力シート!$AF$6:$AF$505,0),MATCH(体力優良証交付申請!I$14,テーブル22[[#Headers],[学年]:[得点]],0)))</f>
        <v/>
      </c>
      <c r="J232" s="114" t="str">
        <f>IF($A232&gt;MAX(入力シート!$AF$6:$AF$505),"",INDEX(テーブル22[[学年]:[得点]],MATCH(体力優良証交付申請!$A232,入力シート!$AF$6:$AF$505,0),MATCH(体力優良証交付申請!J$14,テーブル22[[#Headers],[学年]:[得点]],0)))</f>
        <v/>
      </c>
      <c r="K232" s="203" t="str">
        <f>IF($A232&gt;MAX(入力シート!$AF$6:$AF$505),"",INDEX(テーブル22[[学年]:[得点]],MATCH(体力優良証交付申請!$A232,入力シート!$AF$6:$AF$505,0),MATCH(体力優良証交付申請!K$14,テーブル22[[#Headers],[学年]:[得点]],0)))</f>
        <v/>
      </c>
      <c r="L232" s="203" t="str">
        <f>IF($A232&gt;MAX(入力シート!$AF$6:$AF$505),"",INDEX(テーブル22[[学年]:[得点]],MATCH(体力優良証交付申請!$A232,入力シート!$AF$6:$AF$505,0),MATCH(体力優良証交付申請!L$14,テーブル22[[#Headers],[学年]:[得点]],0)))</f>
        <v/>
      </c>
      <c r="M232" s="28" t="str">
        <f>IF($A232&gt;MAX(入力シート!$AF$6:$AF$505),"",INDEX(テーブル22[[学年]:[得点]],MATCH(体力優良証交付申請!$A232,入力シート!$AF$6:$AF$505,0),MATCH(体力優良証交付申請!M$14,テーブル22[[#Headers],[学年]:[得点]],0)))</f>
        <v/>
      </c>
    </row>
    <row r="233" spans="1:13" x14ac:dyDescent="0.2">
      <c r="A233" s="16">
        <v>219</v>
      </c>
      <c r="B233" s="130" t="str">
        <f>IF($A233&gt;MAX(入力シート!$AF$6:$AF$505),"",INDEX(テーブル22[[学年]:[得点]],MATCH(体力優良証交付申請!$A233,入力シート!$AF$6:$AF$505,0),MATCH(体力優良証交付申請!B$14,テーブル22[[#Headers],[学年]:[得点]],0)))</f>
        <v/>
      </c>
      <c r="C233" s="203" t="str">
        <f>IF($A233&gt;MAX(入力シート!$AF$6:$AF$505),"",INDEX(テーブル22[[学年]:[得点]],MATCH(体力優良証交付申請!$A233,入力シート!$AF$6:$AF$505,0),MATCH(体力優良証交付申請!C$14,テーブル22[[#Headers],[学年]:[得点]],0)))</f>
        <v/>
      </c>
      <c r="D233" s="203" t="str">
        <f>IF($A233&gt;MAX(入力シート!$AF$6:$AF$505),"",INDEX(テーブル22[[学年]:[得点]],MATCH(体力優良証交付申請!$A233,入力シート!$AF$6:$AF$505,0),MATCH(体力優良証交付申請!D$14,テーブル22[[#Headers],[学年]:[得点]],0)))</f>
        <v/>
      </c>
      <c r="E233" s="203" t="str">
        <f>IF($A233&gt;MAX(入力シート!$AF$6:$AF$505),"",INDEX(テーブル22[[学年]:[得点]],MATCH(体力優良証交付申請!$A233,入力シート!$AF$6:$AF$505,0),MATCH(体力優良証交付申請!E$14,テーブル22[[#Headers],[学年]:[得点]],0)))</f>
        <v/>
      </c>
      <c r="F233" s="203" t="str">
        <f>IF($A233&gt;MAX(入力シート!$AF$6:$AF$505),"",INDEX(テーブル22[[学年]:[得点]],MATCH(体力優良証交付申請!$A233,入力シート!$AF$6:$AF$505,0),MATCH(体力優良証交付申請!F$14,テーブル22[[#Headers],[学年]:[得点]],0)))</f>
        <v/>
      </c>
      <c r="G233" s="203" t="str">
        <f>IF($A233&gt;MAX(入力シート!$AF$6:$AF$505),"",INDEX(テーブル22[[学年]:[得点]],MATCH(体力優良証交付申請!$A233,入力シート!$AF$6:$AF$505,0),MATCH(体力優良証交付申請!G$14,テーブル22[[#Headers],[学年]:[得点]],0)))</f>
        <v/>
      </c>
      <c r="H233" s="203" t="str">
        <f>IF($A233&gt;MAX(入力シート!$AF$6:$AF$505),"",INDEX(テーブル22[[学年]:[得点]],MATCH(体力優良証交付申請!$A233,入力シート!$AF$6:$AF$505,0),MATCH(体力優良証交付申請!H$14,テーブル22[[#Headers],[学年]:[得点]],0)))</f>
        <v/>
      </c>
      <c r="I233" s="203" t="str">
        <f>IF($A233&gt;MAX(入力シート!$AF$6:$AF$505),"",INDEX(テーブル22[[学年]:[得点]],MATCH(体力優良証交付申請!$A233,入力シート!$AF$6:$AF$505,0),MATCH(体力優良証交付申請!I$14,テーブル22[[#Headers],[学年]:[得点]],0)))</f>
        <v/>
      </c>
      <c r="J233" s="114" t="str">
        <f>IF($A233&gt;MAX(入力シート!$AF$6:$AF$505),"",INDEX(テーブル22[[学年]:[得点]],MATCH(体力優良証交付申請!$A233,入力シート!$AF$6:$AF$505,0),MATCH(体力優良証交付申請!J$14,テーブル22[[#Headers],[学年]:[得点]],0)))</f>
        <v/>
      </c>
      <c r="K233" s="203" t="str">
        <f>IF($A233&gt;MAX(入力シート!$AF$6:$AF$505),"",INDEX(テーブル22[[学年]:[得点]],MATCH(体力優良証交付申請!$A233,入力シート!$AF$6:$AF$505,0),MATCH(体力優良証交付申請!K$14,テーブル22[[#Headers],[学年]:[得点]],0)))</f>
        <v/>
      </c>
      <c r="L233" s="203" t="str">
        <f>IF($A233&gt;MAX(入力シート!$AF$6:$AF$505),"",INDEX(テーブル22[[学年]:[得点]],MATCH(体力優良証交付申請!$A233,入力シート!$AF$6:$AF$505,0),MATCH(体力優良証交付申請!L$14,テーブル22[[#Headers],[学年]:[得点]],0)))</f>
        <v/>
      </c>
      <c r="M233" s="28" t="str">
        <f>IF($A233&gt;MAX(入力シート!$AF$6:$AF$505),"",INDEX(テーブル22[[学年]:[得点]],MATCH(体力優良証交付申請!$A233,入力シート!$AF$6:$AF$505,0),MATCH(体力優良証交付申請!M$14,テーブル22[[#Headers],[学年]:[得点]],0)))</f>
        <v/>
      </c>
    </row>
    <row r="234" spans="1:13" x14ac:dyDescent="0.2">
      <c r="A234" s="16">
        <v>220</v>
      </c>
      <c r="B234" s="130" t="str">
        <f>IF($A234&gt;MAX(入力シート!$AF$6:$AF$505),"",INDEX(テーブル22[[学年]:[得点]],MATCH(体力優良証交付申請!$A234,入力シート!$AF$6:$AF$505,0),MATCH(体力優良証交付申請!B$14,テーブル22[[#Headers],[学年]:[得点]],0)))</f>
        <v/>
      </c>
      <c r="C234" s="203" t="str">
        <f>IF($A234&gt;MAX(入力シート!$AF$6:$AF$505),"",INDEX(テーブル22[[学年]:[得点]],MATCH(体力優良証交付申請!$A234,入力シート!$AF$6:$AF$505,0),MATCH(体力優良証交付申請!C$14,テーブル22[[#Headers],[学年]:[得点]],0)))</f>
        <v/>
      </c>
      <c r="D234" s="203" t="str">
        <f>IF($A234&gt;MAX(入力シート!$AF$6:$AF$505),"",INDEX(テーブル22[[学年]:[得点]],MATCH(体力優良証交付申請!$A234,入力シート!$AF$6:$AF$505,0),MATCH(体力優良証交付申請!D$14,テーブル22[[#Headers],[学年]:[得点]],0)))</f>
        <v/>
      </c>
      <c r="E234" s="203" t="str">
        <f>IF($A234&gt;MAX(入力シート!$AF$6:$AF$505),"",INDEX(テーブル22[[学年]:[得点]],MATCH(体力優良証交付申請!$A234,入力シート!$AF$6:$AF$505,0),MATCH(体力優良証交付申請!E$14,テーブル22[[#Headers],[学年]:[得点]],0)))</f>
        <v/>
      </c>
      <c r="F234" s="203" t="str">
        <f>IF($A234&gt;MAX(入力シート!$AF$6:$AF$505),"",INDEX(テーブル22[[学年]:[得点]],MATCH(体力優良証交付申請!$A234,入力シート!$AF$6:$AF$505,0),MATCH(体力優良証交付申請!F$14,テーブル22[[#Headers],[学年]:[得点]],0)))</f>
        <v/>
      </c>
      <c r="G234" s="203" t="str">
        <f>IF($A234&gt;MAX(入力シート!$AF$6:$AF$505),"",INDEX(テーブル22[[学年]:[得点]],MATCH(体力優良証交付申請!$A234,入力シート!$AF$6:$AF$505,0),MATCH(体力優良証交付申請!G$14,テーブル22[[#Headers],[学年]:[得点]],0)))</f>
        <v/>
      </c>
      <c r="H234" s="203" t="str">
        <f>IF($A234&gt;MAX(入力シート!$AF$6:$AF$505),"",INDEX(テーブル22[[学年]:[得点]],MATCH(体力優良証交付申請!$A234,入力シート!$AF$6:$AF$505,0),MATCH(体力優良証交付申請!H$14,テーブル22[[#Headers],[学年]:[得点]],0)))</f>
        <v/>
      </c>
      <c r="I234" s="203" t="str">
        <f>IF($A234&gt;MAX(入力シート!$AF$6:$AF$505),"",INDEX(テーブル22[[学年]:[得点]],MATCH(体力優良証交付申請!$A234,入力シート!$AF$6:$AF$505,0),MATCH(体力優良証交付申請!I$14,テーブル22[[#Headers],[学年]:[得点]],0)))</f>
        <v/>
      </c>
      <c r="J234" s="114" t="str">
        <f>IF($A234&gt;MAX(入力シート!$AF$6:$AF$505),"",INDEX(テーブル22[[学年]:[得点]],MATCH(体力優良証交付申請!$A234,入力シート!$AF$6:$AF$505,0),MATCH(体力優良証交付申請!J$14,テーブル22[[#Headers],[学年]:[得点]],0)))</f>
        <v/>
      </c>
      <c r="K234" s="203" t="str">
        <f>IF($A234&gt;MAX(入力シート!$AF$6:$AF$505),"",INDEX(テーブル22[[学年]:[得点]],MATCH(体力優良証交付申請!$A234,入力シート!$AF$6:$AF$505,0),MATCH(体力優良証交付申請!K$14,テーブル22[[#Headers],[学年]:[得点]],0)))</f>
        <v/>
      </c>
      <c r="L234" s="203" t="str">
        <f>IF($A234&gt;MAX(入力シート!$AF$6:$AF$505),"",INDEX(テーブル22[[学年]:[得点]],MATCH(体力優良証交付申請!$A234,入力シート!$AF$6:$AF$505,0),MATCH(体力優良証交付申請!L$14,テーブル22[[#Headers],[学年]:[得点]],0)))</f>
        <v/>
      </c>
      <c r="M234" s="28" t="str">
        <f>IF($A234&gt;MAX(入力シート!$AF$6:$AF$505),"",INDEX(テーブル22[[学年]:[得点]],MATCH(体力優良証交付申請!$A234,入力シート!$AF$6:$AF$505,0),MATCH(体力優良証交付申請!M$14,テーブル22[[#Headers],[学年]:[得点]],0)))</f>
        <v/>
      </c>
    </row>
    <row r="235" spans="1:13" x14ac:dyDescent="0.2">
      <c r="A235" s="16">
        <v>221</v>
      </c>
      <c r="B235" s="130" t="str">
        <f>IF($A235&gt;MAX(入力シート!$AF$6:$AF$505),"",INDEX(テーブル22[[学年]:[得点]],MATCH(体力優良証交付申請!$A235,入力シート!$AF$6:$AF$505,0),MATCH(体力優良証交付申請!B$14,テーブル22[[#Headers],[学年]:[得点]],0)))</f>
        <v/>
      </c>
      <c r="C235" s="203" t="str">
        <f>IF($A235&gt;MAX(入力シート!$AF$6:$AF$505),"",INDEX(テーブル22[[学年]:[得点]],MATCH(体力優良証交付申請!$A235,入力シート!$AF$6:$AF$505,0),MATCH(体力優良証交付申請!C$14,テーブル22[[#Headers],[学年]:[得点]],0)))</f>
        <v/>
      </c>
      <c r="D235" s="203" t="str">
        <f>IF($A235&gt;MAX(入力シート!$AF$6:$AF$505),"",INDEX(テーブル22[[学年]:[得点]],MATCH(体力優良証交付申請!$A235,入力シート!$AF$6:$AF$505,0),MATCH(体力優良証交付申請!D$14,テーブル22[[#Headers],[学年]:[得点]],0)))</f>
        <v/>
      </c>
      <c r="E235" s="203" t="str">
        <f>IF($A235&gt;MAX(入力シート!$AF$6:$AF$505),"",INDEX(テーブル22[[学年]:[得点]],MATCH(体力優良証交付申請!$A235,入力シート!$AF$6:$AF$505,0),MATCH(体力優良証交付申請!E$14,テーブル22[[#Headers],[学年]:[得点]],0)))</f>
        <v/>
      </c>
      <c r="F235" s="203" t="str">
        <f>IF($A235&gt;MAX(入力シート!$AF$6:$AF$505),"",INDEX(テーブル22[[学年]:[得点]],MATCH(体力優良証交付申請!$A235,入力シート!$AF$6:$AF$505,0),MATCH(体力優良証交付申請!F$14,テーブル22[[#Headers],[学年]:[得点]],0)))</f>
        <v/>
      </c>
      <c r="G235" s="203" t="str">
        <f>IF($A235&gt;MAX(入力シート!$AF$6:$AF$505),"",INDEX(テーブル22[[学年]:[得点]],MATCH(体力優良証交付申請!$A235,入力シート!$AF$6:$AF$505,0),MATCH(体力優良証交付申請!G$14,テーブル22[[#Headers],[学年]:[得点]],0)))</f>
        <v/>
      </c>
      <c r="H235" s="203" t="str">
        <f>IF($A235&gt;MAX(入力シート!$AF$6:$AF$505),"",INDEX(テーブル22[[学年]:[得点]],MATCH(体力優良証交付申請!$A235,入力シート!$AF$6:$AF$505,0),MATCH(体力優良証交付申請!H$14,テーブル22[[#Headers],[学年]:[得点]],0)))</f>
        <v/>
      </c>
      <c r="I235" s="203" t="str">
        <f>IF($A235&gt;MAX(入力シート!$AF$6:$AF$505),"",INDEX(テーブル22[[学年]:[得点]],MATCH(体力優良証交付申請!$A235,入力シート!$AF$6:$AF$505,0),MATCH(体力優良証交付申請!I$14,テーブル22[[#Headers],[学年]:[得点]],0)))</f>
        <v/>
      </c>
      <c r="J235" s="114" t="str">
        <f>IF($A235&gt;MAX(入力シート!$AF$6:$AF$505),"",INDEX(テーブル22[[学年]:[得点]],MATCH(体力優良証交付申請!$A235,入力シート!$AF$6:$AF$505,0),MATCH(体力優良証交付申請!J$14,テーブル22[[#Headers],[学年]:[得点]],0)))</f>
        <v/>
      </c>
      <c r="K235" s="203" t="str">
        <f>IF($A235&gt;MAX(入力シート!$AF$6:$AF$505),"",INDEX(テーブル22[[学年]:[得点]],MATCH(体力優良証交付申請!$A235,入力シート!$AF$6:$AF$505,0),MATCH(体力優良証交付申請!K$14,テーブル22[[#Headers],[学年]:[得点]],0)))</f>
        <v/>
      </c>
      <c r="L235" s="203" t="str">
        <f>IF($A235&gt;MAX(入力シート!$AF$6:$AF$505),"",INDEX(テーブル22[[学年]:[得点]],MATCH(体力優良証交付申請!$A235,入力シート!$AF$6:$AF$505,0),MATCH(体力優良証交付申請!L$14,テーブル22[[#Headers],[学年]:[得点]],0)))</f>
        <v/>
      </c>
      <c r="M235" s="28" t="str">
        <f>IF($A235&gt;MAX(入力シート!$AF$6:$AF$505),"",INDEX(テーブル22[[学年]:[得点]],MATCH(体力優良証交付申請!$A235,入力シート!$AF$6:$AF$505,0),MATCH(体力優良証交付申請!M$14,テーブル22[[#Headers],[学年]:[得点]],0)))</f>
        <v/>
      </c>
    </row>
    <row r="236" spans="1:13" x14ac:dyDescent="0.2">
      <c r="A236" s="16">
        <v>222</v>
      </c>
      <c r="B236" s="130" t="str">
        <f>IF($A236&gt;MAX(入力シート!$AF$6:$AF$505),"",INDEX(テーブル22[[学年]:[得点]],MATCH(体力優良証交付申請!$A236,入力シート!$AF$6:$AF$505,0),MATCH(体力優良証交付申請!B$14,テーブル22[[#Headers],[学年]:[得点]],0)))</f>
        <v/>
      </c>
      <c r="C236" s="203" t="str">
        <f>IF($A236&gt;MAX(入力シート!$AF$6:$AF$505),"",INDEX(テーブル22[[学年]:[得点]],MATCH(体力優良証交付申請!$A236,入力シート!$AF$6:$AF$505,0),MATCH(体力優良証交付申請!C$14,テーブル22[[#Headers],[学年]:[得点]],0)))</f>
        <v/>
      </c>
      <c r="D236" s="203" t="str">
        <f>IF($A236&gt;MAX(入力シート!$AF$6:$AF$505),"",INDEX(テーブル22[[学年]:[得点]],MATCH(体力優良証交付申請!$A236,入力シート!$AF$6:$AF$505,0),MATCH(体力優良証交付申請!D$14,テーブル22[[#Headers],[学年]:[得点]],0)))</f>
        <v/>
      </c>
      <c r="E236" s="203" t="str">
        <f>IF($A236&gt;MAX(入力シート!$AF$6:$AF$505),"",INDEX(テーブル22[[学年]:[得点]],MATCH(体力優良証交付申請!$A236,入力シート!$AF$6:$AF$505,0),MATCH(体力優良証交付申請!E$14,テーブル22[[#Headers],[学年]:[得点]],0)))</f>
        <v/>
      </c>
      <c r="F236" s="203" t="str">
        <f>IF($A236&gt;MAX(入力シート!$AF$6:$AF$505),"",INDEX(テーブル22[[学年]:[得点]],MATCH(体力優良証交付申請!$A236,入力シート!$AF$6:$AF$505,0),MATCH(体力優良証交付申請!F$14,テーブル22[[#Headers],[学年]:[得点]],0)))</f>
        <v/>
      </c>
      <c r="G236" s="203" t="str">
        <f>IF($A236&gt;MAX(入力シート!$AF$6:$AF$505),"",INDEX(テーブル22[[学年]:[得点]],MATCH(体力優良証交付申請!$A236,入力シート!$AF$6:$AF$505,0),MATCH(体力優良証交付申請!G$14,テーブル22[[#Headers],[学年]:[得点]],0)))</f>
        <v/>
      </c>
      <c r="H236" s="203" t="str">
        <f>IF($A236&gt;MAX(入力シート!$AF$6:$AF$505),"",INDEX(テーブル22[[学年]:[得点]],MATCH(体力優良証交付申請!$A236,入力シート!$AF$6:$AF$505,0),MATCH(体力優良証交付申請!H$14,テーブル22[[#Headers],[学年]:[得点]],0)))</f>
        <v/>
      </c>
      <c r="I236" s="203" t="str">
        <f>IF($A236&gt;MAX(入力シート!$AF$6:$AF$505),"",INDEX(テーブル22[[学年]:[得点]],MATCH(体力優良証交付申請!$A236,入力シート!$AF$6:$AF$505,0),MATCH(体力優良証交付申請!I$14,テーブル22[[#Headers],[学年]:[得点]],0)))</f>
        <v/>
      </c>
      <c r="J236" s="114" t="str">
        <f>IF($A236&gt;MAX(入力シート!$AF$6:$AF$505),"",INDEX(テーブル22[[学年]:[得点]],MATCH(体力優良証交付申請!$A236,入力シート!$AF$6:$AF$505,0),MATCH(体力優良証交付申請!J$14,テーブル22[[#Headers],[学年]:[得点]],0)))</f>
        <v/>
      </c>
      <c r="K236" s="203" t="str">
        <f>IF($A236&gt;MAX(入力シート!$AF$6:$AF$505),"",INDEX(テーブル22[[学年]:[得点]],MATCH(体力優良証交付申請!$A236,入力シート!$AF$6:$AF$505,0),MATCH(体力優良証交付申請!K$14,テーブル22[[#Headers],[学年]:[得点]],0)))</f>
        <v/>
      </c>
      <c r="L236" s="203" t="str">
        <f>IF($A236&gt;MAX(入力シート!$AF$6:$AF$505),"",INDEX(テーブル22[[学年]:[得点]],MATCH(体力優良証交付申請!$A236,入力シート!$AF$6:$AF$505,0),MATCH(体力優良証交付申請!L$14,テーブル22[[#Headers],[学年]:[得点]],0)))</f>
        <v/>
      </c>
      <c r="M236" s="28" t="str">
        <f>IF($A236&gt;MAX(入力シート!$AF$6:$AF$505),"",INDEX(テーブル22[[学年]:[得点]],MATCH(体力優良証交付申請!$A236,入力シート!$AF$6:$AF$505,0),MATCH(体力優良証交付申請!M$14,テーブル22[[#Headers],[学年]:[得点]],0)))</f>
        <v/>
      </c>
    </row>
    <row r="237" spans="1:13" x14ac:dyDescent="0.2">
      <c r="A237" s="16">
        <v>223</v>
      </c>
      <c r="B237" s="130" t="str">
        <f>IF($A237&gt;MAX(入力シート!$AF$6:$AF$505),"",INDEX(テーブル22[[学年]:[得点]],MATCH(体力優良証交付申請!$A237,入力シート!$AF$6:$AF$505,0),MATCH(体力優良証交付申請!B$14,テーブル22[[#Headers],[学年]:[得点]],0)))</f>
        <v/>
      </c>
      <c r="C237" s="203" t="str">
        <f>IF($A237&gt;MAX(入力シート!$AF$6:$AF$505),"",INDEX(テーブル22[[学年]:[得点]],MATCH(体力優良証交付申請!$A237,入力シート!$AF$6:$AF$505,0),MATCH(体力優良証交付申請!C$14,テーブル22[[#Headers],[学年]:[得点]],0)))</f>
        <v/>
      </c>
      <c r="D237" s="203" t="str">
        <f>IF($A237&gt;MAX(入力シート!$AF$6:$AF$505),"",INDEX(テーブル22[[学年]:[得点]],MATCH(体力優良証交付申請!$A237,入力シート!$AF$6:$AF$505,0),MATCH(体力優良証交付申請!D$14,テーブル22[[#Headers],[学年]:[得点]],0)))</f>
        <v/>
      </c>
      <c r="E237" s="203" t="str">
        <f>IF($A237&gt;MAX(入力シート!$AF$6:$AF$505),"",INDEX(テーブル22[[学年]:[得点]],MATCH(体力優良証交付申請!$A237,入力シート!$AF$6:$AF$505,0),MATCH(体力優良証交付申請!E$14,テーブル22[[#Headers],[学年]:[得点]],0)))</f>
        <v/>
      </c>
      <c r="F237" s="203" t="str">
        <f>IF($A237&gt;MAX(入力シート!$AF$6:$AF$505),"",INDEX(テーブル22[[学年]:[得点]],MATCH(体力優良証交付申請!$A237,入力シート!$AF$6:$AF$505,0),MATCH(体力優良証交付申請!F$14,テーブル22[[#Headers],[学年]:[得点]],0)))</f>
        <v/>
      </c>
      <c r="G237" s="203" t="str">
        <f>IF($A237&gt;MAX(入力シート!$AF$6:$AF$505),"",INDEX(テーブル22[[学年]:[得点]],MATCH(体力優良証交付申請!$A237,入力シート!$AF$6:$AF$505,0),MATCH(体力優良証交付申請!G$14,テーブル22[[#Headers],[学年]:[得点]],0)))</f>
        <v/>
      </c>
      <c r="H237" s="203" t="str">
        <f>IF($A237&gt;MAX(入力シート!$AF$6:$AF$505),"",INDEX(テーブル22[[学年]:[得点]],MATCH(体力優良証交付申請!$A237,入力シート!$AF$6:$AF$505,0),MATCH(体力優良証交付申請!H$14,テーブル22[[#Headers],[学年]:[得点]],0)))</f>
        <v/>
      </c>
      <c r="I237" s="203" t="str">
        <f>IF($A237&gt;MAX(入力シート!$AF$6:$AF$505),"",INDEX(テーブル22[[学年]:[得点]],MATCH(体力優良証交付申請!$A237,入力シート!$AF$6:$AF$505,0),MATCH(体力優良証交付申請!I$14,テーブル22[[#Headers],[学年]:[得点]],0)))</f>
        <v/>
      </c>
      <c r="J237" s="114" t="str">
        <f>IF($A237&gt;MAX(入力シート!$AF$6:$AF$505),"",INDEX(テーブル22[[学年]:[得点]],MATCH(体力優良証交付申請!$A237,入力シート!$AF$6:$AF$505,0),MATCH(体力優良証交付申請!J$14,テーブル22[[#Headers],[学年]:[得点]],0)))</f>
        <v/>
      </c>
      <c r="K237" s="203" t="str">
        <f>IF($A237&gt;MAX(入力シート!$AF$6:$AF$505),"",INDEX(テーブル22[[学年]:[得点]],MATCH(体力優良証交付申請!$A237,入力シート!$AF$6:$AF$505,0),MATCH(体力優良証交付申請!K$14,テーブル22[[#Headers],[学年]:[得点]],0)))</f>
        <v/>
      </c>
      <c r="L237" s="203" t="str">
        <f>IF($A237&gt;MAX(入力シート!$AF$6:$AF$505),"",INDEX(テーブル22[[学年]:[得点]],MATCH(体力優良証交付申請!$A237,入力シート!$AF$6:$AF$505,0),MATCH(体力優良証交付申請!L$14,テーブル22[[#Headers],[学年]:[得点]],0)))</f>
        <v/>
      </c>
      <c r="M237" s="28" t="str">
        <f>IF($A237&gt;MAX(入力シート!$AF$6:$AF$505),"",INDEX(テーブル22[[学年]:[得点]],MATCH(体力優良証交付申請!$A237,入力シート!$AF$6:$AF$505,0),MATCH(体力優良証交付申請!M$14,テーブル22[[#Headers],[学年]:[得点]],0)))</f>
        <v/>
      </c>
    </row>
    <row r="238" spans="1:13" x14ac:dyDescent="0.2">
      <c r="A238" s="16">
        <v>224</v>
      </c>
      <c r="B238" s="130" t="str">
        <f>IF($A238&gt;MAX(入力シート!$AF$6:$AF$505),"",INDEX(テーブル22[[学年]:[得点]],MATCH(体力優良証交付申請!$A238,入力シート!$AF$6:$AF$505,0),MATCH(体力優良証交付申請!B$14,テーブル22[[#Headers],[学年]:[得点]],0)))</f>
        <v/>
      </c>
      <c r="C238" s="203" t="str">
        <f>IF($A238&gt;MAX(入力シート!$AF$6:$AF$505),"",INDEX(テーブル22[[学年]:[得点]],MATCH(体力優良証交付申請!$A238,入力シート!$AF$6:$AF$505,0),MATCH(体力優良証交付申請!C$14,テーブル22[[#Headers],[学年]:[得点]],0)))</f>
        <v/>
      </c>
      <c r="D238" s="203" t="str">
        <f>IF($A238&gt;MAX(入力シート!$AF$6:$AF$505),"",INDEX(テーブル22[[学年]:[得点]],MATCH(体力優良証交付申請!$A238,入力シート!$AF$6:$AF$505,0),MATCH(体力優良証交付申請!D$14,テーブル22[[#Headers],[学年]:[得点]],0)))</f>
        <v/>
      </c>
      <c r="E238" s="203" t="str">
        <f>IF($A238&gt;MAX(入力シート!$AF$6:$AF$505),"",INDEX(テーブル22[[学年]:[得点]],MATCH(体力優良証交付申請!$A238,入力シート!$AF$6:$AF$505,0),MATCH(体力優良証交付申請!E$14,テーブル22[[#Headers],[学年]:[得点]],0)))</f>
        <v/>
      </c>
      <c r="F238" s="203" t="str">
        <f>IF($A238&gt;MAX(入力シート!$AF$6:$AF$505),"",INDEX(テーブル22[[学年]:[得点]],MATCH(体力優良証交付申請!$A238,入力シート!$AF$6:$AF$505,0),MATCH(体力優良証交付申請!F$14,テーブル22[[#Headers],[学年]:[得点]],0)))</f>
        <v/>
      </c>
      <c r="G238" s="203" t="str">
        <f>IF($A238&gt;MAX(入力シート!$AF$6:$AF$505),"",INDEX(テーブル22[[学年]:[得点]],MATCH(体力優良証交付申請!$A238,入力シート!$AF$6:$AF$505,0),MATCH(体力優良証交付申請!G$14,テーブル22[[#Headers],[学年]:[得点]],0)))</f>
        <v/>
      </c>
      <c r="H238" s="203" t="str">
        <f>IF($A238&gt;MAX(入力シート!$AF$6:$AF$505),"",INDEX(テーブル22[[学年]:[得点]],MATCH(体力優良証交付申請!$A238,入力シート!$AF$6:$AF$505,0),MATCH(体力優良証交付申請!H$14,テーブル22[[#Headers],[学年]:[得点]],0)))</f>
        <v/>
      </c>
      <c r="I238" s="203" t="str">
        <f>IF($A238&gt;MAX(入力シート!$AF$6:$AF$505),"",INDEX(テーブル22[[学年]:[得点]],MATCH(体力優良証交付申請!$A238,入力シート!$AF$6:$AF$505,0),MATCH(体力優良証交付申請!I$14,テーブル22[[#Headers],[学年]:[得点]],0)))</f>
        <v/>
      </c>
      <c r="J238" s="114" t="str">
        <f>IF($A238&gt;MAX(入力シート!$AF$6:$AF$505),"",INDEX(テーブル22[[学年]:[得点]],MATCH(体力優良証交付申請!$A238,入力シート!$AF$6:$AF$505,0),MATCH(体力優良証交付申請!J$14,テーブル22[[#Headers],[学年]:[得点]],0)))</f>
        <v/>
      </c>
      <c r="K238" s="203" t="str">
        <f>IF($A238&gt;MAX(入力シート!$AF$6:$AF$505),"",INDEX(テーブル22[[学年]:[得点]],MATCH(体力優良証交付申請!$A238,入力シート!$AF$6:$AF$505,0),MATCH(体力優良証交付申請!K$14,テーブル22[[#Headers],[学年]:[得点]],0)))</f>
        <v/>
      </c>
      <c r="L238" s="203" t="str">
        <f>IF($A238&gt;MAX(入力シート!$AF$6:$AF$505),"",INDEX(テーブル22[[学年]:[得点]],MATCH(体力優良証交付申請!$A238,入力シート!$AF$6:$AF$505,0),MATCH(体力優良証交付申請!L$14,テーブル22[[#Headers],[学年]:[得点]],0)))</f>
        <v/>
      </c>
      <c r="M238" s="28" t="str">
        <f>IF($A238&gt;MAX(入力シート!$AF$6:$AF$505),"",INDEX(テーブル22[[学年]:[得点]],MATCH(体力優良証交付申請!$A238,入力シート!$AF$6:$AF$505,0),MATCH(体力優良証交付申請!M$14,テーブル22[[#Headers],[学年]:[得点]],0)))</f>
        <v/>
      </c>
    </row>
    <row r="239" spans="1:13" x14ac:dyDescent="0.2">
      <c r="A239" s="16">
        <v>225</v>
      </c>
      <c r="B239" s="130" t="str">
        <f>IF($A239&gt;MAX(入力シート!$AF$6:$AF$505),"",INDEX(テーブル22[[学年]:[得点]],MATCH(体力優良証交付申請!$A239,入力シート!$AF$6:$AF$505,0),MATCH(体力優良証交付申請!B$14,テーブル22[[#Headers],[学年]:[得点]],0)))</f>
        <v/>
      </c>
      <c r="C239" s="203" t="str">
        <f>IF($A239&gt;MAX(入力シート!$AF$6:$AF$505),"",INDEX(テーブル22[[学年]:[得点]],MATCH(体力優良証交付申請!$A239,入力シート!$AF$6:$AF$505,0),MATCH(体力優良証交付申請!C$14,テーブル22[[#Headers],[学年]:[得点]],0)))</f>
        <v/>
      </c>
      <c r="D239" s="203" t="str">
        <f>IF($A239&gt;MAX(入力シート!$AF$6:$AF$505),"",INDEX(テーブル22[[学年]:[得点]],MATCH(体力優良証交付申請!$A239,入力シート!$AF$6:$AF$505,0),MATCH(体力優良証交付申請!D$14,テーブル22[[#Headers],[学年]:[得点]],0)))</f>
        <v/>
      </c>
      <c r="E239" s="203" t="str">
        <f>IF($A239&gt;MAX(入力シート!$AF$6:$AF$505),"",INDEX(テーブル22[[学年]:[得点]],MATCH(体力優良証交付申請!$A239,入力シート!$AF$6:$AF$505,0),MATCH(体力優良証交付申請!E$14,テーブル22[[#Headers],[学年]:[得点]],0)))</f>
        <v/>
      </c>
      <c r="F239" s="203" t="str">
        <f>IF($A239&gt;MAX(入力シート!$AF$6:$AF$505),"",INDEX(テーブル22[[学年]:[得点]],MATCH(体力優良証交付申請!$A239,入力シート!$AF$6:$AF$505,0),MATCH(体力優良証交付申請!F$14,テーブル22[[#Headers],[学年]:[得点]],0)))</f>
        <v/>
      </c>
      <c r="G239" s="203" t="str">
        <f>IF($A239&gt;MAX(入力シート!$AF$6:$AF$505),"",INDEX(テーブル22[[学年]:[得点]],MATCH(体力優良証交付申請!$A239,入力シート!$AF$6:$AF$505,0),MATCH(体力優良証交付申請!G$14,テーブル22[[#Headers],[学年]:[得点]],0)))</f>
        <v/>
      </c>
      <c r="H239" s="203" t="str">
        <f>IF($A239&gt;MAX(入力シート!$AF$6:$AF$505),"",INDEX(テーブル22[[学年]:[得点]],MATCH(体力優良証交付申請!$A239,入力シート!$AF$6:$AF$505,0),MATCH(体力優良証交付申請!H$14,テーブル22[[#Headers],[学年]:[得点]],0)))</f>
        <v/>
      </c>
      <c r="I239" s="203" t="str">
        <f>IF($A239&gt;MAX(入力シート!$AF$6:$AF$505),"",INDEX(テーブル22[[学年]:[得点]],MATCH(体力優良証交付申請!$A239,入力シート!$AF$6:$AF$505,0),MATCH(体力優良証交付申請!I$14,テーブル22[[#Headers],[学年]:[得点]],0)))</f>
        <v/>
      </c>
      <c r="J239" s="114" t="str">
        <f>IF($A239&gt;MAX(入力シート!$AF$6:$AF$505),"",INDEX(テーブル22[[学年]:[得点]],MATCH(体力優良証交付申請!$A239,入力シート!$AF$6:$AF$505,0),MATCH(体力優良証交付申請!J$14,テーブル22[[#Headers],[学年]:[得点]],0)))</f>
        <v/>
      </c>
      <c r="K239" s="203" t="str">
        <f>IF($A239&gt;MAX(入力シート!$AF$6:$AF$505),"",INDEX(テーブル22[[学年]:[得点]],MATCH(体力優良証交付申請!$A239,入力シート!$AF$6:$AF$505,0),MATCH(体力優良証交付申請!K$14,テーブル22[[#Headers],[学年]:[得点]],0)))</f>
        <v/>
      </c>
      <c r="L239" s="203" t="str">
        <f>IF($A239&gt;MAX(入力シート!$AF$6:$AF$505),"",INDEX(テーブル22[[学年]:[得点]],MATCH(体力優良証交付申請!$A239,入力シート!$AF$6:$AF$505,0),MATCH(体力優良証交付申請!L$14,テーブル22[[#Headers],[学年]:[得点]],0)))</f>
        <v/>
      </c>
      <c r="M239" s="28" t="str">
        <f>IF($A239&gt;MAX(入力シート!$AF$6:$AF$505),"",INDEX(テーブル22[[学年]:[得点]],MATCH(体力優良証交付申請!$A239,入力シート!$AF$6:$AF$505,0),MATCH(体力優良証交付申請!M$14,テーブル22[[#Headers],[学年]:[得点]],0)))</f>
        <v/>
      </c>
    </row>
    <row r="240" spans="1:13" x14ac:dyDescent="0.2">
      <c r="A240" s="16">
        <v>226</v>
      </c>
      <c r="B240" s="130" t="str">
        <f>IF($A240&gt;MAX(入力シート!$AF$6:$AF$505),"",INDEX(テーブル22[[学年]:[得点]],MATCH(体力優良証交付申請!$A240,入力シート!$AF$6:$AF$505,0),MATCH(体力優良証交付申請!B$14,テーブル22[[#Headers],[学年]:[得点]],0)))</f>
        <v/>
      </c>
      <c r="C240" s="203" t="str">
        <f>IF($A240&gt;MAX(入力シート!$AF$6:$AF$505),"",INDEX(テーブル22[[学年]:[得点]],MATCH(体力優良証交付申請!$A240,入力シート!$AF$6:$AF$505,0),MATCH(体力優良証交付申請!C$14,テーブル22[[#Headers],[学年]:[得点]],0)))</f>
        <v/>
      </c>
      <c r="D240" s="203" t="str">
        <f>IF($A240&gt;MAX(入力シート!$AF$6:$AF$505),"",INDEX(テーブル22[[学年]:[得点]],MATCH(体力優良証交付申請!$A240,入力シート!$AF$6:$AF$505,0),MATCH(体力優良証交付申請!D$14,テーブル22[[#Headers],[学年]:[得点]],0)))</f>
        <v/>
      </c>
      <c r="E240" s="203" t="str">
        <f>IF($A240&gt;MAX(入力シート!$AF$6:$AF$505),"",INDEX(テーブル22[[学年]:[得点]],MATCH(体力優良証交付申請!$A240,入力シート!$AF$6:$AF$505,0),MATCH(体力優良証交付申請!E$14,テーブル22[[#Headers],[学年]:[得点]],0)))</f>
        <v/>
      </c>
      <c r="F240" s="203" t="str">
        <f>IF($A240&gt;MAX(入力シート!$AF$6:$AF$505),"",INDEX(テーブル22[[学年]:[得点]],MATCH(体力優良証交付申請!$A240,入力シート!$AF$6:$AF$505,0),MATCH(体力優良証交付申請!F$14,テーブル22[[#Headers],[学年]:[得点]],0)))</f>
        <v/>
      </c>
      <c r="G240" s="203" t="str">
        <f>IF($A240&gt;MAX(入力シート!$AF$6:$AF$505),"",INDEX(テーブル22[[学年]:[得点]],MATCH(体力優良証交付申請!$A240,入力シート!$AF$6:$AF$505,0),MATCH(体力優良証交付申請!G$14,テーブル22[[#Headers],[学年]:[得点]],0)))</f>
        <v/>
      </c>
      <c r="H240" s="203" t="str">
        <f>IF($A240&gt;MAX(入力シート!$AF$6:$AF$505),"",INDEX(テーブル22[[学年]:[得点]],MATCH(体力優良証交付申請!$A240,入力シート!$AF$6:$AF$505,0),MATCH(体力優良証交付申請!H$14,テーブル22[[#Headers],[学年]:[得点]],0)))</f>
        <v/>
      </c>
      <c r="I240" s="203" t="str">
        <f>IF($A240&gt;MAX(入力シート!$AF$6:$AF$505),"",INDEX(テーブル22[[学年]:[得点]],MATCH(体力優良証交付申請!$A240,入力シート!$AF$6:$AF$505,0),MATCH(体力優良証交付申請!I$14,テーブル22[[#Headers],[学年]:[得点]],0)))</f>
        <v/>
      </c>
      <c r="J240" s="114" t="str">
        <f>IF($A240&gt;MAX(入力シート!$AF$6:$AF$505),"",INDEX(テーブル22[[学年]:[得点]],MATCH(体力優良証交付申請!$A240,入力シート!$AF$6:$AF$505,0),MATCH(体力優良証交付申請!J$14,テーブル22[[#Headers],[学年]:[得点]],0)))</f>
        <v/>
      </c>
      <c r="K240" s="203" t="str">
        <f>IF($A240&gt;MAX(入力シート!$AF$6:$AF$505),"",INDEX(テーブル22[[学年]:[得点]],MATCH(体力優良証交付申請!$A240,入力シート!$AF$6:$AF$505,0),MATCH(体力優良証交付申請!K$14,テーブル22[[#Headers],[学年]:[得点]],0)))</f>
        <v/>
      </c>
      <c r="L240" s="203" t="str">
        <f>IF($A240&gt;MAX(入力シート!$AF$6:$AF$505),"",INDEX(テーブル22[[学年]:[得点]],MATCH(体力優良証交付申請!$A240,入力シート!$AF$6:$AF$505,0),MATCH(体力優良証交付申請!L$14,テーブル22[[#Headers],[学年]:[得点]],0)))</f>
        <v/>
      </c>
      <c r="M240" s="28" t="str">
        <f>IF($A240&gt;MAX(入力シート!$AF$6:$AF$505),"",INDEX(テーブル22[[学年]:[得点]],MATCH(体力優良証交付申請!$A240,入力シート!$AF$6:$AF$505,0),MATCH(体力優良証交付申請!M$14,テーブル22[[#Headers],[学年]:[得点]],0)))</f>
        <v/>
      </c>
    </row>
    <row r="241" spans="1:13" x14ac:dyDescent="0.2">
      <c r="A241" s="16">
        <v>227</v>
      </c>
      <c r="B241" s="130" t="str">
        <f>IF($A241&gt;MAX(入力シート!$AF$6:$AF$505),"",INDEX(テーブル22[[学年]:[得点]],MATCH(体力優良証交付申請!$A241,入力シート!$AF$6:$AF$505,0),MATCH(体力優良証交付申請!B$14,テーブル22[[#Headers],[学年]:[得点]],0)))</f>
        <v/>
      </c>
      <c r="C241" s="203" t="str">
        <f>IF($A241&gt;MAX(入力シート!$AF$6:$AF$505),"",INDEX(テーブル22[[学年]:[得点]],MATCH(体力優良証交付申請!$A241,入力シート!$AF$6:$AF$505,0),MATCH(体力優良証交付申請!C$14,テーブル22[[#Headers],[学年]:[得点]],0)))</f>
        <v/>
      </c>
      <c r="D241" s="203" t="str">
        <f>IF($A241&gt;MAX(入力シート!$AF$6:$AF$505),"",INDEX(テーブル22[[学年]:[得点]],MATCH(体力優良証交付申請!$A241,入力シート!$AF$6:$AF$505,0),MATCH(体力優良証交付申請!D$14,テーブル22[[#Headers],[学年]:[得点]],0)))</f>
        <v/>
      </c>
      <c r="E241" s="203" t="str">
        <f>IF($A241&gt;MAX(入力シート!$AF$6:$AF$505),"",INDEX(テーブル22[[学年]:[得点]],MATCH(体力優良証交付申請!$A241,入力シート!$AF$6:$AF$505,0),MATCH(体力優良証交付申請!E$14,テーブル22[[#Headers],[学年]:[得点]],0)))</f>
        <v/>
      </c>
      <c r="F241" s="203" t="str">
        <f>IF($A241&gt;MAX(入力シート!$AF$6:$AF$505),"",INDEX(テーブル22[[学年]:[得点]],MATCH(体力優良証交付申請!$A241,入力シート!$AF$6:$AF$505,0),MATCH(体力優良証交付申請!F$14,テーブル22[[#Headers],[学年]:[得点]],0)))</f>
        <v/>
      </c>
      <c r="G241" s="203" t="str">
        <f>IF($A241&gt;MAX(入力シート!$AF$6:$AF$505),"",INDEX(テーブル22[[学年]:[得点]],MATCH(体力優良証交付申請!$A241,入力シート!$AF$6:$AF$505,0),MATCH(体力優良証交付申請!G$14,テーブル22[[#Headers],[学年]:[得点]],0)))</f>
        <v/>
      </c>
      <c r="H241" s="203" t="str">
        <f>IF($A241&gt;MAX(入力シート!$AF$6:$AF$505),"",INDEX(テーブル22[[学年]:[得点]],MATCH(体力優良証交付申請!$A241,入力シート!$AF$6:$AF$505,0),MATCH(体力優良証交付申請!H$14,テーブル22[[#Headers],[学年]:[得点]],0)))</f>
        <v/>
      </c>
      <c r="I241" s="203" t="str">
        <f>IF($A241&gt;MAX(入力シート!$AF$6:$AF$505),"",INDEX(テーブル22[[学年]:[得点]],MATCH(体力優良証交付申請!$A241,入力シート!$AF$6:$AF$505,0),MATCH(体力優良証交付申請!I$14,テーブル22[[#Headers],[学年]:[得点]],0)))</f>
        <v/>
      </c>
      <c r="J241" s="114" t="str">
        <f>IF($A241&gt;MAX(入力シート!$AF$6:$AF$505),"",INDEX(テーブル22[[学年]:[得点]],MATCH(体力優良証交付申請!$A241,入力シート!$AF$6:$AF$505,0),MATCH(体力優良証交付申請!J$14,テーブル22[[#Headers],[学年]:[得点]],0)))</f>
        <v/>
      </c>
      <c r="K241" s="203" t="str">
        <f>IF($A241&gt;MAX(入力シート!$AF$6:$AF$505),"",INDEX(テーブル22[[学年]:[得点]],MATCH(体力優良証交付申請!$A241,入力シート!$AF$6:$AF$505,0),MATCH(体力優良証交付申請!K$14,テーブル22[[#Headers],[学年]:[得点]],0)))</f>
        <v/>
      </c>
      <c r="L241" s="203" t="str">
        <f>IF($A241&gt;MAX(入力シート!$AF$6:$AF$505),"",INDEX(テーブル22[[学年]:[得点]],MATCH(体力優良証交付申請!$A241,入力シート!$AF$6:$AF$505,0),MATCH(体力優良証交付申請!L$14,テーブル22[[#Headers],[学年]:[得点]],0)))</f>
        <v/>
      </c>
      <c r="M241" s="28" t="str">
        <f>IF($A241&gt;MAX(入力シート!$AF$6:$AF$505),"",INDEX(テーブル22[[学年]:[得点]],MATCH(体力優良証交付申請!$A241,入力シート!$AF$6:$AF$505,0),MATCH(体力優良証交付申請!M$14,テーブル22[[#Headers],[学年]:[得点]],0)))</f>
        <v/>
      </c>
    </row>
    <row r="242" spans="1:13" x14ac:dyDescent="0.2">
      <c r="A242" s="16">
        <v>228</v>
      </c>
      <c r="B242" s="130" t="str">
        <f>IF($A242&gt;MAX(入力シート!$AF$6:$AF$505),"",INDEX(テーブル22[[学年]:[得点]],MATCH(体力優良証交付申請!$A242,入力シート!$AF$6:$AF$505,0),MATCH(体力優良証交付申請!B$14,テーブル22[[#Headers],[学年]:[得点]],0)))</f>
        <v/>
      </c>
      <c r="C242" s="203" t="str">
        <f>IF($A242&gt;MAX(入力シート!$AF$6:$AF$505),"",INDEX(テーブル22[[学年]:[得点]],MATCH(体力優良証交付申請!$A242,入力シート!$AF$6:$AF$505,0),MATCH(体力優良証交付申請!C$14,テーブル22[[#Headers],[学年]:[得点]],0)))</f>
        <v/>
      </c>
      <c r="D242" s="203" t="str">
        <f>IF($A242&gt;MAX(入力シート!$AF$6:$AF$505),"",INDEX(テーブル22[[学年]:[得点]],MATCH(体力優良証交付申請!$A242,入力シート!$AF$6:$AF$505,0),MATCH(体力優良証交付申請!D$14,テーブル22[[#Headers],[学年]:[得点]],0)))</f>
        <v/>
      </c>
      <c r="E242" s="203" t="str">
        <f>IF($A242&gt;MAX(入力シート!$AF$6:$AF$505),"",INDEX(テーブル22[[学年]:[得点]],MATCH(体力優良証交付申請!$A242,入力シート!$AF$6:$AF$505,0),MATCH(体力優良証交付申請!E$14,テーブル22[[#Headers],[学年]:[得点]],0)))</f>
        <v/>
      </c>
      <c r="F242" s="203" t="str">
        <f>IF($A242&gt;MAX(入力シート!$AF$6:$AF$505),"",INDEX(テーブル22[[学年]:[得点]],MATCH(体力優良証交付申請!$A242,入力シート!$AF$6:$AF$505,0),MATCH(体力優良証交付申請!F$14,テーブル22[[#Headers],[学年]:[得点]],0)))</f>
        <v/>
      </c>
      <c r="G242" s="203" t="str">
        <f>IF($A242&gt;MAX(入力シート!$AF$6:$AF$505),"",INDEX(テーブル22[[学年]:[得点]],MATCH(体力優良証交付申請!$A242,入力シート!$AF$6:$AF$505,0),MATCH(体力優良証交付申請!G$14,テーブル22[[#Headers],[学年]:[得点]],0)))</f>
        <v/>
      </c>
      <c r="H242" s="203" t="str">
        <f>IF($A242&gt;MAX(入力シート!$AF$6:$AF$505),"",INDEX(テーブル22[[学年]:[得点]],MATCH(体力優良証交付申請!$A242,入力シート!$AF$6:$AF$505,0),MATCH(体力優良証交付申請!H$14,テーブル22[[#Headers],[学年]:[得点]],0)))</f>
        <v/>
      </c>
      <c r="I242" s="203" t="str">
        <f>IF($A242&gt;MAX(入力シート!$AF$6:$AF$505),"",INDEX(テーブル22[[学年]:[得点]],MATCH(体力優良証交付申請!$A242,入力シート!$AF$6:$AF$505,0),MATCH(体力優良証交付申請!I$14,テーブル22[[#Headers],[学年]:[得点]],0)))</f>
        <v/>
      </c>
      <c r="J242" s="114" t="str">
        <f>IF($A242&gt;MAX(入力シート!$AF$6:$AF$505),"",INDEX(テーブル22[[学年]:[得点]],MATCH(体力優良証交付申請!$A242,入力シート!$AF$6:$AF$505,0),MATCH(体力優良証交付申請!J$14,テーブル22[[#Headers],[学年]:[得点]],0)))</f>
        <v/>
      </c>
      <c r="K242" s="203" t="str">
        <f>IF($A242&gt;MAX(入力シート!$AF$6:$AF$505),"",INDEX(テーブル22[[学年]:[得点]],MATCH(体力優良証交付申請!$A242,入力シート!$AF$6:$AF$505,0),MATCH(体力優良証交付申請!K$14,テーブル22[[#Headers],[学年]:[得点]],0)))</f>
        <v/>
      </c>
      <c r="L242" s="203" t="str">
        <f>IF($A242&gt;MAX(入力シート!$AF$6:$AF$505),"",INDEX(テーブル22[[学年]:[得点]],MATCH(体力優良証交付申請!$A242,入力シート!$AF$6:$AF$505,0),MATCH(体力優良証交付申請!L$14,テーブル22[[#Headers],[学年]:[得点]],0)))</f>
        <v/>
      </c>
      <c r="M242" s="28" t="str">
        <f>IF($A242&gt;MAX(入力シート!$AF$6:$AF$505),"",INDEX(テーブル22[[学年]:[得点]],MATCH(体力優良証交付申請!$A242,入力シート!$AF$6:$AF$505,0),MATCH(体力優良証交付申請!M$14,テーブル22[[#Headers],[学年]:[得点]],0)))</f>
        <v/>
      </c>
    </row>
    <row r="243" spans="1:13" x14ac:dyDescent="0.2">
      <c r="A243" s="16">
        <v>229</v>
      </c>
      <c r="B243" s="130" t="str">
        <f>IF($A243&gt;MAX(入力シート!$AF$6:$AF$505),"",INDEX(テーブル22[[学年]:[得点]],MATCH(体力優良証交付申請!$A243,入力シート!$AF$6:$AF$505,0),MATCH(体力優良証交付申請!B$14,テーブル22[[#Headers],[学年]:[得点]],0)))</f>
        <v/>
      </c>
      <c r="C243" s="203" t="str">
        <f>IF($A243&gt;MAX(入力シート!$AF$6:$AF$505),"",INDEX(テーブル22[[学年]:[得点]],MATCH(体力優良証交付申請!$A243,入力シート!$AF$6:$AF$505,0),MATCH(体力優良証交付申請!C$14,テーブル22[[#Headers],[学年]:[得点]],0)))</f>
        <v/>
      </c>
      <c r="D243" s="203" t="str">
        <f>IF($A243&gt;MAX(入力シート!$AF$6:$AF$505),"",INDEX(テーブル22[[学年]:[得点]],MATCH(体力優良証交付申請!$A243,入力シート!$AF$6:$AF$505,0),MATCH(体力優良証交付申請!D$14,テーブル22[[#Headers],[学年]:[得点]],0)))</f>
        <v/>
      </c>
      <c r="E243" s="203" t="str">
        <f>IF($A243&gt;MAX(入力シート!$AF$6:$AF$505),"",INDEX(テーブル22[[学年]:[得点]],MATCH(体力優良証交付申請!$A243,入力シート!$AF$6:$AF$505,0),MATCH(体力優良証交付申請!E$14,テーブル22[[#Headers],[学年]:[得点]],0)))</f>
        <v/>
      </c>
      <c r="F243" s="203" t="str">
        <f>IF($A243&gt;MAX(入力シート!$AF$6:$AF$505),"",INDEX(テーブル22[[学年]:[得点]],MATCH(体力優良証交付申請!$A243,入力シート!$AF$6:$AF$505,0),MATCH(体力優良証交付申請!F$14,テーブル22[[#Headers],[学年]:[得点]],0)))</f>
        <v/>
      </c>
      <c r="G243" s="203" t="str">
        <f>IF($A243&gt;MAX(入力シート!$AF$6:$AF$505),"",INDEX(テーブル22[[学年]:[得点]],MATCH(体力優良証交付申請!$A243,入力シート!$AF$6:$AF$505,0),MATCH(体力優良証交付申請!G$14,テーブル22[[#Headers],[学年]:[得点]],0)))</f>
        <v/>
      </c>
      <c r="H243" s="203" t="str">
        <f>IF($A243&gt;MAX(入力シート!$AF$6:$AF$505),"",INDEX(テーブル22[[学年]:[得点]],MATCH(体力優良証交付申請!$A243,入力シート!$AF$6:$AF$505,0),MATCH(体力優良証交付申請!H$14,テーブル22[[#Headers],[学年]:[得点]],0)))</f>
        <v/>
      </c>
      <c r="I243" s="203" t="str">
        <f>IF($A243&gt;MAX(入力シート!$AF$6:$AF$505),"",INDEX(テーブル22[[学年]:[得点]],MATCH(体力優良証交付申請!$A243,入力シート!$AF$6:$AF$505,0),MATCH(体力優良証交付申請!I$14,テーブル22[[#Headers],[学年]:[得点]],0)))</f>
        <v/>
      </c>
      <c r="J243" s="114" t="str">
        <f>IF($A243&gt;MAX(入力シート!$AF$6:$AF$505),"",INDEX(テーブル22[[学年]:[得点]],MATCH(体力優良証交付申請!$A243,入力シート!$AF$6:$AF$505,0),MATCH(体力優良証交付申請!J$14,テーブル22[[#Headers],[学年]:[得点]],0)))</f>
        <v/>
      </c>
      <c r="K243" s="203" t="str">
        <f>IF($A243&gt;MAX(入力シート!$AF$6:$AF$505),"",INDEX(テーブル22[[学年]:[得点]],MATCH(体力優良証交付申請!$A243,入力シート!$AF$6:$AF$505,0),MATCH(体力優良証交付申請!K$14,テーブル22[[#Headers],[学年]:[得点]],0)))</f>
        <v/>
      </c>
      <c r="L243" s="203" t="str">
        <f>IF($A243&gt;MAX(入力シート!$AF$6:$AF$505),"",INDEX(テーブル22[[学年]:[得点]],MATCH(体力優良証交付申請!$A243,入力シート!$AF$6:$AF$505,0),MATCH(体力優良証交付申請!L$14,テーブル22[[#Headers],[学年]:[得点]],0)))</f>
        <v/>
      </c>
      <c r="M243" s="28" t="str">
        <f>IF($A243&gt;MAX(入力シート!$AF$6:$AF$505),"",INDEX(テーブル22[[学年]:[得点]],MATCH(体力優良証交付申請!$A243,入力シート!$AF$6:$AF$505,0),MATCH(体力優良証交付申請!M$14,テーブル22[[#Headers],[学年]:[得点]],0)))</f>
        <v/>
      </c>
    </row>
    <row r="244" spans="1:13" x14ac:dyDescent="0.2">
      <c r="A244" s="16">
        <v>230</v>
      </c>
      <c r="B244" s="130" t="str">
        <f>IF($A244&gt;MAX(入力シート!$AF$6:$AF$505),"",INDEX(テーブル22[[学年]:[得点]],MATCH(体力優良証交付申請!$A244,入力シート!$AF$6:$AF$505,0),MATCH(体力優良証交付申請!B$14,テーブル22[[#Headers],[学年]:[得点]],0)))</f>
        <v/>
      </c>
      <c r="C244" s="203" t="str">
        <f>IF($A244&gt;MAX(入力シート!$AF$6:$AF$505),"",INDEX(テーブル22[[学年]:[得点]],MATCH(体力優良証交付申請!$A244,入力シート!$AF$6:$AF$505,0),MATCH(体力優良証交付申請!C$14,テーブル22[[#Headers],[学年]:[得点]],0)))</f>
        <v/>
      </c>
      <c r="D244" s="203" t="str">
        <f>IF($A244&gt;MAX(入力シート!$AF$6:$AF$505),"",INDEX(テーブル22[[学年]:[得点]],MATCH(体力優良証交付申請!$A244,入力シート!$AF$6:$AF$505,0),MATCH(体力優良証交付申請!D$14,テーブル22[[#Headers],[学年]:[得点]],0)))</f>
        <v/>
      </c>
      <c r="E244" s="203" t="str">
        <f>IF($A244&gt;MAX(入力シート!$AF$6:$AF$505),"",INDEX(テーブル22[[学年]:[得点]],MATCH(体力優良証交付申請!$A244,入力シート!$AF$6:$AF$505,0),MATCH(体力優良証交付申請!E$14,テーブル22[[#Headers],[学年]:[得点]],0)))</f>
        <v/>
      </c>
      <c r="F244" s="203" t="str">
        <f>IF($A244&gt;MAX(入力シート!$AF$6:$AF$505),"",INDEX(テーブル22[[学年]:[得点]],MATCH(体力優良証交付申請!$A244,入力シート!$AF$6:$AF$505,0),MATCH(体力優良証交付申請!F$14,テーブル22[[#Headers],[学年]:[得点]],0)))</f>
        <v/>
      </c>
      <c r="G244" s="203" t="str">
        <f>IF($A244&gt;MAX(入力シート!$AF$6:$AF$505),"",INDEX(テーブル22[[学年]:[得点]],MATCH(体力優良証交付申請!$A244,入力シート!$AF$6:$AF$505,0),MATCH(体力優良証交付申請!G$14,テーブル22[[#Headers],[学年]:[得点]],0)))</f>
        <v/>
      </c>
      <c r="H244" s="203" t="str">
        <f>IF($A244&gt;MAX(入力シート!$AF$6:$AF$505),"",INDEX(テーブル22[[学年]:[得点]],MATCH(体力優良証交付申請!$A244,入力シート!$AF$6:$AF$505,0),MATCH(体力優良証交付申請!H$14,テーブル22[[#Headers],[学年]:[得点]],0)))</f>
        <v/>
      </c>
      <c r="I244" s="203" t="str">
        <f>IF($A244&gt;MAX(入力シート!$AF$6:$AF$505),"",INDEX(テーブル22[[学年]:[得点]],MATCH(体力優良証交付申請!$A244,入力シート!$AF$6:$AF$505,0),MATCH(体力優良証交付申請!I$14,テーブル22[[#Headers],[学年]:[得点]],0)))</f>
        <v/>
      </c>
      <c r="J244" s="114" t="str">
        <f>IF($A244&gt;MAX(入力シート!$AF$6:$AF$505),"",INDEX(テーブル22[[学年]:[得点]],MATCH(体力優良証交付申請!$A244,入力シート!$AF$6:$AF$505,0),MATCH(体力優良証交付申請!J$14,テーブル22[[#Headers],[学年]:[得点]],0)))</f>
        <v/>
      </c>
      <c r="K244" s="203" t="str">
        <f>IF($A244&gt;MAX(入力シート!$AF$6:$AF$505),"",INDEX(テーブル22[[学年]:[得点]],MATCH(体力優良証交付申請!$A244,入力シート!$AF$6:$AF$505,0),MATCH(体力優良証交付申請!K$14,テーブル22[[#Headers],[学年]:[得点]],0)))</f>
        <v/>
      </c>
      <c r="L244" s="203" t="str">
        <f>IF($A244&gt;MAX(入力シート!$AF$6:$AF$505),"",INDEX(テーブル22[[学年]:[得点]],MATCH(体力優良証交付申請!$A244,入力シート!$AF$6:$AF$505,0),MATCH(体力優良証交付申請!L$14,テーブル22[[#Headers],[学年]:[得点]],0)))</f>
        <v/>
      </c>
      <c r="M244" s="28" t="str">
        <f>IF($A244&gt;MAX(入力シート!$AF$6:$AF$505),"",INDEX(テーブル22[[学年]:[得点]],MATCH(体力優良証交付申請!$A244,入力シート!$AF$6:$AF$505,0),MATCH(体力優良証交付申請!M$14,テーブル22[[#Headers],[学年]:[得点]],0)))</f>
        <v/>
      </c>
    </row>
    <row r="245" spans="1:13" x14ac:dyDescent="0.2">
      <c r="A245" s="16">
        <v>231</v>
      </c>
      <c r="B245" s="130" t="str">
        <f>IF($A245&gt;MAX(入力シート!$AF$6:$AF$505),"",INDEX(テーブル22[[学年]:[得点]],MATCH(体力優良証交付申請!$A245,入力シート!$AF$6:$AF$505,0),MATCH(体力優良証交付申請!B$14,テーブル22[[#Headers],[学年]:[得点]],0)))</f>
        <v/>
      </c>
      <c r="C245" s="203" t="str">
        <f>IF($A245&gt;MAX(入力シート!$AF$6:$AF$505),"",INDEX(テーブル22[[学年]:[得点]],MATCH(体力優良証交付申請!$A245,入力シート!$AF$6:$AF$505,0),MATCH(体力優良証交付申請!C$14,テーブル22[[#Headers],[学年]:[得点]],0)))</f>
        <v/>
      </c>
      <c r="D245" s="203" t="str">
        <f>IF($A245&gt;MAX(入力シート!$AF$6:$AF$505),"",INDEX(テーブル22[[学年]:[得点]],MATCH(体力優良証交付申請!$A245,入力シート!$AF$6:$AF$505,0),MATCH(体力優良証交付申請!D$14,テーブル22[[#Headers],[学年]:[得点]],0)))</f>
        <v/>
      </c>
      <c r="E245" s="203" t="str">
        <f>IF($A245&gt;MAX(入力シート!$AF$6:$AF$505),"",INDEX(テーブル22[[学年]:[得点]],MATCH(体力優良証交付申請!$A245,入力シート!$AF$6:$AF$505,0),MATCH(体力優良証交付申請!E$14,テーブル22[[#Headers],[学年]:[得点]],0)))</f>
        <v/>
      </c>
      <c r="F245" s="203" t="str">
        <f>IF($A245&gt;MAX(入力シート!$AF$6:$AF$505),"",INDEX(テーブル22[[学年]:[得点]],MATCH(体力優良証交付申請!$A245,入力シート!$AF$6:$AF$505,0),MATCH(体力優良証交付申請!F$14,テーブル22[[#Headers],[学年]:[得点]],0)))</f>
        <v/>
      </c>
      <c r="G245" s="203" t="str">
        <f>IF($A245&gt;MAX(入力シート!$AF$6:$AF$505),"",INDEX(テーブル22[[学年]:[得点]],MATCH(体力優良証交付申請!$A245,入力シート!$AF$6:$AF$505,0),MATCH(体力優良証交付申請!G$14,テーブル22[[#Headers],[学年]:[得点]],0)))</f>
        <v/>
      </c>
      <c r="H245" s="203" t="str">
        <f>IF($A245&gt;MAX(入力シート!$AF$6:$AF$505),"",INDEX(テーブル22[[学年]:[得点]],MATCH(体力優良証交付申請!$A245,入力シート!$AF$6:$AF$505,0),MATCH(体力優良証交付申請!H$14,テーブル22[[#Headers],[学年]:[得点]],0)))</f>
        <v/>
      </c>
      <c r="I245" s="203" t="str">
        <f>IF($A245&gt;MAX(入力シート!$AF$6:$AF$505),"",INDEX(テーブル22[[学年]:[得点]],MATCH(体力優良証交付申請!$A245,入力シート!$AF$6:$AF$505,0),MATCH(体力優良証交付申請!I$14,テーブル22[[#Headers],[学年]:[得点]],0)))</f>
        <v/>
      </c>
      <c r="J245" s="114" t="str">
        <f>IF($A245&gt;MAX(入力シート!$AF$6:$AF$505),"",INDEX(テーブル22[[学年]:[得点]],MATCH(体力優良証交付申請!$A245,入力シート!$AF$6:$AF$505,0),MATCH(体力優良証交付申請!J$14,テーブル22[[#Headers],[学年]:[得点]],0)))</f>
        <v/>
      </c>
      <c r="K245" s="203" t="str">
        <f>IF($A245&gt;MAX(入力シート!$AF$6:$AF$505),"",INDEX(テーブル22[[学年]:[得点]],MATCH(体力優良証交付申請!$A245,入力シート!$AF$6:$AF$505,0),MATCH(体力優良証交付申請!K$14,テーブル22[[#Headers],[学年]:[得点]],0)))</f>
        <v/>
      </c>
      <c r="L245" s="203" t="str">
        <f>IF($A245&gt;MAX(入力シート!$AF$6:$AF$505),"",INDEX(テーブル22[[学年]:[得点]],MATCH(体力優良証交付申請!$A245,入力シート!$AF$6:$AF$505,0),MATCH(体力優良証交付申請!L$14,テーブル22[[#Headers],[学年]:[得点]],0)))</f>
        <v/>
      </c>
      <c r="M245" s="28" t="str">
        <f>IF($A245&gt;MAX(入力シート!$AF$6:$AF$505),"",INDEX(テーブル22[[学年]:[得点]],MATCH(体力優良証交付申請!$A245,入力シート!$AF$6:$AF$505,0),MATCH(体力優良証交付申請!M$14,テーブル22[[#Headers],[学年]:[得点]],0)))</f>
        <v/>
      </c>
    </row>
    <row r="246" spans="1:13" x14ac:dyDescent="0.2">
      <c r="A246" s="16">
        <v>232</v>
      </c>
      <c r="B246" s="130" t="str">
        <f>IF($A246&gt;MAX(入力シート!$AF$6:$AF$505),"",INDEX(テーブル22[[学年]:[得点]],MATCH(体力優良証交付申請!$A246,入力シート!$AF$6:$AF$505,0),MATCH(体力優良証交付申請!B$14,テーブル22[[#Headers],[学年]:[得点]],0)))</f>
        <v/>
      </c>
      <c r="C246" s="203" t="str">
        <f>IF($A246&gt;MAX(入力シート!$AF$6:$AF$505),"",INDEX(テーブル22[[学年]:[得点]],MATCH(体力優良証交付申請!$A246,入力シート!$AF$6:$AF$505,0),MATCH(体力優良証交付申請!C$14,テーブル22[[#Headers],[学年]:[得点]],0)))</f>
        <v/>
      </c>
      <c r="D246" s="203" t="str">
        <f>IF($A246&gt;MAX(入力シート!$AF$6:$AF$505),"",INDEX(テーブル22[[学年]:[得点]],MATCH(体力優良証交付申請!$A246,入力シート!$AF$6:$AF$505,0),MATCH(体力優良証交付申請!D$14,テーブル22[[#Headers],[学年]:[得点]],0)))</f>
        <v/>
      </c>
      <c r="E246" s="203" t="str">
        <f>IF($A246&gt;MAX(入力シート!$AF$6:$AF$505),"",INDEX(テーブル22[[学年]:[得点]],MATCH(体力優良証交付申請!$A246,入力シート!$AF$6:$AF$505,0),MATCH(体力優良証交付申請!E$14,テーブル22[[#Headers],[学年]:[得点]],0)))</f>
        <v/>
      </c>
      <c r="F246" s="203" t="str">
        <f>IF($A246&gt;MAX(入力シート!$AF$6:$AF$505),"",INDEX(テーブル22[[学年]:[得点]],MATCH(体力優良証交付申請!$A246,入力シート!$AF$6:$AF$505,0),MATCH(体力優良証交付申請!F$14,テーブル22[[#Headers],[学年]:[得点]],0)))</f>
        <v/>
      </c>
      <c r="G246" s="203" t="str">
        <f>IF($A246&gt;MAX(入力シート!$AF$6:$AF$505),"",INDEX(テーブル22[[学年]:[得点]],MATCH(体力優良証交付申請!$A246,入力シート!$AF$6:$AF$505,0),MATCH(体力優良証交付申請!G$14,テーブル22[[#Headers],[学年]:[得点]],0)))</f>
        <v/>
      </c>
      <c r="H246" s="203" t="str">
        <f>IF($A246&gt;MAX(入力シート!$AF$6:$AF$505),"",INDEX(テーブル22[[学年]:[得点]],MATCH(体力優良証交付申請!$A246,入力シート!$AF$6:$AF$505,0),MATCH(体力優良証交付申請!H$14,テーブル22[[#Headers],[学年]:[得点]],0)))</f>
        <v/>
      </c>
      <c r="I246" s="203" t="str">
        <f>IF($A246&gt;MAX(入力シート!$AF$6:$AF$505),"",INDEX(テーブル22[[学年]:[得点]],MATCH(体力優良証交付申請!$A246,入力シート!$AF$6:$AF$505,0),MATCH(体力優良証交付申請!I$14,テーブル22[[#Headers],[学年]:[得点]],0)))</f>
        <v/>
      </c>
      <c r="J246" s="114" t="str">
        <f>IF($A246&gt;MAX(入力シート!$AF$6:$AF$505),"",INDEX(テーブル22[[学年]:[得点]],MATCH(体力優良証交付申請!$A246,入力シート!$AF$6:$AF$505,0),MATCH(体力優良証交付申請!J$14,テーブル22[[#Headers],[学年]:[得点]],0)))</f>
        <v/>
      </c>
      <c r="K246" s="203" t="str">
        <f>IF($A246&gt;MAX(入力シート!$AF$6:$AF$505),"",INDEX(テーブル22[[学年]:[得点]],MATCH(体力優良証交付申請!$A246,入力シート!$AF$6:$AF$505,0),MATCH(体力優良証交付申請!K$14,テーブル22[[#Headers],[学年]:[得点]],0)))</f>
        <v/>
      </c>
      <c r="L246" s="203" t="str">
        <f>IF($A246&gt;MAX(入力シート!$AF$6:$AF$505),"",INDEX(テーブル22[[学年]:[得点]],MATCH(体力優良証交付申請!$A246,入力シート!$AF$6:$AF$505,0),MATCH(体力優良証交付申請!L$14,テーブル22[[#Headers],[学年]:[得点]],0)))</f>
        <v/>
      </c>
      <c r="M246" s="28" t="str">
        <f>IF($A246&gt;MAX(入力シート!$AF$6:$AF$505),"",INDEX(テーブル22[[学年]:[得点]],MATCH(体力優良証交付申請!$A246,入力シート!$AF$6:$AF$505,0),MATCH(体力優良証交付申請!M$14,テーブル22[[#Headers],[学年]:[得点]],0)))</f>
        <v/>
      </c>
    </row>
    <row r="247" spans="1:13" x14ac:dyDescent="0.2">
      <c r="A247" s="16">
        <v>233</v>
      </c>
      <c r="B247" s="130" t="str">
        <f>IF($A247&gt;MAX(入力シート!$AF$6:$AF$505),"",INDEX(テーブル22[[学年]:[得点]],MATCH(体力優良証交付申請!$A247,入力シート!$AF$6:$AF$505,0),MATCH(体力優良証交付申請!B$14,テーブル22[[#Headers],[学年]:[得点]],0)))</f>
        <v/>
      </c>
      <c r="C247" s="203" t="str">
        <f>IF($A247&gt;MAX(入力シート!$AF$6:$AF$505),"",INDEX(テーブル22[[学年]:[得点]],MATCH(体力優良証交付申請!$A247,入力シート!$AF$6:$AF$505,0),MATCH(体力優良証交付申請!C$14,テーブル22[[#Headers],[学年]:[得点]],0)))</f>
        <v/>
      </c>
      <c r="D247" s="203" t="str">
        <f>IF($A247&gt;MAX(入力シート!$AF$6:$AF$505),"",INDEX(テーブル22[[学年]:[得点]],MATCH(体力優良証交付申請!$A247,入力シート!$AF$6:$AF$505,0),MATCH(体力優良証交付申請!D$14,テーブル22[[#Headers],[学年]:[得点]],0)))</f>
        <v/>
      </c>
      <c r="E247" s="203" t="str">
        <f>IF($A247&gt;MAX(入力シート!$AF$6:$AF$505),"",INDEX(テーブル22[[学年]:[得点]],MATCH(体力優良証交付申請!$A247,入力シート!$AF$6:$AF$505,0),MATCH(体力優良証交付申請!E$14,テーブル22[[#Headers],[学年]:[得点]],0)))</f>
        <v/>
      </c>
      <c r="F247" s="203" t="str">
        <f>IF($A247&gt;MAX(入力シート!$AF$6:$AF$505),"",INDEX(テーブル22[[学年]:[得点]],MATCH(体力優良証交付申請!$A247,入力シート!$AF$6:$AF$505,0),MATCH(体力優良証交付申請!F$14,テーブル22[[#Headers],[学年]:[得点]],0)))</f>
        <v/>
      </c>
      <c r="G247" s="203" t="str">
        <f>IF($A247&gt;MAX(入力シート!$AF$6:$AF$505),"",INDEX(テーブル22[[学年]:[得点]],MATCH(体力優良証交付申請!$A247,入力シート!$AF$6:$AF$505,0),MATCH(体力優良証交付申請!G$14,テーブル22[[#Headers],[学年]:[得点]],0)))</f>
        <v/>
      </c>
      <c r="H247" s="203" t="str">
        <f>IF($A247&gt;MAX(入力シート!$AF$6:$AF$505),"",INDEX(テーブル22[[学年]:[得点]],MATCH(体力優良証交付申請!$A247,入力シート!$AF$6:$AF$505,0),MATCH(体力優良証交付申請!H$14,テーブル22[[#Headers],[学年]:[得点]],0)))</f>
        <v/>
      </c>
      <c r="I247" s="203" t="str">
        <f>IF($A247&gt;MAX(入力シート!$AF$6:$AF$505),"",INDEX(テーブル22[[学年]:[得点]],MATCH(体力優良証交付申請!$A247,入力シート!$AF$6:$AF$505,0),MATCH(体力優良証交付申請!I$14,テーブル22[[#Headers],[学年]:[得点]],0)))</f>
        <v/>
      </c>
      <c r="J247" s="114" t="str">
        <f>IF($A247&gt;MAX(入力シート!$AF$6:$AF$505),"",INDEX(テーブル22[[学年]:[得点]],MATCH(体力優良証交付申請!$A247,入力シート!$AF$6:$AF$505,0),MATCH(体力優良証交付申請!J$14,テーブル22[[#Headers],[学年]:[得点]],0)))</f>
        <v/>
      </c>
      <c r="K247" s="203" t="str">
        <f>IF($A247&gt;MAX(入力シート!$AF$6:$AF$505),"",INDEX(テーブル22[[学年]:[得点]],MATCH(体力優良証交付申請!$A247,入力シート!$AF$6:$AF$505,0),MATCH(体力優良証交付申請!K$14,テーブル22[[#Headers],[学年]:[得点]],0)))</f>
        <v/>
      </c>
      <c r="L247" s="203" t="str">
        <f>IF($A247&gt;MAX(入力シート!$AF$6:$AF$505),"",INDEX(テーブル22[[学年]:[得点]],MATCH(体力優良証交付申請!$A247,入力シート!$AF$6:$AF$505,0),MATCH(体力優良証交付申請!L$14,テーブル22[[#Headers],[学年]:[得点]],0)))</f>
        <v/>
      </c>
      <c r="M247" s="28" t="str">
        <f>IF($A247&gt;MAX(入力シート!$AF$6:$AF$505),"",INDEX(テーブル22[[学年]:[得点]],MATCH(体力優良証交付申請!$A247,入力シート!$AF$6:$AF$505,0),MATCH(体力優良証交付申請!M$14,テーブル22[[#Headers],[学年]:[得点]],0)))</f>
        <v/>
      </c>
    </row>
    <row r="248" spans="1:13" x14ac:dyDescent="0.2">
      <c r="A248" s="16">
        <v>234</v>
      </c>
      <c r="B248" s="130" t="str">
        <f>IF($A248&gt;MAX(入力シート!$AF$6:$AF$505),"",INDEX(テーブル22[[学年]:[得点]],MATCH(体力優良証交付申請!$A248,入力シート!$AF$6:$AF$505,0),MATCH(体力優良証交付申請!B$14,テーブル22[[#Headers],[学年]:[得点]],0)))</f>
        <v/>
      </c>
      <c r="C248" s="203" t="str">
        <f>IF($A248&gt;MAX(入力シート!$AF$6:$AF$505),"",INDEX(テーブル22[[学年]:[得点]],MATCH(体力優良証交付申請!$A248,入力シート!$AF$6:$AF$505,0),MATCH(体力優良証交付申請!C$14,テーブル22[[#Headers],[学年]:[得点]],0)))</f>
        <v/>
      </c>
      <c r="D248" s="203" t="str">
        <f>IF($A248&gt;MAX(入力シート!$AF$6:$AF$505),"",INDEX(テーブル22[[学年]:[得点]],MATCH(体力優良証交付申請!$A248,入力シート!$AF$6:$AF$505,0),MATCH(体力優良証交付申請!D$14,テーブル22[[#Headers],[学年]:[得点]],0)))</f>
        <v/>
      </c>
      <c r="E248" s="203" t="str">
        <f>IF($A248&gt;MAX(入力シート!$AF$6:$AF$505),"",INDEX(テーブル22[[学年]:[得点]],MATCH(体力優良証交付申請!$A248,入力シート!$AF$6:$AF$505,0),MATCH(体力優良証交付申請!E$14,テーブル22[[#Headers],[学年]:[得点]],0)))</f>
        <v/>
      </c>
      <c r="F248" s="203" t="str">
        <f>IF($A248&gt;MAX(入力シート!$AF$6:$AF$505),"",INDEX(テーブル22[[学年]:[得点]],MATCH(体力優良証交付申請!$A248,入力シート!$AF$6:$AF$505,0),MATCH(体力優良証交付申請!F$14,テーブル22[[#Headers],[学年]:[得点]],0)))</f>
        <v/>
      </c>
      <c r="G248" s="203" t="str">
        <f>IF($A248&gt;MAX(入力シート!$AF$6:$AF$505),"",INDEX(テーブル22[[学年]:[得点]],MATCH(体力優良証交付申請!$A248,入力シート!$AF$6:$AF$505,0),MATCH(体力優良証交付申請!G$14,テーブル22[[#Headers],[学年]:[得点]],0)))</f>
        <v/>
      </c>
      <c r="H248" s="203" t="str">
        <f>IF($A248&gt;MAX(入力シート!$AF$6:$AF$505),"",INDEX(テーブル22[[学年]:[得点]],MATCH(体力優良証交付申請!$A248,入力シート!$AF$6:$AF$505,0),MATCH(体力優良証交付申請!H$14,テーブル22[[#Headers],[学年]:[得点]],0)))</f>
        <v/>
      </c>
      <c r="I248" s="203" t="str">
        <f>IF($A248&gt;MAX(入力シート!$AF$6:$AF$505),"",INDEX(テーブル22[[学年]:[得点]],MATCH(体力優良証交付申請!$A248,入力シート!$AF$6:$AF$505,0),MATCH(体力優良証交付申請!I$14,テーブル22[[#Headers],[学年]:[得点]],0)))</f>
        <v/>
      </c>
      <c r="J248" s="114" t="str">
        <f>IF($A248&gt;MAX(入力シート!$AF$6:$AF$505),"",INDEX(テーブル22[[学年]:[得点]],MATCH(体力優良証交付申請!$A248,入力シート!$AF$6:$AF$505,0),MATCH(体力優良証交付申請!J$14,テーブル22[[#Headers],[学年]:[得点]],0)))</f>
        <v/>
      </c>
      <c r="K248" s="203" t="str">
        <f>IF($A248&gt;MAX(入力シート!$AF$6:$AF$505),"",INDEX(テーブル22[[学年]:[得点]],MATCH(体力優良証交付申請!$A248,入力シート!$AF$6:$AF$505,0),MATCH(体力優良証交付申請!K$14,テーブル22[[#Headers],[学年]:[得点]],0)))</f>
        <v/>
      </c>
      <c r="L248" s="203" t="str">
        <f>IF($A248&gt;MAX(入力シート!$AF$6:$AF$505),"",INDEX(テーブル22[[学年]:[得点]],MATCH(体力優良証交付申請!$A248,入力シート!$AF$6:$AF$505,0),MATCH(体力優良証交付申請!L$14,テーブル22[[#Headers],[学年]:[得点]],0)))</f>
        <v/>
      </c>
      <c r="M248" s="28" t="str">
        <f>IF($A248&gt;MAX(入力シート!$AF$6:$AF$505),"",INDEX(テーブル22[[学年]:[得点]],MATCH(体力優良証交付申請!$A248,入力シート!$AF$6:$AF$505,0),MATCH(体力優良証交付申請!M$14,テーブル22[[#Headers],[学年]:[得点]],0)))</f>
        <v/>
      </c>
    </row>
    <row r="249" spans="1:13" x14ac:dyDescent="0.2">
      <c r="A249" s="16">
        <v>235</v>
      </c>
      <c r="B249" s="130" t="str">
        <f>IF($A249&gt;MAX(入力シート!$AF$6:$AF$505),"",INDEX(テーブル22[[学年]:[得点]],MATCH(体力優良証交付申請!$A249,入力シート!$AF$6:$AF$505,0),MATCH(体力優良証交付申請!B$14,テーブル22[[#Headers],[学年]:[得点]],0)))</f>
        <v/>
      </c>
      <c r="C249" s="203" t="str">
        <f>IF($A249&gt;MAX(入力シート!$AF$6:$AF$505),"",INDEX(テーブル22[[学年]:[得点]],MATCH(体力優良証交付申請!$A249,入力シート!$AF$6:$AF$505,0),MATCH(体力優良証交付申請!C$14,テーブル22[[#Headers],[学年]:[得点]],0)))</f>
        <v/>
      </c>
      <c r="D249" s="203" t="str">
        <f>IF($A249&gt;MAX(入力シート!$AF$6:$AF$505),"",INDEX(テーブル22[[学年]:[得点]],MATCH(体力優良証交付申請!$A249,入力シート!$AF$6:$AF$505,0),MATCH(体力優良証交付申請!D$14,テーブル22[[#Headers],[学年]:[得点]],0)))</f>
        <v/>
      </c>
      <c r="E249" s="203" t="str">
        <f>IF($A249&gt;MAX(入力シート!$AF$6:$AF$505),"",INDEX(テーブル22[[学年]:[得点]],MATCH(体力優良証交付申請!$A249,入力シート!$AF$6:$AF$505,0),MATCH(体力優良証交付申請!E$14,テーブル22[[#Headers],[学年]:[得点]],0)))</f>
        <v/>
      </c>
      <c r="F249" s="203" t="str">
        <f>IF($A249&gt;MAX(入力シート!$AF$6:$AF$505),"",INDEX(テーブル22[[学年]:[得点]],MATCH(体力優良証交付申請!$A249,入力シート!$AF$6:$AF$505,0),MATCH(体力優良証交付申請!F$14,テーブル22[[#Headers],[学年]:[得点]],0)))</f>
        <v/>
      </c>
      <c r="G249" s="203" t="str">
        <f>IF($A249&gt;MAX(入力シート!$AF$6:$AF$505),"",INDEX(テーブル22[[学年]:[得点]],MATCH(体力優良証交付申請!$A249,入力シート!$AF$6:$AF$505,0),MATCH(体力優良証交付申請!G$14,テーブル22[[#Headers],[学年]:[得点]],0)))</f>
        <v/>
      </c>
      <c r="H249" s="203" t="str">
        <f>IF($A249&gt;MAX(入力シート!$AF$6:$AF$505),"",INDEX(テーブル22[[学年]:[得点]],MATCH(体力優良証交付申請!$A249,入力シート!$AF$6:$AF$505,0),MATCH(体力優良証交付申請!H$14,テーブル22[[#Headers],[学年]:[得点]],0)))</f>
        <v/>
      </c>
      <c r="I249" s="203" t="str">
        <f>IF($A249&gt;MAX(入力シート!$AF$6:$AF$505),"",INDEX(テーブル22[[学年]:[得点]],MATCH(体力優良証交付申請!$A249,入力シート!$AF$6:$AF$505,0),MATCH(体力優良証交付申請!I$14,テーブル22[[#Headers],[学年]:[得点]],0)))</f>
        <v/>
      </c>
      <c r="J249" s="114" t="str">
        <f>IF($A249&gt;MAX(入力シート!$AF$6:$AF$505),"",INDEX(テーブル22[[学年]:[得点]],MATCH(体力優良証交付申請!$A249,入力シート!$AF$6:$AF$505,0),MATCH(体力優良証交付申請!J$14,テーブル22[[#Headers],[学年]:[得点]],0)))</f>
        <v/>
      </c>
      <c r="K249" s="203" t="str">
        <f>IF($A249&gt;MAX(入力シート!$AF$6:$AF$505),"",INDEX(テーブル22[[学年]:[得点]],MATCH(体力優良証交付申請!$A249,入力シート!$AF$6:$AF$505,0),MATCH(体力優良証交付申請!K$14,テーブル22[[#Headers],[学年]:[得点]],0)))</f>
        <v/>
      </c>
      <c r="L249" s="203" t="str">
        <f>IF($A249&gt;MAX(入力シート!$AF$6:$AF$505),"",INDEX(テーブル22[[学年]:[得点]],MATCH(体力優良証交付申請!$A249,入力シート!$AF$6:$AF$505,0),MATCH(体力優良証交付申請!L$14,テーブル22[[#Headers],[学年]:[得点]],0)))</f>
        <v/>
      </c>
      <c r="M249" s="28" t="str">
        <f>IF($A249&gt;MAX(入力シート!$AF$6:$AF$505),"",INDEX(テーブル22[[学年]:[得点]],MATCH(体力優良証交付申請!$A249,入力シート!$AF$6:$AF$505,0),MATCH(体力優良証交付申請!M$14,テーブル22[[#Headers],[学年]:[得点]],0)))</f>
        <v/>
      </c>
    </row>
    <row r="250" spans="1:13" x14ac:dyDescent="0.2">
      <c r="A250" s="16">
        <v>236</v>
      </c>
      <c r="B250" s="130" t="str">
        <f>IF($A250&gt;MAX(入力シート!$AF$6:$AF$505),"",INDEX(テーブル22[[学年]:[得点]],MATCH(体力優良証交付申請!$A250,入力シート!$AF$6:$AF$505,0),MATCH(体力優良証交付申請!B$14,テーブル22[[#Headers],[学年]:[得点]],0)))</f>
        <v/>
      </c>
      <c r="C250" s="203" t="str">
        <f>IF($A250&gt;MAX(入力シート!$AF$6:$AF$505),"",INDEX(テーブル22[[学年]:[得点]],MATCH(体力優良証交付申請!$A250,入力シート!$AF$6:$AF$505,0),MATCH(体力優良証交付申請!C$14,テーブル22[[#Headers],[学年]:[得点]],0)))</f>
        <v/>
      </c>
      <c r="D250" s="203" t="str">
        <f>IF($A250&gt;MAX(入力シート!$AF$6:$AF$505),"",INDEX(テーブル22[[学年]:[得点]],MATCH(体力優良証交付申請!$A250,入力シート!$AF$6:$AF$505,0),MATCH(体力優良証交付申請!D$14,テーブル22[[#Headers],[学年]:[得点]],0)))</f>
        <v/>
      </c>
      <c r="E250" s="203" t="str">
        <f>IF($A250&gt;MAX(入力シート!$AF$6:$AF$505),"",INDEX(テーブル22[[学年]:[得点]],MATCH(体力優良証交付申請!$A250,入力シート!$AF$6:$AF$505,0),MATCH(体力優良証交付申請!E$14,テーブル22[[#Headers],[学年]:[得点]],0)))</f>
        <v/>
      </c>
      <c r="F250" s="203" t="str">
        <f>IF($A250&gt;MAX(入力シート!$AF$6:$AF$505),"",INDEX(テーブル22[[学年]:[得点]],MATCH(体力優良証交付申請!$A250,入力シート!$AF$6:$AF$505,0),MATCH(体力優良証交付申請!F$14,テーブル22[[#Headers],[学年]:[得点]],0)))</f>
        <v/>
      </c>
      <c r="G250" s="203" t="str">
        <f>IF($A250&gt;MAX(入力シート!$AF$6:$AF$505),"",INDEX(テーブル22[[学年]:[得点]],MATCH(体力優良証交付申請!$A250,入力シート!$AF$6:$AF$505,0),MATCH(体力優良証交付申請!G$14,テーブル22[[#Headers],[学年]:[得点]],0)))</f>
        <v/>
      </c>
      <c r="H250" s="203" t="str">
        <f>IF($A250&gt;MAX(入力シート!$AF$6:$AF$505),"",INDEX(テーブル22[[学年]:[得点]],MATCH(体力優良証交付申請!$A250,入力シート!$AF$6:$AF$505,0),MATCH(体力優良証交付申請!H$14,テーブル22[[#Headers],[学年]:[得点]],0)))</f>
        <v/>
      </c>
      <c r="I250" s="203" t="str">
        <f>IF($A250&gt;MAX(入力シート!$AF$6:$AF$505),"",INDEX(テーブル22[[学年]:[得点]],MATCH(体力優良証交付申請!$A250,入力シート!$AF$6:$AF$505,0),MATCH(体力優良証交付申請!I$14,テーブル22[[#Headers],[学年]:[得点]],0)))</f>
        <v/>
      </c>
      <c r="J250" s="114" t="str">
        <f>IF($A250&gt;MAX(入力シート!$AF$6:$AF$505),"",INDEX(テーブル22[[学年]:[得点]],MATCH(体力優良証交付申請!$A250,入力シート!$AF$6:$AF$505,0),MATCH(体力優良証交付申請!J$14,テーブル22[[#Headers],[学年]:[得点]],0)))</f>
        <v/>
      </c>
      <c r="K250" s="203" t="str">
        <f>IF($A250&gt;MAX(入力シート!$AF$6:$AF$505),"",INDEX(テーブル22[[学年]:[得点]],MATCH(体力優良証交付申請!$A250,入力シート!$AF$6:$AF$505,0),MATCH(体力優良証交付申請!K$14,テーブル22[[#Headers],[学年]:[得点]],0)))</f>
        <v/>
      </c>
      <c r="L250" s="203" t="str">
        <f>IF($A250&gt;MAX(入力シート!$AF$6:$AF$505),"",INDEX(テーブル22[[学年]:[得点]],MATCH(体力優良証交付申請!$A250,入力シート!$AF$6:$AF$505,0),MATCH(体力優良証交付申請!L$14,テーブル22[[#Headers],[学年]:[得点]],0)))</f>
        <v/>
      </c>
      <c r="M250" s="28" t="str">
        <f>IF($A250&gt;MAX(入力シート!$AF$6:$AF$505),"",INDEX(テーブル22[[学年]:[得点]],MATCH(体力優良証交付申請!$A250,入力シート!$AF$6:$AF$505,0),MATCH(体力優良証交付申請!M$14,テーブル22[[#Headers],[学年]:[得点]],0)))</f>
        <v/>
      </c>
    </row>
    <row r="251" spans="1:13" x14ac:dyDescent="0.2">
      <c r="A251" s="16">
        <v>237</v>
      </c>
      <c r="B251" s="130" t="str">
        <f>IF($A251&gt;MAX(入力シート!$AF$6:$AF$505),"",INDEX(テーブル22[[学年]:[得点]],MATCH(体力優良証交付申請!$A251,入力シート!$AF$6:$AF$505,0),MATCH(体力優良証交付申請!B$14,テーブル22[[#Headers],[学年]:[得点]],0)))</f>
        <v/>
      </c>
      <c r="C251" s="203" t="str">
        <f>IF($A251&gt;MAX(入力シート!$AF$6:$AF$505),"",INDEX(テーブル22[[学年]:[得点]],MATCH(体力優良証交付申請!$A251,入力シート!$AF$6:$AF$505,0),MATCH(体力優良証交付申請!C$14,テーブル22[[#Headers],[学年]:[得点]],0)))</f>
        <v/>
      </c>
      <c r="D251" s="203" t="str">
        <f>IF($A251&gt;MAX(入力シート!$AF$6:$AF$505),"",INDEX(テーブル22[[学年]:[得点]],MATCH(体力優良証交付申請!$A251,入力シート!$AF$6:$AF$505,0),MATCH(体力優良証交付申請!D$14,テーブル22[[#Headers],[学年]:[得点]],0)))</f>
        <v/>
      </c>
      <c r="E251" s="203" t="str">
        <f>IF($A251&gt;MAX(入力シート!$AF$6:$AF$505),"",INDEX(テーブル22[[学年]:[得点]],MATCH(体力優良証交付申請!$A251,入力シート!$AF$6:$AF$505,0),MATCH(体力優良証交付申請!E$14,テーブル22[[#Headers],[学年]:[得点]],0)))</f>
        <v/>
      </c>
      <c r="F251" s="203" t="str">
        <f>IF($A251&gt;MAX(入力シート!$AF$6:$AF$505),"",INDEX(テーブル22[[学年]:[得点]],MATCH(体力優良証交付申請!$A251,入力シート!$AF$6:$AF$505,0),MATCH(体力優良証交付申請!F$14,テーブル22[[#Headers],[学年]:[得点]],0)))</f>
        <v/>
      </c>
      <c r="G251" s="203" t="str">
        <f>IF($A251&gt;MAX(入力シート!$AF$6:$AF$505),"",INDEX(テーブル22[[学年]:[得点]],MATCH(体力優良証交付申請!$A251,入力シート!$AF$6:$AF$505,0),MATCH(体力優良証交付申請!G$14,テーブル22[[#Headers],[学年]:[得点]],0)))</f>
        <v/>
      </c>
      <c r="H251" s="203" t="str">
        <f>IF($A251&gt;MAX(入力シート!$AF$6:$AF$505),"",INDEX(テーブル22[[学年]:[得点]],MATCH(体力優良証交付申請!$A251,入力シート!$AF$6:$AF$505,0),MATCH(体力優良証交付申請!H$14,テーブル22[[#Headers],[学年]:[得点]],0)))</f>
        <v/>
      </c>
      <c r="I251" s="203" t="str">
        <f>IF($A251&gt;MAX(入力シート!$AF$6:$AF$505),"",INDEX(テーブル22[[学年]:[得点]],MATCH(体力優良証交付申請!$A251,入力シート!$AF$6:$AF$505,0),MATCH(体力優良証交付申請!I$14,テーブル22[[#Headers],[学年]:[得点]],0)))</f>
        <v/>
      </c>
      <c r="J251" s="114" t="str">
        <f>IF($A251&gt;MAX(入力シート!$AF$6:$AF$505),"",INDEX(テーブル22[[学年]:[得点]],MATCH(体力優良証交付申請!$A251,入力シート!$AF$6:$AF$505,0),MATCH(体力優良証交付申請!J$14,テーブル22[[#Headers],[学年]:[得点]],0)))</f>
        <v/>
      </c>
      <c r="K251" s="203" t="str">
        <f>IF($A251&gt;MAX(入力シート!$AF$6:$AF$505),"",INDEX(テーブル22[[学年]:[得点]],MATCH(体力優良証交付申請!$A251,入力シート!$AF$6:$AF$505,0),MATCH(体力優良証交付申請!K$14,テーブル22[[#Headers],[学年]:[得点]],0)))</f>
        <v/>
      </c>
      <c r="L251" s="203" t="str">
        <f>IF($A251&gt;MAX(入力シート!$AF$6:$AF$505),"",INDEX(テーブル22[[学年]:[得点]],MATCH(体力優良証交付申請!$A251,入力シート!$AF$6:$AF$505,0),MATCH(体力優良証交付申請!L$14,テーブル22[[#Headers],[学年]:[得点]],0)))</f>
        <v/>
      </c>
      <c r="M251" s="28" t="str">
        <f>IF($A251&gt;MAX(入力シート!$AF$6:$AF$505),"",INDEX(テーブル22[[学年]:[得点]],MATCH(体力優良証交付申請!$A251,入力シート!$AF$6:$AF$505,0),MATCH(体力優良証交付申請!M$14,テーブル22[[#Headers],[学年]:[得点]],0)))</f>
        <v/>
      </c>
    </row>
    <row r="252" spans="1:13" x14ac:dyDescent="0.2">
      <c r="A252" s="16">
        <v>238</v>
      </c>
      <c r="B252" s="130" t="str">
        <f>IF($A252&gt;MAX(入力シート!$AF$6:$AF$505),"",INDEX(テーブル22[[学年]:[得点]],MATCH(体力優良証交付申請!$A252,入力シート!$AF$6:$AF$505,0),MATCH(体力優良証交付申請!B$14,テーブル22[[#Headers],[学年]:[得点]],0)))</f>
        <v/>
      </c>
      <c r="C252" s="203" t="str">
        <f>IF($A252&gt;MAX(入力シート!$AF$6:$AF$505),"",INDEX(テーブル22[[学年]:[得点]],MATCH(体力優良証交付申請!$A252,入力シート!$AF$6:$AF$505,0),MATCH(体力優良証交付申請!C$14,テーブル22[[#Headers],[学年]:[得点]],0)))</f>
        <v/>
      </c>
      <c r="D252" s="203" t="str">
        <f>IF($A252&gt;MAX(入力シート!$AF$6:$AF$505),"",INDEX(テーブル22[[学年]:[得点]],MATCH(体力優良証交付申請!$A252,入力シート!$AF$6:$AF$505,0),MATCH(体力優良証交付申請!D$14,テーブル22[[#Headers],[学年]:[得点]],0)))</f>
        <v/>
      </c>
      <c r="E252" s="203" t="str">
        <f>IF($A252&gt;MAX(入力シート!$AF$6:$AF$505),"",INDEX(テーブル22[[学年]:[得点]],MATCH(体力優良証交付申請!$A252,入力シート!$AF$6:$AF$505,0),MATCH(体力優良証交付申請!E$14,テーブル22[[#Headers],[学年]:[得点]],0)))</f>
        <v/>
      </c>
      <c r="F252" s="203" t="str">
        <f>IF($A252&gt;MAX(入力シート!$AF$6:$AF$505),"",INDEX(テーブル22[[学年]:[得点]],MATCH(体力優良証交付申請!$A252,入力シート!$AF$6:$AF$505,0),MATCH(体力優良証交付申請!F$14,テーブル22[[#Headers],[学年]:[得点]],0)))</f>
        <v/>
      </c>
      <c r="G252" s="203" t="str">
        <f>IF($A252&gt;MAX(入力シート!$AF$6:$AF$505),"",INDEX(テーブル22[[学年]:[得点]],MATCH(体力優良証交付申請!$A252,入力シート!$AF$6:$AF$505,0),MATCH(体力優良証交付申請!G$14,テーブル22[[#Headers],[学年]:[得点]],0)))</f>
        <v/>
      </c>
      <c r="H252" s="203" t="str">
        <f>IF($A252&gt;MAX(入力シート!$AF$6:$AF$505),"",INDEX(テーブル22[[学年]:[得点]],MATCH(体力優良証交付申請!$A252,入力シート!$AF$6:$AF$505,0),MATCH(体力優良証交付申請!H$14,テーブル22[[#Headers],[学年]:[得点]],0)))</f>
        <v/>
      </c>
      <c r="I252" s="203" t="str">
        <f>IF($A252&gt;MAX(入力シート!$AF$6:$AF$505),"",INDEX(テーブル22[[学年]:[得点]],MATCH(体力優良証交付申請!$A252,入力シート!$AF$6:$AF$505,0),MATCH(体力優良証交付申請!I$14,テーブル22[[#Headers],[学年]:[得点]],0)))</f>
        <v/>
      </c>
      <c r="J252" s="114" t="str">
        <f>IF($A252&gt;MAX(入力シート!$AF$6:$AF$505),"",INDEX(テーブル22[[学年]:[得点]],MATCH(体力優良証交付申請!$A252,入力シート!$AF$6:$AF$505,0),MATCH(体力優良証交付申請!J$14,テーブル22[[#Headers],[学年]:[得点]],0)))</f>
        <v/>
      </c>
      <c r="K252" s="203" t="str">
        <f>IF($A252&gt;MAX(入力シート!$AF$6:$AF$505),"",INDEX(テーブル22[[学年]:[得点]],MATCH(体力優良証交付申請!$A252,入力シート!$AF$6:$AF$505,0),MATCH(体力優良証交付申請!K$14,テーブル22[[#Headers],[学年]:[得点]],0)))</f>
        <v/>
      </c>
      <c r="L252" s="203" t="str">
        <f>IF($A252&gt;MAX(入力シート!$AF$6:$AF$505),"",INDEX(テーブル22[[学年]:[得点]],MATCH(体力優良証交付申請!$A252,入力シート!$AF$6:$AF$505,0),MATCH(体力優良証交付申請!L$14,テーブル22[[#Headers],[学年]:[得点]],0)))</f>
        <v/>
      </c>
      <c r="M252" s="28" t="str">
        <f>IF($A252&gt;MAX(入力シート!$AF$6:$AF$505),"",INDEX(テーブル22[[学年]:[得点]],MATCH(体力優良証交付申請!$A252,入力シート!$AF$6:$AF$505,0),MATCH(体力優良証交付申請!M$14,テーブル22[[#Headers],[学年]:[得点]],0)))</f>
        <v/>
      </c>
    </row>
    <row r="253" spans="1:13" x14ac:dyDescent="0.2">
      <c r="A253" s="16">
        <v>239</v>
      </c>
      <c r="B253" s="130" t="str">
        <f>IF($A253&gt;MAX(入力シート!$AF$6:$AF$505),"",INDEX(テーブル22[[学年]:[得点]],MATCH(体力優良証交付申請!$A253,入力シート!$AF$6:$AF$505,0),MATCH(体力優良証交付申請!B$14,テーブル22[[#Headers],[学年]:[得点]],0)))</f>
        <v/>
      </c>
      <c r="C253" s="203" t="str">
        <f>IF($A253&gt;MAX(入力シート!$AF$6:$AF$505),"",INDEX(テーブル22[[学年]:[得点]],MATCH(体力優良証交付申請!$A253,入力シート!$AF$6:$AF$505,0),MATCH(体力優良証交付申請!C$14,テーブル22[[#Headers],[学年]:[得点]],0)))</f>
        <v/>
      </c>
      <c r="D253" s="203" t="str">
        <f>IF($A253&gt;MAX(入力シート!$AF$6:$AF$505),"",INDEX(テーブル22[[学年]:[得点]],MATCH(体力優良証交付申請!$A253,入力シート!$AF$6:$AF$505,0),MATCH(体力優良証交付申請!D$14,テーブル22[[#Headers],[学年]:[得点]],0)))</f>
        <v/>
      </c>
      <c r="E253" s="203" t="str">
        <f>IF($A253&gt;MAX(入力シート!$AF$6:$AF$505),"",INDEX(テーブル22[[学年]:[得点]],MATCH(体力優良証交付申請!$A253,入力シート!$AF$6:$AF$505,0),MATCH(体力優良証交付申請!E$14,テーブル22[[#Headers],[学年]:[得点]],0)))</f>
        <v/>
      </c>
      <c r="F253" s="203" t="str">
        <f>IF($A253&gt;MAX(入力シート!$AF$6:$AF$505),"",INDEX(テーブル22[[学年]:[得点]],MATCH(体力優良証交付申請!$A253,入力シート!$AF$6:$AF$505,0),MATCH(体力優良証交付申請!F$14,テーブル22[[#Headers],[学年]:[得点]],0)))</f>
        <v/>
      </c>
      <c r="G253" s="203" t="str">
        <f>IF($A253&gt;MAX(入力シート!$AF$6:$AF$505),"",INDEX(テーブル22[[学年]:[得点]],MATCH(体力優良証交付申請!$A253,入力シート!$AF$6:$AF$505,0),MATCH(体力優良証交付申請!G$14,テーブル22[[#Headers],[学年]:[得点]],0)))</f>
        <v/>
      </c>
      <c r="H253" s="203" t="str">
        <f>IF($A253&gt;MAX(入力シート!$AF$6:$AF$505),"",INDEX(テーブル22[[学年]:[得点]],MATCH(体力優良証交付申請!$A253,入力シート!$AF$6:$AF$505,0),MATCH(体力優良証交付申請!H$14,テーブル22[[#Headers],[学年]:[得点]],0)))</f>
        <v/>
      </c>
      <c r="I253" s="203" t="str">
        <f>IF($A253&gt;MAX(入力シート!$AF$6:$AF$505),"",INDEX(テーブル22[[学年]:[得点]],MATCH(体力優良証交付申請!$A253,入力シート!$AF$6:$AF$505,0),MATCH(体力優良証交付申請!I$14,テーブル22[[#Headers],[学年]:[得点]],0)))</f>
        <v/>
      </c>
      <c r="J253" s="114" t="str">
        <f>IF($A253&gt;MAX(入力シート!$AF$6:$AF$505),"",INDEX(テーブル22[[学年]:[得点]],MATCH(体力優良証交付申請!$A253,入力シート!$AF$6:$AF$505,0),MATCH(体力優良証交付申請!J$14,テーブル22[[#Headers],[学年]:[得点]],0)))</f>
        <v/>
      </c>
      <c r="K253" s="203" t="str">
        <f>IF($A253&gt;MAX(入力シート!$AF$6:$AF$505),"",INDEX(テーブル22[[学年]:[得点]],MATCH(体力優良証交付申請!$A253,入力シート!$AF$6:$AF$505,0),MATCH(体力優良証交付申請!K$14,テーブル22[[#Headers],[学年]:[得点]],0)))</f>
        <v/>
      </c>
      <c r="L253" s="203" t="str">
        <f>IF($A253&gt;MAX(入力シート!$AF$6:$AF$505),"",INDEX(テーブル22[[学年]:[得点]],MATCH(体力優良証交付申請!$A253,入力シート!$AF$6:$AF$505,0),MATCH(体力優良証交付申請!L$14,テーブル22[[#Headers],[学年]:[得点]],0)))</f>
        <v/>
      </c>
      <c r="M253" s="28" t="str">
        <f>IF($A253&gt;MAX(入力シート!$AF$6:$AF$505),"",INDEX(テーブル22[[学年]:[得点]],MATCH(体力優良証交付申請!$A253,入力シート!$AF$6:$AF$505,0),MATCH(体力優良証交付申請!M$14,テーブル22[[#Headers],[学年]:[得点]],0)))</f>
        <v/>
      </c>
    </row>
    <row r="254" spans="1:13" x14ac:dyDescent="0.2">
      <c r="A254" s="16">
        <v>240</v>
      </c>
      <c r="B254" s="130" t="str">
        <f>IF($A254&gt;MAX(入力シート!$AF$6:$AF$505),"",INDEX(テーブル22[[学年]:[得点]],MATCH(体力優良証交付申請!$A254,入力シート!$AF$6:$AF$505,0),MATCH(体力優良証交付申請!B$14,テーブル22[[#Headers],[学年]:[得点]],0)))</f>
        <v/>
      </c>
      <c r="C254" s="203" t="str">
        <f>IF($A254&gt;MAX(入力シート!$AF$6:$AF$505),"",INDEX(テーブル22[[学年]:[得点]],MATCH(体力優良証交付申請!$A254,入力シート!$AF$6:$AF$505,0),MATCH(体力優良証交付申請!C$14,テーブル22[[#Headers],[学年]:[得点]],0)))</f>
        <v/>
      </c>
      <c r="D254" s="203" t="str">
        <f>IF($A254&gt;MAX(入力シート!$AF$6:$AF$505),"",INDEX(テーブル22[[学年]:[得点]],MATCH(体力優良証交付申請!$A254,入力シート!$AF$6:$AF$505,0),MATCH(体力優良証交付申請!D$14,テーブル22[[#Headers],[学年]:[得点]],0)))</f>
        <v/>
      </c>
      <c r="E254" s="203" t="str">
        <f>IF($A254&gt;MAX(入力シート!$AF$6:$AF$505),"",INDEX(テーブル22[[学年]:[得点]],MATCH(体力優良証交付申請!$A254,入力シート!$AF$6:$AF$505,0),MATCH(体力優良証交付申請!E$14,テーブル22[[#Headers],[学年]:[得点]],0)))</f>
        <v/>
      </c>
      <c r="F254" s="203" t="str">
        <f>IF($A254&gt;MAX(入力シート!$AF$6:$AF$505),"",INDEX(テーブル22[[学年]:[得点]],MATCH(体力優良証交付申請!$A254,入力シート!$AF$6:$AF$505,0),MATCH(体力優良証交付申請!F$14,テーブル22[[#Headers],[学年]:[得点]],0)))</f>
        <v/>
      </c>
      <c r="G254" s="203" t="str">
        <f>IF($A254&gt;MAX(入力シート!$AF$6:$AF$505),"",INDEX(テーブル22[[学年]:[得点]],MATCH(体力優良証交付申請!$A254,入力シート!$AF$6:$AF$505,0),MATCH(体力優良証交付申請!G$14,テーブル22[[#Headers],[学年]:[得点]],0)))</f>
        <v/>
      </c>
      <c r="H254" s="203" t="str">
        <f>IF($A254&gt;MAX(入力シート!$AF$6:$AF$505),"",INDEX(テーブル22[[学年]:[得点]],MATCH(体力優良証交付申請!$A254,入力シート!$AF$6:$AF$505,0),MATCH(体力優良証交付申請!H$14,テーブル22[[#Headers],[学年]:[得点]],0)))</f>
        <v/>
      </c>
      <c r="I254" s="203" t="str">
        <f>IF($A254&gt;MAX(入力シート!$AF$6:$AF$505),"",INDEX(テーブル22[[学年]:[得点]],MATCH(体力優良証交付申請!$A254,入力シート!$AF$6:$AF$505,0),MATCH(体力優良証交付申請!I$14,テーブル22[[#Headers],[学年]:[得点]],0)))</f>
        <v/>
      </c>
      <c r="J254" s="114" t="str">
        <f>IF($A254&gt;MAX(入力シート!$AF$6:$AF$505),"",INDEX(テーブル22[[学年]:[得点]],MATCH(体力優良証交付申請!$A254,入力シート!$AF$6:$AF$505,0),MATCH(体力優良証交付申請!J$14,テーブル22[[#Headers],[学年]:[得点]],0)))</f>
        <v/>
      </c>
      <c r="K254" s="203" t="str">
        <f>IF($A254&gt;MAX(入力シート!$AF$6:$AF$505),"",INDEX(テーブル22[[学年]:[得点]],MATCH(体力優良証交付申請!$A254,入力シート!$AF$6:$AF$505,0),MATCH(体力優良証交付申請!K$14,テーブル22[[#Headers],[学年]:[得点]],0)))</f>
        <v/>
      </c>
      <c r="L254" s="203" t="str">
        <f>IF($A254&gt;MAX(入力シート!$AF$6:$AF$505),"",INDEX(テーブル22[[学年]:[得点]],MATCH(体力優良証交付申請!$A254,入力シート!$AF$6:$AF$505,0),MATCH(体力優良証交付申請!L$14,テーブル22[[#Headers],[学年]:[得点]],0)))</f>
        <v/>
      </c>
      <c r="M254" s="28" t="str">
        <f>IF($A254&gt;MAX(入力シート!$AF$6:$AF$505),"",INDEX(テーブル22[[学年]:[得点]],MATCH(体力優良証交付申請!$A254,入力シート!$AF$6:$AF$505,0),MATCH(体力優良証交付申請!M$14,テーブル22[[#Headers],[学年]:[得点]],0)))</f>
        <v/>
      </c>
    </row>
    <row r="255" spans="1:13" x14ac:dyDescent="0.2">
      <c r="A255" s="16">
        <v>241</v>
      </c>
      <c r="B255" s="130" t="str">
        <f>IF($A255&gt;MAX(入力シート!$AF$6:$AF$505),"",INDEX(テーブル22[[学年]:[得点]],MATCH(体力優良証交付申請!$A255,入力シート!$AF$6:$AF$505,0),MATCH(体力優良証交付申請!B$14,テーブル22[[#Headers],[学年]:[得点]],0)))</f>
        <v/>
      </c>
      <c r="C255" s="203" t="str">
        <f>IF($A255&gt;MAX(入力シート!$AF$6:$AF$505),"",INDEX(テーブル22[[学年]:[得点]],MATCH(体力優良証交付申請!$A255,入力シート!$AF$6:$AF$505,0),MATCH(体力優良証交付申請!C$14,テーブル22[[#Headers],[学年]:[得点]],0)))</f>
        <v/>
      </c>
      <c r="D255" s="203" t="str">
        <f>IF($A255&gt;MAX(入力シート!$AF$6:$AF$505),"",INDEX(テーブル22[[学年]:[得点]],MATCH(体力優良証交付申請!$A255,入力シート!$AF$6:$AF$505,0),MATCH(体力優良証交付申請!D$14,テーブル22[[#Headers],[学年]:[得点]],0)))</f>
        <v/>
      </c>
      <c r="E255" s="203" t="str">
        <f>IF($A255&gt;MAX(入力シート!$AF$6:$AF$505),"",INDEX(テーブル22[[学年]:[得点]],MATCH(体力優良証交付申請!$A255,入力シート!$AF$6:$AF$505,0),MATCH(体力優良証交付申請!E$14,テーブル22[[#Headers],[学年]:[得点]],0)))</f>
        <v/>
      </c>
      <c r="F255" s="203" t="str">
        <f>IF($A255&gt;MAX(入力シート!$AF$6:$AF$505),"",INDEX(テーブル22[[学年]:[得点]],MATCH(体力優良証交付申請!$A255,入力シート!$AF$6:$AF$505,0),MATCH(体力優良証交付申請!F$14,テーブル22[[#Headers],[学年]:[得点]],0)))</f>
        <v/>
      </c>
      <c r="G255" s="203" t="str">
        <f>IF($A255&gt;MAX(入力シート!$AF$6:$AF$505),"",INDEX(テーブル22[[学年]:[得点]],MATCH(体力優良証交付申請!$A255,入力シート!$AF$6:$AF$505,0),MATCH(体力優良証交付申請!G$14,テーブル22[[#Headers],[学年]:[得点]],0)))</f>
        <v/>
      </c>
      <c r="H255" s="203" t="str">
        <f>IF($A255&gt;MAX(入力シート!$AF$6:$AF$505),"",INDEX(テーブル22[[学年]:[得点]],MATCH(体力優良証交付申請!$A255,入力シート!$AF$6:$AF$505,0),MATCH(体力優良証交付申請!H$14,テーブル22[[#Headers],[学年]:[得点]],0)))</f>
        <v/>
      </c>
      <c r="I255" s="203" t="str">
        <f>IF($A255&gt;MAX(入力シート!$AF$6:$AF$505),"",INDEX(テーブル22[[学年]:[得点]],MATCH(体力優良証交付申請!$A255,入力シート!$AF$6:$AF$505,0),MATCH(体力優良証交付申請!I$14,テーブル22[[#Headers],[学年]:[得点]],0)))</f>
        <v/>
      </c>
      <c r="J255" s="114" t="str">
        <f>IF($A255&gt;MAX(入力シート!$AF$6:$AF$505),"",INDEX(テーブル22[[学年]:[得点]],MATCH(体力優良証交付申請!$A255,入力シート!$AF$6:$AF$505,0),MATCH(体力優良証交付申請!J$14,テーブル22[[#Headers],[学年]:[得点]],0)))</f>
        <v/>
      </c>
      <c r="K255" s="203" t="str">
        <f>IF($A255&gt;MAX(入力シート!$AF$6:$AF$505),"",INDEX(テーブル22[[学年]:[得点]],MATCH(体力優良証交付申請!$A255,入力シート!$AF$6:$AF$505,0),MATCH(体力優良証交付申請!K$14,テーブル22[[#Headers],[学年]:[得点]],0)))</f>
        <v/>
      </c>
      <c r="L255" s="203" t="str">
        <f>IF($A255&gt;MAX(入力シート!$AF$6:$AF$505),"",INDEX(テーブル22[[学年]:[得点]],MATCH(体力優良証交付申請!$A255,入力シート!$AF$6:$AF$505,0),MATCH(体力優良証交付申請!L$14,テーブル22[[#Headers],[学年]:[得点]],0)))</f>
        <v/>
      </c>
      <c r="M255" s="28" t="str">
        <f>IF($A255&gt;MAX(入力シート!$AF$6:$AF$505),"",INDEX(テーブル22[[学年]:[得点]],MATCH(体力優良証交付申請!$A255,入力シート!$AF$6:$AF$505,0),MATCH(体力優良証交付申請!M$14,テーブル22[[#Headers],[学年]:[得点]],0)))</f>
        <v/>
      </c>
    </row>
    <row r="256" spans="1:13" x14ac:dyDescent="0.2">
      <c r="A256" s="16">
        <v>242</v>
      </c>
      <c r="B256" s="130" t="str">
        <f>IF($A256&gt;MAX(入力シート!$AF$6:$AF$505),"",INDEX(テーブル22[[学年]:[得点]],MATCH(体力優良証交付申請!$A256,入力シート!$AF$6:$AF$505,0),MATCH(体力優良証交付申請!B$14,テーブル22[[#Headers],[学年]:[得点]],0)))</f>
        <v/>
      </c>
      <c r="C256" s="203" t="str">
        <f>IF($A256&gt;MAX(入力シート!$AF$6:$AF$505),"",INDEX(テーブル22[[学年]:[得点]],MATCH(体力優良証交付申請!$A256,入力シート!$AF$6:$AF$505,0),MATCH(体力優良証交付申請!C$14,テーブル22[[#Headers],[学年]:[得点]],0)))</f>
        <v/>
      </c>
      <c r="D256" s="203" t="str">
        <f>IF($A256&gt;MAX(入力シート!$AF$6:$AF$505),"",INDEX(テーブル22[[学年]:[得点]],MATCH(体力優良証交付申請!$A256,入力シート!$AF$6:$AF$505,0),MATCH(体力優良証交付申請!D$14,テーブル22[[#Headers],[学年]:[得点]],0)))</f>
        <v/>
      </c>
      <c r="E256" s="203" t="str">
        <f>IF($A256&gt;MAX(入力シート!$AF$6:$AF$505),"",INDEX(テーブル22[[学年]:[得点]],MATCH(体力優良証交付申請!$A256,入力シート!$AF$6:$AF$505,0),MATCH(体力優良証交付申請!E$14,テーブル22[[#Headers],[学年]:[得点]],0)))</f>
        <v/>
      </c>
      <c r="F256" s="203" t="str">
        <f>IF($A256&gt;MAX(入力シート!$AF$6:$AF$505),"",INDEX(テーブル22[[学年]:[得点]],MATCH(体力優良証交付申請!$A256,入力シート!$AF$6:$AF$505,0),MATCH(体力優良証交付申請!F$14,テーブル22[[#Headers],[学年]:[得点]],0)))</f>
        <v/>
      </c>
      <c r="G256" s="203" t="str">
        <f>IF($A256&gt;MAX(入力シート!$AF$6:$AF$505),"",INDEX(テーブル22[[学年]:[得点]],MATCH(体力優良証交付申請!$A256,入力シート!$AF$6:$AF$505,0),MATCH(体力優良証交付申請!G$14,テーブル22[[#Headers],[学年]:[得点]],0)))</f>
        <v/>
      </c>
      <c r="H256" s="203" t="str">
        <f>IF($A256&gt;MAX(入力シート!$AF$6:$AF$505),"",INDEX(テーブル22[[学年]:[得点]],MATCH(体力優良証交付申請!$A256,入力シート!$AF$6:$AF$505,0),MATCH(体力優良証交付申請!H$14,テーブル22[[#Headers],[学年]:[得点]],0)))</f>
        <v/>
      </c>
      <c r="I256" s="203" t="str">
        <f>IF($A256&gt;MAX(入力シート!$AF$6:$AF$505),"",INDEX(テーブル22[[学年]:[得点]],MATCH(体力優良証交付申請!$A256,入力シート!$AF$6:$AF$505,0),MATCH(体力優良証交付申請!I$14,テーブル22[[#Headers],[学年]:[得点]],0)))</f>
        <v/>
      </c>
      <c r="J256" s="114" t="str">
        <f>IF($A256&gt;MAX(入力シート!$AF$6:$AF$505),"",INDEX(テーブル22[[学年]:[得点]],MATCH(体力優良証交付申請!$A256,入力シート!$AF$6:$AF$505,0),MATCH(体力優良証交付申請!J$14,テーブル22[[#Headers],[学年]:[得点]],0)))</f>
        <v/>
      </c>
      <c r="K256" s="203" t="str">
        <f>IF($A256&gt;MAX(入力シート!$AF$6:$AF$505),"",INDEX(テーブル22[[学年]:[得点]],MATCH(体力優良証交付申請!$A256,入力シート!$AF$6:$AF$505,0),MATCH(体力優良証交付申請!K$14,テーブル22[[#Headers],[学年]:[得点]],0)))</f>
        <v/>
      </c>
      <c r="L256" s="203" t="str">
        <f>IF($A256&gt;MAX(入力シート!$AF$6:$AF$505),"",INDEX(テーブル22[[学年]:[得点]],MATCH(体力優良証交付申請!$A256,入力シート!$AF$6:$AF$505,0),MATCH(体力優良証交付申請!L$14,テーブル22[[#Headers],[学年]:[得点]],0)))</f>
        <v/>
      </c>
      <c r="M256" s="28" t="str">
        <f>IF($A256&gt;MAX(入力シート!$AF$6:$AF$505),"",INDEX(テーブル22[[学年]:[得点]],MATCH(体力優良証交付申請!$A256,入力シート!$AF$6:$AF$505,0),MATCH(体力優良証交付申請!M$14,テーブル22[[#Headers],[学年]:[得点]],0)))</f>
        <v/>
      </c>
    </row>
    <row r="257" spans="1:13" x14ac:dyDescent="0.2">
      <c r="A257" s="16">
        <v>243</v>
      </c>
      <c r="B257" s="130" t="str">
        <f>IF($A257&gt;MAX(入力シート!$AF$6:$AF$505),"",INDEX(テーブル22[[学年]:[得点]],MATCH(体力優良証交付申請!$A257,入力シート!$AF$6:$AF$505,0),MATCH(体力優良証交付申請!B$14,テーブル22[[#Headers],[学年]:[得点]],0)))</f>
        <v/>
      </c>
      <c r="C257" s="203" t="str">
        <f>IF($A257&gt;MAX(入力シート!$AF$6:$AF$505),"",INDEX(テーブル22[[学年]:[得点]],MATCH(体力優良証交付申請!$A257,入力シート!$AF$6:$AF$505,0),MATCH(体力優良証交付申請!C$14,テーブル22[[#Headers],[学年]:[得点]],0)))</f>
        <v/>
      </c>
      <c r="D257" s="203" t="str">
        <f>IF($A257&gt;MAX(入力シート!$AF$6:$AF$505),"",INDEX(テーブル22[[学年]:[得点]],MATCH(体力優良証交付申請!$A257,入力シート!$AF$6:$AF$505,0),MATCH(体力優良証交付申請!D$14,テーブル22[[#Headers],[学年]:[得点]],0)))</f>
        <v/>
      </c>
      <c r="E257" s="203" t="str">
        <f>IF($A257&gt;MAX(入力シート!$AF$6:$AF$505),"",INDEX(テーブル22[[学年]:[得点]],MATCH(体力優良証交付申請!$A257,入力シート!$AF$6:$AF$505,0),MATCH(体力優良証交付申請!E$14,テーブル22[[#Headers],[学年]:[得点]],0)))</f>
        <v/>
      </c>
      <c r="F257" s="203" t="str">
        <f>IF($A257&gt;MAX(入力シート!$AF$6:$AF$505),"",INDEX(テーブル22[[学年]:[得点]],MATCH(体力優良証交付申請!$A257,入力シート!$AF$6:$AF$505,0),MATCH(体力優良証交付申請!F$14,テーブル22[[#Headers],[学年]:[得点]],0)))</f>
        <v/>
      </c>
      <c r="G257" s="203" t="str">
        <f>IF($A257&gt;MAX(入力シート!$AF$6:$AF$505),"",INDEX(テーブル22[[学年]:[得点]],MATCH(体力優良証交付申請!$A257,入力シート!$AF$6:$AF$505,0),MATCH(体力優良証交付申請!G$14,テーブル22[[#Headers],[学年]:[得点]],0)))</f>
        <v/>
      </c>
      <c r="H257" s="203" t="str">
        <f>IF($A257&gt;MAX(入力シート!$AF$6:$AF$505),"",INDEX(テーブル22[[学年]:[得点]],MATCH(体力優良証交付申請!$A257,入力シート!$AF$6:$AF$505,0),MATCH(体力優良証交付申請!H$14,テーブル22[[#Headers],[学年]:[得点]],0)))</f>
        <v/>
      </c>
      <c r="I257" s="203" t="str">
        <f>IF($A257&gt;MAX(入力シート!$AF$6:$AF$505),"",INDEX(テーブル22[[学年]:[得点]],MATCH(体力優良証交付申請!$A257,入力シート!$AF$6:$AF$505,0),MATCH(体力優良証交付申請!I$14,テーブル22[[#Headers],[学年]:[得点]],0)))</f>
        <v/>
      </c>
      <c r="J257" s="114" t="str">
        <f>IF($A257&gt;MAX(入力シート!$AF$6:$AF$505),"",INDEX(テーブル22[[学年]:[得点]],MATCH(体力優良証交付申請!$A257,入力シート!$AF$6:$AF$505,0),MATCH(体力優良証交付申請!J$14,テーブル22[[#Headers],[学年]:[得点]],0)))</f>
        <v/>
      </c>
      <c r="K257" s="203" t="str">
        <f>IF($A257&gt;MAX(入力シート!$AF$6:$AF$505),"",INDEX(テーブル22[[学年]:[得点]],MATCH(体力優良証交付申請!$A257,入力シート!$AF$6:$AF$505,0),MATCH(体力優良証交付申請!K$14,テーブル22[[#Headers],[学年]:[得点]],0)))</f>
        <v/>
      </c>
      <c r="L257" s="203" t="str">
        <f>IF($A257&gt;MAX(入力シート!$AF$6:$AF$505),"",INDEX(テーブル22[[学年]:[得点]],MATCH(体力優良証交付申請!$A257,入力シート!$AF$6:$AF$505,0),MATCH(体力優良証交付申請!L$14,テーブル22[[#Headers],[学年]:[得点]],0)))</f>
        <v/>
      </c>
      <c r="M257" s="28" t="str">
        <f>IF($A257&gt;MAX(入力シート!$AF$6:$AF$505),"",INDEX(テーブル22[[学年]:[得点]],MATCH(体力優良証交付申請!$A257,入力シート!$AF$6:$AF$505,0),MATCH(体力優良証交付申請!M$14,テーブル22[[#Headers],[学年]:[得点]],0)))</f>
        <v/>
      </c>
    </row>
    <row r="258" spans="1:13" x14ac:dyDescent="0.2">
      <c r="A258" s="16">
        <v>244</v>
      </c>
      <c r="B258" s="130" t="str">
        <f>IF($A258&gt;MAX(入力シート!$AF$6:$AF$505),"",INDEX(テーブル22[[学年]:[得点]],MATCH(体力優良証交付申請!$A258,入力シート!$AF$6:$AF$505,0),MATCH(体力優良証交付申請!B$14,テーブル22[[#Headers],[学年]:[得点]],0)))</f>
        <v/>
      </c>
      <c r="C258" s="203" t="str">
        <f>IF($A258&gt;MAX(入力シート!$AF$6:$AF$505),"",INDEX(テーブル22[[学年]:[得点]],MATCH(体力優良証交付申請!$A258,入力シート!$AF$6:$AF$505,0),MATCH(体力優良証交付申請!C$14,テーブル22[[#Headers],[学年]:[得点]],0)))</f>
        <v/>
      </c>
      <c r="D258" s="203" t="str">
        <f>IF($A258&gt;MAX(入力シート!$AF$6:$AF$505),"",INDEX(テーブル22[[学年]:[得点]],MATCH(体力優良証交付申請!$A258,入力シート!$AF$6:$AF$505,0),MATCH(体力優良証交付申請!D$14,テーブル22[[#Headers],[学年]:[得点]],0)))</f>
        <v/>
      </c>
      <c r="E258" s="203" t="str">
        <f>IF($A258&gt;MAX(入力シート!$AF$6:$AF$505),"",INDEX(テーブル22[[学年]:[得点]],MATCH(体力優良証交付申請!$A258,入力シート!$AF$6:$AF$505,0),MATCH(体力優良証交付申請!E$14,テーブル22[[#Headers],[学年]:[得点]],0)))</f>
        <v/>
      </c>
      <c r="F258" s="203" t="str">
        <f>IF($A258&gt;MAX(入力シート!$AF$6:$AF$505),"",INDEX(テーブル22[[学年]:[得点]],MATCH(体力優良証交付申請!$A258,入力シート!$AF$6:$AF$505,0),MATCH(体力優良証交付申請!F$14,テーブル22[[#Headers],[学年]:[得点]],0)))</f>
        <v/>
      </c>
      <c r="G258" s="203" t="str">
        <f>IF($A258&gt;MAX(入力シート!$AF$6:$AF$505),"",INDEX(テーブル22[[学年]:[得点]],MATCH(体力優良証交付申請!$A258,入力シート!$AF$6:$AF$505,0),MATCH(体力優良証交付申請!G$14,テーブル22[[#Headers],[学年]:[得点]],0)))</f>
        <v/>
      </c>
      <c r="H258" s="203" t="str">
        <f>IF($A258&gt;MAX(入力シート!$AF$6:$AF$505),"",INDEX(テーブル22[[学年]:[得点]],MATCH(体力優良証交付申請!$A258,入力シート!$AF$6:$AF$505,0),MATCH(体力優良証交付申請!H$14,テーブル22[[#Headers],[学年]:[得点]],0)))</f>
        <v/>
      </c>
      <c r="I258" s="203" t="str">
        <f>IF($A258&gt;MAX(入力シート!$AF$6:$AF$505),"",INDEX(テーブル22[[学年]:[得点]],MATCH(体力優良証交付申請!$A258,入力シート!$AF$6:$AF$505,0),MATCH(体力優良証交付申請!I$14,テーブル22[[#Headers],[学年]:[得点]],0)))</f>
        <v/>
      </c>
      <c r="J258" s="114" t="str">
        <f>IF($A258&gt;MAX(入力シート!$AF$6:$AF$505),"",INDEX(テーブル22[[学年]:[得点]],MATCH(体力優良証交付申請!$A258,入力シート!$AF$6:$AF$505,0),MATCH(体力優良証交付申請!J$14,テーブル22[[#Headers],[学年]:[得点]],0)))</f>
        <v/>
      </c>
      <c r="K258" s="203" t="str">
        <f>IF($A258&gt;MAX(入力シート!$AF$6:$AF$505),"",INDEX(テーブル22[[学年]:[得点]],MATCH(体力優良証交付申請!$A258,入力シート!$AF$6:$AF$505,0),MATCH(体力優良証交付申請!K$14,テーブル22[[#Headers],[学年]:[得点]],0)))</f>
        <v/>
      </c>
      <c r="L258" s="203" t="str">
        <f>IF($A258&gt;MAX(入力シート!$AF$6:$AF$505),"",INDEX(テーブル22[[学年]:[得点]],MATCH(体力優良証交付申請!$A258,入力シート!$AF$6:$AF$505,0),MATCH(体力優良証交付申請!L$14,テーブル22[[#Headers],[学年]:[得点]],0)))</f>
        <v/>
      </c>
      <c r="M258" s="28" t="str">
        <f>IF($A258&gt;MAX(入力シート!$AF$6:$AF$505),"",INDEX(テーブル22[[学年]:[得点]],MATCH(体力優良証交付申請!$A258,入力シート!$AF$6:$AF$505,0),MATCH(体力優良証交付申請!M$14,テーブル22[[#Headers],[学年]:[得点]],0)))</f>
        <v/>
      </c>
    </row>
    <row r="259" spans="1:13" x14ac:dyDescent="0.2">
      <c r="A259" s="16">
        <v>245</v>
      </c>
      <c r="B259" s="130" t="str">
        <f>IF($A259&gt;MAX(入力シート!$AF$6:$AF$505),"",INDEX(テーブル22[[学年]:[得点]],MATCH(体力優良証交付申請!$A259,入力シート!$AF$6:$AF$505,0),MATCH(体力優良証交付申請!B$14,テーブル22[[#Headers],[学年]:[得点]],0)))</f>
        <v/>
      </c>
      <c r="C259" s="203" t="str">
        <f>IF($A259&gt;MAX(入力シート!$AF$6:$AF$505),"",INDEX(テーブル22[[学年]:[得点]],MATCH(体力優良証交付申請!$A259,入力シート!$AF$6:$AF$505,0),MATCH(体力優良証交付申請!C$14,テーブル22[[#Headers],[学年]:[得点]],0)))</f>
        <v/>
      </c>
      <c r="D259" s="203" t="str">
        <f>IF($A259&gt;MAX(入力シート!$AF$6:$AF$505),"",INDEX(テーブル22[[学年]:[得点]],MATCH(体力優良証交付申請!$A259,入力シート!$AF$6:$AF$505,0),MATCH(体力優良証交付申請!D$14,テーブル22[[#Headers],[学年]:[得点]],0)))</f>
        <v/>
      </c>
      <c r="E259" s="203" t="str">
        <f>IF($A259&gt;MAX(入力シート!$AF$6:$AF$505),"",INDEX(テーブル22[[学年]:[得点]],MATCH(体力優良証交付申請!$A259,入力シート!$AF$6:$AF$505,0),MATCH(体力優良証交付申請!E$14,テーブル22[[#Headers],[学年]:[得点]],0)))</f>
        <v/>
      </c>
      <c r="F259" s="203" t="str">
        <f>IF($A259&gt;MAX(入力シート!$AF$6:$AF$505),"",INDEX(テーブル22[[学年]:[得点]],MATCH(体力優良証交付申請!$A259,入力シート!$AF$6:$AF$505,0),MATCH(体力優良証交付申請!F$14,テーブル22[[#Headers],[学年]:[得点]],0)))</f>
        <v/>
      </c>
      <c r="G259" s="203" t="str">
        <f>IF($A259&gt;MAX(入力シート!$AF$6:$AF$505),"",INDEX(テーブル22[[学年]:[得点]],MATCH(体力優良証交付申請!$A259,入力シート!$AF$6:$AF$505,0),MATCH(体力優良証交付申請!G$14,テーブル22[[#Headers],[学年]:[得点]],0)))</f>
        <v/>
      </c>
      <c r="H259" s="203" t="str">
        <f>IF($A259&gt;MAX(入力シート!$AF$6:$AF$505),"",INDEX(テーブル22[[学年]:[得点]],MATCH(体力優良証交付申請!$A259,入力シート!$AF$6:$AF$505,0),MATCH(体力優良証交付申請!H$14,テーブル22[[#Headers],[学年]:[得点]],0)))</f>
        <v/>
      </c>
      <c r="I259" s="203" t="str">
        <f>IF($A259&gt;MAX(入力シート!$AF$6:$AF$505),"",INDEX(テーブル22[[学年]:[得点]],MATCH(体力優良証交付申請!$A259,入力シート!$AF$6:$AF$505,0),MATCH(体力優良証交付申請!I$14,テーブル22[[#Headers],[学年]:[得点]],0)))</f>
        <v/>
      </c>
      <c r="J259" s="114" t="str">
        <f>IF($A259&gt;MAX(入力シート!$AF$6:$AF$505),"",INDEX(テーブル22[[学年]:[得点]],MATCH(体力優良証交付申請!$A259,入力シート!$AF$6:$AF$505,0),MATCH(体力優良証交付申請!J$14,テーブル22[[#Headers],[学年]:[得点]],0)))</f>
        <v/>
      </c>
      <c r="K259" s="203" t="str">
        <f>IF($A259&gt;MAX(入力シート!$AF$6:$AF$505),"",INDEX(テーブル22[[学年]:[得点]],MATCH(体力優良証交付申請!$A259,入力シート!$AF$6:$AF$505,0),MATCH(体力優良証交付申請!K$14,テーブル22[[#Headers],[学年]:[得点]],0)))</f>
        <v/>
      </c>
      <c r="L259" s="203" t="str">
        <f>IF($A259&gt;MAX(入力シート!$AF$6:$AF$505),"",INDEX(テーブル22[[学年]:[得点]],MATCH(体力優良証交付申請!$A259,入力シート!$AF$6:$AF$505,0),MATCH(体力優良証交付申請!L$14,テーブル22[[#Headers],[学年]:[得点]],0)))</f>
        <v/>
      </c>
      <c r="M259" s="28" t="str">
        <f>IF($A259&gt;MAX(入力シート!$AF$6:$AF$505),"",INDEX(テーブル22[[学年]:[得点]],MATCH(体力優良証交付申請!$A259,入力シート!$AF$6:$AF$505,0),MATCH(体力優良証交付申請!M$14,テーブル22[[#Headers],[学年]:[得点]],0)))</f>
        <v/>
      </c>
    </row>
    <row r="260" spans="1:13" x14ac:dyDescent="0.2">
      <c r="A260" s="16">
        <v>246</v>
      </c>
      <c r="B260" s="130" t="str">
        <f>IF($A260&gt;MAX(入力シート!$AF$6:$AF$505),"",INDEX(テーブル22[[学年]:[得点]],MATCH(体力優良証交付申請!$A260,入力シート!$AF$6:$AF$505,0),MATCH(体力優良証交付申請!B$14,テーブル22[[#Headers],[学年]:[得点]],0)))</f>
        <v/>
      </c>
      <c r="C260" s="203" t="str">
        <f>IF($A260&gt;MAX(入力シート!$AF$6:$AF$505),"",INDEX(テーブル22[[学年]:[得点]],MATCH(体力優良証交付申請!$A260,入力シート!$AF$6:$AF$505,0),MATCH(体力優良証交付申請!C$14,テーブル22[[#Headers],[学年]:[得点]],0)))</f>
        <v/>
      </c>
      <c r="D260" s="203" t="str">
        <f>IF($A260&gt;MAX(入力シート!$AF$6:$AF$505),"",INDEX(テーブル22[[学年]:[得点]],MATCH(体力優良証交付申請!$A260,入力シート!$AF$6:$AF$505,0),MATCH(体力優良証交付申請!D$14,テーブル22[[#Headers],[学年]:[得点]],0)))</f>
        <v/>
      </c>
      <c r="E260" s="203" t="str">
        <f>IF($A260&gt;MAX(入力シート!$AF$6:$AF$505),"",INDEX(テーブル22[[学年]:[得点]],MATCH(体力優良証交付申請!$A260,入力シート!$AF$6:$AF$505,0),MATCH(体力優良証交付申請!E$14,テーブル22[[#Headers],[学年]:[得点]],0)))</f>
        <v/>
      </c>
      <c r="F260" s="203" t="str">
        <f>IF($A260&gt;MAX(入力シート!$AF$6:$AF$505),"",INDEX(テーブル22[[学年]:[得点]],MATCH(体力優良証交付申請!$A260,入力シート!$AF$6:$AF$505,0),MATCH(体力優良証交付申請!F$14,テーブル22[[#Headers],[学年]:[得点]],0)))</f>
        <v/>
      </c>
      <c r="G260" s="203" t="str">
        <f>IF($A260&gt;MAX(入力シート!$AF$6:$AF$505),"",INDEX(テーブル22[[学年]:[得点]],MATCH(体力優良証交付申請!$A260,入力シート!$AF$6:$AF$505,0),MATCH(体力優良証交付申請!G$14,テーブル22[[#Headers],[学年]:[得点]],0)))</f>
        <v/>
      </c>
      <c r="H260" s="203" t="str">
        <f>IF($A260&gt;MAX(入力シート!$AF$6:$AF$505),"",INDEX(テーブル22[[学年]:[得点]],MATCH(体力優良証交付申請!$A260,入力シート!$AF$6:$AF$505,0),MATCH(体力優良証交付申請!H$14,テーブル22[[#Headers],[学年]:[得点]],0)))</f>
        <v/>
      </c>
      <c r="I260" s="203" t="str">
        <f>IF($A260&gt;MAX(入力シート!$AF$6:$AF$505),"",INDEX(テーブル22[[学年]:[得点]],MATCH(体力優良証交付申請!$A260,入力シート!$AF$6:$AF$505,0),MATCH(体力優良証交付申請!I$14,テーブル22[[#Headers],[学年]:[得点]],0)))</f>
        <v/>
      </c>
      <c r="J260" s="114" t="str">
        <f>IF($A260&gt;MAX(入力シート!$AF$6:$AF$505),"",INDEX(テーブル22[[学年]:[得点]],MATCH(体力優良証交付申請!$A260,入力シート!$AF$6:$AF$505,0),MATCH(体力優良証交付申請!J$14,テーブル22[[#Headers],[学年]:[得点]],0)))</f>
        <v/>
      </c>
      <c r="K260" s="203" t="str">
        <f>IF($A260&gt;MAX(入力シート!$AF$6:$AF$505),"",INDEX(テーブル22[[学年]:[得点]],MATCH(体力優良証交付申請!$A260,入力シート!$AF$6:$AF$505,0),MATCH(体力優良証交付申請!K$14,テーブル22[[#Headers],[学年]:[得点]],0)))</f>
        <v/>
      </c>
      <c r="L260" s="203" t="str">
        <f>IF($A260&gt;MAX(入力シート!$AF$6:$AF$505),"",INDEX(テーブル22[[学年]:[得点]],MATCH(体力優良証交付申請!$A260,入力シート!$AF$6:$AF$505,0),MATCH(体力優良証交付申請!L$14,テーブル22[[#Headers],[学年]:[得点]],0)))</f>
        <v/>
      </c>
      <c r="M260" s="28" t="str">
        <f>IF($A260&gt;MAX(入力シート!$AF$6:$AF$505),"",INDEX(テーブル22[[学年]:[得点]],MATCH(体力優良証交付申請!$A260,入力シート!$AF$6:$AF$505,0),MATCH(体力優良証交付申請!M$14,テーブル22[[#Headers],[学年]:[得点]],0)))</f>
        <v/>
      </c>
    </row>
    <row r="261" spans="1:13" x14ac:dyDescent="0.2">
      <c r="A261" s="16">
        <v>247</v>
      </c>
      <c r="B261" s="130" t="str">
        <f>IF($A261&gt;MAX(入力シート!$AF$6:$AF$505),"",INDEX(テーブル22[[学年]:[得点]],MATCH(体力優良証交付申請!$A261,入力シート!$AF$6:$AF$505,0),MATCH(体力優良証交付申請!B$14,テーブル22[[#Headers],[学年]:[得点]],0)))</f>
        <v/>
      </c>
      <c r="C261" s="203" t="str">
        <f>IF($A261&gt;MAX(入力シート!$AF$6:$AF$505),"",INDEX(テーブル22[[学年]:[得点]],MATCH(体力優良証交付申請!$A261,入力シート!$AF$6:$AF$505,0),MATCH(体力優良証交付申請!C$14,テーブル22[[#Headers],[学年]:[得点]],0)))</f>
        <v/>
      </c>
      <c r="D261" s="203" t="str">
        <f>IF($A261&gt;MAX(入力シート!$AF$6:$AF$505),"",INDEX(テーブル22[[学年]:[得点]],MATCH(体力優良証交付申請!$A261,入力シート!$AF$6:$AF$505,0),MATCH(体力優良証交付申請!D$14,テーブル22[[#Headers],[学年]:[得点]],0)))</f>
        <v/>
      </c>
      <c r="E261" s="203" t="str">
        <f>IF($A261&gt;MAX(入力シート!$AF$6:$AF$505),"",INDEX(テーブル22[[学年]:[得点]],MATCH(体力優良証交付申請!$A261,入力シート!$AF$6:$AF$505,0),MATCH(体力優良証交付申請!E$14,テーブル22[[#Headers],[学年]:[得点]],0)))</f>
        <v/>
      </c>
      <c r="F261" s="203" t="str">
        <f>IF($A261&gt;MAX(入力シート!$AF$6:$AF$505),"",INDEX(テーブル22[[学年]:[得点]],MATCH(体力優良証交付申請!$A261,入力シート!$AF$6:$AF$505,0),MATCH(体力優良証交付申請!F$14,テーブル22[[#Headers],[学年]:[得点]],0)))</f>
        <v/>
      </c>
      <c r="G261" s="203" t="str">
        <f>IF($A261&gt;MAX(入力シート!$AF$6:$AF$505),"",INDEX(テーブル22[[学年]:[得点]],MATCH(体力優良証交付申請!$A261,入力シート!$AF$6:$AF$505,0),MATCH(体力優良証交付申請!G$14,テーブル22[[#Headers],[学年]:[得点]],0)))</f>
        <v/>
      </c>
      <c r="H261" s="203" t="str">
        <f>IF($A261&gt;MAX(入力シート!$AF$6:$AF$505),"",INDEX(テーブル22[[学年]:[得点]],MATCH(体力優良証交付申請!$A261,入力シート!$AF$6:$AF$505,0),MATCH(体力優良証交付申請!H$14,テーブル22[[#Headers],[学年]:[得点]],0)))</f>
        <v/>
      </c>
      <c r="I261" s="203" t="str">
        <f>IF($A261&gt;MAX(入力シート!$AF$6:$AF$505),"",INDEX(テーブル22[[学年]:[得点]],MATCH(体力優良証交付申請!$A261,入力シート!$AF$6:$AF$505,0),MATCH(体力優良証交付申請!I$14,テーブル22[[#Headers],[学年]:[得点]],0)))</f>
        <v/>
      </c>
      <c r="J261" s="114" t="str">
        <f>IF($A261&gt;MAX(入力シート!$AF$6:$AF$505),"",INDEX(テーブル22[[学年]:[得点]],MATCH(体力優良証交付申請!$A261,入力シート!$AF$6:$AF$505,0),MATCH(体力優良証交付申請!J$14,テーブル22[[#Headers],[学年]:[得点]],0)))</f>
        <v/>
      </c>
      <c r="K261" s="203" t="str">
        <f>IF($A261&gt;MAX(入力シート!$AF$6:$AF$505),"",INDEX(テーブル22[[学年]:[得点]],MATCH(体力優良証交付申請!$A261,入力シート!$AF$6:$AF$505,0),MATCH(体力優良証交付申請!K$14,テーブル22[[#Headers],[学年]:[得点]],0)))</f>
        <v/>
      </c>
      <c r="L261" s="203" t="str">
        <f>IF($A261&gt;MAX(入力シート!$AF$6:$AF$505),"",INDEX(テーブル22[[学年]:[得点]],MATCH(体力優良証交付申請!$A261,入力シート!$AF$6:$AF$505,0),MATCH(体力優良証交付申請!L$14,テーブル22[[#Headers],[学年]:[得点]],0)))</f>
        <v/>
      </c>
      <c r="M261" s="28" t="str">
        <f>IF($A261&gt;MAX(入力シート!$AF$6:$AF$505),"",INDEX(テーブル22[[学年]:[得点]],MATCH(体力優良証交付申請!$A261,入力シート!$AF$6:$AF$505,0),MATCH(体力優良証交付申請!M$14,テーブル22[[#Headers],[学年]:[得点]],0)))</f>
        <v/>
      </c>
    </row>
    <row r="262" spans="1:13" x14ac:dyDescent="0.2">
      <c r="A262" s="16">
        <v>248</v>
      </c>
      <c r="B262" s="130" t="str">
        <f>IF($A262&gt;MAX(入力シート!$AF$6:$AF$505),"",INDEX(テーブル22[[学年]:[得点]],MATCH(体力優良証交付申請!$A262,入力シート!$AF$6:$AF$505,0),MATCH(体力優良証交付申請!B$14,テーブル22[[#Headers],[学年]:[得点]],0)))</f>
        <v/>
      </c>
      <c r="C262" s="203" t="str">
        <f>IF($A262&gt;MAX(入力シート!$AF$6:$AF$505),"",INDEX(テーブル22[[学年]:[得点]],MATCH(体力優良証交付申請!$A262,入力シート!$AF$6:$AF$505,0),MATCH(体力優良証交付申請!C$14,テーブル22[[#Headers],[学年]:[得点]],0)))</f>
        <v/>
      </c>
      <c r="D262" s="203" t="str">
        <f>IF($A262&gt;MAX(入力シート!$AF$6:$AF$505),"",INDEX(テーブル22[[学年]:[得点]],MATCH(体力優良証交付申請!$A262,入力シート!$AF$6:$AF$505,0),MATCH(体力優良証交付申請!D$14,テーブル22[[#Headers],[学年]:[得点]],0)))</f>
        <v/>
      </c>
      <c r="E262" s="203" t="str">
        <f>IF($A262&gt;MAX(入力シート!$AF$6:$AF$505),"",INDEX(テーブル22[[学年]:[得点]],MATCH(体力優良証交付申請!$A262,入力シート!$AF$6:$AF$505,0),MATCH(体力優良証交付申請!E$14,テーブル22[[#Headers],[学年]:[得点]],0)))</f>
        <v/>
      </c>
      <c r="F262" s="203" t="str">
        <f>IF($A262&gt;MAX(入力シート!$AF$6:$AF$505),"",INDEX(テーブル22[[学年]:[得点]],MATCH(体力優良証交付申請!$A262,入力シート!$AF$6:$AF$505,0),MATCH(体力優良証交付申請!F$14,テーブル22[[#Headers],[学年]:[得点]],0)))</f>
        <v/>
      </c>
      <c r="G262" s="203" t="str">
        <f>IF($A262&gt;MAX(入力シート!$AF$6:$AF$505),"",INDEX(テーブル22[[学年]:[得点]],MATCH(体力優良証交付申請!$A262,入力シート!$AF$6:$AF$505,0),MATCH(体力優良証交付申請!G$14,テーブル22[[#Headers],[学年]:[得点]],0)))</f>
        <v/>
      </c>
      <c r="H262" s="203" t="str">
        <f>IF($A262&gt;MAX(入力シート!$AF$6:$AF$505),"",INDEX(テーブル22[[学年]:[得点]],MATCH(体力優良証交付申請!$A262,入力シート!$AF$6:$AF$505,0),MATCH(体力優良証交付申請!H$14,テーブル22[[#Headers],[学年]:[得点]],0)))</f>
        <v/>
      </c>
      <c r="I262" s="203" t="str">
        <f>IF($A262&gt;MAX(入力シート!$AF$6:$AF$505),"",INDEX(テーブル22[[学年]:[得点]],MATCH(体力優良証交付申請!$A262,入力シート!$AF$6:$AF$505,0),MATCH(体力優良証交付申請!I$14,テーブル22[[#Headers],[学年]:[得点]],0)))</f>
        <v/>
      </c>
      <c r="J262" s="114" t="str">
        <f>IF($A262&gt;MAX(入力シート!$AF$6:$AF$505),"",INDEX(テーブル22[[学年]:[得点]],MATCH(体力優良証交付申請!$A262,入力シート!$AF$6:$AF$505,0),MATCH(体力優良証交付申請!J$14,テーブル22[[#Headers],[学年]:[得点]],0)))</f>
        <v/>
      </c>
      <c r="K262" s="203" t="str">
        <f>IF($A262&gt;MAX(入力シート!$AF$6:$AF$505),"",INDEX(テーブル22[[学年]:[得点]],MATCH(体力優良証交付申請!$A262,入力シート!$AF$6:$AF$505,0),MATCH(体力優良証交付申請!K$14,テーブル22[[#Headers],[学年]:[得点]],0)))</f>
        <v/>
      </c>
      <c r="L262" s="203" t="str">
        <f>IF($A262&gt;MAX(入力シート!$AF$6:$AF$505),"",INDEX(テーブル22[[学年]:[得点]],MATCH(体力優良証交付申請!$A262,入力シート!$AF$6:$AF$505,0),MATCH(体力優良証交付申請!L$14,テーブル22[[#Headers],[学年]:[得点]],0)))</f>
        <v/>
      </c>
      <c r="M262" s="28" t="str">
        <f>IF($A262&gt;MAX(入力シート!$AF$6:$AF$505),"",INDEX(テーブル22[[学年]:[得点]],MATCH(体力優良証交付申請!$A262,入力シート!$AF$6:$AF$505,0),MATCH(体力優良証交付申請!M$14,テーブル22[[#Headers],[学年]:[得点]],0)))</f>
        <v/>
      </c>
    </row>
    <row r="263" spans="1:13" x14ac:dyDescent="0.2">
      <c r="A263" s="16">
        <v>249</v>
      </c>
      <c r="B263" s="130" t="str">
        <f>IF($A263&gt;MAX(入力シート!$AF$6:$AF$505),"",INDEX(テーブル22[[学年]:[得点]],MATCH(体力優良証交付申請!$A263,入力シート!$AF$6:$AF$505,0),MATCH(体力優良証交付申請!B$14,テーブル22[[#Headers],[学年]:[得点]],0)))</f>
        <v/>
      </c>
      <c r="C263" s="203" t="str">
        <f>IF($A263&gt;MAX(入力シート!$AF$6:$AF$505),"",INDEX(テーブル22[[学年]:[得点]],MATCH(体力優良証交付申請!$A263,入力シート!$AF$6:$AF$505,0),MATCH(体力優良証交付申請!C$14,テーブル22[[#Headers],[学年]:[得点]],0)))</f>
        <v/>
      </c>
      <c r="D263" s="203" t="str">
        <f>IF($A263&gt;MAX(入力シート!$AF$6:$AF$505),"",INDEX(テーブル22[[学年]:[得点]],MATCH(体力優良証交付申請!$A263,入力シート!$AF$6:$AF$505,0),MATCH(体力優良証交付申請!D$14,テーブル22[[#Headers],[学年]:[得点]],0)))</f>
        <v/>
      </c>
      <c r="E263" s="203" t="str">
        <f>IF($A263&gt;MAX(入力シート!$AF$6:$AF$505),"",INDEX(テーブル22[[学年]:[得点]],MATCH(体力優良証交付申請!$A263,入力シート!$AF$6:$AF$505,0),MATCH(体力優良証交付申請!E$14,テーブル22[[#Headers],[学年]:[得点]],0)))</f>
        <v/>
      </c>
      <c r="F263" s="203" t="str">
        <f>IF($A263&gt;MAX(入力シート!$AF$6:$AF$505),"",INDEX(テーブル22[[学年]:[得点]],MATCH(体力優良証交付申請!$A263,入力シート!$AF$6:$AF$505,0),MATCH(体力優良証交付申請!F$14,テーブル22[[#Headers],[学年]:[得点]],0)))</f>
        <v/>
      </c>
      <c r="G263" s="203" t="str">
        <f>IF($A263&gt;MAX(入力シート!$AF$6:$AF$505),"",INDEX(テーブル22[[学年]:[得点]],MATCH(体力優良証交付申請!$A263,入力シート!$AF$6:$AF$505,0),MATCH(体力優良証交付申請!G$14,テーブル22[[#Headers],[学年]:[得点]],0)))</f>
        <v/>
      </c>
      <c r="H263" s="203" t="str">
        <f>IF($A263&gt;MAX(入力シート!$AF$6:$AF$505),"",INDEX(テーブル22[[学年]:[得点]],MATCH(体力優良証交付申請!$A263,入力シート!$AF$6:$AF$505,0),MATCH(体力優良証交付申請!H$14,テーブル22[[#Headers],[学年]:[得点]],0)))</f>
        <v/>
      </c>
      <c r="I263" s="203" t="str">
        <f>IF($A263&gt;MAX(入力シート!$AF$6:$AF$505),"",INDEX(テーブル22[[学年]:[得点]],MATCH(体力優良証交付申請!$A263,入力シート!$AF$6:$AF$505,0),MATCH(体力優良証交付申請!I$14,テーブル22[[#Headers],[学年]:[得点]],0)))</f>
        <v/>
      </c>
      <c r="J263" s="114" t="str">
        <f>IF($A263&gt;MAX(入力シート!$AF$6:$AF$505),"",INDEX(テーブル22[[学年]:[得点]],MATCH(体力優良証交付申請!$A263,入力シート!$AF$6:$AF$505,0),MATCH(体力優良証交付申請!J$14,テーブル22[[#Headers],[学年]:[得点]],0)))</f>
        <v/>
      </c>
      <c r="K263" s="203" t="str">
        <f>IF($A263&gt;MAX(入力シート!$AF$6:$AF$505),"",INDEX(テーブル22[[学年]:[得点]],MATCH(体力優良証交付申請!$A263,入力シート!$AF$6:$AF$505,0),MATCH(体力優良証交付申請!K$14,テーブル22[[#Headers],[学年]:[得点]],0)))</f>
        <v/>
      </c>
      <c r="L263" s="203" t="str">
        <f>IF($A263&gt;MAX(入力シート!$AF$6:$AF$505),"",INDEX(テーブル22[[学年]:[得点]],MATCH(体力優良証交付申請!$A263,入力シート!$AF$6:$AF$505,0),MATCH(体力優良証交付申請!L$14,テーブル22[[#Headers],[学年]:[得点]],0)))</f>
        <v/>
      </c>
      <c r="M263" s="28" t="str">
        <f>IF($A263&gt;MAX(入力シート!$AF$6:$AF$505),"",INDEX(テーブル22[[学年]:[得点]],MATCH(体力優良証交付申請!$A263,入力シート!$AF$6:$AF$505,0),MATCH(体力優良証交付申請!M$14,テーブル22[[#Headers],[学年]:[得点]],0)))</f>
        <v/>
      </c>
    </row>
    <row r="264" spans="1:13" x14ac:dyDescent="0.2">
      <c r="A264" s="16">
        <v>250</v>
      </c>
      <c r="B264" s="130" t="str">
        <f>IF($A264&gt;MAX(入力シート!$AF$6:$AF$505),"",INDEX(テーブル22[[学年]:[得点]],MATCH(体力優良証交付申請!$A264,入力シート!$AF$6:$AF$505,0),MATCH(体力優良証交付申請!B$14,テーブル22[[#Headers],[学年]:[得点]],0)))</f>
        <v/>
      </c>
      <c r="C264" s="203" t="str">
        <f>IF($A264&gt;MAX(入力シート!$AF$6:$AF$505),"",INDEX(テーブル22[[学年]:[得点]],MATCH(体力優良証交付申請!$A264,入力シート!$AF$6:$AF$505,0),MATCH(体力優良証交付申請!C$14,テーブル22[[#Headers],[学年]:[得点]],0)))</f>
        <v/>
      </c>
      <c r="D264" s="203" t="str">
        <f>IF($A264&gt;MAX(入力シート!$AF$6:$AF$505),"",INDEX(テーブル22[[学年]:[得点]],MATCH(体力優良証交付申請!$A264,入力シート!$AF$6:$AF$505,0),MATCH(体力優良証交付申請!D$14,テーブル22[[#Headers],[学年]:[得点]],0)))</f>
        <v/>
      </c>
      <c r="E264" s="203" t="str">
        <f>IF($A264&gt;MAX(入力シート!$AF$6:$AF$505),"",INDEX(テーブル22[[学年]:[得点]],MATCH(体力優良証交付申請!$A264,入力シート!$AF$6:$AF$505,0),MATCH(体力優良証交付申請!E$14,テーブル22[[#Headers],[学年]:[得点]],0)))</f>
        <v/>
      </c>
      <c r="F264" s="203" t="str">
        <f>IF($A264&gt;MAX(入力シート!$AF$6:$AF$505),"",INDEX(テーブル22[[学年]:[得点]],MATCH(体力優良証交付申請!$A264,入力シート!$AF$6:$AF$505,0),MATCH(体力優良証交付申請!F$14,テーブル22[[#Headers],[学年]:[得点]],0)))</f>
        <v/>
      </c>
      <c r="G264" s="203" t="str">
        <f>IF($A264&gt;MAX(入力シート!$AF$6:$AF$505),"",INDEX(テーブル22[[学年]:[得点]],MATCH(体力優良証交付申請!$A264,入力シート!$AF$6:$AF$505,0),MATCH(体力優良証交付申請!G$14,テーブル22[[#Headers],[学年]:[得点]],0)))</f>
        <v/>
      </c>
      <c r="H264" s="203" t="str">
        <f>IF($A264&gt;MAX(入力シート!$AF$6:$AF$505),"",INDEX(テーブル22[[学年]:[得点]],MATCH(体力優良証交付申請!$A264,入力シート!$AF$6:$AF$505,0),MATCH(体力優良証交付申請!H$14,テーブル22[[#Headers],[学年]:[得点]],0)))</f>
        <v/>
      </c>
      <c r="I264" s="203" t="str">
        <f>IF($A264&gt;MAX(入力シート!$AF$6:$AF$505),"",INDEX(テーブル22[[学年]:[得点]],MATCH(体力優良証交付申請!$A264,入力シート!$AF$6:$AF$505,0),MATCH(体力優良証交付申請!I$14,テーブル22[[#Headers],[学年]:[得点]],0)))</f>
        <v/>
      </c>
      <c r="J264" s="114" t="str">
        <f>IF($A264&gt;MAX(入力シート!$AF$6:$AF$505),"",INDEX(テーブル22[[学年]:[得点]],MATCH(体力優良証交付申請!$A264,入力シート!$AF$6:$AF$505,0),MATCH(体力優良証交付申請!J$14,テーブル22[[#Headers],[学年]:[得点]],0)))</f>
        <v/>
      </c>
      <c r="K264" s="203" t="str">
        <f>IF($A264&gt;MAX(入力シート!$AF$6:$AF$505),"",INDEX(テーブル22[[学年]:[得点]],MATCH(体力優良証交付申請!$A264,入力シート!$AF$6:$AF$505,0),MATCH(体力優良証交付申請!K$14,テーブル22[[#Headers],[学年]:[得点]],0)))</f>
        <v/>
      </c>
      <c r="L264" s="203" t="str">
        <f>IF($A264&gt;MAX(入力シート!$AF$6:$AF$505),"",INDEX(テーブル22[[学年]:[得点]],MATCH(体力優良証交付申請!$A264,入力シート!$AF$6:$AF$505,0),MATCH(体力優良証交付申請!L$14,テーブル22[[#Headers],[学年]:[得点]],0)))</f>
        <v/>
      </c>
      <c r="M264" s="28" t="str">
        <f>IF($A264&gt;MAX(入力シート!$AF$6:$AF$505),"",INDEX(テーブル22[[学年]:[得点]],MATCH(体力優良証交付申請!$A264,入力シート!$AF$6:$AF$505,0),MATCH(体力優良証交付申請!M$14,テーブル22[[#Headers],[学年]:[得点]],0)))</f>
        <v/>
      </c>
    </row>
    <row r="265" spans="1:13" x14ac:dyDescent="0.2">
      <c r="A265" s="16">
        <v>251</v>
      </c>
      <c r="B265" s="130" t="str">
        <f>IF($A265&gt;MAX(入力シート!$AF$6:$AF$505),"",INDEX(テーブル22[[学年]:[得点]],MATCH(体力優良証交付申請!$A265,入力シート!$AF$6:$AF$505,0),MATCH(体力優良証交付申請!B$14,テーブル22[[#Headers],[学年]:[得点]],0)))</f>
        <v/>
      </c>
      <c r="C265" s="203" t="str">
        <f>IF($A265&gt;MAX(入力シート!$AF$6:$AF$505),"",INDEX(テーブル22[[学年]:[得点]],MATCH(体力優良証交付申請!$A265,入力シート!$AF$6:$AF$505,0),MATCH(体力優良証交付申請!C$14,テーブル22[[#Headers],[学年]:[得点]],0)))</f>
        <v/>
      </c>
      <c r="D265" s="203" t="str">
        <f>IF($A265&gt;MAX(入力シート!$AF$6:$AF$505),"",INDEX(テーブル22[[学年]:[得点]],MATCH(体力優良証交付申請!$A265,入力シート!$AF$6:$AF$505,0),MATCH(体力優良証交付申請!D$14,テーブル22[[#Headers],[学年]:[得点]],0)))</f>
        <v/>
      </c>
      <c r="E265" s="203" t="str">
        <f>IF($A265&gt;MAX(入力シート!$AF$6:$AF$505),"",INDEX(テーブル22[[学年]:[得点]],MATCH(体力優良証交付申請!$A265,入力シート!$AF$6:$AF$505,0),MATCH(体力優良証交付申請!E$14,テーブル22[[#Headers],[学年]:[得点]],0)))</f>
        <v/>
      </c>
      <c r="F265" s="203" t="str">
        <f>IF($A265&gt;MAX(入力シート!$AF$6:$AF$505),"",INDEX(テーブル22[[学年]:[得点]],MATCH(体力優良証交付申請!$A265,入力シート!$AF$6:$AF$505,0),MATCH(体力優良証交付申請!F$14,テーブル22[[#Headers],[学年]:[得点]],0)))</f>
        <v/>
      </c>
      <c r="G265" s="203" t="str">
        <f>IF($A265&gt;MAX(入力シート!$AF$6:$AF$505),"",INDEX(テーブル22[[学年]:[得点]],MATCH(体力優良証交付申請!$A265,入力シート!$AF$6:$AF$505,0),MATCH(体力優良証交付申請!G$14,テーブル22[[#Headers],[学年]:[得点]],0)))</f>
        <v/>
      </c>
      <c r="H265" s="203" t="str">
        <f>IF($A265&gt;MAX(入力シート!$AF$6:$AF$505),"",INDEX(テーブル22[[学年]:[得点]],MATCH(体力優良証交付申請!$A265,入力シート!$AF$6:$AF$505,0),MATCH(体力優良証交付申請!H$14,テーブル22[[#Headers],[学年]:[得点]],0)))</f>
        <v/>
      </c>
      <c r="I265" s="203" t="str">
        <f>IF($A265&gt;MAX(入力シート!$AF$6:$AF$505),"",INDEX(テーブル22[[学年]:[得点]],MATCH(体力優良証交付申請!$A265,入力シート!$AF$6:$AF$505,0),MATCH(体力優良証交付申請!I$14,テーブル22[[#Headers],[学年]:[得点]],0)))</f>
        <v/>
      </c>
      <c r="J265" s="114" t="str">
        <f>IF($A265&gt;MAX(入力シート!$AF$6:$AF$505),"",INDEX(テーブル22[[学年]:[得点]],MATCH(体力優良証交付申請!$A265,入力シート!$AF$6:$AF$505,0),MATCH(体力優良証交付申請!J$14,テーブル22[[#Headers],[学年]:[得点]],0)))</f>
        <v/>
      </c>
      <c r="K265" s="203" t="str">
        <f>IF($A265&gt;MAX(入力シート!$AF$6:$AF$505),"",INDEX(テーブル22[[学年]:[得点]],MATCH(体力優良証交付申請!$A265,入力シート!$AF$6:$AF$505,0),MATCH(体力優良証交付申請!K$14,テーブル22[[#Headers],[学年]:[得点]],0)))</f>
        <v/>
      </c>
      <c r="L265" s="203" t="str">
        <f>IF($A265&gt;MAX(入力シート!$AF$6:$AF$505),"",INDEX(テーブル22[[学年]:[得点]],MATCH(体力優良証交付申請!$A265,入力シート!$AF$6:$AF$505,0),MATCH(体力優良証交付申請!L$14,テーブル22[[#Headers],[学年]:[得点]],0)))</f>
        <v/>
      </c>
      <c r="M265" s="28" t="str">
        <f>IF($A265&gt;MAX(入力シート!$AF$6:$AF$505),"",INDEX(テーブル22[[学年]:[得点]],MATCH(体力優良証交付申請!$A265,入力シート!$AF$6:$AF$505,0),MATCH(体力優良証交付申請!M$14,テーブル22[[#Headers],[学年]:[得点]],0)))</f>
        <v/>
      </c>
    </row>
    <row r="266" spans="1:13" x14ac:dyDescent="0.2">
      <c r="A266" s="16">
        <v>252</v>
      </c>
      <c r="B266" s="130" t="str">
        <f>IF($A266&gt;MAX(入力シート!$AF$6:$AF$505),"",INDEX(テーブル22[[学年]:[得点]],MATCH(体力優良証交付申請!$A266,入力シート!$AF$6:$AF$505,0),MATCH(体力優良証交付申請!B$14,テーブル22[[#Headers],[学年]:[得点]],0)))</f>
        <v/>
      </c>
      <c r="C266" s="203" t="str">
        <f>IF($A266&gt;MAX(入力シート!$AF$6:$AF$505),"",INDEX(テーブル22[[学年]:[得点]],MATCH(体力優良証交付申請!$A266,入力シート!$AF$6:$AF$505,0),MATCH(体力優良証交付申請!C$14,テーブル22[[#Headers],[学年]:[得点]],0)))</f>
        <v/>
      </c>
      <c r="D266" s="203" t="str">
        <f>IF($A266&gt;MAX(入力シート!$AF$6:$AF$505),"",INDEX(テーブル22[[学年]:[得点]],MATCH(体力優良証交付申請!$A266,入力シート!$AF$6:$AF$505,0),MATCH(体力優良証交付申請!D$14,テーブル22[[#Headers],[学年]:[得点]],0)))</f>
        <v/>
      </c>
      <c r="E266" s="203" t="str">
        <f>IF($A266&gt;MAX(入力シート!$AF$6:$AF$505),"",INDEX(テーブル22[[学年]:[得点]],MATCH(体力優良証交付申請!$A266,入力シート!$AF$6:$AF$505,0),MATCH(体力優良証交付申請!E$14,テーブル22[[#Headers],[学年]:[得点]],0)))</f>
        <v/>
      </c>
      <c r="F266" s="203" t="str">
        <f>IF($A266&gt;MAX(入力シート!$AF$6:$AF$505),"",INDEX(テーブル22[[学年]:[得点]],MATCH(体力優良証交付申請!$A266,入力シート!$AF$6:$AF$505,0),MATCH(体力優良証交付申請!F$14,テーブル22[[#Headers],[学年]:[得点]],0)))</f>
        <v/>
      </c>
      <c r="G266" s="203" t="str">
        <f>IF($A266&gt;MAX(入力シート!$AF$6:$AF$505),"",INDEX(テーブル22[[学年]:[得点]],MATCH(体力優良証交付申請!$A266,入力シート!$AF$6:$AF$505,0),MATCH(体力優良証交付申請!G$14,テーブル22[[#Headers],[学年]:[得点]],0)))</f>
        <v/>
      </c>
      <c r="H266" s="203" t="str">
        <f>IF($A266&gt;MAX(入力シート!$AF$6:$AF$505),"",INDEX(テーブル22[[学年]:[得点]],MATCH(体力優良証交付申請!$A266,入力シート!$AF$6:$AF$505,0),MATCH(体力優良証交付申請!H$14,テーブル22[[#Headers],[学年]:[得点]],0)))</f>
        <v/>
      </c>
      <c r="I266" s="203" t="str">
        <f>IF($A266&gt;MAX(入力シート!$AF$6:$AF$505),"",INDEX(テーブル22[[学年]:[得点]],MATCH(体力優良証交付申請!$A266,入力シート!$AF$6:$AF$505,0),MATCH(体力優良証交付申請!I$14,テーブル22[[#Headers],[学年]:[得点]],0)))</f>
        <v/>
      </c>
      <c r="J266" s="114" t="str">
        <f>IF($A266&gt;MAX(入力シート!$AF$6:$AF$505),"",INDEX(テーブル22[[学年]:[得点]],MATCH(体力優良証交付申請!$A266,入力シート!$AF$6:$AF$505,0),MATCH(体力優良証交付申請!J$14,テーブル22[[#Headers],[学年]:[得点]],0)))</f>
        <v/>
      </c>
      <c r="K266" s="203" t="str">
        <f>IF($A266&gt;MAX(入力シート!$AF$6:$AF$505),"",INDEX(テーブル22[[学年]:[得点]],MATCH(体力優良証交付申請!$A266,入力シート!$AF$6:$AF$505,0),MATCH(体力優良証交付申請!K$14,テーブル22[[#Headers],[学年]:[得点]],0)))</f>
        <v/>
      </c>
      <c r="L266" s="203" t="str">
        <f>IF($A266&gt;MAX(入力シート!$AF$6:$AF$505),"",INDEX(テーブル22[[学年]:[得点]],MATCH(体力優良証交付申請!$A266,入力シート!$AF$6:$AF$505,0),MATCH(体力優良証交付申請!L$14,テーブル22[[#Headers],[学年]:[得点]],0)))</f>
        <v/>
      </c>
      <c r="M266" s="28" t="str">
        <f>IF($A266&gt;MAX(入力シート!$AF$6:$AF$505),"",INDEX(テーブル22[[学年]:[得点]],MATCH(体力優良証交付申請!$A266,入力シート!$AF$6:$AF$505,0),MATCH(体力優良証交付申請!M$14,テーブル22[[#Headers],[学年]:[得点]],0)))</f>
        <v/>
      </c>
    </row>
    <row r="267" spans="1:13" x14ac:dyDescent="0.2">
      <c r="A267" s="16">
        <v>253</v>
      </c>
      <c r="B267" s="130" t="str">
        <f>IF($A267&gt;MAX(入力シート!$AF$6:$AF$505),"",INDEX(テーブル22[[学年]:[得点]],MATCH(体力優良証交付申請!$A267,入力シート!$AF$6:$AF$505,0),MATCH(体力優良証交付申請!B$14,テーブル22[[#Headers],[学年]:[得点]],0)))</f>
        <v/>
      </c>
      <c r="C267" s="203" t="str">
        <f>IF($A267&gt;MAX(入力シート!$AF$6:$AF$505),"",INDEX(テーブル22[[学年]:[得点]],MATCH(体力優良証交付申請!$A267,入力シート!$AF$6:$AF$505,0),MATCH(体力優良証交付申請!C$14,テーブル22[[#Headers],[学年]:[得点]],0)))</f>
        <v/>
      </c>
      <c r="D267" s="203" t="str">
        <f>IF($A267&gt;MAX(入力シート!$AF$6:$AF$505),"",INDEX(テーブル22[[学年]:[得点]],MATCH(体力優良証交付申請!$A267,入力シート!$AF$6:$AF$505,0),MATCH(体力優良証交付申請!D$14,テーブル22[[#Headers],[学年]:[得点]],0)))</f>
        <v/>
      </c>
      <c r="E267" s="203" t="str">
        <f>IF($A267&gt;MAX(入力シート!$AF$6:$AF$505),"",INDEX(テーブル22[[学年]:[得点]],MATCH(体力優良証交付申請!$A267,入力シート!$AF$6:$AF$505,0),MATCH(体力優良証交付申請!E$14,テーブル22[[#Headers],[学年]:[得点]],0)))</f>
        <v/>
      </c>
      <c r="F267" s="203" t="str">
        <f>IF($A267&gt;MAX(入力シート!$AF$6:$AF$505),"",INDEX(テーブル22[[学年]:[得点]],MATCH(体力優良証交付申請!$A267,入力シート!$AF$6:$AF$505,0),MATCH(体力優良証交付申請!F$14,テーブル22[[#Headers],[学年]:[得点]],0)))</f>
        <v/>
      </c>
      <c r="G267" s="203" t="str">
        <f>IF($A267&gt;MAX(入力シート!$AF$6:$AF$505),"",INDEX(テーブル22[[学年]:[得点]],MATCH(体力優良証交付申請!$A267,入力シート!$AF$6:$AF$505,0),MATCH(体力優良証交付申請!G$14,テーブル22[[#Headers],[学年]:[得点]],0)))</f>
        <v/>
      </c>
      <c r="H267" s="203" t="str">
        <f>IF($A267&gt;MAX(入力シート!$AF$6:$AF$505),"",INDEX(テーブル22[[学年]:[得点]],MATCH(体力優良証交付申請!$A267,入力シート!$AF$6:$AF$505,0),MATCH(体力優良証交付申請!H$14,テーブル22[[#Headers],[学年]:[得点]],0)))</f>
        <v/>
      </c>
      <c r="I267" s="203" t="str">
        <f>IF($A267&gt;MAX(入力シート!$AF$6:$AF$505),"",INDEX(テーブル22[[学年]:[得点]],MATCH(体力優良証交付申請!$A267,入力シート!$AF$6:$AF$505,0),MATCH(体力優良証交付申請!I$14,テーブル22[[#Headers],[学年]:[得点]],0)))</f>
        <v/>
      </c>
      <c r="J267" s="114" t="str">
        <f>IF($A267&gt;MAX(入力シート!$AF$6:$AF$505),"",INDEX(テーブル22[[学年]:[得点]],MATCH(体力優良証交付申請!$A267,入力シート!$AF$6:$AF$505,0),MATCH(体力優良証交付申請!J$14,テーブル22[[#Headers],[学年]:[得点]],0)))</f>
        <v/>
      </c>
      <c r="K267" s="203" t="str">
        <f>IF($A267&gt;MAX(入力シート!$AF$6:$AF$505),"",INDEX(テーブル22[[学年]:[得点]],MATCH(体力優良証交付申請!$A267,入力シート!$AF$6:$AF$505,0),MATCH(体力優良証交付申請!K$14,テーブル22[[#Headers],[学年]:[得点]],0)))</f>
        <v/>
      </c>
      <c r="L267" s="203" t="str">
        <f>IF($A267&gt;MAX(入力シート!$AF$6:$AF$505),"",INDEX(テーブル22[[学年]:[得点]],MATCH(体力優良証交付申請!$A267,入力シート!$AF$6:$AF$505,0),MATCH(体力優良証交付申請!L$14,テーブル22[[#Headers],[学年]:[得点]],0)))</f>
        <v/>
      </c>
      <c r="M267" s="28" t="str">
        <f>IF($A267&gt;MAX(入力シート!$AF$6:$AF$505),"",INDEX(テーブル22[[学年]:[得点]],MATCH(体力優良証交付申請!$A267,入力シート!$AF$6:$AF$505,0),MATCH(体力優良証交付申請!M$14,テーブル22[[#Headers],[学年]:[得点]],0)))</f>
        <v/>
      </c>
    </row>
    <row r="268" spans="1:13" x14ac:dyDescent="0.2">
      <c r="A268" s="16">
        <v>254</v>
      </c>
      <c r="B268" s="130" t="str">
        <f>IF($A268&gt;MAX(入力シート!$AF$6:$AF$505),"",INDEX(テーブル22[[学年]:[得点]],MATCH(体力優良証交付申請!$A268,入力シート!$AF$6:$AF$505,0),MATCH(体力優良証交付申請!B$14,テーブル22[[#Headers],[学年]:[得点]],0)))</f>
        <v/>
      </c>
      <c r="C268" s="203" t="str">
        <f>IF($A268&gt;MAX(入力シート!$AF$6:$AF$505),"",INDEX(テーブル22[[学年]:[得点]],MATCH(体力優良証交付申請!$A268,入力シート!$AF$6:$AF$505,0),MATCH(体力優良証交付申請!C$14,テーブル22[[#Headers],[学年]:[得点]],0)))</f>
        <v/>
      </c>
      <c r="D268" s="203" t="str">
        <f>IF($A268&gt;MAX(入力シート!$AF$6:$AF$505),"",INDEX(テーブル22[[学年]:[得点]],MATCH(体力優良証交付申請!$A268,入力シート!$AF$6:$AF$505,0),MATCH(体力優良証交付申請!D$14,テーブル22[[#Headers],[学年]:[得点]],0)))</f>
        <v/>
      </c>
      <c r="E268" s="203" t="str">
        <f>IF($A268&gt;MAX(入力シート!$AF$6:$AF$505),"",INDEX(テーブル22[[学年]:[得点]],MATCH(体力優良証交付申請!$A268,入力シート!$AF$6:$AF$505,0),MATCH(体力優良証交付申請!E$14,テーブル22[[#Headers],[学年]:[得点]],0)))</f>
        <v/>
      </c>
      <c r="F268" s="203" t="str">
        <f>IF($A268&gt;MAX(入力シート!$AF$6:$AF$505),"",INDEX(テーブル22[[学年]:[得点]],MATCH(体力優良証交付申請!$A268,入力シート!$AF$6:$AF$505,0),MATCH(体力優良証交付申請!F$14,テーブル22[[#Headers],[学年]:[得点]],0)))</f>
        <v/>
      </c>
      <c r="G268" s="203" t="str">
        <f>IF($A268&gt;MAX(入力シート!$AF$6:$AF$505),"",INDEX(テーブル22[[学年]:[得点]],MATCH(体力優良証交付申請!$A268,入力シート!$AF$6:$AF$505,0),MATCH(体力優良証交付申請!G$14,テーブル22[[#Headers],[学年]:[得点]],0)))</f>
        <v/>
      </c>
      <c r="H268" s="203" t="str">
        <f>IF($A268&gt;MAX(入力シート!$AF$6:$AF$505),"",INDEX(テーブル22[[学年]:[得点]],MATCH(体力優良証交付申請!$A268,入力シート!$AF$6:$AF$505,0),MATCH(体力優良証交付申請!H$14,テーブル22[[#Headers],[学年]:[得点]],0)))</f>
        <v/>
      </c>
      <c r="I268" s="203" t="str">
        <f>IF($A268&gt;MAX(入力シート!$AF$6:$AF$505),"",INDEX(テーブル22[[学年]:[得点]],MATCH(体力優良証交付申請!$A268,入力シート!$AF$6:$AF$505,0),MATCH(体力優良証交付申請!I$14,テーブル22[[#Headers],[学年]:[得点]],0)))</f>
        <v/>
      </c>
      <c r="J268" s="114" t="str">
        <f>IF($A268&gt;MAX(入力シート!$AF$6:$AF$505),"",INDEX(テーブル22[[学年]:[得点]],MATCH(体力優良証交付申請!$A268,入力シート!$AF$6:$AF$505,0),MATCH(体力優良証交付申請!J$14,テーブル22[[#Headers],[学年]:[得点]],0)))</f>
        <v/>
      </c>
      <c r="K268" s="203" t="str">
        <f>IF($A268&gt;MAX(入力シート!$AF$6:$AF$505),"",INDEX(テーブル22[[学年]:[得点]],MATCH(体力優良証交付申請!$A268,入力シート!$AF$6:$AF$505,0),MATCH(体力優良証交付申請!K$14,テーブル22[[#Headers],[学年]:[得点]],0)))</f>
        <v/>
      </c>
      <c r="L268" s="203" t="str">
        <f>IF($A268&gt;MAX(入力シート!$AF$6:$AF$505),"",INDEX(テーブル22[[学年]:[得点]],MATCH(体力優良証交付申請!$A268,入力シート!$AF$6:$AF$505,0),MATCH(体力優良証交付申請!L$14,テーブル22[[#Headers],[学年]:[得点]],0)))</f>
        <v/>
      </c>
      <c r="M268" s="28" t="str">
        <f>IF($A268&gt;MAX(入力シート!$AF$6:$AF$505),"",INDEX(テーブル22[[学年]:[得点]],MATCH(体力優良証交付申請!$A268,入力シート!$AF$6:$AF$505,0),MATCH(体力優良証交付申請!M$14,テーブル22[[#Headers],[学年]:[得点]],0)))</f>
        <v/>
      </c>
    </row>
    <row r="269" spans="1:13" x14ac:dyDescent="0.2">
      <c r="A269" s="16">
        <v>255</v>
      </c>
      <c r="B269" s="130" t="str">
        <f>IF($A269&gt;MAX(入力シート!$AF$6:$AF$505),"",INDEX(テーブル22[[学年]:[得点]],MATCH(体力優良証交付申請!$A269,入力シート!$AF$6:$AF$505,0),MATCH(体力優良証交付申請!B$14,テーブル22[[#Headers],[学年]:[得点]],0)))</f>
        <v/>
      </c>
      <c r="C269" s="203" t="str">
        <f>IF($A269&gt;MAX(入力シート!$AF$6:$AF$505),"",INDEX(テーブル22[[学年]:[得点]],MATCH(体力優良証交付申請!$A269,入力シート!$AF$6:$AF$505,0),MATCH(体力優良証交付申請!C$14,テーブル22[[#Headers],[学年]:[得点]],0)))</f>
        <v/>
      </c>
      <c r="D269" s="203" t="str">
        <f>IF($A269&gt;MAX(入力シート!$AF$6:$AF$505),"",INDEX(テーブル22[[学年]:[得点]],MATCH(体力優良証交付申請!$A269,入力シート!$AF$6:$AF$505,0),MATCH(体力優良証交付申請!D$14,テーブル22[[#Headers],[学年]:[得点]],0)))</f>
        <v/>
      </c>
      <c r="E269" s="203" t="str">
        <f>IF($A269&gt;MAX(入力シート!$AF$6:$AF$505),"",INDEX(テーブル22[[学年]:[得点]],MATCH(体力優良証交付申請!$A269,入力シート!$AF$6:$AF$505,0),MATCH(体力優良証交付申請!E$14,テーブル22[[#Headers],[学年]:[得点]],0)))</f>
        <v/>
      </c>
      <c r="F269" s="203" t="str">
        <f>IF($A269&gt;MAX(入力シート!$AF$6:$AF$505),"",INDEX(テーブル22[[学年]:[得点]],MATCH(体力優良証交付申請!$A269,入力シート!$AF$6:$AF$505,0),MATCH(体力優良証交付申請!F$14,テーブル22[[#Headers],[学年]:[得点]],0)))</f>
        <v/>
      </c>
      <c r="G269" s="203" t="str">
        <f>IF($A269&gt;MAX(入力シート!$AF$6:$AF$505),"",INDEX(テーブル22[[学年]:[得点]],MATCH(体力優良証交付申請!$A269,入力シート!$AF$6:$AF$505,0),MATCH(体力優良証交付申請!G$14,テーブル22[[#Headers],[学年]:[得点]],0)))</f>
        <v/>
      </c>
      <c r="H269" s="203" t="str">
        <f>IF($A269&gt;MAX(入力シート!$AF$6:$AF$505),"",INDEX(テーブル22[[学年]:[得点]],MATCH(体力優良証交付申請!$A269,入力シート!$AF$6:$AF$505,0),MATCH(体力優良証交付申請!H$14,テーブル22[[#Headers],[学年]:[得点]],0)))</f>
        <v/>
      </c>
      <c r="I269" s="203" t="str">
        <f>IF($A269&gt;MAX(入力シート!$AF$6:$AF$505),"",INDEX(テーブル22[[学年]:[得点]],MATCH(体力優良証交付申請!$A269,入力シート!$AF$6:$AF$505,0),MATCH(体力優良証交付申請!I$14,テーブル22[[#Headers],[学年]:[得点]],0)))</f>
        <v/>
      </c>
      <c r="J269" s="114" t="str">
        <f>IF($A269&gt;MAX(入力シート!$AF$6:$AF$505),"",INDEX(テーブル22[[学年]:[得点]],MATCH(体力優良証交付申請!$A269,入力シート!$AF$6:$AF$505,0),MATCH(体力優良証交付申請!J$14,テーブル22[[#Headers],[学年]:[得点]],0)))</f>
        <v/>
      </c>
      <c r="K269" s="203" t="str">
        <f>IF($A269&gt;MAX(入力シート!$AF$6:$AF$505),"",INDEX(テーブル22[[学年]:[得点]],MATCH(体力優良証交付申請!$A269,入力シート!$AF$6:$AF$505,0),MATCH(体力優良証交付申請!K$14,テーブル22[[#Headers],[学年]:[得点]],0)))</f>
        <v/>
      </c>
      <c r="L269" s="203" t="str">
        <f>IF($A269&gt;MAX(入力シート!$AF$6:$AF$505),"",INDEX(テーブル22[[学年]:[得点]],MATCH(体力優良証交付申請!$A269,入力シート!$AF$6:$AF$505,0),MATCH(体力優良証交付申請!L$14,テーブル22[[#Headers],[学年]:[得点]],0)))</f>
        <v/>
      </c>
      <c r="M269" s="28" t="str">
        <f>IF($A269&gt;MAX(入力シート!$AF$6:$AF$505),"",INDEX(テーブル22[[学年]:[得点]],MATCH(体力優良証交付申請!$A269,入力シート!$AF$6:$AF$505,0),MATCH(体力優良証交付申請!M$14,テーブル22[[#Headers],[学年]:[得点]],0)))</f>
        <v/>
      </c>
    </row>
    <row r="270" spans="1:13" x14ac:dyDescent="0.2">
      <c r="A270" s="16">
        <v>256</v>
      </c>
      <c r="B270" s="130" t="str">
        <f>IF($A270&gt;MAX(入力シート!$AF$6:$AF$505),"",INDEX(テーブル22[[学年]:[得点]],MATCH(体力優良証交付申請!$A270,入力シート!$AF$6:$AF$505,0),MATCH(体力優良証交付申請!B$14,テーブル22[[#Headers],[学年]:[得点]],0)))</f>
        <v/>
      </c>
      <c r="C270" s="203" t="str">
        <f>IF($A270&gt;MAX(入力シート!$AF$6:$AF$505),"",INDEX(テーブル22[[学年]:[得点]],MATCH(体力優良証交付申請!$A270,入力シート!$AF$6:$AF$505,0),MATCH(体力優良証交付申請!C$14,テーブル22[[#Headers],[学年]:[得点]],0)))</f>
        <v/>
      </c>
      <c r="D270" s="203" t="str">
        <f>IF($A270&gt;MAX(入力シート!$AF$6:$AF$505),"",INDEX(テーブル22[[学年]:[得点]],MATCH(体力優良証交付申請!$A270,入力シート!$AF$6:$AF$505,0),MATCH(体力優良証交付申請!D$14,テーブル22[[#Headers],[学年]:[得点]],0)))</f>
        <v/>
      </c>
      <c r="E270" s="203" t="str">
        <f>IF($A270&gt;MAX(入力シート!$AF$6:$AF$505),"",INDEX(テーブル22[[学年]:[得点]],MATCH(体力優良証交付申請!$A270,入力シート!$AF$6:$AF$505,0),MATCH(体力優良証交付申請!E$14,テーブル22[[#Headers],[学年]:[得点]],0)))</f>
        <v/>
      </c>
      <c r="F270" s="203" t="str">
        <f>IF($A270&gt;MAX(入力シート!$AF$6:$AF$505),"",INDEX(テーブル22[[学年]:[得点]],MATCH(体力優良証交付申請!$A270,入力シート!$AF$6:$AF$505,0),MATCH(体力優良証交付申請!F$14,テーブル22[[#Headers],[学年]:[得点]],0)))</f>
        <v/>
      </c>
      <c r="G270" s="203" t="str">
        <f>IF($A270&gt;MAX(入力シート!$AF$6:$AF$505),"",INDEX(テーブル22[[学年]:[得点]],MATCH(体力優良証交付申請!$A270,入力シート!$AF$6:$AF$505,0),MATCH(体力優良証交付申請!G$14,テーブル22[[#Headers],[学年]:[得点]],0)))</f>
        <v/>
      </c>
      <c r="H270" s="203" t="str">
        <f>IF($A270&gt;MAX(入力シート!$AF$6:$AF$505),"",INDEX(テーブル22[[学年]:[得点]],MATCH(体力優良証交付申請!$A270,入力シート!$AF$6:$AF$505,0),MATCH(体力優良証交付申請!H$14,テーブル22[[#Headers],[学年]:[得点]],0)))</f>
        <v/>
      </c>
      <c r="I270" s="203" t="str">
        <f>IF($A270&gt;MAX(入力シート!$AF$6:$AF$505),"",INDEX(テーブル22[[学年]:[得点]],MATCH(体力優良証交付申請!$A270,入力シート!$AF$6:$AF$505,0),MATCH(体力優良証交付申請!I$14,テーブル22[[#Headers],[学年]:[得点]],0)))</f>
        <v/>
      </c>
      <c r="J270" s="114" t="str">
        <f>IF($A270&gt;MAX(入力シート!$AF$6:$AF$505),"",INDEX(テーブル22[[学年]:[得点]],MATCH(体力優良証交付申請!$A270,入力シート!$AF$6:$AF$505,0),MATCH(体力優良証交付申請!J$14,テーブル22[[#Headers],[学年]:[得点]],0)))</f>
        <v/>
      </c>
      <c r="K270" s="203" t="str">
        <f>IF($A270&gt;MAX(入力シート!$AF$6:$AF$505),"",INDEX(テーブル22[[学年]:[得点]],MATCH(体力優良証交付申請!$A270,入力シート!$AF$6:$AF$505,0),MATCH(体力優良証交付申請!K$14,テーブル22[[#Headers],[学年]:[得点]],0)))</f>
        <v/>
      </c>
      <c r="L270" s="203" t="str">
        <f>IF($A270&gt;MAX(入力シート!$AF$6:$AF$505),"",INDEX(テーブル22[[学年]:[得点]],MATCH(体力優良証交付申請!$A270,入力シート!$AF$6:$AF$505,0),MATCH(体力優良証交付申請!L$14,テーブル22[[#Headers],[学年]:[得点]],0)))</f>
        <v/>
      </c>
      <c r="M270" s="28" t="str">
        <f>IF($A270&gt;MAX(入力シート!$AF$6:$AF$505),"",INDEX(テーブル22[[学年]:[得点]],MATCH(体力優良証交付申請!$A270,入力シート!$AF$6:$AF$505,0),MATCH(体力優良証交付申請!M$14,テーブル22[[#Headers],[学年]:[得点]],0)))</f>
        <v/>
      </c>
    </row>
    <row r="271" spans="1:13" x14ac:dyDescent="0.2">
      <c r="A271" s="16">
        <v>257</v>
      </c>
      <c r="B271" s="130" t="str">
        <f>IF($A271&gt;MAX(入力シート!$AF$6:$AF$505),"",INDEX(テーブル22[[学年]:[得点]],MATCH(体力優良証交付申請!$A271,入力シート!$AF$6:$AF$505,0),MATCH(体力優良証交付申請!B$14,テーブル22[[#Headers],[学年]:[得点]],0)))</f>
        <v/>
      </c>
      <c r="C271" s="203" t="str">
        <f>IF($A271&gt;MAX(入力シート!$AF$6:$AF$505),"",INDEX(テーブル22[[学年]:[得点]],MATCH(体力優良証交付申請!$A271,入力シート!$AF$6:$AF$505,0),MATCH(体力優良証交付申請!C$14,テーブル22[[#Headers],[学年]:[得点]],0)))</f>
        <v/>
      </c>
      <c r="D271" s="203" t="str">
        <f>IF($A271&gt;MAX(入力シート!$AF$6:$AF$505),"",INDEX(テーブル22[[学年]:[得点]],MATCH(体力優良証交付申請!$A271,入力シート!$AF$6:$AF$505,0),MATCH(体力優良証交付申請!D$14,テーブル22[[#Headers],[学年]:[得点]],0)))</f>
        <v/>
      </c>
      <c r="E271" s="203" t="str">
        <f>IF($A271&gt;MAX(入力シート!$AF$6:$AF$505),"",INDEX(テーブル22[[学年]:[得点]],MATCH(体力優良証交付申請!$A271,入力シート!$AF$6:$AF$505,0),MATCH(体力優良証交付申請!E$14,テーブル22[[#Headers],[学年]:[得点]],0)))</f>
        <v/>
      </c>
      <c r="F271" s="203" t="str">
        <f>IF($A271&gt;MAX(入力シート!$AF$6:$AF$505),"",INDEX(テーブル22[[学年]:[得点]],MATCH(体力優良証交付申請!$A271,入力シート!$AF$6:$AF$505,0),MATCH(体力優良証交付申請!F$14,テーブル22[[#Headers],[学年]:[得点]],0)))</f>
        <v/>
      </c>
      <c r="G271" s="203" t="str">
        <f>IF($A271&gt;MAX(入力シート!$AF$6:$AF$505),"",INDEX(テーブル22[[学年]:[得点]],MATCH(体力優良証交付申請!$A271,入力シート!$AF$6:$AF$505,0),MATCH(体力優良証交付申請!G$14,テーブル22[[#Headers],[学年]:[得点]],0)))</f>
        <v/>
      </c>
      <c r="H271" s="203" t="str">
        <f>IF($A271&gt;MAX(入力シート!$AF$6:$AF$505),"",INDEX(テーブル22[[学年]:[得点]],MATCH(体力優良証交付申請!$A271,入力シート!$AF$6:$AF$505,0),MATCH(体力優良証交付申請!H$14,テーブル22[[#Headers],[学年]:[得点]],0)))</f>
        <v/>
      </c>
      <c r="I271" s="203" t="str">
        <f>IF($A271&gt;MAX(入力シート!$AF$6:$AF$505),"",INDEX(テーブル22[[学年]:[得点]],MATCH(体力優良証交付申請!$A271,入力シート!$AF$6:$AF$505,0),MATCH(体力優良証交付申請!I$14,テーブル22[[#Headers],[学年]:[得点]],0)))</f>
        <v/>
      </c>
      <c r="J271" s="114" t="str">
        <f>IF($A271&gt;MAX(入力シート!$AF$6:$AF$505),"",INDEX(テーブル22[[学年]:[得点]],MATCH(体力優良証交付申請!$A271,入力シート!$AF$6:$AF$505,0),MATCH(体力優良証交付申請!J$14,テーブル22[[#Headers],[学年]:[得点]],0)))</f>
        <v/>
      </c>
      <c r="K271" s="203" t="str">
        <f>IF($A271&gt;MAX(入力シート!$AF$6:$AF$505),"",INDEX(テーブル22[[学年]:[得点]],MATCH(体力優良証交付申請!$A271,入力シート!$AF$6:$AF$505,0),MATCH(体力優良証交付申請!K$14,テーブル22[[#Headers],[学年]:[得点]],0)))</f>
        <v/>
      </c>
      <c r="L271" s="203" t="str">
        <f>IF($A271&gt;MAX(入力シート!$AF$6:$AF$505),"",INDEX(テーブル22[[学年]:[得点]],MATCH(体力優良証交付申請!$A271,入力シート!$AF$6:$AF$505,0),MATCH(体力優良証交付申請!L$14,テーブル22[[#Headers],[学年]:[得点]],0)))</f>
        <v/>
      </c>
      <c r="M271" s="28" t="str">
        <f>IF($A271&gt;MAX(入力シート!$AF$6:$AF$505),"",INDEX(テーブル22[[学年]:[得点]],MATCH(体力優良証交付申請!$A271,入力シート!$AF$6:$AF$505,0),MATCH(体力優良証交付申請!M$14,テーブル22[[#Headers],[学年]:[得点]],0)))</f>
        <v/>
      </c>
    </row>
    <row r="272" spans="1:13" x14ac:dyDescent="0.2">
      <c r="A272" s="16">
        <v>258</v>
      </c>
      <c r="B272" s="130" t="str">
        <f>IF($A272&gt;MAX(入力シート!$AF$6:$AF$505),"",INDEX(テーブル22[[学年]:[得点]],MATCH(体力優良証交付申請!$A272,入力シート!$AF$6:$AF$505,0),MATCH(体力優良証交付申請!B$14,テーブル22[[#Headers],[学年]:[得点]],0)))</f>
        <v/>
      </c>
      <c r="C272" s="203" t="str">
        <f>IF($A272&gt;MAX(入力シート!$AF$6:$AF$505),"",INDEX(テーブル22[[学年]:[得点]],MATCH(体力優良証交付申請!$A272,入力シート!$AF$6:$AF$505,0),MATCH(体力優良証交付申請!C$14,テーブル22[[#Headers],[学年]:[得点]],0)))</f>
        <v/>
      </c>
      <c r="D272" s="203" t="str">
        <f>IF($A272&gt;MAX(入力シート!$AF$6:$AF$505),"",INDEX(テーブル22[[学年]:[得点]],MATCH(体力優良証交付申請!$A272,入力シート!$AF$6:$AF$505,0),MATCH(体力優良証交付申請!D$14,テーブル22[[#Headers],[学年]:[得点]],0)))</f>
        <v/>
      </c>
      <c r="E272" s="203" t="str">
        <f>IF($A272&gt;MAX(入力シート!$AF$6:$AF$505),"",INDEX(テーブル22[[学年]:[得点]],MATCH(体力優良証交付申請!$A272,入力シート!$AF$6:$AF$505,0),MATCH(体力優良証交付申請!E$14,テーブル22[[#Headers],[学年]:[得点]],0)))</f>
        <v/>
      </c>
      <c r="F272" s="203" t="str">
        <f>IF($A272&gt;MAX(入力シート!$AF$6:$AF$505),"",INDEX(テーブル22[[学年]:[得点]],MATCH(体力優良証交付申請!$A272,入力シート!$AF$6:$AF$505,0),MATCH(体力優良証交付申請!F$14,テーブル22[[#Headers],[学年]:[得点]],0)))</f>
        <v/>
      </c>
      <c r="G272" s="203" t="str">
        <f>IF($A272&gt;MAX(入力シート!$AF$6:$AF$505),"",INDEX(テーブル22[[学年]:[得点]],MATCH(体力優良証交付申請!$A272,入力シート!$AF$6:$AF$505,0),MATCH(体力優良証交付申請!G$14,テーブル22[[#Headers],[学年]:[得点]],0)))</f>
        <v/>
      </c>
      <c r="H272" s="203" t="str">
        <f>IF($A272&gt;MAX(入力シート!$AF$6:$AF$505),"",INDEX(テーブル22[[学年]:[得点]],MATCH(体力優良証交付申請!$A272,入力シート!$AF$6:$AF$505,0),MATCH(体力優良証交付申請!H$14,テーブル22[[#Headers],[学年]:[得点]],0)))</f>
        <v/>
      </c>
      <c r="I272" s="203" t="str">
        <f>IF($A272&gt;MAX(入力シート!$AF$6:$AF$505),"",INDEX(テーブル22[[学年]:[得点]],MATCH(体力優良証交付申請!$A272,入力シート!$AF$6:$AF$505,0),MATCH(体力優良証交付申請!I$14,テーブル22[[#Headers],[学年]:[得点]],0)))</f>
        <v/>
      </c>
      <c r="J272" s="114" t="str">
        <f>IF($A272&gt;MAX(入力シート!$AF$6:$AF$505),"",INDEX(テーブル22[[学年]:[得点]],MATCH(体力優良証交付申請!$A272,入力シート!$AF$6:$AF$505,0),MATCH(体力優良証交付申請!J$14,テーブル22[[#Headers],[学年]:[得点]],0)))</f>
        <v/>
      </c>
      <c r="K272" s="203" t="str">
        <f>IF($A272&gt;MAX(入力シート!$AF$6:$AF$505),"",INDEX(テーブル22[[学年]:[得点]],MATCH(体力優良証交付申請!$A272,入力シート!$AF$6:$AF$505,0),MATCH(体力優良証交付申請!K$14,テーブル22[[#Headers],[学年]:[得点]],0)))</f>
        <v/>
      </c>
      <c r="L272" s="203" t="str">
        <f>IF($A272&gt;MAX(入力シート!$AF$6:$AF$505),"",INDEX(テーブル22[[学年]:[得点]],MATCH(体力優良証交付申請!$A272,入力シート!$AF$6:$AF$505,0),MATCH(体力優良証交付申請!L$14,テーブル22[[#Headers],[学年]:[得点]],0)))</f>
        <v/>
      </c>
      <c r="M272" s="28" t="str">
        <f>IF($A272&gt;MAX(入力シート!$AF$6:$AF$505),"",INDEX(テーブル22[[学年]:[得点]],MATCH(体力優良証交付申請!$A272,入力シート!$AF$6:$AF$505,0),MATCH(体力優良証交付申請!M$14,テーブル22[[#Headers],[学年]:[得点]],0)))</f>
        <v/>
      </c>
    </row>
    <row r="273" spans="1:13" x14ac:dyDescent="0.2">
      <c r="A273" s="16">
        <v>259</v>
      </c>
      <c r="B273" s="130" t="str">
        <f>IF($A273&gt;MAX(入力シート!$AF$6:$AF$505),"",INDEX(テーブル22[[学年]:[得点]],MATCH(体力優良証交付申請!$A273,入力シート!$AF$6:$AF$505,0),MATCH(体力優良証交付申請!B$14,テーブル22[[#Headers],[学年]:[得点]],0)))</f>
        <v/>
      </c>
      <c r="C273" s="203" t="str">
        <f>IF($A273&gt;MAX(入力シート!$AF$6:$AF$505),"",INDEX(テーブル22[[学年]:[得点]],MATCH(体力優良証交付申請!$A273,入力シート!$AF$6:$AF$505,0),MATCH(体力優良証交付申請!C$14,テーブル22[[#Headers],[学年]:[得点]],0)))</f>
        <v/>
      </c>
      <c r="D273" s="203" t="str">
        <f>IF($A273&gt;MAX(入力シート!$AF$6:$AF$505),"",INDEX(テーブル22[[学年]:[得点]],MATCH(体力優良証交付申請!$A273,入力シート!$AF$6:$AF$505,0),MATCH(体力優良証交付申請!D$14,テーブル22[[#Headers],[学年]:[得点]],0)))</f>
        <v/>
      </c>
      <c r="E273" s="203" t="str">
        <f>IF($A273&gt;MAX(入力シート!$AF$6:$AF$505),"",INDEX(テーブル22[[学年]:[得点]],MATCH(体力優良証交付申請!$A273,入力シート!$AF$6:$AF$505,0),MATCH(体力優良証交付申請!E$14,テーブル22[[#Headers],[学年]:[得点]],0)))</f>
        <v/>
      </c>
      <c r="F273" s="203" t="str">
        <f>IF($A273&gt;MAX(入力シート!$AF$6:$AF$505),"",INDEX(テーブル22[[学年]:[得点]],MATCH(体力優良証交付申請!$A273,入力シート!$AF$6:$AF$505,0),MATCH(体力優良証交付申請!F$14,テーブル22[[#Headers],[学年]:[得点]],0)))</f>
        <v/>
      </c>
      <c r="G273" s="203" t="str">
        <f>IF($A273&gt;MAX(入力シート!$AF$6:$AF$505),"",INDEX(テーブル22[[学年]:[得点]],MATCH(体力優良証交付申請!$A273,入力シート!$AF$6:$AF$505,0),MATCH(体力優良証交付申請!G$14,テーブル22[[#Headers],[学年]:[得点]],0)))</f>
        <v/>
      </c>
      <c r="H273" s="203" t="str">
        <f>IF($A273&gt;MAX(入力シート!$AF$6:$AF$505),"",INDEX(テーブル22[[学年]:[得点]],MATCH(体力優良証交付申請!$A273,入力シート!$AF$6:$AF$505,0),MATCH(体力優良証交付申請!H$14,テーブル22[[#Headers],[学年]:[得点]],0)))</f>
        <v/>
      </c>
      <c r="I273" s="203" t="str">
        <f>IF($A273&gt;MAX(入力シート!$AF$6:$AF$505),"",INDEX(テーブル22[[学年]:[得点]],MATCH(体力優良証交付申請!$A273,入力シート!$AF$6:$AF$505,0),MATCH(体力優良証交付申請!I$14,テーブル22[[#Headers],[学年]:[得点]],0)))</f>
        <v/>
      </c>
      <c r="J273" s="114" t="str">
        <f>IF($A273&gt;MAX(入力シート!$AF$6:$AF$505),"",INDEX(テーブル22[[学年]:[得点]],MATCH(体力優良証交付申請!$A273,入力シート!$AF$6:$AF$505,0),MATCH(体力優良証交付申請!J$14,テーブル22[[#Headers],[学年]:[得点]],0)))</f>
        <v/>
      </c>
      <c r="K273" s="203" t="str">
        <f>IF($A273&gt;MAX(入力シート!$AF$6:$AF$505),"",INDEX(テーブル22[[学年]:[得点]],MATCH(体力優良証交付申請!$A273,入力シート!$AF$6:$AF$505,0),MATCH(体力優良証交付申請!K$14,テーブル22[[#Headers],[学年]:[得点]],0)))</f>
        <v/>
      </c>
      <c r="L273" s="203" t="str">
        <f>IF($A273&gt;MAX(入力シート!$AF$6:$AF$505),"",INDEX(テーブル22[[学年]:[得点]],MATCH(体力優良証交付申請!$A273,入力シート!$AF$6:$AF$505,0),MATCH(体力優良証交付申請!L$14,テーブル22[[#Headers],[学年]:[得点]],0)))</f>
        <v/>
      </c>
      <c r="M273" s="28" t="str">
        <f>IF($A273&gt;MAX(入力シート!$AF$6:$AF$505),"",INDEX(テーブル22[[学年]:[得点]],MATCH(体力優良証交付申請!$A273,入力シート!$AF$6:$AF$505,0),MATCH(体力優良証交付申請!M$14,テーブル22[[#Headers],[学年]:[得点]],0)))</f>
        <v/>
      </c>
    </row>
    <row r="274" spans="1:13" x14ac:dyDescent="0.2">
      <c r="A274" s="16">
        <v>260</v>
      </c>
      <c r="B274" s="130" t="str">
        <f>IF($A274&gt;MAX(入力シート!$AF$6:$AF$505),"",INDEX(テーブル22[[学年]:[得点]],MATCH(体力優良証交付申請!$A274,入力シート!$AF$6:$AF$505,0),MATCH(体力優良証交付申請!B$14,テーブル22[[#Headers],[学年]:[得点]],0)))</f>
        <v/>
      </c>
      <c r="C274" s="203" t="str">
        <f>IF($A274&gt;MAX(入力シート!$AF$6:$AF$505),"",INDEX(テーブル22[[学年]:[得点]],MATCH(体力優良証交付申請!$A274,入力シート!$AF$6:$AF$505,0),MATCH(体力優良証交付申請!C$14,テーブル22[[#Headers],[学年]:[得点]],0)))</f>
        <v/>
      </c>
      <c r="D274" s="203" t="str">
        <f>IF($A274&gt;MAX(入力シート!$AF$6:$AF$505),"",INDEX(テーブル22[[学年]:[得点]],MATCH(体力優良証交付申請!$A274,入力シート!$AF$6:$AF$505,0),MATCH(体力優良証交付申請!D$14,テーブル22[[#Headers],[学年]:[得点]],0)))</f>
        <v/>
      </c>
      <c r="E274" s="203" t="str">
        <f>IF($A274&gt;MAX(入力シート!$AF$6:$AF$505),"",INDEX(テーブル22[[学年]:[得点]],MATCH(体力優良証交付申請!$A274,入力シート!$AF$6:$AF$505,0),MATCH(体力優良証交付申請!E$14,テーブル22[[#Headers],[学年]:[得点]],0)))</f>
        <v/>
      </c>
      <c r="F274" s="203" t="str">
        <f>IF($A274&gt;MAX(入力シート!$AF$6:$AF$505),"",INDEX(テーブル22[[学年]:[得点]],MATCH(体力優良証交付申請!$A274,入力シート!$AF$6:$AF$505,0),MATCH(体力優良証交付申請!F$14,テーブル22[[#Headers],[学年]:[得点]],0)))</f>
        <v/>
      </c>
      <c r="G274" s="203" t="str">
        <f>IF($A274&gt;MAX(入力シート!$AF$6:$AF$505),"",INDEX(テーブル22[[学年]:[得点]],MATCH(体力優良証交付申請!$A274,入力シート!$AF$6:$AF$505,0),MATCH(体力優良証交付申請!G$14,テーブル22[[#Headers],[学年]:[得点]],0)))</f>
        <v/>
      </c>
      <c r="H274" s="203" t="str">
        <f>IF($A274&gt;MAX(入力シート!$AF$6:$AF$505),"",INDEX(テーブル22[[学年]:[得点]],MATCH(体力優良証交付申請!$A274,入力シート!$AF$6:$AF$505,0),MATCH(体力優良証交付申請!H$14,テーブル22[[#Headers],[学年]:[得点]],0)))</f>
        <v/>
      </c>
      <c r="I274" s="203" t="str">
        <f>IF($A274&gt;MAX(入力シート!$AF$6:$AF$505),"",INDEX(テーブル22[[学年]:[得点]],MATCH(体力優良証交付申請!$A274,入力シート!$AF$6:$AF$505,0),MATCH(体力優良証交付申請!I$14,テーブル22[[#Headers],[学年]:[得点]],0)))</f>
        <v/>
      </c>
      <c r="J274" s="114" t="str">
        <f>IF($A274&gt;MAX(入力シート!$AF$6:$AF$505),"",INDEX(テーブル22[[学年]:[得点]],MATCH(体力優良証交付申請!$A274,入力シート!$AF$6:$AF$505,0),MATCH(体力優良証交付申請!J$14,テーブル22[[#Headers],[学年]:[得点]],0)))</f>
        <v/>
      </c>
      <c r="K274" s="203" t="str">
        <f>IF($A274&gt;MAX(入力シート!$AF$6:$AF$505),"",INDEX(テーブル22[[学年]:[得点]],MATCH(体力優良証交付申請!$A274,入力シート!$AF$6:$AF$505,0),MATCH(体力優良証交付申請!K$14,テーブル22[[#Headers],[学年]:[得点]],0)))</f>
        <v/>
      </c>
      <c r="L274" s="203" t="str">
        <f>IF($A274&gt;MAX(入力シート!$AF$6:$AF$505),"",INDEX(テーブル22[[学年]:[得点]],MATCH(体力優良証交付申請!$A274,入力シート!$AF$6:$AF$505,0),MATCH(体力優良証交付申請!L$14,テーブル22[[#Headers],[学年]:[得点]],0)))</f>
        <v/>
      </c>
      <c r="M274" s="28" t="str">
        <f>IF($A274&gt;MAX(入力シート!$AF$6:$AF$505),"",INDEX(テーブル22[[学年]:[得点]],MATCH(体力優良証交付申請!$A274,入力シート!$AF$6:$AF$505,0),MATCH(体力優良証交付申請!M$14,テーブル22[[#Headers],[学年]:[得点]],0)))</f>
        <v/>
      </c>
    </row>
    <row r="275" spans="1:13" x14ac:dyDescent="0.2">
      <c r="A275" s="16">
        <v>261</v>
      </c>
      <c r="B275" s="130" t="str">
        <f>IF($A275&gt;MAX(入力シート!$AF$6:$AF$505),"",INDEX(テーブル22[[学年]:[得点]],MATCH(体力優良証交付申請!$A275,入力シート!$AF$6:$AF$505,0),MATCH(体力優良証交付申請!B$14,テーブル22[[#Headers],[学年]:[得点]],0)))</f>
        <v/>
      </c>
      <c r="C275" s="203" t="str">
        <f>IF($A275&gt;MAX(入力シート!$AF$6:$AF$505),"",INDEX(テーブル22[[学年]:[得点]],MATCH(体力優良証交付申請!$A275,入力シート!$AF$6:$AF$505,0),MATCH(体力優良証交付申請!C$14,テーブル22[[#Headers],[学年]:[得点]],0)))</f>
        <v/>
      </c>
      <c r="D275" s="203" t="str">
        <f>IF($A275&gt;MAX(入力シート!$AF$6:$AF$505),"",INDEX(テーブル22[[学年]:[得点]],MATCH(体力優良証交付申請!$A275,入力シート!$AF$6:$AF$505,0),MATCH(体力優良証交付申請!D$14,テーブル22[[#Headers],[学年]:[得点]],0)))</f>
        <v/>
      </c>
      <c r="E275" s="203" t="str">
        <f>IF($A275&gt;MAX(入力シート!$AF$6:$AF$505),"",INDEX(テーブル22[[学年]:[得点]],MATCH(体力優良証交付申請!$A275,入力シート!$AF$6:$AF$505,0),MATCH(体力優良証交付申請!E$14,テーブル22[[#Headers],[学年]:[得点]],0)))</f>
        <v/>
      </c>
      <c r="F275" s="203" t="str">
        <f>IF($A275&gt;MAX(入力シート!$AF$6:$AF$505),"",INDEX(テーブル22[[学年]:[得点]],MATCH(体力優良証交付申請!$A275,入力シート!$AF$6:$AF$505,0),MATCH(体力優良証交付申請!F$14,テーブル22[[#Headers],[学年]:[得点]],0)))</f>
        <v/>
      </c>
      <c r="G275" s="203" t="str">
        <f>IF($A275&gt;MAX(入力シート!$AF$6:$AF$505),"",INDEX(テーブル22[[学年]:[得点]],MATCH(体力優良証交付申請!$A275,入力シート!$AF$6:$AF$505,0),MATCH(体力優良証交付申請!G$14,テーブル22[[#Headers],[学年]:[得点]],0)))</f>
        <v/>
      </c>
      <c r="H275" s="203" t="str">
        <f>IF($A275&gt;MAX(入力シート!$AF$6:$AF$505),"",INDEX(テーブル22[[学年]:[得点]],MATCH(体力優良証交付申請!$A275,入力シート!$AF$6:$AF$505,0),MATCH(体力優良証交付申請!H$14,テーブル22[[#Headers],[学年]:[得点]],0)))</f>
        <v/>
      </c>
      <c r="I275" s="203" t="str">
        <f>IF($A275&gt;MAX(入力シート!$AF$6:$AF$505),"",INDEX(テーブル22[[学年]:[得点]],MATCH(体力優良証交付申請!$A275,入力シート!$AF$6:$AF$505,0),MATCH(体力優良証交付申請!I$14,テーブル22[[#Headers],[学年]:[得点]],0)))</f>
        <v/>
      </c>
      <c r="J275" s="114" t="str">
        <f>IF($A275&gt;MAX(入力シート!$AF$6:$AF$505),"",INDEX(テーブル22[[学年]:[得点]],MATCH(体力優良証交付申請!$A275,入力シート!$AF$6:$AF$505,0),MATCH(体力優良証交付申請!J$14,テーブル22[[#Headers],[学年]:[得点]],0)))</f>
        <v/>
      </c>
      <c r="K275" s="203" t="str">
        <f>IF($A275&gt;MAX(入力シート!$AF$6:$AF$505),"",INDEX(テーブル22[[学年]:[得点]],MATCH(体力優良証交付申請!$A275,入力シート!$AF$6:$AF$505,0),MATCH(体力優良証交付申請!K$14,テーブル22[[#Headers],[学年]:[得点]],0)))</f>
        <v/>
      </c>
      <c r="L275" s="203" t="str">
        <f>IF($A275&gt;MAX(入力シート!$AF$6:$AF$505),"",INDEX(テーブル22[[学年]:[得点]],MATCH(体力優良証交付申請!$A275,入力シート!$AF$6:$AF$505,0),MATCH(体力優良証交付申請!L$14,テーブル22[[#Headers],[学年]:[得点]],0)))</f>
        <v/>
      </c>
      <c r="M275" s="28" t="str">
        <f>IF($A275&gt;MAX(入力シート!$AF$6:$AF$505),"",INDEX(テーブル22[[学年]:[得点]],MATCH(体力優良証交付申請!$A275,入力シート!$AF$6:$AF$505,0),MATCH(体力優良証交付申請!M$14,テーブル22[[#Headers],[学年]:[得点]],0)))</f>
        <v/>
      </c>
    </row>
    <row r="276" spans="1:13" x14ac:dyDescent="0.2">
      <c r="A276" s="16">
        <v>262</v>
      </c>
      <c r="B276" s="130" t="str">
        <f>IF($A276&gt;MAX(入力シート!$AF$6:$AF$505),"",INDEX(テーブル22[[学年]:[得点]],MATCH(体力優良証交付申請!$A276,入力シート!$AF$6:$AF$505,0),MATCH(体力優良証交付申請!B$14,テーブル22[[#Headers],[学年]:[得点]],0)))</f>
        <v/>
      </c>
      <c r="C276" s="203" t="str">
        <f>IF($A276&gt;MAX(入力シート!$AF$6:$AF$505),"",INDEX(テーブル22[[学年]:[得点]],MATCH(体力優良証交付申請!$A276,入力シート!$AF$6:$AF$505,0),MATCH(体力優良証交付申請!C$14,テーブル22[[#Headers],[学年]:[得点]],0)))</f>
        <v/>
      </c>
      <c r="D276" s="203" t="str">
        <f>IF($A276&gt;MAX(入力シート!$AF$6:$AF$505),"",INDEX(テーブル22[[学年]:[得点]],MATCH(体力優良証交付申請!$A276,入力シート!$AF$6:$AF$505,0),MATCH(体力優良証交付申請!D$14,テーブル22[[#Headers],[学年]:[得点]],0)))</f>
        <v/>
      </c>
      <c r="E276" s="203" t="str">
        <f>IF($A276&gt;MAX(入力シート!$AF$6:$AF$505),"",INDEX(テーブル22[[学年]:[得点]],MATCH(体力優良証交付申請!$A276,入力シート!$AF$6:$AF$505,0),MATCH(体力優良証交付申請!E$14,テーブル22[[#Headers],[学年]:[得点]],0)))</f>
        <v/>
      </c>
      <c r="F276" s="203" t="str">
        <f>IF($A276&gt;MAX(入力シート!$AF$6:$AF$505),"",INDEX(テーブル22[[学年]:[得点]],MATCH(体力優良証交付申請!$A276,入力シート!$AF$6:$AF$505,0),MATCH(体力優良証交付申請!F$14,テーブル22[[#Headers],[学年]:[得点]],0)))</f>
        <v/>
      </c>
      <c r="G276" s="203" t="str">
        <f>IF($A276&gt;MAX(入力シート!$AF$6:$AF$505),"",INDEX(テーブル22[[学年]:[得点]],MATCH(体力優良証交付申請!$A276,入力シート!$AF$6:$AF$505,0),MATCH(体力優良証交付申請!G$14,テーブル22[[#Headers],[学年]:[得点]],0)))</f>
        <v/>
      </c>
      <c r="H276" s="203" t="str">
        <f>IF($A276&gt;MAX(入力シート!$AF$6:$AF$505),"",INDEX(テーブル22[[学年]:[得点]],MATCH(体力優良証交付申請!$A276,入力シート!$AF$6:$AF$505,0),MATCH(体力優良証交付申請!H$14,テーブル22[[#Headers],[学年]:[得点]],0)))</f>
        <v/>
      </c>
      <c r="I276" s="203" t="str">
        <f>IF($A276&gt;MAX(入力シート!$AF$6:$AF$505),"",INDEX(テーブル22[[学年]:[得点]],MATCH(体力優良証交付申請!$A276,入力シート!$AF$6:$AF$505,0),MATCH(体力優良証交付申請!I$14,テーブル22[[#Headers],[学年]:[得点]],0)))</f>
        <v/>
      </c>
      <c r="J276" s="114" t="str">
        <f>IF($A276&gt;MAX(入力シート!$AF$6:$AF$505),"",INDEX(テーブル22[[学年]:[得点]],MATCH(体力優良証交付申請!$A276,入力シート!$AF$6:$AF$505,0),MATCH(体力優良証交付申請!J$14,テーブル22[[#Headers],[学年]:[得点]],0)))</f>
        <v/>
      </c>
      <c r="K276" s="203" t="str">
        <f>IF($A276&gt;MAX(入力シート!$AF$6:$AF$505),"",INDEX(テーブル22[[学年]:[得点]],MATCH(体力優良証交付申請!$A276,入力シート!$AF$6:$AF$505,0),MATCH(体力優良証交付申請!K$14,テーブル22[[#Headers],[学年]:[得点]],0)))</f>
        <v/>
      </c>
      <c r="L276" s="203" t="str">
        <f>IF($A276&gt;MAX(入力シート!$AF$6:$AF$505),"",INDEX(テーブル22[[学年]:[得点]],MATCH(体力優良証交付申請!$A276,入力シート!$AF$6:$AF$505,0),MATCH(体力優良証交付申請!L$14,テーブル22[[#Headers],[学年]:[得点]],0)))</f>
        <v/>
      </c>
      <c r="M276" s="28" t="str">
        <f>IF($A276&gt;MAX(入力シート!$AF$6:$AF$505),"",INDEX(テーブル22[[学年]:[得点]],MATCH(体力優良証交付申請!$A276,入力シート!$AF$6:$AF$505,0),MATCH(体力優良証交付申請!M$14,テーブル22[[#Headers],[学年]:[得点]],0)))</f>
        <v/>
      </c>
    </row>
    <row r="277" spans="1:13" x14ac:dyDescent="0.2">
      <c r="A277" s="16">
        <v>263</v>
      </c>
      <c r="B277" s="130" t="str">
        <f>IF($A277&gt;MAX(入力シート!$AF$6:$AF$505),"",INDEX(テーブル22[[学年]:[得点]],MATCH(体力優良証交付申請!$A277,入力シート!$AF$6:$AF$505,0),MATCH(体力優良証交付申請!B$14,テーブル22[[#Headers],[学年]:[得点]],0)))</f>
        <v/>
      </c>
      <c r="C277" s="203" t="str">
        <f>IF($A277&gt;MAX(入力シート!$AF$6:$AF$505),"",INDEX(テーブル22[[学年]:[得点]],MATCH(体力優良証交付申請!$A277,入力シート!$AF$6:$AF$505,0),MATCH(体力優良証交付申請!C$14,テーブル22[[#Headers],[学年]:[得点]],0)))</f>
        <v/>
      </c>
      <c r="D277" s="203" t="str">
        <f>IF($A277&gt;MAX(入力シート!$AF$6:$AF$505),"",INDEX(テーブル22[[学年]:[得点]],MATCH(体力優良証交付申請!$A277,入力シート!$AF$6:$AF$505,0),MATCH(体力優良証交付申請!D$14,テーブル22[[#Headers],[学年]:[得点]],0)))</f>
        <v/>
      </c>
      <c r="E277" s="203" t="str">
        <f>IF($A277&gt;MAX(入力シート!$AF$6:$AF$505),"",INDEX(テーブル22[[学年]:[得点]],MATCH(体力優良証交付申請!$A277,入力シート!$AF$6:$AF$505,0),MATCH(体力優良証交付申請!E$14,テーブル22[[#Headers],[学年]:[得点]],0)))</f>
        <v/>
      </c>
      <c r="F277" s="203" t="str">
        <f>IF($A277&gt;MAX(入力シート!$AF$6:$AF$505),"",INDEX(テーブル22[[学年]:[得点]],MATCH(体力優良証交付申請!$A277,入力シート!$AF$6:$AF$505,0),MATCH(体力優良証交付申請!F$14,テーブル22[[#Headers],[学年]:[得点]],0)))</f>
        <v/>
      </c>
      <c r="G277" s="203" t="str">
        <f>IF($A277&gt;MAX(入力シート!$AF$6:$AF$505),"",INDEX(テーブル22[[学年]:[得点]],MATCH(体力優良証交付申請!$A277,入力シート!$AF$6:$AF$505,0),MATCH(体力優良証交付申請!G$14,テーブル22[[#Headers],[学年]:[得点]],0)))</f>
        <v/>
      </c>
      <c r="H277" s="203" t="str">
        <f>IF($A277&gt;MAX(入力シート!$AF$6:$AF$505),"",INDEX(テーブル22[[学年]:[得点]],MATCH(体力優良証交付申請!$A277,入力シート!$AF$6:$AF$505,0),MATCH(体力優良証交付申請!H$14,テーブル22[[#Headers],[学年]:[得点]],0)))</f>
        <v/>
      </c>
      <c r="I277" s="203" t="str">
        <f>IF($A277&gt;MAX(入力シート!$AF$6:$AF$505),"",INDEX(テーブル22[[学年]:[得点]],MATCH(体力優良証交付申請!$A277,入力シート!$AF$6:$AF$505,0),MATCH(体力優良証交付申請!I$14,テーブル22[[#Headers],[学年]:[得点]],0)))</f>
        <v/>
      </c>
      <c r="J277" s="114" t="str">
        <f>IF($A277&gt;MAX(入力シート!$AF$6:$AF$505),"",INDEX(テーブル22[[学年]:[得点]],MATCH(体力優良証交付申請!$A277,入力シート!$AF$6:$AF$505,0),MATCH(体力優良証交付申請!J$14,テーブル22[[#Headers],[学年]:[得点]],0)))</f>
        <v/>
      </c>
      <c r="K277" s="203" t="str">
        <f>IF($A277&gt;MAX(入力シート!$AF$6:$AF$505),"",INDEX(テーブル22[[学年]:[得点]],MATCH(体力優良証交付申請!$A277,入力シート!$AF$6:$AF$505,0),MATCH(体力優良証交付申請!K$14,テーブル22[[#Headers],[学年]:[得点]],0)))</f>
        <v/>
      </c>
      <c r="L277" s="203" t="str">
        <f>IF($A277&gt;MAX(入力シート!$AF$6:$AF$505),"",INDEX(テーブル22[[学年]:[得点]],MATCH(体力優良証交付申請!$A277,入力シート!$AF$6:$AF$505,0),MATCH(体力優良証交付申請!L$14,テーブル22[[#Headers],[学年]:[得点]],0)))</f>
        <v/>
      </c>
      <c r="M277" s="28" t="str">
        <f>IF($A277&gt;MAX(入力シート!$AF$6:$AF$505),"",INDEX(テーブル22[[学年]:[得点]],MATCH(体力優良証交付申請!$A277,入力シート!$AF$6:$AF$505,0),MATCH(体力優良証交付申請!M$14,テーブル22[[#Headers],[学年]:[得点]],0)))</f>
        <v/>
      </c>
    </row>
    <row r="278" spans="1:13" x14ac:dyDescent="0.2">
      <c r="A278" s="16">
        <v>264</v>
      </c>
      <c r="B278" s="130" t="str">
        <f>IF($A278&gt;MAX(入力シート!$AF$6:$AF$505),"",INDEX(テーブル22[[学年]:[得点]],MATCH(体力優良証交付申請!$A278,入力シート!$AF$6:$AF$505,0),MATCH(体力優良証交付申請!B$14,テーブル22[[#Headers],[学年]:[得点]],0)))</f>
        <v/>
      </c>
      <c r="C278" s="203" t="str">
        <f>IF($A278&gt;MAX(入力シート!$AF$6:$AF$505),"",INDEX(テーブル22[[学年]:[得点]],MATCH(体力優良証交付申請!$A278,入力シート!$AF$6:$AF$505,0),MATCH(体力優良証交付申請!C$14,テーブル22[[#Headers],[学年]:[得点]],0)))</f>
        <v/>
      </c>
      <c r="D278" s="203" t="str">
        <f>IF($A278&gt;MAX(入力シート!$AF$6:$AF$505),"",INDEX(テーブル22[[学年]:[得点]],MATCH(体力優良証交付申請!$A278,入力シート!$AF$6:$AF$505,0),MATCH(体力優良証交付申請!D$14,テーブル22[[#Headers],[学年]:[得点]],0)))</f>
        <v/>
      </c>
      <c r="E278" s="203" t="str">
        <f>IF($A278&gt;MAX(入力シート!$AF$6:$AF$505),"",INDEX(テーブル22[[学年]:[得点]],MATCH(体力優良証交付申請!$A278,入力シート!$AF$6:$AF$505,0),MATCH(体力優良証交付申請!E$14,テーブル22[[#Headers],[学年]:[得点]],0)))</f>
        <v/>
      </c>
      <c r="F278" s="203" t="str">
        <f>IF($A278&gt;MAX(入力シート!$AF$6:$AF$505),"",INDEX(テーブル22[[学年]:[得点]],MATCH(体力優良証交付申請!$A278,入力シート!$AF$6:$AF$505,0),MATCH(体力優良証交付申請!F$14,テーブル22[[#Headers],[学年]:[得点]],0)))</f>
        <v/>
      </c>
      <c r="G278" s="203" t="str">
        <f>IF($A278&gt;MAX(入力シート!$AF$6:$AF$505),"",INDEX(テーブル22[[学年]:[得点]],MATCH(体力優良証交付申請!$A278,入力シート!$AF$6:$AF$505,0),MATCH(体力優良証交付申請!G$14,テーブル22[[#Headers],[学年]:[得点]],0)))</f>
        <v/>
      </c>
      <c r="H278" s="203" t="str">
        <f>IF($A278&gt;MAX(入力シート!$AF$6:$AF$505),"",INDEX(テーブル22[[学年]:[得点]],MATCH(体力優良証交付申請!$A278,入力シート!$AF$6:$AF$505,0),MATCH(体力優良証交付申請!H$14,テーブル22[[#Headers],[学年]:[得点]],0)))</f>
        <v/>
      </c>
      <c r="I278" s="203" t="str">
        <f>IF($A278&gt;MAX(入力シート!$AF$6:$AF$505),"",INDEX(テーブル22[[学年]:[得点]],MATCH(体力優良証交付申請!$A278,入力シート!$AF$6:$AF$505,0),MATCH(体力優良証交付申請!I$14,テーブル22[[#Headers],[学年]:[得点]],0)))</f>
        <v/>
      </c>
      <c r="J278" s="114" t="str">
        <f>IF($A278&gt;MAX(入力シート!$AF$6:$AF$505),"",INDEX(テーブル22[[学年]:[得点]],MATCH(体力優良証交付申請!$A278,入力シート!$AF$6:$AF$505,0),MATCH(体力優良証交付申請!J$14,テーブル22[[#Headers],[学年]:[得点]],0)))</f>
        <v/>
      </c>
      <c r="K278" s="203" t="str">
        <f>IF($A278&gt;MAX(入力シート!$AF$6:$AF$505),"",INDEX(テーブル22[[学年]:[得点]],MATCH(体力優良証交付申請!$A278,入力シート!$AF$6:$AF$505,0),MATCH(体力優良証交付申請!K$14,テーブル22[[#Headers],[学年]:[得点]],0)))</f>
        <v/>
      </c>
      <c r="L278" s="203" t="str">
        <f>IF($A278&gt;MAX(入力シート!$AF$6:$AF$505),"",INDEX(テーブル22[[学年]:[得点]],MATCH(体力優良証交付申請!$A278,入力シート!$AF$6:$AF$505,0),MATCH(体力優良証交付申請!L$14,テーブル22[[#Headers],[学年]:[得点]],0)))</f>
        <v/>
      </c>
      <c r="M278" s="28" t="str">
        <f>IF($A278&gt;MAX(入力シート!$AF$6:$AF$505),"",INDEX(テーブル22[[学年]:[得点]],MATCH(体力優良証交付申請!$A278,入力シート!$AF$6:$AF$505,0),MATCH(体力優良証交付申請!M$14,テーブル22[[#Headers],[学年]:[得点]],0)))</f>
        <v/>
      </c>
    </row>
    <row r="279" spans="1:13" x14ac:dyDescent="0.2">
      <c r="A279" s="16">
        <v>265</v>
      </c>
      <c r="B279" s="130" t="str">
        <f>IF($A279&gt;MAX(入力シート!$AF$6:$AF$505),"",INDEX(テーブル22[[学年]:[得点]],MATCH(体力優良証交付申請!$A279,入力シート!$AF$6:$AF$505,0),MATCH(体力優良証交付申請!B$14,テーブル22[[#Headers],[学年]:[得点]],0)))</f>
        <v/>
      </c>
      <c r="C279" s="203" t="str">
        <f>IF($A279&gt;MAX(入力シート!$AF$6:$AF$505),"",INDEX(テーブル22[[学年]:[得点]],MATCH(体力優良証交付申請!$A279,入力シート!$AF$6:$AF$505,0),MATCH(体力優良証交付申請!C$14,テーブル22[[#Headers],[学年]:[得点]],0)))</f>
        <v/>
      </c>
      <c r="D279" s="203" t="str">
        <f>IF($A279&gt;MAX(入力シート!$AF$6:$AF$505),"",INDEX(テーブル22[[学年]:[得点]],MATCH(体力優良証交付申請!$A279,入力シート!$AF$6:$AF$505,0),MATCH(体力優良証交付申請!D$14,テーブル22[[#Headers],[学年]:[得点]],0)))</f>
        <v/>
      </c>
      <c r="E279" s="203" t="str">
        <f>IF($A279&gt;MAX(入力シート!$AF$6:$AF$505),"",INDEX(テーブル22[[学年]:[得点]],MATCH(体力優良証交付申請!$A279,入力シート!$AF$6:$AF$505,0),MATCH(体力優良証交付申請!E$14,テーブル22[[#Headers],[学年]:[得点]],0)))</f>
        <v/>
      </c>
      <c r="F279" s="203" t="str">
        <f>IF($A279&gt;MAX(入力シート!$AF$6:$AF$505),"",INDEX(テーブル22[[学年]:[得点]],MATCH(体力優良証交付申請!$A279,入力シート!$AF$6:$AF$505,0),MATCH(体力優良証交付申請!F$14,テーブル22[[#Headers],[学年]:[得点]],0)))</f>
        <v/>
      </c>
      <c r="G279" s="203" t="str">
        <f>IF($A279&gt;MAX(入力シート!$AF$6:$AF$505),"",INDEX(テーブル22[[学年]:[得点]],MATCH(体力優良証交付申請!$A279,入力シート!$AF$6:$AF$505,0),MATCH(体力優良証交付申請!G$14,テーブル22[[#Headers],[学年]:[得点]],0)))</f>
        <v/>
      </c>
      <c r="H279" s="203" t="str">
        <f>IF($A279&gt;MAX(入力シート!$AF$6:$AF$505),"",INDEX(テーブル22[[学年]:[得点]],MATCH(体力優良証交付申請!$A279,入力シート!$AF$6:$AF$505,0),MATCH(体力優良証交付申請!H$14,テーブル22[[#Headers],[学年]:[得点]],0)))</f>
        <v/>
      </c>
      <c r="I279" s="203" t="str">
        <f>IF($A279&gt;MAX(入力シート!$AF$6:$AF$505),"",INDEX(テーブル22[[学年]:[得点]],MATCH(体力優良証交付申請!$A279,入力シート!$AF$6:$AF$505,0),MATCH(体力優良証交付申請!I$14,テーブル22[[#Headers],[学年]:[得点]],0)))</f>
        <v/>
      </c>
      <c r="J279" s="114" t="str">
        <f>IF($A279&gt;MAX(入力シート!$AF$6:$AF$505),"",INDEX(テーブル22[[学年]:[得点]],MATCH(体力優良証交付申請!$A279,入力シート!$AF$6:$AF$505,0),MATCH(体力優良証交付申請!J$14,テーブル22[[#Headers],[学年]:[得点]],0)))</f>
        <v/>
      </c>
      <c r="K279" s="203" t="str">
        <f>IF($A279&gt;MAX(入力シート!$AF$6:$AF$505),"",INDEX(テーブル22[[学年]:[得点]],MATCH(体力優良証交付申請!$A279,入力シート!$AF$6:$AF$505,0),MATCH(体力優良証交付申請!K$14,テーブル22[[#Headers],[学年]:[得点]],0)))</f>
        <v/>
      </c>
      <c r="L279" s="203" t="str">
        <f>IF($A279&gt;MAX(入力シート!$AF$6:$AF$505),"",INDEX(テーブル22[[学年]:[得点]],MATCH(体力優良証交付申請!$A279,入力シート!$AF$6:$AF$505,0),MATCH(体力優良証交付申請!L$14,テーブル22[[#Headers],[学年]:[得点]],0)))</f>
        <v/>
      </c>
      <c r="M279" s="28" t="str">
        <f>IF($A279&gt;MAX(入力シート!$AF$6:$AF$505),"",INDEX(テーブル22[[学年]:[得点]],MATCH(体力優良証交付申請!$A279,入力シート!$AF$6:$AF$505,0),MATCH(体力優良証交付申請!M$14,テーブル22[[#Headers],[学年]:[得点]],0)))</f>
        <v/>
      </c>
    </row>
    <row r="280" spans="1:13" x14ac:dyDescent="0.2">
      <c r="A280" s="16">
        <v>266</v>
      </c>
      <c r="B280" s="130" t="str">
        <f>IF($A280&gt;MAX(入力シート!$AF$6:$AF$505),"",INDEX(テーブル22[[学年]:[得点]],MATCH(体力優良証交付申請!$A280,入力シート!$AF$6:$AF$505,0),MATCH(体力優良証交付申請!B$14,テーブル22[[#Headers],[学年]:[得点]],0)))</f>
        <v/>
      </c>
      <c r="C280" s="203" t="str">
        <f>IF($A280&gt;MAX(入力シート!$AF$6:$AF$505),"",INDEX(テーブル22[[学年]:[得点]],MATCH(体力優良証交付申請!$A280,入力シート!$AF$6:$AF$505,0),MATCH(体力優良証交付申請!C$14,テーブル22[[#Headers],[学年]:[得点]],0)))</f>
        <v/>
      </c>
      <c r="D280" s="203" t="str">
        <f>IF($A280&gt;MAX(入力シート!$AF$6:$AF$505),"",INDEX(テーブル22[[学年]:[得点]],MATCH(体力優良証交付申請!$A280,入力シート!$AF$6:$AF$505,0),MATCH(体力優良証交付申請!D$14,テーブル22[[#Headers],[学年]:[得点]],0)))</f>
        <v/>
      </c>
      <c r="E280" s="203" t="str">
        <f>IF($A280&gt;MAX(入力シート!$AF$6:$AF$505),"",INDEX(テーブル22[[学年]:[得点]],MATCH(体力優良証交付申請!$A280,入力シート!$AF$6:$AF$505,0),MATCH(体力優良証交付申請!E$14,テーブル22[[#Headers],[学年]:[得点]],0)))</f>
        <v/>
      </c>
      <c r="F280" s="203" t="str">
        <f>IF($A280&gt;MAX(入力シート!$AF$6:$AF$505),"",INDEX(テーブル22[[学年]:[得点]],MATCH(体力優良証交付申請!$A280,入力シート!$AF$6:$AF$505,0),MATCH(体力優良証交付申請!F$14,テーブル22[[#Headers],[学年]:[得点]],0)))</f>
        <v/>
      </c>
      <c r="G280" s="203" t="str">
        <f>IF($A280&gt;MAX(入力シート!$AF$6:$AF$505),"",INDEX(テーブル22[[学年]:[得点]],MATCH(体力優良証交付申請!$A280,入力シート!$AF$6:$AF$505,0),MATCH(体力優良証交付申請!G$14,テーブル22[[#Headers],[学年]:[得点]],0)))</f>
        <v/>
      </c>
      <c r="H280" s="203" t="str">
        <f>IF($A280&gt;MAX(入力シート!$AF$6:$AF$505),"",INDEX(テーブル22[[学年]:[得点]],MATCH(体力優良証交付申請!$A280,入力シート!$AF$6:$AF$505,0),MATCH(体力優良証交付申請!H$14,テーブル22[[#Headers],[学年]:[得点]],0)))</f>
        <v/>
      </c>
      <c r="I280" s="203" t="str">
        <f>IF($A280&gt;MAX(入力シート!$AF$6:$AF$505),"",INDEX(テーブル22[[学年]:[得点]],MATCH(体力優良証交付申請!$A280,入力シート!$AF$6:$AF$505,0),MATCH(体力優良証交付申請!I$14,テーブル22[[#Headers],[学年]:[得点]],0)))</f>
        <v/>
      </c>
      <c r="J280" s="114" t="str">
        <f>IF($A280&gt;MAX(入力シート!$AF$6:$AF$505),"",INDEX(テーブル22[[学年]:[得点]],MATCH(体力優良証交付申請!$A280,入力シート!$AF$6:$AF$505,0),MATCH(体力優良証交付申請!J$14,テーブル22[[#Headers],[学年]:[得点]],0)))</f>
        <v/>
      </c>
      <c r="K280" s="203" t="str">
        <f>IF($A280&gt;MAX(入力シート!$AF$6:$AF$505),"",INDEX(テーブル22[[学年]:[得点]],MATCH(体力優良証交付申請!$A280,入力シート!$AF$6:$AF$505,0),MATCH(体力優良証交付申請!K$14,テーブル22[[#Headers],[学年]:[得点]],0)))</f>
        <v/>
      </c>
      <c r="L280" s="203" t="str">
        <f>IF($A280&gt;MAX(入力シート!$AF$6:$AF$505),"",INDEX(テーブル22[[学年]:[得点]],MATCH(体力優良証交付申請!$A280,入力シート!$AF$6:$AF$505,0),MATCH(体力優良証交付申請!L$14,テーブル22[[#Headers],[学年]:[得点]],0)))</f>
        <v/>
      </c>
      <c r="M280" s="28" t="str">
        <f>IF($A280&gt;MAX(入力シート!$AF$6:$AF$505),"",INDEX(テーブル22[[学年]:[得点]],MATCH(体力優良証交付申請!$A280,入力シート!$AF$6:$AF$505,0),MATCH(体力優良証交付申請!M$14,テーブル22[[#Headers],[学年]:[得点]],0)))</f>
        <v/>
      </c>
    </row>
    <row r="281" spans="1:13" x14ac:dyDescent="0.2">
      <c r="A281" s="16">
        <v>267</v>
      </c>
      <c r="B281" s="130" t="str">
        <f>IF($A281&gt;MAX(入力シート!$AF$6:$AF$505),"",INDEX(テーブル22[[学年]:[得点]],MATCH(体力優良証交付申請!$A281,入力シート!$AF$6:$AF$505,0),MATCH(体力優良証交付申請!B$14,テーブル22[[#Headers],[学年]:[得点]],0)))</f>
        <v/>
      </c>
      <c r="C281" s="203" t="str">
        <f>IF($A281&gt;MAX(入力シート!$AF$6:$AF$505),"",INDEX(テーブル22[[学年]:[得点]],MATCH(体力優良証交付申請!$A281,入力シート!$AF$6:$AF$505,0),MATCH(体力優良証交付申請!C$14,テーブル22[[#Headers],[学年]:[得点]],0)))</f>
        <v/>
      </c>
      <c r="D281" s="203" t="str">
        <f>IF($A281&gt;MAX(入力シート!$AF$6:$AF$505),"",INDEX(テーブル22[[学年]:[得点]],MATCH(体力優良証交付申請!$A281,入力シート!$AF$6:$AF$505,0),MATCH(体力優良証交付申請!D$14,テーブル22[[#Headers],[学年]:[得点]],0)))</f>
        <v/>
      </c>
      <c r="E281" s="203" t="str">
        <f>IF($A281&gt;MAX(入力シート!$AF$6:$AF$505),"",INDEX(テーブル22[[学年]:[得点]],MATCH(体力優良証交付申請!$A281,入力シート!$AF$6:$AF$505,0),MATCH(体力優良証交付申請!E$14,テーブル22[[#Headers],[学年]:[得点]],0)))</f>
        <v/>
      </c>
      <c r="F281" s="203" t="str">
        <f>IF($A281&gt;MAX(入力シート!$AF$6:$AF$505),"",INDEX(テーブル22[[学年]:[得点]],MATCH(体力優良証交付申請!$A281,入力シート!$AF$6:$AF$505,0),MATCH(体力優良証交付申請!F$14,テーブル22[[#Headers],[学年]:[得点]],0)))</f>
        <v/>
      </c>
      <c r="G281" s="203" t="str">
        <f>IF($A281&gt;MAX(入力シート!$AF$6:$AF$505),"",INDEX(テーブル22[[学年]:[得点]],MATCH(体力優良証交付申請!$A281,入力シート!$AF$6:$AF$505,0),MATCH(体力優良証交付申請!G$14,テーブル22[[#Headers],[学年]:[得点]],0)))</f>
        <v/>
      </c>
      <c r="H281" s="203" t="str">
        <f>IF($A281&gt;MAX(入力シート!$AF$6:$AF$505),"",INDEX(テーブル22[[学年]:[得点]],MATCH(体力優良証交付申請!$A281,入力シート!$AF$6:$AF$505,0),MATCH(体力優良証交付申請!H$14,テーブル22[[#Headers],[学年]:[得点]],0)))</f>
        <v/>
      </c>
      <c r="I281" s="203" t="str">
        <f>IF($A281&gt;MAX(入力シート!$AF$6:$AF$505),"",INDEX(テーブル22[[学年]:[得点]],MATCH(体力優良証交付申請!$A281,入力シート!$AF$6:$AF$505,0),MATCH(体力優良証交付申請!I$14,テーブル22[[#Headers],[学年]:[得点]],0)))</f>
        <v/>
      </c>
      <c r="J281" s="114" t="str">
        <f>IF($A281&gt;MAX(入力シート!$AF$6:$AF$505),"",INDEX(テーブル22[[学年]:[得点]],MATCH(体力優良証交付申請!$A281,入力シート!$AF$6:$AF$505,0),MATCH(体力優良証交付申請!J$14,テーブル22[[#Headers],[学年]:[得点]],0)))</f>
        <v/>
      </c>
      <c r="K281" s="203" t="str">
        <f>IF($A281&gt;MAX(入力シート!$AF$6:$AF$505),"",INDEX(テーブル22[[学年]:[得点]],MATCH(体力優良証交付申請!$A281,入力シート!$AF$6:$AF$505,0),MATCH(体力優良証交付申請!K$14,テーブル22[[#Headers],[学年]:[得点]],0)))</f>
        <v/>
      </c>
      <c r="L281" s="203" t="str">
        <f>IF($A281&gt;MAX(入力シート!$AF$6:$AF$505),"",INDEX(テーブル22[[学年]:[得点]],MATCH(体力優良証交付申請!$A281,入力シート!$AF$6:$AF$505,0),MATCH(体力優良証交付申請!L$14,テーブル22[[#Headers],[学年]:[得点]],0)))</f>
        <v/>
      </c>
      <c r="M281" s="28" t="str">
        <f>IF($A281&gt;MAX(入力シート!$AF$6:$AF$505),"",INDEX(テーブル22[[学年]:[得点]],MATCH(体力優良証交付申請!$A281,入力シート!$AF$6:$AF$505,0),MATCH(体力優良証交付申請!M$14,テーブル22[[#Headers],[学年]:[得点]],0)))</f>
        <v/>
      </c>
    </row>
    <row r="282" spans="1:13" x14ac:dyDescent="0.2">
      <c r="A282" s="16">
        <v>268</v>
      </c>
      <c r="B282" s="130" t="str">
        <f>IF($A282&gt;MAX(入力シート!$AF$6:$AF$505),"",INDEX(テーブル22[[学年]:[得点]],MATCH(体力優良証交付申請!$A282,入力シート!$AF$6:$AF$505,0),MATCH(体力優良証交付申請!B$14,テーブル22[[#Headers],[学年]:[得点]],0)))</f>
        <v/>
      </c>
      <c r="C282" s="203" t="str">
        <f>IF($A282&gt;MAX(入力シート!$AF$6:$AF$505),"",INDEX(テーブル22[[学年]:[得点]],MATCH(体力優良証交付申請!$A282,入力シート!$AF$6:$AF$505,0),MATCH(体力優良証交付申請!C$14,テーブル22[[#Headers],[学年]:[得点]],0)))</f>
        <v/>
      </c>
      <c r="D282" s="203" t="str">
        <f>IF($A282&gt;MAX(入力シート!$AF$6:$AF$505),"",INDEX(テーブル22[[学年]:[得点]],MATCH(体力優良証交付申請!$A282,入力シート!$AF$6:$AF$505,0),MATCH(体力優良証交付申請!D$14,テーブル22[[#Headers],[学年]:[得点]],0)))</f>
        <v/>
      </c>
      <c r="E282" s="203" t="str">
        <f>IF($A282&gt;MAX(入力シート!$AF$6:$AF$505),"",INDEX(テーブル22[[学年]:[得点]],MATCH(体力優良証交付申請!$A282,入力シート!$AF$6:$AF$505,0),MATCH(体力優良証交付申請!E$14,テーブル22[[#Headers],[学年]:[得点]],0)))</f>
        <v/>
      </c>
      <c r="F282" s="203" t="str">
        <f>IF($A282&gt;MAX(入力シート!$AF$6:$AF$505),"",INDEX(テーブル22[[学年]:[得点]],MATCH(体力優良証交付申請!$A282,入力シート!$AF$6:$AF$505,0),MATCH(体力優良証交付申請!F$14,テーブル22[[#Headers],[学年]:[得点]],0)))</f>
        <v/>
      </c>
      <c r="G282" s="203" t="str">
        <f>IF($A282&gt;MAX(入力シート!$AF$6:$AF$505),"",INDEX(テーブル22[[学年]:[得点]],MATCH(体力優良証交付申請!$A282,入力シート!$AF$6:$AF$505,0),MATCH(体力優良証交付申請!G$14,テーブル22[[#Headers],[学年]:[得点]],0)))</f>
        <v/>
      </c>
      <c r="H282" s="203" t="str">
        <f>IF($A282&gt;MAX(入力シート!$AF$6:$AF$505),"",INDEX(テーブル22[[学年]:[得点]],MATCH(体力優良証交付申請!$A282,入力シート!$AF$6:$AF$505,0),MATCH(体力優良証交付申請!H$14,テーブル22[[#Headers],[学年]:[得点]],0)))</f>
        <v/>
      </c>
      <c r="I282" s="203" t="str">
        <f>IF($A282&gt;MAX(入力シート!$AF$6:$AF$505),"",INDEX(テーブル22[[学年]:[得点]],MATCH(体力優良証交付申請!$A282,入力シート!$AF$6:$AF$505,0),MATCH(体力優良証交付申請!I$14,テーブル22[[#Headers],[学年]:[得点]],0)))</f>
        <v/>
      </c>
      <c r="J282" s="114" t="str">
        <f>IF($A282&gt;MAX(入力シート!$AF$6:$AF$505),"",INDEX(テーブル22[[学年]:[得点]],MATCH(体力優良証交付申請!$A282,入力シート!$AF$6:$AF$505,0),MATCH(体力優良証交付申請!J$14,テーブル22[[#Headers],[学年]:[得点]],0)))</f>
        <v/>
      </c>
      <c r="K282" s="203" t="str">
        <f>IF($A282&gt;MAX(入力シート!$AF$6:$AF$505),"",INDEX(テーブル22[[学年]:[得点]],MATCH(体力優良証交付申請!$A282,入力シート!$AF$6:$AF$505,0),MATCH(体力優良証交付申請!K$14,テーブル22[[#Headers],[学年]:[得点]],0)))</f>
        <v/>
      </c>
      <c r="L282" s="203" t="str">
        <f>IF($A282&gt;MAX(入力シート!$AF$6:$AF$505),"",INDEX(テーブル22[[学年]:[得点]],MATCH(体力優良証交付申請!$A282,入力シート!$AF$6:$AF$505,0),MATCH(体力優良証交付申請!L$14,テーブル22[[#Headers],[学年]:[得点]],0)))</f>
        <v/>
      </c>
      <c r="M282" s="28" t="str">
        <f>IF($A282&gt;MAX(入力シート!$AF$6:$AF$505),"",INDEX(テーブル22[[学年]:[得点]],MATCH(体力優良証交付申請!$A282,入力シート!$AF$6:$AF$505,0),MATCH(体力優良証交付申請!M$14,テーブル22[[#Headers],[学年]:[得点]],0)))</f>
        <v/>
      </c>
    </row>
    <row r="283" spans="1:13" x14ac:dyDescent="0.2">
      <c r="A283" s="16">
        <v>269</v>
      </c>
      <c r="B283" s="130" t="str">
        <f>IF($A283&gt;MAX(入力シート!$AF$6:$AF$505),"",INDEX(テーブル22[[学年]:[得点]],MATCH(体力優良証交付申請!$A283,入力シート!$AF$6:$AF$505,0),MATCH(体力優良証交付申請!B$14,テーブル22[[#Headers],[学年]:[得点]],0)))</f>
        <v/>
      </c>
      <c r="C283" s="203" t="str">
        <f>IF($A283&gt;MAX(入力シート!$AF$6:$AF$505),"",INDEX(テーブル22[[学年]:[得点]],MATCH(体力優良証交付申請!$A283,入力シート!$AF$6:$AF$505,0),MATCH(体力優良証交付申請!C$14,テーブル22[[#Headers],[学年]:[得点]],0)))</f>
        <v/>
      </c>
      <c r="D283" s="203" t="str">
        <f>IF($A283&gt;MAX(入力シート!$AF$6:$AF$505),"",INDEX(テーブル22[[学年]:[得点]],MATCH(体力優良証交付申請!$A283,入力シート!$AF$6:$AF$505,0),MATCH(体力優良証交付申請!D$14,テーブル22[[#Headers],[学年]:[得点]],0)))</f>
        <v/>
      </c>
      <c r="E283" s="203" t="str">
        <f>IF($A283&gt;MAX(入力シート!$AF$6:$AF$505),"",INDEX(テーブル22[[学年]:[得点]],MATCH(体力優良証交付申請!$A283,入力シート!$AF$6:$AF$505,0),MATCH(体力優良証交付申請!E$14,テーブル22[[#Headers],[学年]:[得点]],0)))</f>
        <v/>
      </c>
      <c r="F283" s="203" t="str">
        <f>IF($A283&gt;MAX(入力シート!$AF$6:$AF$505),"",INDEX(テーブル22[[学年]:[得点]],MATCH(体力優良証交付申請!$A283,入力シート!$AF$6:$AF$505,0),MATCH(体力優良証交付申請!F$14,テーブル22[[#Headers],[学年]:[得点]],0)))</f>
        <v/>
      </c>
      <c r="G283" s="203" t="str">
        <f>IF($A283&gt;MAX(入力シート!$AF$6:$AF$505),"",INDEX(テーブル22[[学年]:[得点]],MATCH(体力優良証交付申請!$A283,入力シート!$AF$6:$AF$505,0),MATCH(体力優良証交付申請!G$14,テーブル22[[#Headers],[学年]:[得点]],0)))</f>
        <v/>
      </c>
      <c r="H283" s="203" t="str">
        <f>IF($A283&gt;MAX(入力シート!$AF$6:$AF$505),"",INDEX(テーブル22[[学年]:[得点]],MATCH(体力優良証交付申請!$A283,入力シート!$AF$6:$AF$505,0),MATCH(体力優良証交付申請!H$14,テーブル22[[#Headers],[学年]:[得点]],0)))</f>
        <v/>
      </c>
      <c r="I283" s="203" t="str">
        <f>IF($A283&gt;MAX(入力シート!$AF$6:$AF$505),"",INDEX(テーブル22[[学年]:[得点]],MATCH(体力優良証交付申請!$A283,入力シート!$AF$6:$AF$505,0),MATCH(体力優良証交付申請!I$14,テーブル22[[#Headers],[学年]:[得点]],0)))</f>
        <v/>
      </c>
      <c r="J283" s="114" t="str">
        <f>IF($A283&gt;MAX(入力シート!$AF$6:$AF$505),"",INDEX(テーブル22[[学年]:[得点]],MATCH(体力優良証交付申請!$A283,入力シート!$AF$6:$AF$505,0),MATCH(体力優良証交付申請!J$14,テーブル22[[#Headers],[学年]:[得点]],0)))</f>
        <v/>
      </c>
      <c r="K283" s="203" t="str">
        <f>IF($A283&gt;MAX(入力シート!$AF$6:$AF$505),"",INDEX(テーブル22[[学年]:[得点]],MATCH(体力優良証交付申請!$A283,入力シート!$AF$6:$AF$505,0),MATCH(体力優良証交付申請!K$14,テーブル22[[#Headers],[学年]:[得点]],0)))</f>
        <v/>
      </c>
      <c r="L283" s="203" t="str">
        <f>IF($A283&gt;MAX(入力シート!$AF$6:$AF$505),"",INDEX(テーブル22[[学年]:[得点]],MATCH(体力優良証交付申請!$A283,入力シート!$AF$6:$AF$505,0),MATCH(体力優良証交付申請!L$14,テーブル22[[#Headers],[学年]:[得点]],0)))</f>
        <v/>
      </c>
      <c r="M283" s="28" t="str">
        <f>IF($A283&gt;MAX(入力シート!$AF$6:$AF$505),"",INDEX(テーブル22[[学年]:[得点]],MATCH(体力優良証交付申請!$A283,入力シート!$AF$6:$AF$505,0),MATCH(体力優良証交付申請!M$14,テーブル22[[#Headers],[学年]:[得点]],0)))</f>
        <v/>
      </c>
    </row>
    <row r="284" spans="1:13" x14ac:dyDescent="0.2">
      <c r="A284" s="16">
        <v>270</v>
      </c>
      <c r="B284" s="130" t="str">
        <f>IF($A284&gt;MAX(入力シート!$AF$6:$AF$505),"",INDEX(テーブル22[[学年]:[得点]],MATCH(体力優良証交付申請!$A284,入力シート!$AF$6:$AF$505,0),MATCH(体力優良証交付申請!B$14,テーブル22[[#Headers],[学年]:[得点]],0)))</f>
        <v/>
      </c>
      <c r="C284" s="203" t="str">
        <f>IF($A284&gt;MAX(入力シート!$AF$6:$AF$505),"",INDEX(テーブル22[[学年]:[得点]],MATCH(体力優良証交付申請!$A284,入力シート!$AF$6:$AF$505,0),MATCH(体力優良証交付申請!C$14,テーブル22[[#Headers],[学年]:[得点]],0)))</f>
        <v/>
      </c>
      <c r="D284" s="203" t="str">
        <f>IF($A284&gt;MAX(入力シート!$AF$6:$AF$505),"",INDEX(テーブル22[[学年]:[得点]],MATCH(体力優良証交付申請!$A284,入力シート!$AF$6:$AF$505,0),MATCH(体力優良証交付申請!D$14,テーブル22[[#Headers],[学年]:[得点]],0)))</f>
        <v/>
      </c>
      <c r="E284" s="203" t="str">
        <f>IF($A284&gt;MAX(入力シート!$AF$6:$AF$505),"",INDEX(テーブル22[[学年]:[得点]],MATCH(体力優良証交付申請!$A284,入力シート!$AF$6:$AF$505,0),MATCH(体力優良証交付申請!E$14,テーブル22[[#Headers],[学年]:[得点]],0)))</f>
        <v/>
      </c>
      <c r="F284" s="203" t="str">
        <f>IF($A284&gt;MAX(入力シート!$AF$6:$AF$505),"",INDEX(テーブル22[[学年]:[得点]],MATCH(体力優良証交付申請!$A284,入力シート!$AF$6:$AF$505,0),MATCH(体力優良証交付申請!F$14,テーブル22[[#Headers],[学年]:[得点]],0)))</f>
        <v/>
      </c>
      <c r="G284" s="203" t="str">
        <f>IF($A284&gt;MAX(入力シート!$AF$6:$AF$505),"",INDEX(テーブル22[[学年]:[得点]],MATCH(体力優良証交付申請!$A284,入力シート!$AF$6:$AF$505,0),MATCH(体力優良証交付申請!G$14,テーブル22[[#Headers],[学年]:[得点]],0)))</f>
        <v/>
      </c>
      <c r="H284" s="203" t="str">
        <f>IF($A284&gt;MAX(入力シート!$AF$6:$AF$505),"",INDEX(テーブル22[[学年]:[得点]],MATCH(体力優良証交付申請!$A284,入力シート!$AF$6:$AF$505,0),MATCH(体力優良証交付申請!H$14,テーブル22[[#Headers],[学年]:[得点]],0)))</f>
        <v/>
      </c>
      <c r="I284" s="203" t="str">
        <f>IF($A284&gt;MAX(入力シート!$AF$6:$AF$505),"",INDEX(テーブル22[[学年]:[得点]],MATCH(体力優良証交付申請!$A284,入力シート!$AF$6:$AF$505,0),MATCH(体力優良証交付申請!I$14,テーブル22[[#Headers],[学年]:[得点]],0)))</f>
        <v/>
      </c>
      <c r="J284" s="114" t="str">
        <f>IF($A284&gt;MAX(入力シート!$AF$6:$AF$505),"",INDEX(テーブル22[[学年]:[得点]],MATCH(体力優良証交付申請!$A284,入力シート!$AF$6:$AF$505,0),MATCH(体力優良証交付申請!J$14,テーブル22[[#Headers],[学年]:[得点]],0)))</f>
        <v/>
      </c>
      <c r="K284" s="203" t="str">
        <f>IF($A284&gt;MAX(入力シート!$AF$6:$AF$505),"",INDEX(テーブル22[[学年]:[得点]],MATCH(体力優良証交付申請!$A284,入力シート!$AF$6:$AF$505,0),MATCH(体力優良証交付申請!K$14,テーブル22[[#Headers],[学年]:[得点]],0)))</f>
        <v/>
      </c>
      <c r="L284" s="203" t="str">
        <f>IF($A284&gt;MAX(入力シート!$AF$6:$AF$505),"",INDEX(テーブル22[[学年]:[得点]],MATCH(体力優良証交付申請!$A284,入力シート!$AF$6:$AF$505,0),MATCH(体力優良証交付申請!L$14,テーブル22[[#Headers],[学年]:[得点]],0)))</f>
        <v/>
      </c>
      <c r="M284" s="28" t="str">
        <f>IF($A284&gt;MAX(入力シート!$AF$6:$AF$505),"",INDEX(テーブル22[[学年]:[得点]],MATCH(体力優良証交付申請!$A284,入力シート!$AF$6:$AF$505,0),MATCH(体力優良証交付申請!M$14,テーブル22[[#Headers],[学年]:[得点]],0)))</f>
        <v/>
      </c>
    </row>
    <row r="285" spans="1:13" x14ac:dyDescent="0.2">
      <c r="A285" s="16">
        <v>271</v>
      </c>
      <c r="B285" s="130" t="str">
        <f>IF($A285&gt;MAX(入力シート!$AF$6:$AF$505),"",INDEX(テーブル22[[学年]:[得点]],MATCH(体力優良証交付申請!$A285,入力シート!$AF$6:$AF$505,0),MATCH(体力優良証交付申請!B$14,テーブル22[[#Headers],[学年]:[得点]],0)))</f>
        <v/>
      </c>
      <c r="C285" s="203" t="str">
        <f>IF($A285&gt;MAX(入力シート!$AF$6:$AF$505),"",INDEX(テーブル22[[学年]:[得点]],MATCH(体力優良証交付申請!$A285,入力シート!$AF$6:$AF$505,0),MATCH(体力優良証交付申請!C$14,テーブル22[[#Headers],[学年]:[得点]],0)))</f>
        <v/>
      </c>
      <c r="D285" s="203" t="str">
        <f>IF($A285&gt;MAX(入力シート!$AF$6:$AF$505),"",INDEX(テーブル22[[学年]:[得点]],MATCH(体力優良証交付申請!$A285,入力シート!$AF$6:$AF$505,0),MATCH(体力優良証交付申請!D$14,テーブル22[[#Headers],[学年]:[得点]],0)))</f>
        <v/>
      </c>
      <c r="E285" s="203" t="str">
        <f>IF($A285&gt;MAX(入力シート!$AF$6:$AF$505),"",INDEX(テーブル22[[学年]:[得点]],MATCH(体力優良証交付申請!$A285,入力シート!$AF$6:$AF$505,0),MATCH(体力優良証交付申請!E$14,テーブル22[[#Headers],[学年]:[得点]],0)))</f>
        <v/>
      </c>
      <c r="F285" s="203" t="str">
        <f>IF($A285&gt;MAX(入力シート!$AF$6:$AF$505),"",INDEX(テーブル22[[学年]:[得点]],MATCH(体力優良証交付申請!$A285,入力シート!$AF$6:$AF$505,0),MATCH(体力優良証交付申請!F$14,テーブル22[[#Headers],[学年]:[得点]],0)))</f>
        <v/>
      </c>
      <c r="G285" s="203" t="str">
        <f>IF($A285&gt;MAX(入力シート!$AF$6:$AF$505),"",INDEX(テーブル22[[学年]:[得点]],MATCH(体力優良証交付申請!$A285,入力シート!$AF$6:$AF$505,0),MATCH(体力優良証交付申請!G$14,テーブル22[[#Headers],[学年]:[得点]],0)))</f>
        <v/>
      </c>
      <c r="H285" s="203" t="str">
        <f>IF($A285&gt;MAX(入力シート!$AF$6:$AF$505),"",INDEX(テーブル22[[学年]:[得点]],MATCH(体力優良証交付申請!$A285,入力シート!$AF$6:$AF$505,0),MATCH(体力優良証交付申請!H$14,テーブル22[[#Headers],[学年]:[得点]],0)))</f>
        <v/>
      </c>
      <c r="I285" s="203" t="str">
        <f>IF($A285&gt;MAX(入力シート!$AF$6:$AF$505),"",INDEX(テーブル22[[学年]:[得点]],MATCH(体力優良証交付申請!$A285,入力シート!$AF$6:$AF$505,0),MATCH(体力優良証交付申請!I$14,テーブル22[[#Headers],[学年]:[得点]],0)))</f>
        <v/>
      </c>
      <c r="J285" s="114" t="str">
        <f>IF($A285&gt;MAX(入力シート!$AF$6:$AF$505),"",INDEX(テーブル22[[学年]:[得点]],MATCH(体力優良証交付申請!$A285,入力シート!$AF$6:$AF$505,0),MATCH(体力優良証交付申請!J$14,テーブル22[[#Headers],[学年]:[得点]],0)))</f>
        <v/>
      </c>
      <c r="K285" s="203" t="str">
        <f>IF($A285&gt;MAX(入力シート!$AF$6:$AF$505),"",INDEX(テーブル22[[学年]:[得点]],MATCH(体力優良証交付申請!$A285,入力シート!$AF$6:$AF$505,0),MATCH(体力優良証交付申請!K$14,テーブル22[[#Headers],[学年]:[得点]],0)))</f>
        <v/>
      </c>
      <c r="L285" s="203" t="str">
        <f>IF($A285&gt;MAX(入力シート!$AF$6:$AF$505),"",INDEX(テーブル22[[学年]:[得点]],MATCH(体力優良証交付申請!$A285,入力シート!$AF$6:$AF$505,0),MATCH(体力優良証交付申請!L$14,テーブル22[[#Headers],[学年]:[得点]],0)))</f>
        <v/>
      </c>
      <c r="M285" s="28" t="str">
        <f>IF($A285&gt;MAX(入力シート!$AF$6:$AF$505),"",INDEX(テーブル22[[学年]:[得点]],MATCH(体力優良証交付申請!$A285,入力シート!$AF$6:$AF$505,0),MATCH(体力優良証交付申請!M$14,テーブル22[[#Headers],[学年]:[得点]],0)))</f>
        <v/>
      </c>
    </row>
    <row r="286" spans="1:13" x14ac:dyDescent="0.2">
      <c r="A286" s="16">
        <v>272</v>
      </c>
      <c r="B286" s="130" t="str">
        <f>IF($A286&gt;MAX(入力シート!$AF$6:$AF$505),"",INDEX(テーブル22[[学年]:[得点]],MATCH(体力優良証交付申請!$A286,入力シート!$AF$6:$AF$505,0),MATCH(体力優良証交付申請!B$14,テーブル22[[#Headers],[学年]:[得点]],0)))</f>
        <v/>
      </c>
      <c r="C286" s="203" t="str">
        <f>IF($A286&gt;MAX(入力シート!$AF$6:$AF$505),"",INDEX(テーブル22[[学年]:[得点]],MATCH(体力優良証交付申請!$A286,入力シート!$AF$6:$AF$505,0),MATCH(体力優良証交付申請!C$14,テーブル22[[#Headers],[学年]:[得点]],0)))</f>
        <v/>
      </c>
      <c r="D286" s="203" t="str">
        <f>IF($A286&gt;MAX(入力シート!$AF$6:$AF$505),"",INDEX(テーブル22[[学年]:[得点]],MATCH(体力優良証交付申請!$A286,入力シート!$AF$6:$AF$505,0),MATCH(体力優良証交付申請!D$14,テーブル22[[#Headers],[学年]:[得点]],0)))</f>
        <v/>
      </c>
      <c r="E286" s="203" t="str">
        <f>IF($A286&gt;MAX(入力シート!$AF$6:$AF$505),"",INDEX(テーブル22[[学年]:[得点]],MATCH(体力優良証交付申請!$A286,入力シート!$AF$6:$AF$505,0),MATCH(体力優良証交付申請!E$14,テーブル22[[#Headers],[学年]:[得点]],0)))</f>
        <v/>
      </c>
      <c r="F286" s="203" t="str">
        <f>IF($A286&gt;MAX(入力シート!$AF$6:$AF$505),"",INDEX(テーブル22[[学年]:[得点]],MATCH(体力優良証交付申請!$A286,入力シート!$AF$6:$AF$505,0),MATCH(体力優良証交付申請!F$14,テーブル22[[#Headers],[学年]:[得点]],0)))</f>
        <v/>
      </c>
      <c r="G286" s="203" t="str">
        <f>IF($A286&gt;MAX(入力シート!$AF$6:$AF$505),"",INDEX(テーブル22[[学年]:[得点]],MATCH(体力優良証交付申請!$A286,入力シート!$AF$6:$AF$505,0),MATCH(体力優良証交付申請!G$14,テーブル22[[#Headers],[学年]:[得点]],0)))</f>
        <v/>
      </c>
      <c r="H286" s="203" t="str">
        <f>IF($A286&gt;MAX(入力シート!$AF$6:$AF$505),"",INDEX(テーブル22[[学年]:[得点]],MATCH(体力優良証交付申請!$A286,入力シート!$AF$6:$AF$505,0),MATCH(体力優良証交付申請!H$14,テーブル22[[#Headers],[学年]:[得点]],0)))</f>
        <v/>
      </c>
      <c r="I286" s="203" t="str">
        <f>IF($A286&gt;MAX(入力シート!$AF$6:$AF$505),"",INDEX(テーブル22[[学年]:[得点]],MATCH(体力優良証交付申請!$A286,入力シート!$AF$6:$AF$505,0),MATCH(体力優良証交付申請!I$14,テーブル22[[#Headers],[学年]:[得点]],0)))</f>
        <v/>
      </c>
      <c r="J286" s="114" t="str">
        <f>IF($A286&gt;MAX(入力シート!$AF$6:$AF$505),"",INDEX(テーブル22[[学年]:[得点]],MATCH(体力優良証交付申請!$A286,入力シート!$AF$6:$AF$505,0),MATCH(体力優良証交付申請!J$14,テーブル22[[#Headers],[学年]:[得点]],0)))</f>
        <v/>
      </c>
      <c r="K286" s="203" t="str">
        <f>IF($A286&gt;MAX(入力シート!$AF$6:$AF$505),"",INDEX(テーブル22[[学年]:[得点]],MATCH(体力優良証交付申請!$A286,入力シート!$AF$6:$AF$505,0),MATCH(体力優良証交付申請!K$14,テーブル22[[#Headers],[学年]:[得点]],0)))</f>
        <v/>
      </c>
      <c r="L286" s="203" t="str">
        <f>IF($A286&gt;MAX(入力シート!$AF$6:$AF$505),"",INDEX(テーブル22[[学年]:[得点]],MATCH(体力優良証交付申請!$A286,入力シート!$AF$6:$AF$505,0),MATCH(体力優良証交付申請!L$14,テーブル22[[#Headers],[学年]:[得点]],0)))</f>
        <v/>
      </c>
      <c r="M286" s="28" t="str">
        <f>IF($A286&gt;MAX(入力シート!$AF$6:$AF$505),"",INDEX(テーブル22[[学年]:[得点]],MATCH(体力優良証交付申請!$A286,入力シート!$AF$6:$AF$505,0),MATCH(体力優良証交付申請!M$14,テーブル22[[#Headers],[学年]:[得点]],0)))</f>
        <v/>
      </c>
    </row>
    <row r="287" spans="1:13" x14ac:dyDescent="0.2">
      <c r="A287" s="16">
        <v>273</v>
      </c>
      <c r="B287" s="130" t="str">
        <f>IF($A287&gt;MAX(入力シート!$AF$6:$AF$505),"",INDEX(テーブル22[[学年]:[得点]],MATCH(体力優良証交付申請!$A287,入力シート!$AF$6:$AF$505,0),MATCH(体力優良証交付申請!B$14,テーブル22[[#Headers],[学年]:[得点]],0)))</f>
        <v/>
      </c>
      <c r="C287" s="203" t="str">
        <f>IF($A287&gt;MAX(入力シート!$AF$6:$AF$505),"",INDEX(テーブル22[[学年]:[得点]],MATCH(体力優良証交付申請!$A287,入力シート!$AF$6:$AF$505,0),MATCH(体力優良証交付申請!C$14,テーブル22[[#Headers],[学年]:[得点]],0)))</f>
        <v/>
      </c>
      <c r="D287" s="203" t="str">
        <f>IF($A287&gt;MAX(入力シート!$AF$6:$AF$505),"",INDEX(テーブル22[[学年]:[得点]],MATCH(体力優良証交付申請!$A287,入力シート!$AF$6:$AF$505,0),MATCH(体力優良証交付申請!D$14,テーブル22[[#Headers],[学年]:[得点]],0)))</f>
        <v/>
      </c>
      <c r="E287" s="203" t="str">
        <f>IF($A287&gt;MAX(入力シート!$AF$6:$AF$505),"",INDEX(テーブル22[[学年]:[得点]],MATCH(体力優良証交付申請!$A287,入力シート!$AF$6:$AF$505,0),MATCH(体力優良証交付申請!E$14,テーブル22[[#Headers],[学年]:[得点]],0)))</f>
        <v/>
      </c>
      <c r="F287" s="203" t="str">
        <f>IF($A287&gt;MAX(入力シート!$AF$6:$AF$505),"",INDEX(テーブル22[[学年]:[得点]],MATCH(体力優良証交付申請!$A287,入力シート!$AF$6:$AF$505,0),MATCH(体力優良証交付申請!F$14,テーブル22[[#Headers],[学年]:[得点]],0)))</f>
        <v/>
      </c>
      <c r="G287" s="203" t="str">
        <f>IF($A287&gt;MAX(入力シート!$AF$6:$AF$505),"",INDEX(テーブル22[[学年]:[得点]],MATCH(体力優良証交付申請!$A287,入力シート!$AF$6:$AF$505,0),MATCH(体力優良証交付申請!G$14,テーブル22[[#Headers],[学年]:[得点]],0)))</f>
        <v/>
      </c>
      <c r="H287" s="203" t="str">
        <f>IF($A287&gt;MAX(入力シート!$AF$6:$AF$505),"",INDEX(テーブル22[[学年]:[得点]],MATCH(体力優良証交付申請!$A287,入力シート!$AF$6:$AF$505,0),MATCH(体力優良証交付申請!H$14,テーブル22[[#Headers],[学年]:[得点]],0)))</f>
        <v/>
      </c>
      <c r="I287" s="203" t="str">
        <f>IF($A287&gt;MAX(入力シート!$AF$6:$AF$505),"",INDEX(テーブル22[[学年]:[得点]],MATCH(体力優良証交付申請!$A287,入力シート!$AF$6:$AF$505,0),MATCH(体力優良証交付申請!I$14,テーブル22[[#Headers],[学年]:[得点]],0)))</f>
        <v/>
      </c>
      <c r="J287" s="114" t="str">
        <f>IF($A287&gt;MAX(入力シート!$AF$6:$AF$505),"",INDEX(テーブル22[[学年]:[得点]],MATCH(体力優良証交付申請!$A287,入力シート!$AF$6:$AF$505,0),MATCH(体力優良証交付申請!J$14,テーブル22[[#Headers],[学年]:[得点]],0)))</f>
        <v/>
      </c>
      <c r="K287" s="203" t="str">
        <f>IF($A287&gt;MAX(入力シート!$AF$6:$AF$505),"",INDEX(テーブル22[[学年]:[得点]],MATCH(体力優良証交付申請!$A287,入力シート!$AF$6:$AF$505,0),MATCH(体力優良証交付申請!K$14,テーブル22[[#Headers],[学年]:[得点]],0)))</f>
        <v/>
      </c>
      <c r="L287" s="203" t="str">
        <f>IF($A287&gt;MAX(入力シート!$AF$6:$AF$505),"",INDEX(テーブル22[[学年]:[得点]],MATCH(体力優良証交付申請!$A287,入力シート!$AF$6:$AF$505,0),MATCH(体力優良証交付申請!L$14,テーブル22[[#Headers],[学年]:[得点]],0)))</f>
        <v/>
      </c>
      <c r="M287" s="28" t="str">
        <f>IF($A287&gt;MAX(入力シート!$AF$6:$AF$505),"",INDEX(テーブル22[[学年]:[得点]],MATCH(体力優良証交付申請!$A287,入力シート!$AF$6:$AF$505,0),MATCH(体力優良証交付申請!M$14,テーブル22[[#Headers],[学年]:[得点]],0)))</f>
        <v/>
      </c>
    </row>
    <row r="288" spans="1:13" x14ac:dyDescent="0.2">
      <c r="A288" s="16">
        <v>274</v>
      </c>
      <c r="B288" s="130" t="str">
        <f>IF($A288&gt;MAX(入力シート!$AF$6:$AF$505),"",INDEX(テーブル22[[学年]:[得点]],MATCH(体力優良証交付申請!$A288,入力シート!$AF$6:$AF$505,0),MATCH(体力優良証交付申請!B$14,テーブル22[[#Headers],[学年]:[得点]],0)))</f>
        <v/>
      </c>
      <c r="C288" s="203" t="str">
        <f>IF($A288&gt;MAX(入力シート!$AF$6:$AF$505),"",INDEX(テーブル22[[学年]:[得点]],MATCH(体力優良証交付申請!$A288,入力シート!$AF$6:$AF$505,0),MATCH(体力優良証交付申請!C$14,テーブル22[[#Headers],[学年]:[得点]],0)))</f>
        <v/>
      </c>
      <c r="D288" s="203" t="str">
        <f>IF($A288&gt;MAX(入力シート!$AF$6:$AF$505),"",INDEX(テーブル22[[学年]:[得点]],MATCH(体力優良証交付申請!$A288,入力シート!$AF$6:$AF$505,0),MATCH(体力優良証交付申請!D$14,テーブル22[[#Headers],[学年]:[得点]],0)))</f>
        <v/>
      </c>
      <c r="E288" s="203" t="str">
        <f>IF($A288&gt;MAX(入力シート!$AF$6:$AF$505),"",INDEX(テーブル22[[学年]:[得点]],MATCH(体力優良証交付申請!$A288,入力シート!$AF$6:$AF$505,0),MATCH(体力優良証交付申請!E$14,テーブル22[[#Headers],[学年]:[得点]],0)))</f>
        <v/>
      </c>
      <c r="F288" s="203" t="str">
        <f>IF($A288&gt;MAX(入力シート!$AF$6:$AF$505),"",INDEX(テーブル22[[学年]:[得点]],MATCH(体力優良証交付申請!$A288,入力シート!$AF$6:$AF$505,0),MATCH(体力優良証交付申請!F$14,テーブル22[[#Headers],[学年]:[得点]],0)))</f>
        <v/>
      </c>
      <c r="G288" s="203" t="str">
        <f>IF($A288&gt;MAX(入力シート!$AF$6:$AF$505),"",INDEX(テーブル22[[学年]:[得点]],MATCH(体力優良証交付申請!$A288,入力シート!$AF$6:$AF$505,0),MATCH(体力優良証交付申請!G$14,テーブル22[[#Headers],[学年]:[得点]],0)))</f>
        <v/>
      </c>
      <c r="H288" s="203" t="str">
        <f>IF($A288&gt;MAX(入力シート!$AF$6:$AF$505),"",INDEX(テーブル22[[学年]:[得点]],MATCH(体力優良証交付申請!$A288,入力シート!$AF$6:$AF$505,0),MATCH(体力優良証交付申請!H$14,テーブル22[[#Headers],[学年]:[得点]],0)))</f>
        <v/>
      </c>
      <c r="I288" s="203" t="str">
        <f>IF($A288&gt;MAX(入力シート!$AF$6:$AF$505),"",INDEX(テーブル22[[学年]:[得点]],MATCH(体力優良証交付申請!$A288,入力シート!$AF$6:$AF$505,0),MATCH(体力優良証交付申請!I$14,テーブル22[[#Headers],[学年]:[得点]],0)))</f>
        <v/>
      </c>
      <c r="J288" s="114" t="str">
        <f>IF($A288&gt;MAX(入力シート!$AF$6:$AF$505),"",INDEX(テーブル22[[学年]:[得点]],MATCH(体力優良証交付申請!$A288,入力シート!$AF$6:$AF$505,0),MATCH(体力優良証交付申請!J$14,テーブル22[[#Headers],[学年]:[得点]],0)))</f>
        <v/>
      </c>
      <c r="K288" s="203" t="str">
        <f>IF($A288&gt;MAX(入力シート!$AF$6:$AF$505),"",INDEX(テーブル22[[学年]:[得点]],MATCH(体力優良証交付申請!$A288,入力シート!$AF$6:$AF$505,0),MATCH(体力優良証交付申請!K$14,テーブル22[[#Headers],[学年]:[得点]],0)))</f>
        <v/>
      </c>
      <c r="L288" s="203" t="str">
        <f>IF($A288&gt;MAX(入力シート!$AF$6:$AF$505),"",INDEX(テーブル22[[学年]:[得点]],MATCH(体力優良証交付申請!$A288,入力シート!$AF$6:$AF$505,0),MATCH(体力優良証交付申請!L$14,テーブル22[[#Headers],[学年]:[得点]],0)))</f>
        <v/>
      </c>
      <c r="M288" s="28" t="str">
        <f>IF($A288&gt;MAX(入力シート!$AF$6:$AF$505),"",INDEX(テーブル22[[学年]:[得点]],MATCH(体力優良証交付申請!$A288,入力シート!$AF$6:$AF$505,0),MATCH(体力優良証交付申請!M$14,テーブル22[[#Headers],[学年]:[得点]],0)))</f>
        <v/>
      </c>
    </row>
    <row r="289" spans="1:13" x14ac:dyDescent="0.2">
      <c r="A289" s="16">
        <v>275</v>
      </c>
      <c r="B289" s="130" t="str">
        <f>IF($A289&gt;MAX(入力シート!$AF$6:$AF$505),"",INDEX(テーブル22[[学年]:[得点]],MATCH(体力優良証交付申請!$A289,入力シート!$AF$6:$AF$505,0),MATCH(体力優良証交付申請!B$14,テーブル22[[#Headers],[学年]:[得点]],0)))</f>
        <v/>
      </c>
      <c r="C289" s="203" t="str">
        <f>IF($A289&gt;MAX(入力シート!$AF$6:$AF$505),"",INDEX(テーブル22[[学年]:[得点]],MATCH(体力優良証交付申請!$A289,入力シート!$AF$6:$AF$505,0),MATCH(体力優良証交付申請!C$14,テーブル22[[#Headers],[学年]:[得点]],0)))</f>
        <v/>
      </c>
      <c r="D289" s="203" t="str">
        <f>IF($A289&gt;MAX(入力シート!$AF$6:$AF$505),"",INDEX(テーブル22[[学年]:[得点]],MATCH(体力優良証交付申請!$A289,入力シート!$AF$6:$AF$505,0),MATCH(体力優良証交付申請!D$14,テーブル22[[#Headers],[学年]:[得点]],0)))</f>
        <v/>
      </c>
      <c r="E289" s="203" t="str">
        <f>IF($A289&gt;MAX(入力シート!$AF$6:$AF$505),"",INDEX(テーブル22[[学年]:[得点]],MATCH(体力優良証交付申請!$A289,入力シート!$AF$6:$AF$505,0),MATCH(体力優良証交付申請!E$14,テーブル22[[#Headers],[学年]:[得点]],0)))</f>
        <v/>
      </c>
      <c r="F289" s="203" t="str">
        <f>IF($A289&gt;MAX(入力シート!$AF$6:$AF$505),"",INDEX(テーブル22[[学年]:[得点]],MATCH(体力優良証交付申請!$A289,入力シート!$AF$6:$AF$505,0),MATCH(体力優良証交付申請!F$14,テーブル22[[#Headers],[学年]:[得点]],0)))</f>
        <v/>
      </c>
      <c r="G289" s="203" t="str">
        <f>IF($A289&gt;MAX(入力シート!$AF$6:$AF$505),"",INDEX(テーブル22[[学年]:[得点]],MATCH(体力優良証交付申請!$A289,入力シート!$AF$6:$AF$505,0),MATCH(体力優良証交付申請!G$14,テーブル22[[#Headers],[学年]:[得点]],0)))</f>
        <v/>
      </c>
      <c r="H289" s="203" t="str">
        <f>IF($A289&gt;MAX(入力シート!$AF$6:$AF$505),"",INDEX(テーブル22[[学年]:[得点]],MATCH(体力優良証交付申請!$A289,入力シート!$AF$6:$AF$505,0),MATCH(体力優良証交付申請!H$14,テーブル22[[#Headers],[学年]:[得点]],0)))</f>
        <v/>
      </c>
      <c r="I289" s="203" t="str">
        <f>IF($A289&gt;MAX(入力シート!$AF$6:$AF$505),"",INDEX(テーブル22[[学年]:[得点]],MATCH(体力優良証交付申請!$A289,入力シート!$AF$6:$AF$505,0),MATCH(体力優良証交付申請!I$14,テーブル22[[#Headers],[学年]:[得点]],0)))</f>
        <v/>
      </c>
      <c r="J289" s="114" t="str">
        <f>IF($A289&gt;MAX(入力シート!$AF$6:$AF$505),"",INDEX(テーブル22[[学年]:[得点]],MATCH(体力優良証交付申請!$A289,入力シート!$AF$6:$AF$505,0),MATCH(体力優良証交付申請!J$14,テーブル22[[#Headers],[学年]:[得点]],0)))</f>
        <v/>
      </c>
      <c r="K289" s="203" t="str">
        <f>IF($A289&gt;MAX(入力シート!$AF$6:$AF$505),"",INDEX(テーブル22[[学年]:[得点]],MATCH(体力優良証交付申請!$A289,入力シート!$AF$6:$AF$505,0),MATCH(体力優良証交付申請!K$14,テーブル22[[#Headers],[学年]:[得点]],0)))</f>
        <v/>
      </c>
      <c r="L289" s="203" t="str">
        <f>IF($A289&gt;MAX(入力シート!$AF$6:$AF$505),"",INDEX(テーブル22[[学年]:[得点]],MATCH(体力優良証交付申請!$A289,入力シート!$AF$6:$AF$505,0),MATCH(体力優良証交付申請!L$14,テーブル22[[#Headers],[学年]:[得点]],0)))</f>
        <v/>
      </c>
      <c r="M289" s="28" t="str">
        <f>IF($A289&gt;MAX(入力シート!$AF$6:$AF$505),"",INDEX(テーブル22[[学年]:[得点]],MATCH(体力優良証交付申請!$A289,入力シート!$AF$6:$AF$505,0),MATCH(体力優良証交付申請!M$14,テーブル22[[#Headers],[学年]:[得点]],0)))</f>
        <v/>
      </c>
    </row>
    <row r="290" spans="1:13" x14ac:dyDescent="0.2">
      <c r="A290" s="16">
        <v>276</v>
      </c>
      <c r="B290" s="130" t="str">
        <f>IF($A290&gt;MAX(入力シート!$AF$6:$AF$505),"",INDEX(テーブル22[[学年]:[得点]],MATCH(体力優良証交付申請!$A290,入力シート!$AF$6:$AF$505,0),MATCH(体力優良証交付申請!B$14,テーブル22[[#Headers],[学年]:[得点]],0)))</f>
        <v/>
      </c>
      <c r="C290" s="203" t="str">
        <f>IF($A290&gt;MAX(入力シート!$AF$6:$AF$505),"",INDEX(テーブル22[[学年]:[得点]],MATCH(体力優良証交付申請!$A290,入力シート!$AF$6:$AF$505,0),MATCH(体力優良証交付申請!C$14,テーブル22[[#Headers],[学年]:[得点]],0)))</f>
        <v/>
      </c>
      <c r="D290" s="203" t="str">
        <f>IF($A290&gt;MAX(入力シート!$AF$6:$AF$505),"",INDEX(テーブル22[[学年]:[得点]],MATCH(体力優良証交付申請!$A290,入力シート!$AF$6:$AF$505,0),MATCH(体力優良証交付申請!D$14,テーブル22[[#Headers],[学年]:[得点]],0)))</f>
        <v/>
      </c>
      <c r="E290" s="203" t="str">
        <f>IF($A290&gt;MAX(入力シート!$AF$6:$AF$505),"",INDEX(テーブル22[[学年]:[得点]],MATCH(体力優良証交付申請!$A290,入力シート!$AF$6:$AF$505,0),MATCH(体力優良証交付申請!E$14,テーブル22[[#Headers],[学年]:[得点]],0)))</f>
        <v/>
      </c>
      <c r="F290" s="203" t="str">
        <f>IF($A290&gt;MAX(入力シート!$AF$6:$AF$505),"",INDEX(テーブル22[[学年]:[得点]],MATCH(体力優良証交付申請!$A290,入力シート!$AF$6:$AF$505,0),MATCH(体力優良証交付申請!F$14,テーブル22[[#Headers],[学年]:[得点]],0)))</f>
        <v/>
      </c>
      <c r="G290" s="203" t="str">
        <f>IF($A290&gt;MAX(入力シート!$AF$6:$AF$505),"",INDEX(テーブル22[[学年]:[得点]],MATCH(体力優良証交付申請!$A290,入力シート!$AF$6:$AF$505,0),MATCH(体力優良証交付申請!G$14,テーブル22[[#Headers],[学年]:[得点]],0)))</f>
        <v/>
      </c>
      <c r="H290" s="203" t="str">
        <f>IF($A290&gt;MAX(入力シート!$AF$6:$AF$505),"",INDEX(テーブル22[[学年]:[得点]],MATCH(体力優良証交付申請!$A290,入力シート!$AF$6:$AF$505,0),MATCH(体力優良証交付申請!H$14,テーブル22[[#Headers],[学年]:[得点]],0)))</f>
        <v/>
      </c>
      <c r="I290" s="203" t="str">
        <f>IF($A290&gt;MAX(入力シート!$AF$6:$AF$505),"",INDEX(テーブル22[[学年]:[得点]],MATCH(体力優良証交付申請!$A290,入力シート!$AF$6:$AF$505,0),MATCH(体力優良証交付申請!I$14,テーブル22[[#Headers],[学年]:[得点]],0)))</f>
        <v/>
      </c>
      <c r="J290" s="114" t="str">
        <f>IF($A290&gt;MAX(入力シート!$AF$6:$AF$505),"",INDEX(テーブル22[[学年]:[得点]],MATCH(体力優良証交付申請!$A290,入力シート!$AF$6:$AF$505,0),MATCH(体力優良証交付申請!J$14,テーブル22[[#Headers],[学年]:[得点]],0)))</f>
        <v/>
      </c>
      <c r="K290" s="203" t="str">
        <f>IF($A290&gt;MAX(入力シート!$AF$6:$AF$505),"",INDEX(テーブル22[[学年]:[得点]],MATCH(体力優良証交付申請!$A290,入力シート!$AF$6:$AF$505,0),MATCH(体力優良証交付申請!K$14,テーブル22[[#Headers],[学年]:[得点]],0)))</f>
        <v/>
      </c>
      <c r="L290" s="203" t="str">
        <f>IF($A290&gt;MAX(入力シート!$AF$6:$AF$505),"",INDEX(テーブル22[[学年]:[得点]],MATCH(体力優良証交付申請!$A290,入力シート!$AF$6:$AF$505,0),MATCH(体力優良証交付申請!L$14,テーブル22[[#Headers],[学年]:[得点]],0)))</f>
        <v/>
      </c>
      <c r="M290" s="28" t="str">
        <f>IF($A290&gt;MAX(入力シート!$AF$6:$AF$505),"",INDEX(テーブル22[[学年]:[得点]],MATCH(体力優良証交付申請!$A290,入力シート!$AF$6:$AF$505,0),MATCH(体力優良証交付申請!M$14,テーブル22[[#Headers],[学年]:[得点]],0)))</f>
        <v/>
      </c>
    </row>
    <row r="291" spans="1:13" x14ac:dyDescent="0.2">
      <c r="A291" s="16">
        <v>277</v>
      </c>
      <c r="B291" s="130" t="str">
        <f>IF($A291&gt;MAX(入力シート!$AF$6:$AF$505),"",INDEX(テーブル22[[学年]:[得点]],MATCH(体力優良証交付申請!$A291,入力シート!$AF$6:$AF$505,0),MATCH(体力優良証交付申請!B$14,テーブル22[[#Headers],[学年]:[得点]],0)))</f>
        <v/>
      </c>
      <c r="C291" s="203" t="str">
        <f>IF($A291&gt;MAX(入力シート!$AF$6:$AF$505),"",INDEX(テーブル22[[学年]:[得点]],MATCH(体力優良証交付申請!$A291,入力シート!$AF$6:$AF$505,0),MATCH(体力優良証交付申請!C$14,テーブル22[[#Headers],[学年]:[得点]],0)))</f>
        <v/>
      </c>
      <c r="D291" s="203" t="str">
        <f>IF($A291&gt;MAX(入力シート!$AF$6:$AF$505),"",INDEX(テーブル22[[学年]:[得点]],MATCH(体力優良証交付申請!$A291,入力シート!$AF$6:$AF$505,0),MATCH(体力優良証交付申請!D$14,テーブル22[[#Headers],[学年]:[得点]],0)))</f>
        <v/>
      </c>
      <c r="E291" s="203" t="str">
        <f>IF($A291&gt;MAX(入力シート!$AF$6:$AF$505),"",INDEX(テーブル22[[学年]:[得点]],MATCH(体力優良証交付申請!$A291,入力シート!$AF$6:$AF$505,0),MATCH(体力優良証交付申請!E$14,テーブル22[[#Headers],[学年]:[得点]],0)))</f>
        <v/>
      </c>
      <c r="F291" s="203" t="str">
        <f>IF($A291&gt;MAX(入力シート!$AF$6:$AF$505),"",INDEX(テーブル22[[学年]:[得点]],MATCH(体力優良証交付申請!$A291,入力シート!$AF$6:$AF$505,0),MATCH(体力優良証交付申請!F$14,テーブル22[[#Headers],[学年]:[得点]],0)))</f>
        <v/>
      </c>
      <c r="G291" s="203" t="str">
        <f>IF($A291&gt;MAX(入力シート!$AF$6:$AF$505),"",INDEX(テーブル22[[学年]:[得点]],MATCH(体力優良証交付申請!$A291,入力シート!$AF$6:$AF$505,0),MATCH(体力優良証交付申請!G$14,テーブル22[[#Headers],[学年]:[得点]],0)))</f>
        <v/>
      </c>
      <c r="H291" s="203" t="str">
        <f>IF($A291&gt;MAX(入力シート!$AF$6:$AF$505),"",INDEX(テーブル22[[学年]:[得点]],MATCH(体力優良証交付申請!$A291,入力シート!$AF$6:$AF$505,0),MATCH(体力優良証交付申請!H$14,テーブル22[[#Headers],[学年]:[得点]],0)))</f>
        <v/>
      </c>
      <c r="I291" s="203" t="str">
        <f>IF($A291&gt;MAX(入力シート!$AF$6:$AF$505),"",INDEX(テーブル22[[学年]:[得点]],MATCH(体力優良証交付申請!$A291,入力シート!$AF$6:$AF$505,0),MATCH(体力優良証交付申請!I$14,テーブル22[[#Headers],[学年]:[得点]],0)))</f>
        <v/>
      </c>
      <c r="J291" s="114" t="str">
        <f>IF($A291&gt;MAX(入力シート!$AF$6:$AF$505),"",INDEX(テーブル22[[学年]:[得点]],MATCH(体力優良証交付申請!$A291,入力シート!$AF$6:$AF$505,0),MATCH(体力優良証交付申請!J$14,テーブル22[[#Headers],[学年]:[得点]],0)))</f>
        <v/>
      </c>
      <c r="K291" s="203" t="str">
        <f>IF($A291&gt;MAX(入力シート!$AF$6:$AF$505),"",INDEX(テーブル22[[学年]:[得点]],MATCH(体力優良証交付申請!$A291,入力シート!$AF$6:$AF$505,0),MATCH(体力優良証交付申請!K$14,テーブル22[[#Headers],[学年]:[得点]],0)))</f>
        <v/>
      </c>
      <c r="L291" s="203" t="str">
        <f>IF($A291&gt;MAX(入力シート!$AF$6:$AF$505),"",INDEX(テーブル22[[学年]:[得点]],MATCH(体力優良証交付申請!$A291,入力シート!$AF$6:$AF$505,0),MATCH(体力優良証交付申請!L$14,テーブル22[[#Headers],[学年]:[得点]],0)))</f>
        <v/>
      </c>
      <c r="M291" s="28" t="str">
        <f>IF($A291&gt;MAX(入力シート!$AF$6:$AF$505),"",INDEX(テーブル22[[学年]:[得点]],MATCH(体力優良証交付申請!$A291,入力シート!$AF$6:$AF$505,0),MATCH(体力優良証交付申請!M$14,テーブル22[[#Headers],[学年]:[得点]],0)))</f>
        <v/>
      </c>
    </row>
    <row r="292" spans="1:13" x14ac:dyDescent="0.2">
      <c r="A292" s="16">
        <v>278</v>
      </c>
      <c r="B292" s="130" t="str">
        <f>IF($A292&gt;MAX(入力シート!$AF$6:$AF$505),"",INDEX(テーブル22[[学年]:[得点]],MATCH(体力優良証交付申請!$A292,入力シート!$AF$6:$AF$505,0),MATCH(体力優良証交付申請!B$14,テーブル22[[#Headers],[学年]:[得点]],0)))</f>
        <v/>
      </c>
      <c r="C292" s="203" t="str">
        <f>IF($A292&gt;MAX(入力シート!$AF$6:$AF$505),"",INDEX(テーブル22[[学年]:[得点]],MATCH(体力優良証交付申請!$A292,入力シート!$AF$6:$AF$505,0),MATCH(体力優良証交付申請!C$14,テーブル22[[#Headers],[学年]:[得点]],0)))</f>
        <v/>
      </c>
      <c r="D292" s="203" t="str">
        <f>IF($A292&gt;MAX(入力シート!$AF$6:$AF$505),"",INDEX(テーブル22[[学年]:[得点]],MATCH(体力優良証交付申請!$A292,入力シート!$AF$6:$AF$505,0),MATCH(体力優良証交付申請!D$14,テーブル22[[#Headers],[学年]:[得点]],0)))</f>
        <v/>
      </c>
      <c r="E292" s="203" t="str">
        <f>IF($A292&gt;MAX(入力シート!$AF$6:$AF$505),"",INDEX(テーブル22[[学年]:[得点]],MATCH(体力優良証交付申請!$A292,入力シート!$AF$6:$AF$505,0),MATCH(体力優良証交付申請!E$14,テーブル22[[#Headers],[学年]:[得点]],0)))</f>
        <v/>
      </c>
      <c r="F292" s="203" t="str">
        <f>IF($A292&gt;MAX(入力シート!$AF$6:$AF$505),"",INDEX(テーブル22[[学年]:[得点]],MATCH(体力優良証交付申請!$A292,入力シート!$AF$6:$AF$505,0),MATCH(体力優良証交付申請!F$14,テーブル22[[#Headers],[学年]:[得点]],0)))</f>
        <v/>
      </c>
      <c r="G292" s="203" t="str">
        <f>IF($A292&gt;MAX(入力シート!$AF$6:$AF$505),"",INDEX(テーブル22[[学年]:[得点]],MATCH(体力優良証交付申請!$A292,入力シート!$AF$6:$AF$505,0),MATCH(体力優良証交付申請!G$14,テーブル22[[#Headers],[学年]:[得点]],0)))</f>
        <v/>
      </c>
      <c r="H292" s="203" t="str">
        <f>IF($A292&gt;MAX(入力シート!$AF$6:$AF$505),"",INDEX(テーブル22[[学年]:[得点]],MATCH(体力優良証交付申請!$A292,入力シート!$AF$6:$AF$505,0),MATCH(体力優良証交付申請!H$14,テーブル22[[#Headers],[学年]:[得点]],0)))</f>
        <v/>
      </c>
      <c r="I292" s="203" t="str">
        <f>IF($A292&gt;MAX(入力シート!$AF$6:$AF$505),"",INDEX(テーブル22[[学年]:[得点]],MATCH(体力優良証交付申請!$A292,入力シート!$AF$6:$AF$505,0),MATCH(体力優良証交付申請!I$14,テーブル22[[#Headers],[学年]:[得点]],0)))</f>
        <v/>
      </c>
      <c r="J292" s="114" t="str">
        <f>IF($A292&gt;MAX(入力シート!$AF$6:$AF$505),"",INDEX(テーブル22[[学年]:[得点]],MATCH(体力優良証交付申請!$A292,入力シート!$AF$6:$AF$505,0),MATCH(体力優良証交付申請!J$14,テーブル22[[#Headers],[学年]:[得点]],0)))</f>
        <v/>
      </c>
      <c r="K292" s="203" t="str">
        <f>IF($A292&gt;MAX(入力シート!$AF$6:$AF$505),"",INDEX(テーブル22[[学年]:[得点]],MATCH(体力優良証交付申請!$A292,入力シート!$AF$6:$AF$505,0),MATCH(体力優良証交付申請!K$14,テーブル22[[#Headers],[学年]:[得点]],0)))</f>
        <v/>
      </c>
      <c r="L292" s="203" t="str">
        <f>IF($A292&gt;MAX(入力シート!$AF$6:$AF$505),"",INDEX(テーブル22[[学年]:[得点]],MATCH(体力優良証交付申請!$A292,入力シート!$AF$6:$AF$505,0),MATCH(体力優良証交付申請!L$14,テーブル22[[#Headers],[学年]:[得点]],0)))</f>
        <v/>
      </c>
      <c r="M292" s="28" t="str">
        <f>IF($A292&gt;MAX(入力シート!$AF$6:$AF$505),"",INDEX(テーブル22[[学年]:[得点]],MATCH(体力優良証交付申請!$A292,入力シート!$AF$6:$AF$505,0),MATCH(体力優良証交付申請!M$14,テーブル22[[#Headers],[学年]:[得点]],0)))</f>
        <v/>
      </c>
    </row>
    <row r="293" spans="1:13" x14ac:dyDescent="0.2">
      <c r="A293" s="16">
        <v>279</v>
      </c>
      <c r="B293" s="130" t="str">
        <f>IF($A293&gt;MAX(入力シート!$AF$6:$AF$505),"",INDEX(テーブル22[[学年]:[得点]],MATCH(体力優良証交付申請!$A293,入力シート!$AF$6:$AF$505,0),MATCH(体力優良証交付申請!B$14,テーブル22[[#Headers],[学年]:[得点]],0)))</f>
        <v/>
      </c>
      <c r="C293" s="203" t="str">
        <f>IF($A293&gt;MAX(入力シート!$AF$6:$AF$505),"",INDEX(テーブル22[[学年]:[得点]],MATCH(体力優良証交付申請!$A293,入力シート!$AF$6:$AF$505,0),MATCH(体力優良証交付申請!C$14,テーブル22[[#Headers],[学年]:[得点]],0)))</f>
        <v/>
      </c>
      <c r="D293" s="203" t="str">
        <f>IF($A293&gt;MAX(入力シート!$AF$6:$AF$505),"",INDEX(テーブル22[[学年]:[得点]],MATCH(体力優良証交付申請!$A293,入力シート!$AF$6:$AF$505,0),MATCH(体力優良証交付申請!D$14,テーブル22[[#Headers],[学年]:[得点]],0)))</f>
        <v/>
      </c>
      <c r="E293" s="203" t="str">
        <f>IF($A293&gt;MAX(入力シート!$AF$6:$AF$505),"",INDEX(テーブル22[[学年]:[得点]],MATCH(体力優良証交付申請!$A293,入力シート!$AF$6:$AF$505,0),MATCH(体力優良証交付申請!E$14,テーブル22[[#Headers],[学年]:[得点]],0)))</f>
        <v/>
      </c>
      <c r="F293" s="203" t="str">
        <f>IF($A293&gt;MAX(入力シート!$AF$6:$AF$505),"",INDEX(テーブル22[[学年]:[得点]],MATCH(体力優良証交付申請!$A293,入力シート!$AF$6:$AF$505,0),MATCH(体力優良証交付申請!F$14,テーブル22[[#Headers],[学年]:[得点]],0)))</f>
        <v/>
      </c>
      <c r="G293" s="203" t="str">
        <f>IF($A293&gt;MAX(入力シート!$AF$6:$AF$505),"",INDEX(テーブル22[[学年]:[得点]],MATCH(体力優良証交付申請!$A293,入力シート!$AF$6:$AF$505,0),MATCH(体力優良証交付申請!G$14,テーブル22[[#Headers],[学年]:[得点]],0)))</f>
        <v/>
      </c>
      <c r="H293" s="203" t="str">
        <f>IF($A293&gt;MAX(入力シート!$AF$6:$AF$505),"",INDEX(テーブル22[[学年]:[得点]],MATCH(体力優良証交付申請!$A293,入力シート!$AF$6:$AF$505,0),MATCH(体力優良証交付申請!H$14,テーブル22[[#Headers],[学年]:[得点]],0)))</f>
        <v/>
      </c>
      <c r="I293" s="203" t="str">
        <f>IF($A293&gt;MAX(入力シート!$AF$6:$AF$505),"",INDEX(テーブル22[[学年]:[得点]],MATCH(体力優良証交付申請!$A293,入力シート!$AF$6:$AF$505,0),MATCH(体力優良証交付申請!I$14,テーブル22[[#Headers],[学年]:[得点]],0)))</f>
        <v/>
      </c>
      <c r="J293" s="114" t="str">
        <f>IF($A293&gt;MAX(入力シート!$AF$6:$AF$505),"",INDEX(テーブル22[[学年]:[得点]],MATCH(体力優良証交付申請!$A293,入力シート!$AF$6:$AF$505,0),MATCH(体力優良証交付申請!J$14,テーブル22[[#Headers],[学年]:[得点]],0)))</f>
        <v/>
      </c>
      <c r="K293" s="203" t="str">
        <f>IF($A293&gt;MAX(入力シート!$AF$6:$AF$505),"",INDEX(テーブル22[[学年]:[得点]],MATCH(体力優良証交付申請!$A293,入力シート!$AF$6:$AF$505,0),MATCH(体力優良証交付申請!K$14,テーブル22[[#Headers],[学年]:[得点]],0)))</f>
        <v/>
      </c>
      <c r="L293" s="203" t="str">
        <f>IF($A293&gt;MAX(入力シート!$AF$6:$AF$505),"",INDEX(テーブル22[[学年]:[得点]],MATCH(体力優良証交付申請!$A293,入力シート!$AF$6:$AF$505,0),MATCH(体力優良証交付申請!L$14,テーブル22[[#Headers],[学年]:[得点]],0)))</f>
        <v/>
      </c>
      <c r="M293" s="28" t="str">
        <f>IF($A293&gt;MAX(入力シート!$AF$6:$AF$505),"",INDEX(テーブル22[[学年]:[得点]],MATCH(体力優良証交付申請!$A293,入力シート!$AF$6:$AF$505,0),MATCH(体力優良証交付申請!M$14,テーブル22[[#Headers],[学年]:[得点]],0)))</f>
        <v/>
      </c>
    </row>
    <row r="294" spans="1:13" x14ac:dyDescent="0.2">
      <c r="A294" s="16">
        <v>280</v>
      </c>
      <c r="B294" s="130" t="str">
        <f>IF($A294&gt;MAX(入力シート!$AF$6:$AF$505),"",INDEX(テーブル22[[学年]:[得点]],MATCH(体力優良証交付申請!$A294,入力シート!$AF$6:$AF$505,0),MATCH(体力優良証交付申請!B$14,テーブル22[[#Headers],[学年]:[得点]],0)))</f>
        <v/>
      </c>
      <c r="C294" s="203" t="str">
        <f>IF($A294&gt;MAX(入力シート!$AF$6:$AF$505),"",INDEX(テーブル22[[学年]:[得点]],MATCH(体力優良証交付申請!$A294,入力シート!$AF$6:$AF$505,0),MATCH(体力優良証交付申請!C$14,テーブル22[[#Headers],[学年]:[得点]],0)))</f>
        <v/>
      </c>
      <c r="D294" s="203" t="str">
        <f>IF($A294&gt;MAX(入力シート!$AF$6:$AF$505),"",INDEX(テーブル22[[学年]:[得点]],MATCH(体力優良証交付申請!$A294,入力シート!$AF$6:$AF$505,0),MATCH(体力優良証交付申請!D$14,テーブル22[[#Headers],[学年]:[得点]],0)))</f>
        <v/>
      </c>
      <c r="E294" s="203" t="str">
        <f>IF($A294&gt;MAX(入力シート!$AF$6:$AF$505),"",INDEX(テーブル22[[学年]:[得点]],MATCH(体力優良証交付申請!$A294,入力シート!$AF$6:$AF$505,0),MATCH(体力優良証交付申請!E$14,テーブル22[[#Headers],[学年]:[得点]],0)))</f>
        <v/>
      </c>
      <c r="F294" s="203" t="str">
        <f>IF($A294&gt;MAX(入力シート!$AF$6:$AF$505),"",INDEX(テーブル22[[学年]:[得点]],MATCH(体力優良証交付申請!$A294,入力シート!$AF$6:$AF$505,0),MATCH(体力優良証交付申請!F$14,テーブル22[[#Headers],[学年]:[得点]],0)))</f>
        <v/>
      </c>
      <c r="G294" s="203" t="str">
        <f>IF($A294&gt;MAX(入力シート!$AF$6:$AF$505),"",INDEX(テーブル22[[学年]:[得点]],MATCH(体力優良証交付申請!$A294,入力シート!$AF$6:$AF$505,0),MATCH(体力優良証交付申請!G$14,テーブル22[[#Headers],[学年]:[得点]],0)))</f>
        <v/>
      </c>
      <c r="H294" s="203" t="str">
        <f>IF($A294&gt;MAX(入力シート!$AF$6:$AF$505),"",INDEX(テーブル22[[学年]:[得点]],MATCH(体力優良証交付申請!$A294,入力シート!$AF$6:$AF$505,0),MATCH(体力優良証交付申請!H$14,テーブル22[[#Headers],[学年]:[得点]],0)))</f>
        <v/>
      </c>
      <c r="I294" s="203" t="str">
        <f>IF($A294&gt;MAX(入力シート!$AF$6:$AF$505),"",INDEX(テーブル22[[学年]:[得点]],MATCH(体力優良証交付申請!$A294,入力シート!$AF$6:$AF$505,0),MATCH(体力優良証交付申請!I$14,テーブル22[[#Headers],[学年]:[得点]],0)))</f>
        <v/>
      </c>
      <c r="J294" s="114" t="str">
        <f>IF($A294&gt;MAX(入力シート!$AF$6:$AF$505),"",INDEX(テーブル22[[学年]:[得点]],MATCH(体力優良証交付申請!$A294,入力シート!$AF$6:$AF$505,0),MATCH(体力優良証交付申請!J$14,テーブル22[[#Headers],[学年]:[得点]],0)))</f>
        <v/>
      </c>
      <c r="K294" s="203" t="str">
        <f>IF($A294&gt;MAX(入力シート!$AF$6:$AF$505),"",INDEX(テーブル22[[学年]:[得点]],MATCH(体力優良証交付申請!$A294,入力シート!$AF$6:$AF$505,0),MATCH(体力優良証交付申請!K$14,テーブル22[[#Headers],[学年]:[得点]],0)))</f>
        <v/>
      </c>
      <c r="L294" s="203" t="str">
        <f>IF($A294&gt;MAX(入力シート!$AF$6:$AF$505),"",INDEX(テーブル22[[学年]:[得点]],MATCH(体力優良証交付申請!$A294,入力シート!$AF$6:$AF$505,0),MATCH(体力優良証交付申請!L$14,テーブル22[[#Headers],[学年]:[得点]],0)))</f>
        <v/>
      </c>
      <c r="M294" s="28" t="str">
        <f>IF($A294&gt;MAX(入力シート!$AF$6:$AF$505),"",INDEX(テーブル22[[学年]:[得点]],MATCH(体力優良証交付申請!$A294,入力シート!$AF$6:$AF$505,0),MATCH(体力優良証交付申請!M$14,テーブル22[[#Headers],[学年]:[得点]],0)))</f>
        <v/>
      </c>
    </row>
    <row r="295" spans="1:13" x14ac:dyDescent="0.2">
      <c r="A295" s="16">
        <v>281</v>
      </c>
      <c r="B295" s="130" t="str">
        <f>IF($A295&gt;MAX(入力シート!$AF$6:$AF$505),"",INDEX(テーブル22[[学年]:[得点]],MATCH(体力優良証交付申請!$A295,入力シート!$AF$6:$AF$505,0),MATCH(体力優良証交付申請!B$14,テーブル22[[#Headers],[学年]:[得点]],0)))</f>
        <v/>
      </c>
      <c r="C295" s="203" t="str">
        <f>IF($A295&gt;MAX(入力シート!$AF$6:$AF$505),"",INDEX(テーブル22[[学年]:[得点]],MATCH(体力優良証交付申請!$A295,入力シート!$AF$6:$AF$505,0),MATCH(体力優良証交付申請!C$14,テーブル22[[#Headers],[学年]:[得点]],0)))</f>
        <v/>
      </c>
      <c r="D295" s="203" t="str">
        <f>IF($A295&gt;MAX(入力シート!$AF$6:$AF$505),"",INDEX(テーブル22[[学年]:[得点]],MATCH(体力優良証交付申請!$A295,入力シート!$AF$6:$AF$505,0),MATCH(体力優良証交付申請!D$14,テーブル22[[#Headers],[学年]:[得点]],0)))</f>
        <v/>
      </c>
      <c r="E295" s="203" t="str">
        <f>IF($A295&gt;MAX(入力シート!$AF$6:$AF$505),"",INDEX(テーブル22[[学年]:[得点]],MATCH(体力優良証交付申請!$A295,入力シート!$AF$6:$AF$505,0),MATCH(体力優良証交付申請!E$14,テーブル22[[#Headers],[学年]:[得点]],0)))</f>
        <v/>
      </c>
      <c r="F295" s="203" t="str">
        <f>IF($A295&gt;MAX(入力シート!$AF$6:$AF$505),"",INDEX(テーブル22[[学年]:[得点]],MATCH(体力優良証交付申請!$A295,入力シート!$AF$6:$AF$505,0),MATCH(体力優良証交付申請!F$14,テーブル22[[#Headers],[学年]:[得点]],0)))</f>
        <v/>
      </c>
      <c r="G295" s="203" t="str">
        <f>IF($A295&gt;MAX(入力シート!$AF$6:$AF$505),"",INDEX(テーブル22[[学年]:[得点]],MATCH(体力優良証交付申請!$A295,入力シート!$AF$6:$AF$505,0),MATCH(体力優良証交付申請!G$14,テーブル22[[#Headers],[学年]:[得点]],0)))</f>
        <v/>
      </c>
      <c r="H295" s="203" t="str">
        <f>IF($A295&gt;MAX(入力シート!$AF$6:$AF$505),"",INDEX(テーブル22[[学年]:[得点]],MATCH(体力優良証交付申請!$A295,入力シート!$AF$6:$AF$505,0),MATCH(体力優良証交付申請!H$14,テーブル22[[#Headers],[学年]:[得点]],0)))</f>
        <v/>
      </c>
      <c r="I295" s="203" t="str">
        <f>IF($A295&gt;MAX(入力シート!$AF$6:$AF$505),"",INDEX(テーブル22[[学年]:[得点]],MATCH(体力優良証交付申請!$A295,入力シート!$AF$6:$AF$505,0),MATCH(体力優良証交付申請!I$14,テーブル22[[#Headers],[学年]:[得点]],0)))</f>
        <v/>
      </c>
      <c r="J295" s="114" t="str">
        <f>IF($A295&gt;MAX(入力シート!$AF$6:$AF$505),"",INDEX(テーブル22[[学年]:[得点]],MATCH(体力優良証交付申請!$A295,入力シート!$AF$6:$AF$505,0),MATCH(体力優良証交付申請!J$14,テーブル22[[#Headers],[学年]:[得点]],0)))</f>
        <v/>
      </c>
      <c r="K295" s="203" t="str">
        <f>IF($A295&gt;MAX(入力シート!$AF$6:$AF$505),"",INDEX(テーブル22[[学年]:[得点]],MATCH(体力優良証交付申請!$A295,入力シート!$AF$6:$AF$505,0),MATCH(体力優良証交付申請!K$14,テーブル22[[#Headers],[学年]:[得点]],0)))</f>
        <v/>
      </c>
      <c r="L295" s="203" t="str">
        <f>IF($A295&gt;MAX(入力シート!$AF$6:$AF$505),"",INDEX(テーブル22[[学年]:[得点]],MATCH(体力優良証交付申請!$A295,入力シート!$AF$6:$AF$505,0),MATCH(体力優良証交付申請!L$14,テーブル22[[#Headers],[学年]:[得点]],0)))</f>
        <v/>
      </c>
      <c r="M295" s="28" t="str">
        <f>IF($A295&gt;MAX(入力シート!$AF$6:$AF$505),"",INDEX(テーブル22[[学年]:[得点]],MATCH(体力優良証交付申請!$A295,入力シート!$AF$6:$AF$505,0),MATCH(体力優良証交付申請!M$14,テーブル22[[#Headers],[学年]:[得点]],0)))</f>
        <v/>
      </c>
    </row>
    <row r="296" spans="1:13" x14ac:dyDescent="0.2">
      <c r="A296" s="16">
        <v>282</v>
      </c>
      <c r="B296" s="130" t="str">
        <f>IF($A296&gt;MAX(入力シート!$AF$6:$AF$505),"",INDEX(テーブル22[[学年]:[得点]],MATCH(体力優良証交付申請!$A296,入力シート!$AF$6:$AF$505,0),MATCH(体力優良証交付申請!B$14,テーブル22[[#Headers],[学年]:[得点]],0)))</f>
        <v/>
      </c>
      <c r="C296" s="203" t="str">
        <f>IF($A296&gt;MAX(入力シート!$AF$6:$AF$505),"",INDEX(テーブル22[[学年]:[得点]],MATCH(体力優良証交付申請!$A296,入力シート!$AF$6:$AF$505,0),MATCH(体力優良証交付申請!C$14,テーブル22[[#Headers],[学年]:[得点]],0)))</f>
        <v/>
      </c>
      <c r="D296" s="203" t="str">
        <f>IF($A296&gt;MAX(入力シート!$AF$6:$AF$505),"",INDEX(テーブル22[[学年]:[得点]],MATCH(体力優良証交付申請!$A296,入力シート!$AF$6:$AF$505,0),MATCH(体力優良証交付申請!D$14,テーブル22[[#Headers],[学年]:[得点]],0)))</f>
        <v/>
      </c>
      <c r="E296" s="203" t="str">
        <f>IF($A296&gt;MAX(入力シート!$AF$6:$AF$505),"",INDEX(テーブル22[[学年]:[得点]],MATCH(体力優良証交付申請!$A296,入力シート!$AF$6:$AF$505,0),MATCH(体力優良証交付申請!E$14,テーブル22[[#Headers],[学年]:[得点]],0)))</f>
        <v/>
      </c>
      <c r="F296" s="203" t="str">
        <f>IF($A296&gt;MAX(入力シート!$AF$6:$AF$505),"",INDEX(テーブル22[[学年]:[得点]],MATCH(体力優良証交付申請!$A296,入力シート!$AF$6:$AF$505,0),MATCH(体力優良証交付申請!F$14,テーブル22[[#Headers],[学年]:[得点]],0)))</f>
        <v/>
      </c>
      <c r="G296" s="203" t="str">
        <f>IF($A296&gt;MAX(入力シート!$AF$6:$AF$505),"",INDEX(テーブル22[[学年]:[得点]],MATCH(体力優良証交付申請!$A296,入力シート!$AF$6:$AF$505,0),MATCH(体力優良証交付申請!G$14,テーブル22[[#Headers],[学年]:[得点]],0)))</f>
        <v/>
      </c>
      <c r="H296" s="203" t="str">
        <f>IF($A296&gt;MAX(入力シート!$AF$6:$AF$505),"",INDEX(テーブル22[[学年]:[得点]],MATCH(体力優良証交付申請!$A296,入力シート!$AF$6:$AF$505,0),MATCH(体力優良証交付申請!H$14,テーブル22[[#Headers],[学年]:[得点]],0)))</f>
        <v/>
      </c>
      <c r="I296" s="203" t="str">
        <f>IF($A296&gt;MAX(入力シート!$AF$6:$AF$505),"",INDEX(テーブル22[[学年]:[得点]],MATCH(体力優良証交付申請!$A296,入力シート!$AF$6:$AF$505,0),MATCH(体力優良証交付申請!I$14,テーブル22[[#Headers],[学年]:[得点]],0)))</f>
        <v/>
      </c>
      <c r="J296" s="114" t="str">
        <f>IF($A296&gt;MAX(入力シート!$AF$6:$AF$505),"",INDEX(テーブル22[[学年]:[得点]],MATCH(体力優良証交付申請!$A296,入力シート!$AF$6:$AF$505,0),MATCH(体力優良証交付申請!J$14,テーブル22[[#Headers],[学年]:[得点]],0)))</f>
        <v/>
      </c>
      <c r="K296" s="203" t="str">
        <f>IF($A296&gt;MAX(入力シート!$AF$6:$AF$505),"",INDEX(テーブル22[[学年]:[得点]],MATCH(体力優良証交付申請!$A296,入力シート!$AF$6:$AF$505,0),MATCH(体力優良証交付申請!K$14,テーブル22[[#Headers],[学年]:[得点]],0)))</f>
        <v/>
      </c>
      <c r="L296" s="203" t="str">
        <f>IF($A296&gt;MAX(入力シート!$AF$6:$AF$505),"",INDEX(テーブル22[[学年]:[得点]],MATCH(体力優良証交付申請!$A296,入力シート!$AF$6:$AF$505,0),MATCH(体力優良証交付申請!L$14,テーブル22[[#Headers],[学年]:[得点]],0)))</f>
        <v/>
      </c>
      <c r="M296" s="28" t="str">
        <f>IF($A296&gt;MAX(入力シート!$AF$6:$AF$505),"",INDEX(テーブル22[[学年]:[得点]],MATCH(体力優良証交付申請!$A296,入力シート!$AF$6:$AF$505,0),MATCH(体力優良証交付申請!M$14,テーブル22[[#Headers],[学年]:[得点]],0)))</f>
        <v/>
      </c>
    </row>
    <row r="297" spans="1:13" x14ac:dyDescent="0.2">
      <c r="A297" s="16">
        <v>283</v>
      </c>
      <c r="B297" s="130" t="str">
        <f>IF($A297&gt;MAX(入力シート!$AF$6:$AF$505),"",INDEX(テーブル22[[学年]:[得点]],MATCH(体力優良証交付申請!$A297,入力シート!$AF$6:$AF$505,0),MATCH(体力優良証交付申請!B$14,テーブル22[[#Headers],[学年]:[得点]],0)))</f>
        <v/>
      </c>
      <c r="C297" s="203" t="str">
        <f>IF($A297&gt;MAX(入力シート!$AF$6:$AF$505),"",INDEX(テーブル22[[学年]:[得点]],MATCH(体力優良証交付申請!$A297,入力シート!$AF$6:$AF$505,0),MATCH(体力優良証交付申請!C$14,テーブル22[[#Headers],[学年]:[得点]],0)))</f>
        <v/>
      </c>
      <c r="D297" s="203" t="str">
        <f>IF($A297&gt;MAX(入力シート!$AF$6:$AF$505),"",INDEX(テーブル22[[学年]:[得点]],MATCH(体力優良証交付申請!$A297,入力シート!$AF$6:$AF$505,0),MATCH(体力優良証交付申請!D$14,テーブル22[[#Headers],[学年]:[得点]],0)))</f>
        <v/>
      </c>
      <c r="E297" s="203" t="str">
        <f>IF($A297&gt;MAX(入力シート!$AF$6:$AF$505),"",INDEX(テーブル22[[学年]:[得点]],MATCH(体力優良証交付申請!$A297,入力シート!$AF$6:$AF$505,0),MATCH(体力優良証交付申請!E$14,テーブル22[[#Headers],[学年]:[得点]],0)))</f>
        <v/>
      </c>
      <c r="F297" s="203" t="str">
        <f>IF($A297&gt;MAX(入力シート!$AF$6:$AF$505),"",INDEX(テーブル22[[学年]:[得点]],MATCH(体力優良証交付申請!$A297,入力シート!$AF$6:$AF$505,0),MATCH(体力優良証交付申請!F$14,テーブル22[[#Headers],[学年]:[得点]],0)))</f>
        <v/>
      </c>
      <c r="G297" s="203" t="str">
        <f>IF($A297&gt;MAX(入力シート!$AF$6:$AF$505),"",INDEX(テーブル22[[学年]:[得点]],MATCH(体力優良証交付申請!$A297,入力シート!$AF$6:$AF$505,0),MATCH(体力優良証交付申請!G$14,テーブル22[[#Headers],[学年]:[得点]],0)))</f>
        <v/>
      </c>
      <c r="H297" s="203" t="str">
        <f>IF($A297&gt;MAX(入力シート!$AF$6:$AF$505),"",INDEX(テーブル22[[学年]:[得点]],MATCH(体力優良証交付申請!$A297,入力シート!$AF$6:$AF$505,0),MATCH(体力優良証交付申請!H$14,テーブル22[[#Headers],[学年]:[得点]],0)))</f>
        <v/>
      </c>
      <c r="I297" s="203" t="str">
        <f>IF($A297&gt;MAX(入力シート!$AF$6:$AF$505),"",INDEX(テーブル22[[学年]:[得点]],MATCH(体力優良証交付申請!$A297,入力シート!$AF$6:$AF$505,0),MATCH(体力優良証交付申請!I$14,テーブル22[[#Headers],[学年]:[得点]],0)))</f>
        <v/>
      </c>
      <c r="J297" s="114" t="str">
        <f>IF($A297&gt;MAX(入力シート!$AF$6:$AF$505),"",INDEX(テーブル22[[学年]:[得点]],MATCH(体力優良証交付申請!$A297,入力シート!$AF$6:$AF$505,0),MATCH(体力優良証交付申請!J$14,テーブル22[[#Headers],[学年]:[得点]],0)))</f>
        <v/>
      </c>
      <c r="K297" s="203" t="str">
        <f>IF($A297&gt;MAX(入力シート!$AF$6:$AF$505),"",INDEX(テーブル22[[学年]:[得点]],MATCH(体力優良証交付申請!$A297,入力シート!$AF$6:$AF$505,0),MATCH(体力優良証交付申請!K$14,テーブル22[[#Headers],[学年]:[得点]],0)))</f>
        <v/>
      </c>
      <c r="L297" s="203" t="str">
        <f>IF($A297&gt;MAX(入力シート!$AF$6:$AF$505),"",INDEX(テーブル22[[学年]:[得点]],MATCH(体力優良証交付申請!$A297,入力シート!$AF$6:$AF$505,0),MATCH(体力優良証交付申請!L$14,テーブル22[[#Headers],[学年]:[得点]],0)))</f>
        <v/>
      </c>
      <c r="M297" s="28" t="str">
        <f>IF($A297&gt;MAX(入力シート!$AF$6:$AF$505),"",INDEX(テーブル22[[学年]:[得点]],MATCH(体力優良証交付申請!$A297,入力シート!$AF$6:$AF$505,0),MATCH(体力優良証交付申請!M$14,テーブル22[[#Headers],[学年]:[得点]],0)))</f>
        <v/>
      </c>
    </row>
    <row r="298" spans="1:13" x14ac:dyDescent="0.2">
      <c r="A298" s="16">
        <v>284</v>
      </c>
      <c r="B298" s="130" t="str">
        <f>IF($A298&gt;MAX(入力シート!$AF$6:$AF$505),"",INDEX(テーブル22[[学年]:[得点]],MATCH(体力優良証交付申請!$A298,入力シート!$AF$6:$AF$505,0),MATCH(体力優良証交付申請!B$14,テーブル22[[#Headers],[学年]:[得点]],0)))</f>
        <v/>
      </c>
      <c r="C298" s="203" t="str">
        <f>IF($A298&gt;MAX(入力シート!$AF$6:$AF$505),"",INDEX(テーブル22[[学年]:[得点]],MATCH(体力優良証交付申請!$A298,入力シート!$AF$6:$AF$505,0),MATCH(体力優良証交付申請!C$14,テーブル22[[#Headers],[学年]:[得点]],0)))</f>
        <v/>
      </c>
      <c r="D298" s="203" t="str">
        <f>IF($A298&gt;MAX(入力シート!$AF$6:$AF$505),"",INDEX(テーブル22[[学年]:[得点]],MATCH(体力優良証交付申請!$A298,入力シート!$AF$6:$AF$505,0),MATCH(体力優良証交付申請!D$14,テーブル22[[#Headers],[学年]:[得点]],0)))</f>
        <v/>
      </c>
      <c r="E298" s="203" t="str">
        <f>IF($A298&gt;MAX(入力シート!$AF$6:$AF$505),"",INDEX(テーブル22[[学年]:[得点]],MATCH(体力優良証交付申請!$A298,入力シート!$AF$6:$AF$505,0),MATCH(体力優良証交付申請!E$14,テーブル22[[#Headers],[学年]:[得点]],0)))</f>
        <v/>
      </c>
      <c r="F298" s="203" t="str">
        <f>IF($A298&gt;MAX(入力シート!$AF$6:$AF$505),"",INDEX(テーブル22[[学年]:[得点]],MATCH(体力優良証交付申請!$A298,入力シート!$AF$6:$AF$505,0),MATCH(体力優良証交付申請!F$14,テーブル22[[#Headers],[学年]:[得点]],0)))</f>
        <v/>
      </c>
      <c r="G298" s="203" t="str">
        <f>IF($A298&gt;MAX(入力シート!$AF$6:$AF$505),"",INDEX(テーブル22[[学年]:[得点]],MATCH(体力優良証交付申請!$A298,入力シート!$AF$6:$AF$505,0),MATCH(体力優良証交付申請!G$14,テーブル22[[#Headers],[学年]:[得点]],0)))</f>
        <v/>
      </c>
      <c r="H298" s="203" t="str">
        <f>IF($A298&gt;MAX(入力シート!$AF$6:$AF$505),"",INDEX(テーブル22[[学年]:[得点]],MATCH(体力優良証交付申請!$A298,入力シート!$AF$6:$AF$505,0),MATCH(体力優良証交付申請!H$14,テーブル22[[#Headers],[学年]:[得点]],0)))</f>
        <v/>
      </c>
      <c r="I298" s="203" t="str">
        <f>IF($A298&gt;MAX(入力シート!$AF$6:$AF$505),"",INDEX(テーブル22[[学年]:[得点]],MATCH(体力優良証交付申請!$A298,入力シート!$AF$6:$AF$505,0),MATCH(体力優良証交付申請!I$14,テーブル22[[#Headers],[学年]:[得点]],0)))</f>
        <v/>
      </c>
      <c r="J298" s="114" t="str">
        <f>IF($A298&gt;MAX(入力シート!$AF$6:$AF$505),"",INDEX(テーブル22[[学年]:[得点]],MATCH(体力優良証交付申請!$A298,入力シート!$AF$6:$AF$505,0),MATCH(体力優良証交付申請!J$14,テーブル22[[#Headers],[学年]:[得点]],0)))</f>
        <v/>
      </c>
      <c r="K298" s="203" t="str">
        <f>IF($A298&gt;MAX(入力シート!$AF$6:$AF$505),"",INDEX(テーブル22[[学年]:[得点]],MATCH(体力優良証交付申請!$A298,入力シート!$AF$6:$AF$505,0),MATCH(体力優良証交付申請!K$14,テーブル22[[#Headers],[学年]:[得点]],0)))</f>
        <v/>
      </c>
      <c r="L298" s="203" t="str">
        <f>IF($A298&gt;MAX(入力シート!$AF$6:$AF$505),"",INDEX(テーブル22[[学年]:[得点]],MATCH(体力優良証交付申請!$A298,入力シート!$AF$6:$AF$505,0),MATCH(体力優良証交付申請!L$14,テーブル22[[#Headers],[学年]:[得点]],0)))</f>
        <v/>
      </c>
      <c r="M298" s="28" t="str">
        <f>IF($A298&gt;MAX(入力シート!$AF$6:$AF$505),"",INDEX(テーブル22[[学年]:[得点]],MATCH(体力優良証交付申請!$A298,入力シート!$AF$6:$AF$505,0),MATCH(体力優良証交付申請!M$14,テーブル22[[#Headers],[学年]:[得点]],0)))</f>
        <v/>
      </c>
    </row>
    <row r="299" spans="1:13" x14ac:dyDescent="0.2">
      <c r="A299" s="16">
        <v>285</v>
      </c>
      <c r="B299" s="130" t="str">
        <f>IF($A299&gt;MAX(入力シート!$AF$6:$AF$505),"",INDEX(テーブル22[[学年]:[得点]],MATCH(体力優良証交付申請!$A299,入力シート!$AF$6:$AF$505,0),MATCH(体力優良証交付申請!B$14,テーブル22[[#Headers],[学年]:[得点]],0)))</f>
        <v/>
      </c>
      <c r="C299" s="203" t="str">
        <f>IF($A299&gt;MAX(入力シート!$AF$6:$AF$505),"",INDEX(テーブル22[[学年]:[得点]],MATCH(体力優良証交付申請!$A299,入力シート!$AF$6:$AF$505,0),MATCH(体力優良証交付申請!C$14,テーブル22[[#Headers],[学年]:[得点]],0)))</f>
        <v/>
      </c>
      <c r="D299" s="203" t="str">
        <f>IF($A299&gt;MAX(入力シート!$AF$6:$AF$505),"",INDEX(テーブル22[[学年]:[得点]],MATCH(体力優良証交付申請!$A299,入力シート!$AF$6:$AF$505,0),MATCH(体力優良証交付申請!D$14,テーブル22[[#Headers],[学年]:[得点]],0)))</f>
        <v/>
      </c>
      <c r="E299" s="203" t="str">
        <f>IF($A299&gt;MAX(入力シート!$AF$6:$AF$505),"",INDEX(テーブル22[[学年]:[得点]],MATCH(体力優良証交付申請!$A299,入力シート!$AF$6:$AF$505,0),MATCH(体力優良証交付申請!E$14,テーブル22[[#Headers],[学年]:[得点]],0)))</f>
        <v/>
      </c>
      <c r="F299" s="203" t="str">
        <f>IF($A299&gt;MAX(入力シート!$AF$6:$AF$505),"",INDEX(テーブル22[[学年]:[得点]],MATCH(体力優良証交付申請!$A299,入力シート!$AF$6:$AF$505,0),MATCH(体力優良証交付申請!F$14,テーブル22[[#Headers],[学年]:[得点]],0)))</f>
        <v/>
      </c>
      <c r="G299" s="203" t="str">
        <f>IF($A299&gt;MAX(入力シート!$AF$6:$AF$505),"",INDEX(テーブル22[[学年]:[得点]],MATCH(体力優良証交付申請!$A299,入力シート!$AF$6:$AF$505,0),MATCH(体力優良証交付申請!G$14,テーブル22[[#Headers],[学年]:[得点]],0)))</f>
        <v/>
      </c>
      <c r="H299" s="203" t="str">
        <f>IF($A299&gt;MAX(入力シート!$AF$6:$AF$505),"",INDEX(テーブル22[[学年]:[得点]],MATCH(体力優良証交付申請!$A299,入力シート!$AF$6:$AF$505,0),MATCH(体力優良証交付申請!H$14,テーブル22[[#Headers],[学年]:[得点]],0)))</f>
        <v/>
      </c>
      <c r="I299" s="203" t="str">
        <f>IF($A299&gt;MAX(入力シート!$AF$6:$AF$505),"",INDEX(テーブル22[[学年]:[得点]],MATCH(体力優良証交付申請!$A299,入力シート!$AF$6:$AF$505,0),MATCH(体力優良証交付申請!I$14,テーブル22[[#Headers],[学年]:[得点]],0)))</f>
        <v/>
      </c>
      <c r="J299" s="114" t="str">
        <f>IF($A299&gt;MAX(入力シート!$AF$6:$AF$505),"",INDEX(テーブル22[[学年]:[得点]],MATCH(体力優良証交付申請!$A299,入力シート!$AF$6:$AF$505,0),MATCH(体力優良証交付申請!J$14,テーブル22[[#Headers],[学年]:[得点]],0)))</f>
        <v/>
      </c>
      <c r="K299" s="203" t="str">
        <f>IF($A299&gt;MAX(入力シート!$AF$6:$AF$505),"",INDEX(テーブル22[[学年]:[得点]],MATCH(体力優良証交付申請!$A299,入力シート!$AF$6:$AF$505,0),MATCH(体力優良証交付申請!K$14,テーブル22[[#Headers],[学年]:[得点]],0)))</f>
        <v/>
      </c>
      <c r="L299" s="203" t="str">
        <f>IF($A299&gt;MAX(入力シート!$AF$6:$AF$505),"",INDEX(テーブル22[[学年]:[得点]],MATCH(体力優良証交付申請!$A299,入力シート!$AF$6:$AF$505,0),MATCH(体力優良証交付申請!L$14,テーブル22[[#Headers],[学年]:[得点]],0)))</f>
        <v/>
      </c>
      <c r="M299" s="28" t="str">
        <f>IF($A299&gt;MAX(入力シート!$AF$6:$AF$505),"",INDEX(テーブル22[[学年]:[得点]],MATCH(体力優良証交付申請!$A299,入力シート!$AF$6:$AF$505,0),MATCH(体力優良証交付申請!M$14,テーブル22[[#Headers],[学年]:[得点]],0)))</f>
        <v/>
      </c>
    </row>
    <row r="300" spans="1:13" x14ac:dyDescent="0.2">
      <c r="A300" s="16">
        <v>286</v>
      </c>
      <c r="B300" s="130" t="str">
        <f>IF($A300&gt;MAX(入力シート!$AF$6:$AF$505),"",INDEX(テーブル22[[学年]:[得点]],MATCH(体力優良証交付申請!$A300,入力シート!$AF$6:$AF$505,0),MATCH(体力優良証交付申請!B$14,テーブル22[[#Headers],[学年]:[得点]],0)))</f>
        <v/>
      </c>
      <c r="C300" s="203" t="str">
        <f>IF($A300&gt;MAX(入力シート!$AF$6:$AF$505),"",INDEX(テーブル22[[学年]:[得点]],MATCH(体力優良証交付申請!$A300,入力シート!$AF$6:$AF$505,0),MATCH(体力優良証交付申請!C$14,テーブル22[[#Headers],[学年]:[得点]],0)))</f>
        <v/>
      </c>
      <c r="D300" s="203" t="str">
        <f>IF($A300&gt;MAX(入力シート!$AF$6:$AF$505),"",INDEX(テーブル22[[学年]:[得点]],MATCH(体力優良証交付申請!$A300,入力シート!$AF$6:$AF$505,0),MATCH(体力優良証交付申請!D$14,テーブル22[[#Headers],[学年]:[得点]],0)))</f>
        <v/>
      </c>
      <c r="E300" s="203" t="str">
        <f>IF($A300&gt;MAX(入力シート!$AF$6:$AF$505),"",INDEX(テーブル22[[学年]:[得点]],MATCH(体力優良証交付申請!$A300,入力シート!$AF$6:$AF$505,0),MATCH(体力優良証交付申請!E$14,テーブル22[[#Headers],[学年]:[得点]],0)))</f>
        <v/>
      </c>
      <c r="F300" s="203" t="str">
        <f>IF($A300&gt;MAX(入力シート!$AF$6:$AF$505),"",INDEX(テーブル22[[学年]:[得点]],MATCH(体力優良証交付申請!$A300,入力シート!$AF$6:$AF$505,0),MATCH(体力優良証交付申請!F$14,テーブル22[[#Headers],[学年]:[得点]],0)))</f>
        <v/>
      </c>
      <c r="G300" s="203" t="str">
        <f>IF($A300&gt;MAX(入力シート!$AF$6:$AF$505),"",INDEX(テーブル22[[学年]:[得点]],MATCH(体力優良証交付申請!$A300,入力シート!$AF$6:$AF$505,0),MATCH(体力優良証交付申請!G$14,テーブル22[[#Headers],[学年]:[得点]],0)))</f>
        <v/>
      </c>
      <c r="H300" s="203" t="str">
        <f>IF($A300&gt;MAX(入力シート!$AF$6:$AF$505),"",INDEX(テーブル22[[学年]:[得点]],MATCH(体力優良証交付申請!$A300,入力シート!$AF$6:$AF$505,0),MATCH(体力優良証交付申請!H$14,テーブル22[[#Headers],[学年]:[得点]],0)))</f>
        <v/>
      </c>
      <c r="I300" s="203" t="str">
        <f>IF($A300&gt;MAX(入力シート!$AF$6:$AF$505),"",INDEX(テーブル22[[学年]:[得点]],MATCH(体力優良証交付申請!$A300,入力シート!$AF$6:$AF$505,0),MATCH(体力優良証交付申請!I$14,テーブル22[[#Headers],[学年]:[得点]],0)))</f>
        <v/>
      </c>
      <c r="J300" s="114" t="str">
        <f>IF($A300&gt;MAX(入力シート!$AF$6:$AF$505),"",INDEX(テーブル22[[学年]:[得点]],MATCH(体力優良証交付申請!$A300,入力シート!$AF$6:$AF$505,0),MATCH(体力優良証交付申請!J$14,テーブル22[[#Headers],[学年]:[得点]],0)))</f>
        <v/>
      </c>
      <c r="K300" s="203" t="str">
        <f>IF($A300&gt;MAX(入力シート!$AF$6:$AF$505),"",INDEX(テーブル22[[学年]:[得点]],MATCH(体力優良証交付申請!$A300,入力シート!$AF$6:$AF$505,0),MATCH(体力優良証交付申請!K$14,テーブル22[[#Headers],[学年]:[得点]],0)))</f>
        <v/>
      </c>
      <c r="L300" s="203" t="str">
        <f>IF($A300&gt;MAX(入力シート!$AF$6:$AF$505),"",INDEX(テーブル22[[学年]:[得点]],MATCH(体力優良証交付申請!$A300,入力シート!$AF$6:$AF$505,0),MATCH(体力優良証交付申請!L$14,テーブル22[[#Headers],[学年]:[得点]],0)))</f>
        <v/>
      </c>
      <c r="M300" s="28" t="str">
        <f>IF($A300&gt;MAX(入力シート!$AF$6:$AF$505),"",INDEX(テーブル22[[学年]:[得点]],MATCH(体力優良証交付申請!$A300,入力シート!$AF$6:$AF$505,0),MATCH(体力優良証交付申請!M$14,テーブル22[[#Headers],[学年]:[得点]],0)))</f>
        <v/>
      </c>
    </row>
    <row r="301" spans="1:13" x14ac:dyDescent="0.2">
      <c r="A301" s="16">
        <v>287</v>
      </c>
      <c r="B301" s="130" t="str">
        <f>IF($A301&gt;MAX(入力シート!$AF$6:$AF$505),"",INDEX(テーブル22[[学年]:[得点]],MATCH(体力優良証交付申請!$A301,入力シート!$AF$6:$AF$505,0),MATCH(体力優良証交付申請!B$14,テーブル22[[#Headers],[学年]:[得点]],0)))</f>
        <v/>
      </c>
      <c r="C301" s="203" t="str">
        <f>IF($A301&gt;MAX(入力シート!$AF$6:$AF$505),"",INDEX(テーブル22[[学年]:[得点]],MATCH(体力優良証交付申請!$A301,入力シート!$AF$6:$AF$505,0),MATCH(体力優良証交付申請!C$14,テーブル22[[#Headers],[学年]:[得点]],0)))</f>
        <v/>
      </c>
      <c r="D301" s="203" t="str">
        <f>IF($A301&gt;MAX(入力シート!$AF$6:$AF$505),"",INDEX(テーブル22[[学年]:[得点]],MATCH(体力優良証交付申請!$A301,入力シート!$AF$6:$AF$505,0),MATCH(体力優良証交付申請!D$14,テーブル22[[#Headers],[学年]:[得点]],0)))</f>
        <v/>
      </c>
      <c r="E301" s="203" t="str">
        <f>IF($A301&gt;MAX(入力シート!$AF$6:$AF$505),"",INDEX(テーブル22[[学年]:[得点]],MATCH(体力優良証交付申請!$A301,入力シート!$AF$6:$AF$505,0),MATCH(体力優良証交付申請!E$14,テーブル22[[#Headers],[学年]:[得点]],0)))</f>
        <v/>
      </c>
      <c r="F301" s="203" t="str">
        <f>IF($A301&gt;MAX(入力シート!$AF$6:$AF$505),"",INDEX(テーブル22[[学年]:[得点]],MATCH(体力優良証交付申請!$A301,入力シート!$AF$6:$AF$505,0),MATCH(体力優良証交付申請!F$14,テーブル22[[#Headers],[学年]:[得点]],0)))</f>
        <v/>
      </c>
      <c r="G301" s="203" t="str">
        <f>IF($A301&gt;MAX(入力シート!$AF$6:$AF$505),"",INDEX(テーブル22[[学年]:[得点]],MATCH(体力優良証交付申請!$A301,入力シート!$AF$6:$AF$505,0),MATCH(体力優良証交付申請!G$14,テーブル22[[#Headers],[学年]:[得点]],0)))</f>
        <v/>
      </c>
      <c r="H301" s="203" t="str">
        <f>IF($A301&gt;MAX(入力シート!$AF$6:$AF$505),"",INDEX(テーブル22[[学年]:[得点]],MATCH(体力優良証交付申請!$A301,入力シート!$AF$6:$AF$505,0),MATCH(体力優良証交付申請!H$14,テーブル22[[#Headers],[学年]:[得点]],0)))</f>
        <v/>
      </c>
      <c r="I301" s="203" t="str">
        <f>IF($A301&gt;MAX(入力シート!$AF$6:$AF$505),"",INDEX(テーブル22[[学年]:[得点]],MATCH(体力優良証交付申請!$A301,入力シート!$AF$6:$AF$505,0),MATCH(体力優良証交付申請!I$14,テーブル22[[#Headers],[学年]:[得点]],0)))</f>
        <v/>
      </c>
      <c r="J301" s="114" t="str">
        <f>IF($A301&gt;MAX(入力シート!$AF$6:$AF$505),"",INDEX(テーブル22[[学年]:[得点]],MATCH(体力優良証交付申請!$A301,入力シート!$AF$6:$AF$505,0),MATCH(体力優良証交付申請!J$14,テーブル22[[#Headers],[学年]:[得点]],0)))</f>
        <v/>
      </c>
      <c r="K301" s="203" t="str">
        <f>IF($A301&gt;MAX(入力シート!$AF$6:$AF$505),"",INDEX(テーブル22[[学年]:[得点]],MATCH(体力優良証交付申請!$A301,入力シート!$AF$6:$AF$505,0),MATCH(体力優良証交付申請!K$14,テーブル22[[#Headers],[学年]:[得点]],0)))</f>
        <v/>
      </c>
      <c r="L301" s="203" t="str">
        <f>IF($A301&gt;MAX(入力シート!$AF$6:$AF$505),"",INDEX(テーブル22[[学年]:[得点]],MATCH(体力優良証交付申請!$A301,入力シート!$AF$6:$AF$505,0),MATCH(体力優良証交付申請!L$14,テーブル22[[#Headers],[学年]:[得点]],0)))</f>
        <v/>
      </c>
      <c r="M301" s="28" t="str">
        <f>IF($A301&gt;MAX(入力シート!$AF$6:$AF$505),"",INDEX(テーブル22[[学年]:[得点]],MATCH(体力優良証交付申請!$A301,入力シート!$AF$6:$AF$505,0),MATCH(体力優良証交付申請!M$14,テーブル22[[#Headers],[学年]:[得点]],0)))</f>
        <v/>
      </c>
    </row>
    <row r="302" spans="1:13" x14ac:dyDescent="0.2">
      <c r="A302" s="16">
        <v>288</v>
      </c>
      <c r="B302" s="130" t="str">
        <f>IF($A302&gt;MAX(入力シート!$AF$6:$AF$505),"",INDEX(テーブル22[[学年]:[得点]],MATCH(体力優良証交付申請!$A302,入力シート!$AF$6:$AF$505,0),MATCH(体力優良証交付申請!B$14,テーブル22[[#Headers],[学年]:[得点]],0)))</f>
        <v/>
      </c>
      <c r="C302" s="203" t="str">
        <f>IF($A302&gt;MAX(入力シート!$AF$6:$AF$505),"",INDEX(テーブル22[[学年]:[得点]],MATCH(体力優良証交付申請!$A302,入力シート!$AF$6:$AF$505,0),MATCH(体力優良証交付申請!C$14,テーブル22[[#Headers],[学年]:[得点]],0)))</f>
        <v/>
      </c>
      <c r="D302" s="203" t="str">
        <f>IF($A302&gt;MAX(入力シート!$AF$6:$AF$505),"",INDEX(テーブル22[[学年]:[得点]],MATCH(体力優良証交付申請!$A302,入力シート!$AF$6:$AF$505,0),MATCH(体力優良証交付申請!D$14,テーブル22[[#Headers],[学年]:[得点]],0)))</f>
        <v/>
      </c>
      <c r="E302" s="203" t="str">
        <f>IF($A302&gt;MAX(入力シート!$AF$6:$AF$505),"",INDEX(テーブル22[[学年]:[得点]],MATCH(体力優良証交付申請!$A302,入力シート!$AF$6:$AF$505,0),MATCH(体力優良証交付申請!E$14,テーブル22[[#Headers],[学年]:[得点]],0)))</f>
        <v/>
      </c>
      <c r="F302" s="203" t="str">
        <f>IF($A302&gt;MAX(入力シート!$AF$6:$AF$505),"",INDEX(テーブル22[[学年]:[得点]],MATCH(体力優良証交付申請!$A302,入力シート!$AF$6:$AF$505,0),MATCH(体力優良証交付申請!F$14,テーブル22[[#Headers],[学年]:[得点]],0)))</f>
        <v/>
      </c>
      <c r="G302" s="203" t="str">
        <f>IF($A302&gt;MAX(入力シート!$AF$6:$AF$505),"",INDEX(テーブル22[[学年]:[得点]],MATCH(体力優良証交付申請!$A302,入力シート!$AF$6:$AF$505,0),MATCH(体力優良証交付申請!G$14,テーブル22[[#Headers],[学年]:[得点]],0)))</f>
        <v/>
      </c>
      <c r="H302" s="203" t="str">
        <f>IF($A302&gt;MAX(入力シート!$AF$6:$AF$505),"",INDEX(テーブル22[[学年]:[得点]],MATCH(体力優良証交付申請!$A302,入力シート!$AF$6:$AF$505,0),MATCH(体力優良証交付申請!H$14,テーブル22[[#Headers],[学年]:[得点]],0)))</f>
        <v/>
      </c>
      <c r="I302" s="203" t="str">
        <f>IF($A302&gt;MAX(入力シート!$AF$6:$AF$505),"",INDEX(テーブル22[[学年]:[得点]],MATCH(体力優良証交付申請!$A302,入力シート!$AF$6:$AF$505,0),MATCH(体力優良証交付申請!I$14,テーブル22[[#Headers],[学年]:[得点]],0)))</f>
        <v/>
      </c>
      <c r="J302" s="114" t="str">
        <f>IF($A302&gt;MAX(入力シート!$AF$6:$AF$505),"",INDEX(テーブル22[[学年]:[得点]],MATCH(体力優良証交付申請!$A302,入力シート!$AF$6:$AF$505,0),MATCH(体力優良証交付申請!J$14,テーブル22[[#Headers],[学年]:[得点]],0)))</f>
        <v/>
      </c>
      <c r="K302" s="203" t="str">
        <f>IF($A302&gt;MAX(入力シート!$AF$6:$AF$505),"",INDEX(テーブル22[[学年]:[得点]],MATCH(体力優良証交付申請!$A302,入力シート!$AF$6:$AF$505,0),MATCH(体力優良証交付申請!K$14,テーブル22[[#Headers],[学年]:[得点]],0)))</f>
        <v/>
      </c>
      <c r="L302" s="203" t="str">
        <f>IF($A302&gt;MAX(入力シート!$AF$6:$AF$505),"",INDEX(テーブル22[[学年]:[得点]],MATCH(体力優良証交付申請!$A302,入力シート!$AF$6:$AF$505,0),MATCH(体力優良証交付申請!L$14,テーブル22[[#Headers],[学年]:[得点]],0)))</f>
        <v/>
      </c>
      <c r="M302" s="28" t="str">
        <f>IF($A302&gt;MAX(入力シート!$AF$6:$AF$505),"",INDEX(テーブル22[[学年]:[得点]],MATCH(体力優良証交付申請!$A302,入力シート!$AF$6:$AF$505,0),MATCH(体力優良証交付申請!M$14,テーブル22[[#Headers],[学年]:[得点]],0)))</f>
        <v/>
      </c>
    </row>
    <row r="303" spans="1:13" x14ac:dyDescent="0.2">
      <c r="A303" s="16">
        <v>289</v>
      </c>
      <c r="B303" s="130" t="str">
        <f>IF($A303&gt;MAX(入力シート!$AF$6:$AF$505),"",INDEX(テーブル22[[学年]:[得点]],MATCH(体力優良証交付申請!$A303,入力シート!$AF$6:$AF$505,0),MATCH(体力優良証交付申請!B$14,テーブル22[[#Headers],[学年]:[得点]],0)))</f>
        <v/>
      </c>
      <c r="C303" s="203" t="str">
        <f>IF($A303&gt;MAX(入力シート!$AF$6:$AF$505),"",INDEX(テーブル22[[学年]:[得点]],MATCH(体力優良証交付申請!$A303,入力シート!$AF$6:$AF$505,0),MATCH(体力優良証交付申請!C$14,テーブル22[[#Headers],[学年]:[得点]],0)))</f>
        <v/>
      </c>
      <c r="D303" s="203" t="str">
        <f>IF($A303&gt;MAX(入力シート!$AF$6:$AF$505),"",INDEX(テーブル22[[学年]:[得点]],MATCH(体力優良証交付申請!$A303,入力シート!$AF$6:$AF$505,0),MATCH(体力優良証交付申請!D$14,テーブル22[[#Headers],[学年]:[得点]],0)))</f>
        <v/>
      </c>
      <c r="E303" s="203" t="str">
        <f>IF($A303&gt;MAX(入力シート!$AF$6:$AF$505),"",INDEX(テーブル22[[学年]:[得点]],MATCH(体力優良証交付申請!$A303,入力シート!$AF$6:$AF$505,0),MATCH(体力優良証交付申請!E$14,テーブル22[[#Headers],[学年]:[得点]],0)))</f>
        <v/>
      </c>
      <c r="F303" s="203" t="str">
        <f>IF($A303&gt;MAX(入力シート!$AF$6:$AF$505),"",INDEX(テーブル22[[学年]:[得点]],MATCH(体力優良証交付申請!$A303,入力シート!$AF$6:$AF$505,0),MATCH(体力優良証交付申請!F$14,テーブル22[[#Headers],[学年]:[得点]],0)))</f>
        <v/>
      </c>
      <c r="G303" s="203" t="str">
        <f>IF($A303&gt;MAX(入力シート!$AF$6:$AF$505),"",INDEX(テーブル22[[学年]:[得点]],MATCH(体力優良証交付申請!$A303,入力シート!$AF$6:$AF$505,0),MATCH(体力優良証交付申請!G$14,テーブル22[[#Headers],[学年]:[得点]],0)))</f>
        <v/>
      </c>
      <c r="H303" s="203" t="str">
        <f>IF($A303&gt;MAX(入力シート!$AF$6:$AF$505),"",INDEX(テーブル22[[学年]:[得点]],MATCH(体力優良証交付申請!$A303,入力シート!$AF$6:$AF$505,0),MATCH(体力優良証交付申請!H$14,テーブル22[[#Headers],[学年]:[得点]],0)))</f>
        <v/>
      </c>
      <c r="I303" s="203" t="str">
        <f>IF($A303&gt;MAX(入力シート!$AF$6:$AF$505),"",INDEX(テーブル22[[学年]:[得点]],MATCH(体力優良証交付申請!$A303,入力シート!$AF$6:$AF$505,0),MATCH(体力優良証交付申請!I$14,テーブル22[[#Headers],[学年]:[得点]],0)))</f>
        <v/>
      </c>
      <c r="J303" s="114" t="str">
        <f>IF($A303&gt;MAX(入力シート!$AF$6:$AF$505),"",INDEX(テーブル22[[学年]:[得点]],MATCH(体力優良証交付申請!$A303,入力シート!$AF$6:$AF$505,0),MATCH(体力優良証交付申請!J$14,テーブル22[[#Headers],[学年]:[得点]],0)))</f>
        <v/>
      </c>
      <c r="K303" s="203" t="str">
        <f>IF($A303&gt;MAX(入力シート!$AF$6:$AF$505),"",INDEX(テーブル22[[学年]:[得点]],MATCH(体力優良証交付申請!$A303,入力シート!$AF$6:$AF$505,0),MATCH(体力優良証交付申請!K$14,テーブル22[[#Headers],[学年]:[得点]],0)))</f>
        <v/>
      </c>
      <c r="L303" s="203" t="str">
        <f>IF($A303&gt;MAX(入力シート!$AF$6:$AF$505),"",INDEX(テーブル22[[学年]:[得点]],MATCH(体力優良証交付申請!$A303,入力シート!$AF$6:$AF$505,0),MATCH(体力優良証交付申請!L$14,テーブル22[[#Headers],[学年]:[得点]],0)))</f>
        <v/>
      </c>
      <c r="M303" s="28" t="str">
        <f>IF($A303&gt;MAX(入力シート!$AF$6:$AF$505),"",INDEX(テーブル22[[学年]:[得点]],MATCH(体力優良証交付申請!$A303,入力シート!$AF$6:$AF$505,0),MATCH(体力優良証交付申請!M$14,テーブル22[[#Headers],[学年]:[得点]],0)))</f>
        <v/>
      </c>
    </row>
    <row r="304" spans="1:13" x14ac:dyDescent="0.2">
      <c r="A304" s="16">
        <v>290</v>
      </c>
      <c r="B304" s="130" t="str">
        <f>IF($A304&gt;MAX(入力シート!$AF$6:$AF$505),"",INDEX(テーブル22[[学年]:[得点]],MATCH(体力優良証交付申請!$A304,入力シート!$AF$6:$AF$505,0),MATCH(体力優良証交付申請!B$14,テーブル22[[#Headers],[学年]:[得点]],0)))</f>
        <v/>
      </c>
      <c r="C304" s="203" t="str">
        <f>IF($A304&gt;MAX(入力シート!$AF$6:$AF$505),"",INDEX(テーブル22[[学年]:[得点]],MATCH(体力優良証交付申請!$A304,入力シート!$AF$6:$AF$505,0),MATCH(体力優良証交付申請!C$14,テーブル22[[#Headers],[学年]:[得点]],0)))</f>
        <v/>
      </c>
      <c r="D304" s="203" t="str">
        <f>IF($A304&gt;MAX(入力シート!$AF$6:$AF$505),"",INDEX(テーブル22[[学年]:[得点]],MATCH(体力優良証交付申請!$A304,入力シート!$AF$6:$AF$505,0),MATCH(体力優良証交付申請!D$14,テーブル22[[#Headers],[学年]:[得点]],0)))</f>
        <v/>
      </c>
      <c r="E304" s="203" t="str">
        <f>IF($A304&gt;MAX(入力シート!$AF$6:$AF$505),"",INDEX(テーブル22[[学年]:[得点]],MATCH(体力優良証交付申請!$A304,入力シート!$AF$6:$AF$505,0),MATCH(体力優良証交付申請!E$14,テーブル22[[#Headers],[学年]:[得点]],0)))</f>
        <v/>
      </c>
      <c r="F304" s="203" t="str">
        <f>IF($A304&gt;MAX(入力シート!$AF$6:$AF$505),"",INDEX(テーブル22[[学年]:[得点]],MATCH(体力優良証交付申請!$A304,入力シート!$AF$6:$AF$505,0),MATCH(体力優良証交付申請!F$14,テーブル22[[#Headers],[学年]:[得点]],0)))</f>
        <v/>
      </c>
      <c r="G304" s="203" t="str">
        <f>IF($A304&gt;MAX(入力シート!$AF$6:$AF$505),"",INDEX(テーブル22[[学年]:[得点]],MATCH(体力優良証交付申請!$A304,入力シート!$AF$6:$AF$505,0),MATCH(体力優良証交付申請!G$14,テーブル22[[#Headers],[学年]:[得点]],0)))</f>
        <v/>
      </c>
      <c r="H304" s="203" t="str">
        <f>IF($A304&gt;MAX(入力シート!$AF$6:$AF$505),"",INDEX(テーブル22[[学年]:[得点]],MATCH(体力優良証交付申請!$A304,入力シート!$AF$6:$AF$505,0),MATCH(体力優良証交付申請!H$14,テーブル22[[#Headers],[学年]:[得点]],0)))</f>
        <v/>
      </c>
      <c r="I304" s="203" t="str">
        <f>IF($A304&gt;MAX(入力シート!$AF$6:$AF$505),"",INDEX(テーブル22[[学年]:[得点]],MATCH(体力優良証交付申請!$A304,入力シート!$AF$6:$AF$505,0),MATCH(体力優良証交付申請!I$14,テーブル22[[#Headers],[学年]:[得点]],0)))</f>
        <v/>
      </c>
      <c r="J304" s="114" t="str">
        <f>IF($A304&gt;MAX(入力シート!$AF$6:$AF$505),"",INDEX(テーブル22[[学年]:[得点]],MATCH(体力優良証交付申請!$A304,入力シート!$AF$6:$AF$505,0),MATCH(体力優良証交付申請!J$14,テーブル22[[#Headers],[学年]:[得点]],0)))</f>
        <v/>
      </c>
      <c r="K304" s="203" t="str">
        <f>IF($A304&gt;MAX(入力シート!$AF$6:$AF$505),"",INDEX(テーブル22[[学年]:[得点]],MATCH(体力優良証交付申請!$A304,入力シート!$AF$6:$AF$505,0),MATCH(体力優良証交付申請!K$14,テーブル22[[#Headers],[学年]:[得点]],0)))</f>
        <v/>
      </c>
      <c r="L304" s="203" t="str">
        <f>IF($A304&gt;MAX(入力シート!$AF$6:$AF$505),"",INDEX(テーブル22[[学年]:[得点]],MATCH(体力優良証交付申請!$A304,入力シート!$AF$6:$AF$505,0),MATCH(体力優良証交付申請!L$14,テーブル22[[#Headers],[学年]:[得点]],0)))</f>
        <v/>
      </c>
      <c r="M304" s="28" t="str">
        <f>IF($A304&gt;MAX(入力シート!$AF$6:$AF$505),"",INDEX(テーブル22[[学年]:[得点]],MATCH(体力優良証交付申請!$A304,入力シート!$AF$6:$AF$505,0),MATCH(体力優良証交付申請!M$14,テーブル22[[#Headers],[学年]:[得点]],0)))</f>
        <v/>
      </c>
    </row>
    <row r="305" spans="1:13" x14ac:dyDescent="0.2">
      <c r="A305" s="16">
        <v>291</v>
      </c>
      <c r="B305" s="130" t="str">
        <f>IF($A305&gt;MAX(入力シート!$AF$6:$AF$505),"",INDEX(テーブル22[[学年]:[得点]],MATCH(体力優良証交付申請!$A305,入力シート!$AF$6:$AF$505,0),MATCH(体力優良証交付申請!B$14,テーブル22[[#Headers],[学年]:[得点]],0)))</f>
        <v/>
      </c>
      <c r="C305" s="203" t="str">
        <f>IF($A305&gt;MAX(入力シート!$AF$6:$AF$505),"",INDEX(テーブル22[[学年]:[得点]],MATCH(体力優良証交付申請!$A305,入力シート!$AF$6:$AF$505,0),MATCH(体力優良証交付申請!C$14,テーブル22[[#Headers],[学年]:[得点]],0)))</f>
        <v/>
      </c>
      <c r="D305" s="203" t="str">
        <f>IF($A305&gt;MAX(入力シート!$AF$6:$AF$505),"",INDEX(テーブル22[[学年]:[得点]],MATCH(体力優良証交付申請!$A305,入力シート!$AF$6:$AF$505,0),MATCH(体力優良証交付申請!D$14,テーブル22[[#Headers],[学年]:[得点]],0)))</f>
        <v/>
      </c>
      <c r="E305" s="203" t="str">
        <f>IF($A305&gt;MAX(入力シート!$AF$6:$AF$505),"",INDEX(テーブル22[[学年]:[得点]],MATCH(体力優良証交付申請!$A305,入力シート!$AF$6:$AF$505,0),MATCH(体力優良証交付申請!E$14,テーブル22[[#Headers],[学年]:[得点]],0)))</f>
        <v/>
      </c>
      <c r="F305" s="203" t="str">
        <f>IF($A305&gt;MAX(入力シート!$AF$6:$AF$505),"",INDEX(テーブル22[[学年]:[得点]],MATCH(体力優良証交付申請!$A305,入力シート!$AF$6:$AF$505,0),MATCH(体力優良証交付申請!F$14,テーブル22[[#Headers],[学年]:[得点]],0)))</f>
        <v/>
      </c>
      <c r="G305" s="203" t="str">
        <f>IF($A305&gt;MAX(入力シート!$AF$6:$AF$505),"",INDEX(テーブル22[[学年]:[得点]],MATCH(体力優良証交付申請!$A305,入力シート!$AF$6:$AF$505,0),MATCH(体力優良証交付申請!G$14,テーブル22[[#Headers],[学年]:[得点]],0)))</f>
        <v/>
      </c>
      <c r="H305" s="203" t="str">
        <f>IF($A305&gt;MAX(入力シート!$AF$6:$AF$505),"",INDEX(テーブル22[[学年]:[得点]],MATCH(体力優良証交付申請!$A305,入力シート!$AF$6:$AF$505,0),MATCH(体力優良証交付申請!H$14,テーブル22[[#Headers],[学年]:[得点]],0)))</f>
        <v/>
      </c>
      <c r="I305" s="203" t="str">
        <f>IF($A305&gt;MAX(入力シート!$AF$6:$AF$505),"",INDEX(テーブル22[[学年]:[得点]],MATCH(体力優良証交付申請!$A305,入力シート!$AF$6:$AF$505,0),MATCH(体力優良証交付申請!I$14,テーブル22[[#Headers],[学年]:[得点]],0)))</f>
        <v/>
      </c>
      <c r="J305" s="114" t="str">
        <f>IF($A305&gt;MAX(入力シート!$AF$6:$AF$505),"",INDEX(テーブル22[[学年]:[得点]],MATCH(体力優良証交付申請!$A305,入力シート!$AF$6:$AF$505,0),MATCH(体力優良証交付申請!J$14,テーブル22[[#Headers],[学年]:[得点]],0)))</f>
        <v/>
      </c>
      <c r="K305" s="203" t="str">
        <f>IF($A305&gt;MAX(入力シート!$AF$6:$AF$505),"",INDEX(テーブル22[[学年]:[得点]],MATCH(体力優良証交付申請!$A305,入力シート!$AF$6:$AF$505,0),MATCH(体力優良証交付申請!K$14,テーブル22[[#Headers],[学年]:[得点]],0)))</f>
        <v/>
      </c>
      <c r="L305" s="203" t="str">
        <f>IF($A305&gt;MAX(入力シート!$AF$6:$AF$505),"",INDEX(テーブル22[[学年]:[得点]],MATCH(体力優良証交付申請!$A305,入力シート!$AF$6:$AF$505,0),MATCH(体力優良証交付申請!L$14,テーブル22[[#Headers],[学年]:[得点]],0)))</f>
        <v/>
      </c>
      <c r="M305" s="28" t="str">
        <f>IF($A305&gt;MAX(入力シート!$AF$6:$AF$505),"",INDEX(テーブル22[[学年]:[得点]],MATCH(体力優良証交付申請!$A305,入力シート!$AF$6:$AF$505,0),MATCH(体力優良証交付申請!M$14,テーブル22[[#Headers],[学年]:[得点]],0)))</f>
        <v/>
      </c>
    </row>
    <row r="306" spans="1:13" x14ac:dyDescent="0.2">
      <c r="A306" s="16">
        <v>292</v>
      </c>
      <c r="B306" s="130" t="str">
        <f>IF($A306&gt;MAX(入力シート!$AF$6:$AF$505),"",INDEX(テーブル22[[学年]:[得点]],MATCH(体力優良証交付申請!$A306,入力シート!$AF$6:$AF$505,0),MATCH(体力優良証交付申請!B$14,テーブル22[[#Headers],[学年]:[得点]],0)))</f>
        <v/>
      </c>
      <c r="C306" s="203" t="str">
        <f>IF($A306&gt;MAX(入力シート!$AF$6:$AF$505),"",INDEX(テーブル22[[学年]:[得点]],MATCH(体力優良証交付申請!$A306,入力シート!$AF$6:$AF$505,0),MATCH(体力優良証交付申請!C$14,テーブル22[[#Headers],[学年]:[得点]],0)))</f>
        <v/>
      </c>
      <c r="D306" s="203" t="str">
        <f>IF($A306&gt;MAX(入力シート!$AF$6:$AF$505),"",INDEX(テーブル22[[学年]:[得点]],MATCH(体力優良証交付申請!$A306,入力シート!$AF$6:$AF$505,0),MATCH(体力優良証交付申請!D$14,テーブル22[[#Headers],[学年]:[得点]],0)))</f>
        <v/>
      </c>
      <c r="E306" s="203" t="str">
        <f>IF($A306&gt;MAX(入力シート!$AF$6:$AF$505),"",INDEX(テーブル22[[学年]:[得点]],MATCH(体力優良証交付申請!$A306,入力シート!$AF$6:$AF$505,0),MATCH(体力優良証交付申請!E$14,テーブル22[[#Headers],[学年]:[得点]],0)))</f>
        <v/>
      </c>
      <c r="F306" s="203" t="str">
        <f>IF($A306&gt;MAX(入力シート!$AF$6:$AF$505),"",INDEX(テーブル22[[学年]:[得点]],MATCH(体力優良証交付申請!$A306,入力シート!$AF$6:$AF$505,0),MATCH(体力優良証交付申請!F$14,テーブル22[[#Headers],[学年]:[得点]],0)))</f>
        <v/>
      </c>
      <c r="G306" s="203" t="str">
        <f>IF($A306&gt;MAX(入力シート!$AF$6:$AF$505),"",INDEX(テーブル22[[学年]:[得点]],MATCH(体力優良証交付申請!$A306,入力シート!$AF$6:$AF$505,0),MATCH(体力優良証交付申請!G$14,テーブル22[[#Headers],[学年]:[得点]],0)))</f>
        <v/>
      </c>
      <c r="H306" s="203" t="str">
        <f>IF($A306&gt;MAX(入力シート!$AF$6:$AF$505),"",INDEX(テーブル22[[学年]:[得点]],MATCH(体力優良証交付申請!$A306,入力シート!$AF$6:$AF$505,0),MATCH(体力優良証交付申請!H$14,テーブル22[[#Headers],[学年]:[得点]],0)))</f>
        <v/>
      </c>
      <c r="I306" s="203" t="str">
        <f>IF($A306&gt;MAX(入力シート!$AF$6:$AF$505),"",INDEX(テーブル22[[学年]:[得点]],MATCH(体力優良証交付申請!$A306,入力シート!$AF$6:$AF$505,0),MATCH(体力優良証交付申請!I$14,テーブル22[[#Headers],[学年]:[得点]],0)))</f>
        <v/>
      </c>
      <c r="J306" s="114" t="str">
        <f>IF($A306&gt;MAX(入力シート!$AF$6:$AF$505),"",INDEX(テーブル22[[学年]:[得点]],MATCH(体力優良証交付申請!$A306,入力シート!$AF$6:$AF$505,0),MATCH(体力優良証交付申請!J$14,テーブル22[[#Headers],[学年]:[得点]],0)))</f>
        <v/>
      </c>
      <c r="K306" s="203" t="str">
        <f>IF($A306&gt;MAX(入力シート!$AF$6:$AF$505),"",INDEX(テーブル22[[学年]:[得点]],MATCH(体力優良証交付申請!$A306,入力シート!$AF$6:$AF$505,0),MATCH(体力優良証交付申請!K$14,テーブル22[[#Headers],[学年]:[得点]],0)))</f>
        <v/>
      </c>
      <c r="L306" s="203" t="str">
        <f>IF($A306&gt;MAX(入力シート!$AF$6:$AF$505),"",INDEX(テーブル22[[学年]:[得点]],MATCH(体力優良証交付申請!$A306,入力シート!$AF$6:$AF$505,0),MATCH(体力優良証交付申請!L$14,テーブル22[[#Headers],[学年]:[得点]],0)))</f>
        <v/>
      </c>
      <c r="M306" s="28" t="str">
        <f>IF($A306&gt;MAX(入力シート!$AF$6:$AF$505),"",INDEX(テーブル22[[学年]:[得点]],MATCH(体力優良証交付申請!$A306,入力シート!$AF$6:$AF$505,0),MATCH(体力優良証交付申請!M$14,テーブル22[[#Headers],[学年]:[得点]],0)))</f>
        <v/>
      </c>
    </row>
    <row r="307" spans="1:13" x14ac:dyDescent="0.2">
      <c r="A307" s="16">
        <v>293</v>
      </c>
      <c r="B307" s="130" t="str">
        <f>IF($A307&gt;MAX(入力シート!$AF$6:$AF$505),"",INDEX(テーブル22[[学年]:[得点]],MATCH(体力優良証交付申請!$A307,入力シート!$AF$6:$AF$505,0),MATCH(体力優良証交付申請!B$14,テーブル22[[#Headers],[学年]:[得点]],0)))</f>
        <v/>
      </c>
      <c r="C307" s="203" t="str">
        <f>IF($A307&gt;MAX(入力シート!$AF$6:$AF$505),"",INDEX(テーブル22[[学年]:[得点]],MATCH(体力優良証交付申請!$A307,入力シート!$AF$6:$AF$505,0),MATCH(体力優良証交付申請!C$14,テーブル22[[#Headers],[学年]:[得点]],0)))</f>
        <v/>
      </c>
      <c r="D307" s="203" t="str">
        <f>IF($A307&gt;MAX(入力シート!$AF$6:$AF$505),"",INDEX(テーブル22[[学年]:[得点]],MATCH(体力優良証交付申請!$A307,入力シート!$AF$6:$AF$505,0),MATCH(体力優良証交付申請!D$14,テーブル22[[#Headers],[学年]:[得点]],0)))</f>
        <v/>
      </c>
      <c r="E307" s="203" t="str">
        <f>IF($A307&gt;MAX(入力シート!$AF$6:$AF$505),"",INDEX(テーブル22[[学年]:[得点]],MATCH(体力優良証交付申請!$A307,入力シート!$AF$6:$AF$505,0),MATCH(体力優良証交付申請!E$14,テーブル22[[#Headers],[学年]:[得点]],0)))</f>
        <v/>
      </c>
      <c r="F307" s="203" t="str">
        <f>IF($A307&gt;MAX(入力シート!$AF$6:$AF$505),"",INDEX(テーブル22[[学年]:[得点]],MATCH(体力優良証交付申請!$A307,入力シート!$AF$6:$AF$505,0),MATCH(体力優良証交付申請!F$14,テーブル22[[#Headers],[学年]:[得点]],0)))</f>
        <v/>
      </c>
      <c r="G307" s="203" t="str">
        <f>IF($A307&gt;MAX(入力シート!$AF$6:$AF$505),"",INDEX(テーブル22[[学年]:[得点]],MATCH(体力優良証交付申請!$A307,入力シート!$AF$6:$AF$505,0),MATCH(体力優良証交付申請!G$14,テーブル22[[#Headers],[学年]:[得点]],0)))</f>
        <v/>
      </c>
      <c r="H307" s="203" t="str">
        <f>IF($A307&gt;MAX(入力シート!$AF$6:$AF$505),"",INDEX(テーブル22[[学年]:[得点]],MATCH(体力優良証交付申請!$A307,入力シート!$AF$6:$AF$505,0),MATCH(体力優良証交付申請!H$14,テーブル22[[#Headers],[学年]:[得点]],0)))</f>
        <v/>
      </c>
      <c r="I307" s="203" t="str">
        <f>IF($A307&gt;MAX(入力シート!$AF$6:$AF$505),"",INDEX(テーブル22[[学年]:[得点]],MATCH(体力優良証交付申請!$A307,入力シート!$AF$6:$AF$505,0),MATCH(体力優良証交付申請!I$14,テーブル22[[#Headers],[学年]:[得点]],0)))</f>
        <v/>
      </c>
      <c r="J307" s="114" t="str">
        <f>IF($A307&gt;MAX(入力シート!$AF$6:$AF$505),"",INDEX(テーブル22[[学年]:[得点]],MATCH(体力優良証交付申請!$A307,入力シート!$AF$6:$AF$505,0),MATCH(体力優良証交付申請!J$14,テーブル22[[#Headers],[学年]:[得点]],0)))</f>
        <v/>
      </c>
      <c r="K307" s="203" t="str">
        <f>IF($A307&gt;MAX(入力シート!$AF$6:$AF$505),"",INDEX(テーブル22[[学年]:[得点]],MATCH(体力優良証交付申請!$A307,入力シート!$AF$6:$AF$505,0),MATCH(体力優良証交付申請!K$14,テーブル22[[#Headers],[学年]:[得点]],0)))</f>
        <v/>
      </c>
      <c r="L307" s="203" t="str">
        <f>IF($A307&gt;MAX(入力シート!$AF$6:$AF$505),"",INDEX(テーブル22[[学年]:[得点]],MATCH(体力優良証交付申請!$A307,入力シート!$AF$6:$AF$505,0),MATCH(体力優良証交付申請!L$14,テーブル22[[#Headers],[学年]:[得点]],0)))</f>
        <v/>
      </c>
      <c r="M307" s="28" t="str">
        <f>IF($A307&gt;MAX(入力シート!$AF$6:$AF$505),"",INDEX(テーブル22[[学年]:[得点]],MATCH(体力優良証交付申請!$A307,入力シート!$AF$6:$AF$505,0),MATCH(体力優良証交付申請!M$14,テーブル22[[#Headers],[学年]:[得点]],0)))</f>
        <v/>
      </c>
    </row>
    <row r="308" spans="1:13" x14ac:dyDescent="0.2">
      <c r="A308" s="16">
        <v>294</v>
      </c>
      <c r="B308" s="130" t="str">
        <f>IF($A308&gt;MAX(入力シート!$AF$6:$AF$505),"",INDEX(テーブル22[[学年]:[得点]],MATCH(体力優良証交付申請!$A308,入力シート!$AF$6:$AF$505,0),MATCH(体力優良証交付申請!B$14,テーブル22[[#Headers],[学年]:[得点]],0)))</f>
        <v/>
      </c>
      <c r="C308" s="203" t="str">
        <f>IF($A308&gt;MAX(入力シート!$AF$6:$AF$505),"",INDEX(テーブル22[[学年]:[得点]],MATCH(体力優良証交付申請!$A308,入力シート!$AF$6:$AF$505,0),MATCH(体力優良証交付申請!C$14,テーブル22[[#Headers],[学年]:[得点]],0)))</f>
        <v/>
      </c>
      <c r="D308" s="203" t="str">
        <f>IF($A308&gt;MAX(入力シート!$AF$6:$AF$505),"",INDEX(テーブル22[[学年]:[得点]],MATCH(体力優良証交付申請!$A308,入力シート!$AF$6:$AF$505,0),MATCH(体力優良証交付申請!D$14,テーブル22[[#Headers],[学年]:[得点]],0)))</f>
        <v/>
      </c>
      <c r="E308" s="203" t="str">
        <f>IF($A308&gt;MAX(入力シート!$AF$6:$AF$505),"",INDEX(テーブル22[[学年]:[得点]],MATCH(体力優良証交付申請!$A308,入力シート!$AF$6:$AF$505,0),MATCH(体力優良証交付申請!E$14,テーブル22[[#Headers],[学年]:[得点]],0)))</f>
        <v/>
      </c>
      <c r="F308" s="203" t="str">
        <f>IF($A308&gt;MAX(入力シート!$AF$6:$AF$505),"",INDEX(テーブル22[[学年]:[得点]],MATCH(体力優良証交付申請!$A308,入力シート!$AF$6:$AF$505,0),MATCH(体力優良証交付申請!F$14,テーブル22[[#Headers],[学年]:[得点]],0)))</f>
        <v/>
      </c>
      <c r="G308" s="203" t="str">
        <f>IF($A308&gt;MAX(入力シート!$AF$6:$AF$505),"",INDEX(テーブル22[[学年]:[得点]],MATCH(体力優良証交付申請!$A308,入力シート!$AF$6:$AF$505,0),MATCH(体力優良証交付申請!G$14,テーブル22[[#Headers],[学年]:[得点]],0)))</f>
        <v/>
      </c>
      <c r="H308" s="203" t="str">
        <f>IF($A308&gt;MAX(入力シート!$AF$6:$AF$505),"",INDEX(テーブル22[[学年]:[得点]],MATCH(体力優良証交付申請!$A308,入力シート!$AF$6:$AF$505,0),MATCH(体力優良証交付申請!H$14,テーブル22[[#Headers],[学年]:[得点]],0)))</f>
        <v/>
      </c>
      <c r="I308" s="203" t="str">
        <f>IF($A308&gt;MAX(入力シート!$AF$6:$AF$505),"",INDEX(テーブル22[[学年]:[得点]],MATCH(体力優良証交付申請!$A308,入力シート!$AF$6:$AF$505,0),MATCH(体力優良証交付申請!I$14,テーブル22[[#Headers],[学年]:[得点]],0)))</f>
        <v/>
      </c>
      <c r="J308" s="114" t="str">
        <f>IF($A308&gt;MAX(入力シート!$AF$6:$AF$505),"",INDEX(テーブル22[[学年]:[得点]],MATCH(体力優良証交付申請!$A308,入力シート!$AF$6:$AF$505,0),MATCH(体力優良証交付申請!J$14,テーブル22[[#Headers],[学年]:[得点]],0)))</f>
        <v/>
      </c>
      <c r="K308" s="203" t="str">
        <f>IF($A308&gt;MAX(入力シート!$AF$6:$AF$505),"",INDEX(テーブル22[[学年]:[得点]],MATCH(体力優良証交付申請!$A308,入力シート!$AF$6:$AF$505,0),MATCH(体力優良証交付申請!K$14,テーブル22[[#Headers],[学年]:[得点]],0)))</f>
        <v/>
      </c>
      <c r="L308" s="203" t="str">
        <f>IF($A308&gt;MAX(入力シート!$AF$6:$AF$505),"",INDEX(テーブル22[[学年]:[得点]],MATCH(体力優良証交付申請!$A308,入力シート!$AF$6:$AF$505,0),MATCH(体力優良証交付申請!L$14,テーブル22[[#Headers],[学年]:[得点]],0)))</f>
        <v/>
      </c>
      <c r="M308" s="28" t="str">
        <f>IF($A308&gt;MAX(入力シート!$AF$6:$AF$505),"",INDEX(テーブル22[[学年]:[得点]],MATCH(体力優良証交付申請!$A308,入力シート!$AF$6:$AF$505,0),MATCH(体力優良証交付申請!M$14,テーブル22[[#Headers],[学年]:[得点]],0)))</f>
        <v/>
      </c>
    </row>
    <row r="309" spans="1:13" x14ac:dyDescent="0.2">
      <c r="A309" s="16">
        <v>295</v>
      </c>
      <c r="B309" s="130" t="str">
        <f>IF($A309&gt;MAX(入力シート!$AF$6:$AF$505),"",INDEX(テーブル22[[学年]:[得点]],MATCH(体力優良証交付申請!$A309,入力シート!$AF$6:$AF$505,0),MATCH(体力優良証交付申請!B$14,テーブル22[[#Headers],[学年]:[得点]],0)))</f>
        <v/>
      </c>
      <c r="C309" s="203" t="str">
        <f>IF($A309&gt;MAX(入力シート!$AF$6:$AF$505),"",INDEX(テーブル22[[学年]:[得点]],MATCH(体力優良証交付申請!$A309,入力シート!$AF$6:$AF$505,0),MATCH(体力優良証交付申請!C$14,テーブル22[[#Headers],[学年]:[得点]],0)))</f>
        <v/>
      </c>
      <c r="D309" s="203" t="str">
        <f>IF($A309&gt;MAX(入力シート!$AF$6:$AF$505),"",INDEX(テーブル22[[学年]:[得点]],MATCH(体力優良証交付申請!$A309,入力シート!$AF$6:$AF$505,0),MATCH(体力優良証交付申請!D$14,テーブル22[[#Headers],[学年]:[得点]],0)))</f>
        <v/>
      </c>
      <c r="E309" s="203" t="str">
        <f>IF($A309&gt;MAX(入力シート!$AF$6:$AF$505),"",INDEX(テーブル22[[学年]:[得点]],MATCH(体力優良証交付申請!$A309,入力シート!$AF$6:$AF$505,0),MATCH(体力優良証交付申請!E$14,テーブル22[[#Headers],[学年]:[得点]],0)))</f>
        <v/>
      </c>
      <c r="F309" s="203" t="str">
        <f>IF($A309&gt;MAX(入力シート!$AF$6:$AF$505),"",INDEX(テーブル22[[学年]:[得点]],MATCH(体力優良証交付申請!$A309,入力シート!$AF$6:$AF$505,0),MATCH(体力優良証交付申請!F$14,テーブル22[[#Headers],[学年]:[得点]],0)))</f>
        <v/>
      </c>
      <c r="G309" s="203" t="str">
        <f>IF($A309&gt;MAX(入力シート!$AF$6:$AF$505),"",INDEX(テーブル22[[学年]:[得点]],MATCH(体力優良証交付申請!$A309,入力シート!$AF$6:$AF$505,0),MATCH(体力優良証交付申請!G$14,テーブル22[[#Headers],[学年]:[得点]],0)))</f>
        <v/>
      </c>
      <c r="H309" s="203" t="str">
        <f>IF($A309&gt;MAX(入力シート!$AF$6:$AF$505),"",INDEX(テーブル22[[学年]:[得点]],MATCH(体力優良証交付申請!$A309,入力シート!$AF$6:$AF$505,0),MATCH(体力優良証交付申請!H$14,テーブル22[[#Headers],[学年]:[得点]],0)))</f>
        <v/>
      </c>
      <c r="I309" s="203" t="str">
        <f>IF($A309&gt;MAX(入力シート!$AF$6:$AF$505),"",INDEX(テーブル22[[学年]:[得点]],MATCH(体力優良証交付申請!$A309,入力シート!$AF$6:$AF$505,0),MATCH(体力優良証交付申請!I$14,テーブル22[[#Headers],[学年]:[得点]],0)))</f>
        <v/>
      </c>
      <c r="J309" s="114" t="str">
        <f>IF($A309&gt;MAX(入力シート!$AF$6:$AF$505),"",INDEX(テーブル22[[学年]:[得点]],MATCH(体力優良証交付申請!$A309,入力シート!$AF$6:$AF$505,0),MATCH(体力優良証交付申請!J$14,テーブル22[[#Headers],[学年]:[得点]],0)))</f>
        <v/>
      </c>
      <c r="K309" s="203" t="str">
        <f>IF($A309&gt;MAX(入力シート!$AF$6:$AF$505),"",INDEX(テーブル22[[学年]:[得点]],MATCH(体力優良証交付申請!$A309,入力シート!$AF$6:$AF$505,0),MATCH(体力優良証交付申請!K$14,テーブル22[[#Headers],[学年]:[得点]],0)))</f>
        <v/>
      </c>
      <c r="L309" s="203" t="str">
        <f>IF($A309&gt;MAX(入力シート!$AF$6:$AF$505),"",INDEX(テーブル22[[学年]:[得点]],MATCH(体力優良証交付申請!$A309,入力シート!$AF$6:$AF$505,0),MATCH(体力優良証交付申請!L$14,テーブル22[[#Headers],[学年]:[得点]],0)))</f>
        <v/>
      </c>
      <c r="M309" s="28" t="str">
        <f>IF($A309&gt;MAX(入力シート!$AF$6:$AF$505),"",INDEX(テーブル22[[学年]:[得点]],MATCH(体力優良証交付申請!$A309,入力シート!$AF$6:$AF$505,0),MATCH(体力優良証交付申請!M$14,テーブル22[[#Headers],[学年]:[得点]],0)))</f>
        <v/>
      </c>
    </row>
    <row r="310" spans="1:13" x14ac:dyDescent="0.2">
      <c r="A310" s="16">
        <v>296</v>
      </c>
      <c r="B310" s="130" t="str">
        <f>IF($A310&gt;MAX(入力シート!$AF$6:$AF$505),"",INDEX(テーブル22[[学年]:[得点]],MATCH(体力優良証交付申請!$A310,入力シート!$AF$6:$AF$505,0),MATCH(体力優良証交付申請!B$14,テーブル22[[#Headers],[学年]:[得点]],0)))</f>
        <v/>
      </c>
      <c r="C310" s="203" t="str">
        <f>IF($A310&gt;MAX(入力シート!$AF$6:$AF$505),"",INDEX(テーブル22[[学年]:[得点]],MATCH(体力優良証交付申請!$A310,入力シート!$AF$6:$AF$505,0),MATCH(体力優良証交付申請!C$14,テーブル22[[#Headers],[学年]:[得点]],0)))</f>
        <v/>
      </c>
      <c r="D310" s="203" t="str">
        <f>IF($A310&gt;MAX(入力シート!$AF$6:$AF$505),"",INDEX(テーブル22[[学年]:[得点]],MATCH(体力優良証交付申請!$A310,入力シート!$AF$6:$AF$505,0),MATCH(体力優良証交付申請!D$14,テーブル22[[#Headers],[学年]:[得点]],0)))</f>
        <v/>
      </c>
      <c r="E310" s="203" t="str">
        <f>IF($A310&gt;MAX(入力シート!$AF$6:$AF$505),"",INDEX(テーブル22[[学年]:[得点]],MATCH(体力優良証交付申請!$A310,入力シート!$AF$6:$AF$505,0),MATCH(体力優良証交付申請!E$14,テーブル22[[#Headers],[学年]:[得点]],0)))</f>
        <v/>
      </c>
      <c r="F310" s="203" t="str">
        <f>IF($A310&gt;MAX(入力シート!$AF$6:$AF$505),"",INDEX(テーブル22[[学年]:[得点]],MATCH(体力優良証交付申請!$A310,入力シート!$AF$6:$AF$505,0),MATCH(体力優良証交付申請!F$14,テーブル22[[#Headers],[学年]:[得点]],0)))</f>
        <v/>
      </c>
      <c r="G310" s="203" t="str">
        <f>IF($A310&gt;MAX(入力シート!$AF$6:$AF$505),"",INDEX(テーブル22[[学年]:[得点]],MATCH(体力優良証交付申請!$A310,入力シート!$AF$6:$AF$505,0),MATCH(体力優良証交付申請!G$14,テーブル22[[#Headers],[学年]:[得点]],0)))</f>
        <v/>
      </c>
      <c r="H310" s="203" t="str">
        <f>IF($A310&gt;MAX(入力シート!$AF$6:$AF$505),"",INDEX(テーブル22[[学年]:[得点]],MATCH(体力優良証交付申請!$A310,入力シート!$AF$6:$AF$505,0),MATCH(体力優良証交付申請!H$14,テーブル22[[#Headers],[学年]:[得点]],0)))</f>
        <v/>
      </c>
      <c r="I310" s="203" t="str">
        <f>IF($A310&gt;MAX(入力シート!$AF$6:$AF$505),"",INDEX(テーブル22[[学年]:[得点]],MATCH(体力優良証交付申請!$A310,入力シート!$AF$6:$AF$505,0),MATCH(体力優良証交付申請!I$14,テーブル22[[#Headers],[学年]:[得点]],0)))</f>
        <v/>
      </c>
      <c r="J310" s="114" t="str">
        <f>IF($A310&gt;MAX(入力シート!$AF$6:$AF$505),"",INDEX(テーブル22[[学年]:[得点]],MATCH(体力優良証交付申請!$A310,入力シート!$AF$6:$AF$505,0),MATCH(体力優良証交付申請!J$14,テーブル22[[#Headers],[学年]:[得点]],0)))</f>
        <v/>
      </c>
      <c r="K310" s="203" t="str">
        <f>IF($A310&gt;MAX(入力シート!$AF$6:$AF$505),"",INDEX(テーブル22[[学年]:[得点]],MATCH(体力優良証交付申請!$A310,入力シート!$AF$6:$AF$505,0),MATCH(体力優良証交付申請!K$14,テーブル22[[#Headers],[学年]:[得点]],0)))</f>
        <v/>
      </c>
      <c r="L310" s="203" t="str">
        <f>IF($A310&gt;MAX(入力シート!$AF$6:$AF$505),"",INDEX(テーブル22[[学年]:[得点]],MATCH(体力優良証交付申請!$A310,入力シート!$AF$6:$AF$505,0),MATCH(体力優良証交付申請!L$14,テーブル22[[#Headers],[学年]:[得点]],0)))</f>
        <v/>
      </c>
      <c r="M310" s="28" t="str">
        <f>IF($A310&gt;MAX(入力シート!$AF$6:$AF$505),"",INDEX(テーブル22[[学年]:[得点]],MATCH(体力優良証交付申請!$A310,入力シート!$AF$6:$AF$505,0),MATCH(体力優良証交付申請!M$14,テーブル22[[#Headers],[学年]:[得点]],0)))</f>
        <v/>
      </c>
    </row>
    <row r="311" spans="1:13" x14ac:dyDescent="0.2">
      <c r="A311" s="16">
        <v>297</v>
      </c>
      <c r="B311" s="130" t="str">
        <f>IF($A311&gt;MAX(入力シート!$AF$6:$AF$505),"",INDEX(テーブル22[[学年]:[得点]],MATCH(体力優良証交付申請!$A311,入力シート!$AF$6:$AF$505,0),MATCH(体力優良証交付申請!B$14,テーブル22[[#Headers],[学年]:[得点]],0)))</f>
        <v/>
      </c>
      <c r="C311" s="203" t="str">
        <f>IF($A311&gt;MAX(入力シート!$AF$6:$AF$505),"",INDEX(テーブル22[[学年]:[得点]],MATCH(体力優良証交付申請!$A311,入力シート!$AF$6:$AF$505,0),MATCH(体力優良証交付申請!C$14,テーブル22[[#Headers],[学年]:[得点]],0)))</f>
        <v/>
      </c>
      <c r="D311" s="203" t="str">
        <f>IF($A311&gt;MAX(入力シート!$AF$6:$AF$505),"",INDEX(テーブル22[[学年]:[得点]],MATCH(体力優良証交付申請!$A311,入力シート!$AF$6:$AF$505,0),MATCH(体力優良証交付申請!D$14,テーブル22[[#Headers],[学年]:[得点]],0)))</f>
        <v/>
      </c>
      <c r="E311" s="203" t="str">
        <f>IF($A311&gt;MAX(入力シート!$AF$6:$AF$505),"",INDEX(テーブル22[[学年]:[得点]],MATCH(体力優良証交付申請!$A311,入力シート!$AF$6:$AF$505,0),MATCH(体力優良証交付申請!E$14,テーブル22[[#Headers],[学年]:[得点]],0)))</f>
        <v/>
      </c>
      <c r="F311" s="203" t="str">
        <f>IF($A311&gt;MAX(入力シート!$AF$6:$AF$505),"",INDEX(テーブル22[[学年]:[得点]],MATCH(体力優良証交付申請!$A311,入力シート!$AF$6:$AF$505,0),MATCH(体力優良証交付申請!F$14,テーブル22[[#Headers],[学年]:[得点]],0)))</f>
        <v/>
      </c>
      <c r="G311" s="203" t="str">
        <f>IF($A311&gt;MAX(入力シート!$AF$6:$AF$505),"",INDEX(テーブル22[[学年]:[得点]],MATCH(体力優良証交付申請!$A311,入力シート!$AF$6:$AF$505,0),MATCH(体力優良証交付申請!G$14,テーブル22[[#Headers],[学年]:[得点]],0)))</f>
        <v/>
      </c>
      <c r="H311" s="203" t="str">
        <f>IF($A311&gt;MAX(入力シート!$AF$6:$AF$505),"",INDEX(テーブル22[[学年]:[得点]],MATCH(体力優良証交付申請!$A311,入力シート!$AF$6:$AF$505,0),MATCH(体力優良証交付申請!H$14,テーブル22[[#Headers],[学年]:[得点]],0)))</f>
        <v/>
      </c>
      <c r="I311" s="203" t="str">
        <f>IF($A311&gt;MAX(入力シート!$AF$6:$AF$505),"",INDEX(テーブル22[[学年]:[得点]],MATCH(体力優良証交付申請!$A311,入力シート!$AF$6:$AF$505,0),MATCH(体力優良証交付申請!I$14,テーブル22[[#Headers],[学年]:[得点]],0)))</f>
        <v/>
      </c>
      <c r="J311" s="114" t="str">
        <f>IF($A311&gt;MAX(入力シート!$AF$6:$AF$505),"",INDEX(テーブル22[[学年]:[得点]],MATCH(体力優良証交付申請!$A311,入力シート!$AF$6:$AF$505,0),MATCH(体力優良証交付申請!J$14,テーブル22[[#Headers],[学年]:[得点]],0)))</f>
        <v/>
      </c>
      <c r="K311" s="203" t="str">
        <f>IF($A311&gt;MAX(入力シート!$AF$6:$AF$505),"",INDEX(テーブル22[[学年]:[得点]],MATCH(体力優良証交付申請!$A311,入力シート!$AF$6:$AF$505,0),MATCH(体力優良証交付申請!K$14,テーブル22[[#Headers],[学年]:[得点]],0)))</f>
        <v/>
      </c>
      <c r="L311" s="203" t="str">
        <f>IF($A311&gt;MAX(入力シート!$AF$6:$AF$505),"",INDEX(テーブル22[[学年]:[得点]],MATCH(体力優良証交付申請!$A311,入力シート!$AF$6:$AF$505,0),MATCH(体力優良証交付申請!L$14,テーブル22[[#Headers],[学年]:[得点]],0)))</f>
        <v/>
      </c>
      <c r="M311" s="28" t="str">
        <f>IF($A311&gt;MAX(入力シート!$AF$6:$AF$505),"",INDEX(テーブル22[[学年]:[得点]],MATCH(体力優良証交付申請!$A311,入力シート!$AF$6:$AF$505,0),MATCH(体力優良証交付申請!M$14,テーブル22[[#Headers],[学年]:[得点]],0)))</f>
        <v/>
      </c>
    </row>
    <row r="312" spans="1:13" x14ac:dyDescent="0.2">
      <c r="A312" s="16">
        <v>298</v>
      </c>
      <c r="B312" s="130" t="str">
        <f>IF($A312&gt;MAX(入力シート!$AF$6:$AF$505),"",INDEX(テーブル22[[学年]:[得点]],MATCH(体力優良証交付申請!$A312,入力シート!$AF$6:$AF$505,0),MATCH(体力優良証交付申請!B$14,テーブル22[[#Headers],[学年]:[得点]],0)))</f>
        <v/>
      </c>
      <c r="C312" s="203" t="str">
        <f>IF($A312&gt;MAX(入力シート!$AF$6:$AF$505),"",INDEX(テーブル22[[学年]:[得点]],MATCH(体力優良証交付申請!$A312,入力シート!$AF$6:$AF$505,0),MATCH(体力優良証交付申請!C$14,テーブル22[[#Headers],[学年]:[得点]],0)))</f>
        <v/>
      </c>
      <c r="D312" s="203" t="str">
        <f>IF($A312&gt;MAX(入力シート!$AF$6:$AF$505),"",INDEX(テーブル22[[学年]:[得点]],MATCH(体力優良証交付申請!$A312,入力シート!$AF$6:$AF$505,0),MATCH(体力優良証交付申請!D$14,テーブル22[[#Headers],[学年]:[得点]],0)))</f>
        <v/>
      </c>
      <c r="E312" s="203" t="str">
        <f>IF($A312&gt;MAX(入力シート!$AF$6:$AF$505),"",INDEX(テーブル22[[学年]:[得点]],MATCH(体力優良証交付申請!$A312,入力シート!$AF$6:$AF$505,0),MATCH(体力優良証交付申請!E$14,テーブル22[[#Headers],[学年]:[得点]],0)))</f>
        <v/>
      </c>
      <c r="F312" s="203" t="str">
        <f>IF($A312&gt;MAX(入力シート!$AF$6:$AF$505),"",INDEX(テーブル22[[学年]:[得点]],MATCH(体力優良証交付申請!$A312,入力シート!$AF$6:$AF$505,0),MATCH(体力優良証交付申請!F$14,テーブル22[[#Headers],[学年]:[得点]],0)))</f>
        <v/>
      </c>
      <c r="G312" s="203" t="str">
        <f>IF($A312&gt;MAX(入力シート!$AF$6:$AF$505),"",INDEX(テーブル22[[学年]:[得点]],MATCH(体力優良証交付申請!$A312,入力シート!$AF$6:$AF$505,0),MATCH(体力優良証交付申請!G$14,テーブル22[[#Headers],[学年]:[得点]],0)))</f>
        <v/>
      </c>
      <c r="H312" s="203" t="str">
        <f>IF($A312&gt;MAX(入力シート!$AF$6:$AF$505),"",INDEX(テーブル22[[学年]:[得点]],MATCH(体力優良証交付申請!$A312,入力シート!$AF$6:$AF$505,0),MATCH(体力優良証交付申請!H$14,テーブル22[[#Headers],[学年]:[得点]],0)))</f>
        <v/>
      </c>
      <c r="I312" s="203" t="str">
        <f>IF($A312&gt;MAX(入力シート!$AF$6:$AF$505),"",INDEX(テーブル22[[学年]:[得点]],MATCH(体力優良証交付申請!$A312,入力シート!$AF$6:$AF$505,0),MATCH(体力優良証交付申請!I$14,テーブル22[[#Headers],[学年]:[得点]],0)))</f>
        <v/>
      </c>
      <c r="J312" s="114" t="str">
        <f>IF($A312&gt;MAX(入力シート!$AF$6:$AF$505),"",INDEX(テーブル22[[学年]:[得点]],MATCH(体力優良証交付申請!$A312,入力シート!$AF$6:$AF$505,0),MATCH(体力優良証交付申請!J$14,テーブル22[[#Headers],[学年]:[得点]],0)))</f>
        <v/>
      </c>
      <c r="K312" s="203" t="str">
        <f>IF($A312&gt;MAX(入力シート!$AF$6:$AF$505),"",INDEX(テーブル22[[学年]:[得点]],MATCH(体力優良証交付申請!$A312,入力シート!$AF$6:$AF$505,0),MATCH(体力優良証交付申請!K$14,テーブル22[[#Headers],[学年]:[得点]],0)))</f>
        <v/>
      </c>
      <c r="L312" s="203" t="str">
        <f>IF($A312&gt;MAX(入力シート!$AF$6:$AF$505),"",INDEX(テーブル22[[学年]:[得点]],MATCH(体力優良証交付申請!$A312,入力シート!$AF$6:$AF$505,0),MATCH(体力優良証交付申請!L$14,テーブル22[[#Headers],[学年]:[得点]],0)))</f>
        <v/>
      </c>
      <c r="M312" s="28" t="str">
        <f>IF($A312&gt;MAX(入力シート!$AF$6:$AF$505),"",INDEX(テーブル22[[学年]:[得点]],MATCH(体力優良証交付申請!$A312,入力シート!$AF$6:$AF$505,0),MATCH(体力優良証交付申請!M$14,テーブル22[[#Headers],[学年]:[得点]],0)))</f>
        <v/>
      </c>
    </row>
    <row r="313" spans="1:13" x14ac:dyDescent="0.2">
      <c r="A313" s="16">
        <v>299</v>
      </c>
      <c r="B313" s="130" t="str">
        <f>IF($A313&gt;MAX(入力シート!$AF$6:$AF$505),"",INDEX(テーブル22[[学年]:[得点]],MATCH(体力優良証交付申請!$A313,入力シート!$AF$6:$AF$505,0),MATCH(体力優良証交付申請!B$14,テーブル22[[#Headers],[学年]:[得点]],0)))</f>
        <v/>
      </c>
      <c r="C313" s="203" t="str">
        <f>IF($A313&gt;MAX(入力シート!$AF$6:$AF$505),"",INDEX(テーブル22[[学年]:[得点]],MATCH(体力優良証交付申請!$A313,入力シート!$AF$6:$AF$505,0),MATCH(体力優良証交付申請!C$14,テーブル22[[#Headers],[学年]:[得点]],0)))</f>
        <v/>
      </c>
      <c r="D313" s="203" t="str">
        <f>IF($A313&gt;MAX(入力シート!$AF$6:$AF$505),"",INDEX(テーブル22[[学年]:[得点]],MATCH(体力優良証交付申請!$A313,入力シート!$AF$6:$AF$505,0),MATCH(体力優良証交付申請!D$14,テーブル22[[#Headers],[学年]:[得点]],0)))</f>
        <v/>
      </c>
      <c r="E313" s="203" t="str">
        <f>IF($A313&gt;MAX(入力シート!$AF$6:$AF$505),"",INDEX(テーブル22[[学年]:[得点]],MATCH(体力優良証交付申請!$A313,入力シート!$AF$6:$AF$505,0),MATCH(体力優良証交付申請!E$14,テーブル22[[#Headers],[学年]:[得点]],0)))</f>
        <v/>
      </c>
      <c r="F313" s="203" t="str">
        <f>IF($A313&gt;MAX(入力シート!$AF$6:$AF$505),"",INDEX(テーブル22[[学年]:[得点]],MATCH(体力優良証交付申請!$A313,入力シート!$AF$6:$AF$505,0),MATCH(体力優良証交付申請!F$14,テーブル22[[#Headers],[学年]:[得点]],0)))</f>
        <v/>
      </c>
      <c r="G313" s="203" t="str">
        <f>IF($A313&gt;MAX(入力シート!$AF$6:$AF$505),"",INDEX(テーブル22[[学年]:[得点]],MATCH(体力優良証交付申請!$A313,入力シート!$AF$6:$AF$505,0),MATCH(体力優良証交付申請!G$14,テーブル22[[#Headers],[学年]:[得点]],0)))</f>
        <v/>
      </c>
      <c r="H313" s="203" t="str">
        <f>IF($A313&gt;MAX(入力シート!$AF$6:$AF$505),"",INDEX(テーブル22[[学年]:[得点]],MATCH(体力優良証交付申請!$A313,入力シート!$AF$6:$AF$505,0),MATCH(体力優良証交付申請!H$14,テーブル22[[#Headers],[学年]:[得点]],0)))</f>
        <v/>
      </c>
      <c r="I313" s="203" t="str">
        <f>IF($A313&gt;MAX(入力シート!$AF$6:$AF$505),"",INDEX(テーブル22[[学年]:[得点]],MATCH(体力優良証交付申請!$A313,入力シート!$AF$6:$AF$505,0),MATCH(体力優良証交付申請!I$14,テーブル22[[#Headers],[学年]:[得点]],0)))</f>
        <v/>
      </c>
      <c r="J313" s="114" t="str">
        <f>IF($A313&gt;MAX(入力シート!$AF$6:$AF$505),"",INDEX(テーブル22[[学年]:[得点]],MATCH(体力優良証交付申請!$A313,入力シート!$AF$6:$AF$505,0),MATCH(体力優良証交付申請!J$14,テーブル22[[#Headers],[学年]:[得点]],0)))</f>
        <v/>
      </c>
      <c r="K313" s="203" t="str">
        <f>IF($A313&gt;MAX(入力シート!$AF$6:$AF$505),"",INDEX(テーブル22[[学年]:[得点]],MATCH(体力優良証交付申請!$A313,入力シート!$AF$6:$AF$505,0),MATCH(体力優良証交付申請!K$14,テーブル22[[#Headers],[学年]:[得点]],0)))</f>
        <v/>
      </c>
      <c r="L313" s="203" t="str">
        <f>IF($A313&gt;MAX(入力シート!$AF$6:$AF$505),"",INDEX(テーブル22[[学年]:[得点]],MATCH(体力優良証交付申請!$A313,入力シート!$AF$6:$AF$505,0),MATCH(体力優良証交付申請!L$14,テーブル22[[#Headers],[学年]:[得点]],0)))</f>
        <v/>
      </c>
      <c r="M313" s="28" t="str">
        <f>IF($A313&gt;MAX(入力シート!$AF$6:$AF$505),"",INDEX(テーブル22[[学年]:[得点]],MATCH(体力優良証交付申請!$A313,入力シート!$AF$6:$AF$505,0),MATCH(体力優良証交付申請!M$14,テーブル22[[#Headers],[学年]:[得点]],0)))</f>
        <v/>
      </c>
    </row>
    <row r="314" spans="1:13" x14ac:dyDescent="0.2">
      <c r="A314" s="16">
        <v>300</v>
      </c>
      <c r="B314" s="130" t="str">
        <f>IF($A314&gt;MAX(入力シート!$AF$6:$AF$505),"",INDEX(テーブル22[[学年]:[得点]],MATCH(体力優良証交付申請!$A314,入力シート!$AF$6:$AF$505,0),MATCH(体力優良証交付申請!B$14,テーブル22[[#Headers],[学年]:[得点]],0)))</f>
        <v/>
      </c>
      <c r="C314" s="203" t="str">
        <f>IF($A314&gt;MAX(入力シート!$AF$6:$AF$505),"",INDEX(テーブル22[[学年]:[得点]],MATCH(体力優良証交付申請!$A314,入力シート!$AF$6:$AF$505,0),MATCH(体力優良証交付申請!C$14,テーブル22[[#Headers],[学年]:[得点]],0)))</f>
        <v/>
      </c>
      <c r="D314" s="203" t="str">
        <f>IF($A314&gt;MAX(入力シート!$AF$6:$AF$505),"",INDEX(テーブル22[[学年]:[得点]],MATCH(体力優良証交付申請!$A314,入力シート!$AF$6:$AF$505,0),MATCH(体力優良証交付申請!D$14,テーブル22[[#Headers],[学年]:[得点]],0)))</f>
        <v/>
      </c>
      <c r="E314" s="203" t="str">
        <f>IF($A314&gt;MAX(入力シート!$AF$6:$AF$505),"",INDEX(テーブル22[[学年]:[得点]],MATCH(体力優良証交付申請!$A314,入力シート!$AF$6:$AF$505,0),MATCH(体力優良証交付申請!E$14,テーブル22[[#Headers],[学年]:[得点]],0)))</f>
        <v/>
      </c>
      <c r="F314" s="203" t="str">
        <f>IF($A314&gt;MAX(入力シート!$AF$6:$AF$505),"",INDEX(テーブル22[[学年]:[得点]],MATCH(体力優良証交付申請!$A314,入力シート!$AF$6:$AF$505,0),MATCH(体力優良証交付申請!F$14,テーブル22[[#Headers],[学年]:[得点]],0)))</f>
        <v/>
      </c>
      <c r="G314" s="203" t="str">
        <f>IF($A314&gt;MAX(入力シート!$AF$6:$AF$505),"",INDEX(テーブル22[[学年]:[得点]],MATCH(体力優良証交付申請!$A314,入力シート!$AF$6:$AF$505,0),MATCH(体力優良証交付申請!G$14,テーブル22[[#Headers],[学年]:[得点]],0)))</f>
        <v/>
      </c>
      <c r="H314" s="203" t="str">
        <f>IF($A314&gt;MAX(入力シート!$AF$6:$AF$505),"",INDEX(テーブル22[[学年]:[得点]],MATCH(体力優良証交付申請!$A314,入力シート!$AF$6:$AF$505,0),MATCH(体力優良証交付申請!H$14,テーブル22[[#Headers],[学年]:[得点]],0)))</f>
        <v/>
      </c>
      <c r="I314" s="203" t="str">
        <f>IF($A314&gt;MAX(入力シート!$AF$6:$AF$505),"",INDEX(テーブル22[[学年]:[得点]],MATCH(体力優良証交付申請!$A314,入力シート!$AF$6:$AF$505,0),MATCH(体力優良証交付申請!I$14,テーブル22[[#Headers],[学年]:[得点]],0)))</f>
        <v/>
      </c>
      <c r="J314" s="114" t="str">
        <f>IF($A314&gt;MAX(入力シート!$AF$6:$AF$505),"",INDEX(テーブル22[[学年]:[得点]],MATCH(体力優良証交付申請!$A314,入力シート!$AF$6:$AF$505,0),MATCH(体力優良証交付申請!J$14,テーブル22[[#Headers],[学年]:[得点]],0)))</f>
        <v/>
      </c>
      <c r="K314" s="203" t="str">
        <f>IF($A314&gt;MAX(入力シート!$AF$6:$AF$505),"",INDEX(テーブル22[[学年]:[得点]],MATCH(体力優良証交付申請!$A314,入力シート!$AF$6:$AF$505,0),MATCH(体力優良証交付申請!K$14,テーブル22[[#Headers],[学年]:[得点]],0)))</f>
        <v/>
      </c>
      <c r="L314" s="203" t="str">
        <f>IF($A314&gt;MAX(入力シート!$AF$6:$AF$505),"",INDEX(テーブル22[[学年]:[得点]],MATCH(体力優良証交付申請!$A314,入力シート!$AF$6:$AF$505,0),MATCH(体力優良証交付申請!L$14,テーブル22[[#Headers],[学年]:[得点]],0)))</f>
        <v/>
      </c>
      <c r="M314" s="28" t="str">
        <f>IF($A314&gt;MAX(入力シート!$AF$6:$AF$505),"",INDEX(テーブル22[[学年]:[得点]],MATCH(体力優良証交付申請!$A314,入力シート!$AF$6:$AF$505,0),MATCH(体力優良証交付申請!M$14,テーブル22[[#Headers],[学年]:[得点]],0)))</f>
        <v/>
      </c>
    </row>
  </sheetData>
  <sheetProtection algorithmName="SHA-512" hashValue="4VCJeTggDqAYwcjqHW7aCpcZvZLEK1E8eiMcX49FeTrBk3QOkRBeoFlfBhigKNaU7z9bNQBn0HHg/LtaMfWfqw==" saltValue="K/QqavzJKPlHGEM6yo3QDQ==" spinCount="100000" sheet="1" objects="1" scenarios="1"/>
  <protectedRanges>
    <protectedRange sqref="H4:I4" name="範囲1"/>
  </protectedRanges>
  <mergeCells count="8">
    <mergeCell ref="E13:M13"/>
    <mergeCell ref="A6:C6"/>
    <mergeCell ref="A2:M2"/>
    <mergeCell ref="G8:H8"/>
    <mergeCell ref="G9:H9"/>
    <mergeCell ref="H4:I4"/>
    <mergeCell ref="I8:N8"/>
    <mergeCell ref="I9:N9"/>
  </mergeCells>
  <phoneticPr fontId="1"/>
  <dataValidations count="3">
    <dataValidation type="list" allowBlank="1" showInputMessage="1" showErrorMessage="1" sqref="J4" xr:uid="{00000000-0002-0000-0300-000000000000}">
      <formula1>"4,5,6,7,8,9,10,11,12"</formula1>
    </dataValidation>
    <dataValidation type="list" allowBlank="1" showInputMessage="1" showErrorMessage="1" sqref="L4" xr:uid="{00000000-0002-0000-0300-000001000000}">
      <formula1>"1,2,3,4,5,6,7,8,9,10,11,12,13,14,15,16,17,18,19,20,21,22,23,24,25,26,27,28,29,30,31"</formula1>
    </dataValidation>
    <dataValidation type="list" allowBlank="1" showInputMessage="1" showErrorMessage="1" sqref="H4:I4" xr:uid="{00000000-0002-0000-0300-000002000000}">
      <formula1>"令和2年,令和3年,令和4年,令和5年,令和6年"</formula1>
    </dataValidation>
  </dataValidations>
  <printOptions horizontalCentered="1"/>
  <pageMargins left="0.59055118110236227"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3CC"/>
    <pageSetUpPr fitToPage="1"/>
  </sheetPr>
  <dimension ref="A1:Q16"/>
  <sheetViews>
    <sheetView topLeftCell="A11" zoomScaleNormal="100" workbookViewId="0">
      <selection activeCell="A11" sqref="A11:A16"/>
    </sheetView>
  </sheetViews>
  <sheetFormatPr defaultRowHeight="13" x14ac:dyDescent="0.2"/>
  <cols>
    <col min="1" max="1" width="5.90625" style="34" customWidth="1"/>
    <col min="2" max="3" width="6.36328125" style="34" customWidth="1"/>
    <col min="4" max="5" width="8.453125" style="34" bestFit="1" customWidth="1"/>
    <col min="6" max="6" width="8.453125" style="34" customWidth="1"/>
    <col min="7" max="12" width="8.453125" style="34" bestFit="1" customWidth="1"/>
    <col min="13" max="13" width="8.7265625" style="34" customWidth="1"/>
    <col min="14" max="14" width="9.36328125" style="34" customWidth="1"/>
    <col min="15" max="15" width="8.6328125" style="34" customWidth="1"/>
    <col min="16" max="18" width="3.7265625" style="34" customWidth="1"/>
    <col min="19" max="19" width="5.90625" style="34" customWidth="1"/>
    <col min="20" max="255" width="9" style="34"/>
    <col min="256" max="256" width="3.453125" style="34" bestFit="1" customWidth="1"/>
    <col min="257" max="257" width="13.08984375" style="34" customWidth="1"/>
    <col min="258" max="269" width="5.26953125" style="34" customWidth="1"/>
    <col min="270" max="270" width="3.7265625" style="34" customWidth="1"/>
    <col min="271" max="271" width="2.6328125" style="34" customWidth="1"/>
    <col min="272" max="274" width="3.7265625" style="34" customWidth="1"/>
    <col min="275" max="275" width="5.90625" style="34" customWidth="1"/>
    <col min="276" max="511" width="9" style="34"/>
    <col min="512" max="512" width="3.453125" style="34" bestFit="1" customWidth="1"/>
    <col min="513" max="513" width="13.08984375" style="34" customWidth="1"/>
    <col min="514" max="525" width="5.26953125" style="34" customWidth="1"/>
    <col min="526" max="526" width="3.7265625" style="34" customWidth="1"/>
    <col min="527" max="527" width="2.6328125" style="34" customWidth="1"/>
    <col min="528" max="530" width="3.7265625" style="34" customWidth="1"/>
    <col min="531" max="531" width="5.90625" style="34" customWidth="1"/>
    <col min="532" max="767" width="9" style="34"/>
    <col min="768" max="768" width="3.453125" style="34" bestFit="1" customWidth="1"/>
    <col min="769" max="769" width="13.08984375" style="34" customWidth="1"/>
    <col min="770" max="781" width="5.26953125" style="34" customWidth="1"/>
    <col min="782" max="782" width="3.7265625" style="34" customWidth="1"/>
    <col min="783" max="783" width="2.6328125" style="34" customWidth="1"/>
    <col min="784" max="786" width="3.7265625" style="34" customWidth="1"/>
    <col min="787" max="787" width="5.90625" style="34" customWidth="1"/>
    <col min="788" max="1023" width="9" style="34"/>
    <col min="1024" max="1024" width="3.453125" style="34" bestFit="1" customWidth="1"/>
    <col min="1025" max="1025" width="13.08984375" style="34" customWidth="1"/>
    <col min="1026" max="1037" width="5.26953125" style="34" customWidth="1"/>
    <col min="1038" max="1038" width="3.7265625" style="34" customWidth="1"/>
    <col min="1039" max="1039" width="2.6328125" style="34" customWidth="1"/>
    <col min="1040" max="1042" width="3.7265625" style="34" customWidth="1"/>
    <col min="1043" max="1043" width="5.90625" style="34" customWidth="1"/>
    <col min="1044" max="1279" width="9" style="34"/>
    <col min="1280" max="1280" width="3.453125" style="34" bestFit="1" customWidth="1"/>
    <col min="1281" max="1281" width="13.08984375" style="34" customWidth="1"/>
    <col min="1282" max="1293" width="5.26953125" style="34" customWidth="1"/>
    <col min="1294" max="1294" width="3.7265625" style="34" customWidth="1"/>
    <col min="1295" max="1295" width="2.6328125" style="34" customWidth="1"/>
    <col min="1296" max="1298" width="3.7265625" style="34" customWidth="1"/>
    <col min="1299" max="1299" width="5.90625" style="34" customWidth="1"/>
    <col min="1300" max="1535" width="9" style="34"/>
    <col min="1536" max="1536" width="3.453125" style="34" bestFit="1" customWidth="1"/>
    <col min="1537" max="1537" width="13.08984375" style="34" customWidth="1"/>
    <col min="1538" max="1549" width="5.26953125" style="34" customWidth="1"/>
    <col min="1550" max="1550" width="3.7265625" style="34" customWidth="1"/>
    <col min="1551" max="1551" width="2.6328125" style="34" customWidth="1"/>
    <col min="1552" max="1554" width="3.7265625" style="34" customWidth="1"/>
    <col min="1555" max="1555" width="5.90625" style="34" customWidth="1"/>
    <col min="1556" max="1791" width="9" style="34"/>
    <col min="1792" max="1792" width="3.453125" style="34" bestFit="1" customWidth="1"/>
    <col min="1793" max="1793" width="13.08984375" style="34" customWidth="1"/>
    <col min="1794" max="1805" width="5.26953125" style="34" customWidth="1"/>
    <col min="1806" max="1806" width="3.7265625" style="34" customWidth="1"/>
    <col min="1807" max="1807" width="2.6328125" style="34" customWidth="1"/>
    <col min="1808" max="1810" width="3.7265625" style="34" customWidth="1"/>
    <col min="1811" max="1811" width="5.90625" style="34" customWidth="1"/>
    <col min="1812" max="2047" width="9" style="34"/>
    <col min="2048" max="2048" width="3.453125" style="34" bestFit="1" customWidth="1"/>
    <col min="2049" max="2049" width="13.08984375" style="34" customWidth="1"/>
    <col min="2050" max="2061" width="5.26953125" style="34" customWidth="1"/>
    <col min="2062" max="2062" width="3.7265625" style="34" customWidth="1"/>
    <col min="2063" max="2063" width="2.6328125" style="34" customWidth="1"/>
    <col min="2064" max="2066" width="3.7265625" style="34" customWidth="1"/>
    <col min="2067" max="2067" width="5.90625" style="34" customWidth="1"/>
    <col min="2068" max="2303" width="9" style="34"/>
    <col min="2304" max="2304" width="3.453125" style="34" bestFit="1" customWidth="1"/>
    <col min="2305" max="2305" width="13.08984375" style="34" customWidth="1"/>
    <col min="2306" max="2317" width="5.26953125" style="34" customWidth="1"/>
    <col min="2318" max="2318" width="3.7265625" style="34" customWidth="1"/>
    <col min="2319" max="2319" width="2.6328125" style="34" customWidth="1"/>
    <col min="2320" max="2322" width="3.7265625" style="34" customWidth="1"/>
    <col min="2323" max="2323" width="5.90625" style="34" customWidth="1"/>
    <col min="2324" max="2559" width="9" style="34"/>
    <col min="2560" max="2560" width="3.453125" style="34" bestFit="1" customWidth="1"/>
    <col min="2561" max="2561" width="13.08984375" style="34" customWidth="1"/>
    <col min="2562" max="2573" width="5.26953125" style="34" customWidth="1"/>
    <col min="2574" max="2574" width="3.7265625" style="34" customWidth="1"/>
    <col min="2575" max="2575" width="2.6328125" style="34" customWidth="1"/>
    <col min="2576" max="2578" width="3.7265625" style="34" customWidth="1"/>
    <col min="2579" max="2579" width="5.90625" style="34" customWidth="1"/>
    <col min="2580" max="2815" width="9" style="34"/>
    <col min="2816" max="2816" width="3.453125" style="34" bestFit="1" customWidth="1"/>
    <col min="2817" max="2817" width="13.08984375" style="34" customWidth="1"/>
    <col min="2818" max="2829" width="5.26953125" style="34" customWidth="1"/>
    <col min="2830" max="2830" width="3.7265625" style="34" customWidth="1"/>
    <col min="2831" max="2831" width="2.6328125" style="34" customWidth="1"/>
    <col min="2832" max="2834" width="3.7265625" style="34" customWidth="1"/>
    <col min="2835" max="2835" width="5.90625" style="34" customWidth="1"/>
    <col min="2836" max="3071" width="9" style="34"/>
    <col min="3072" max="3072" width="3.453125" style="34" bestFit="1" customWidth="1"/>
    <col min="3073" max="3073" width="13.08984375" style="34" customWidth="1"/>
    <col min="3074" max="3085" width="5.26953125" style="34" customWidth="1"/>
    <col min="3086" max="3086" width="3.7265625" style="34" customWidth="1"/>
    <col min="3087" max="3087" width="2.6328125" style="34" customWidth="1"/>
    <col min="3088" max="3090" width="3.7265625" style="34" customWidth="1"/>
    <col min="3091" max="3091" width="5.90625" style="34" customWidth="1"/>
    <col min="3092" max="3327" width="9" style="34"/>
    <col min="3328" max="3328" width="3.453125" style="34" bestFit="1" customWidth="1"/>
    <col min="3329" max="3329" width="13.08984375" style="34" customWidth="1"/>
    <col min="3330" max="3341" width="5.26953125" style="34" customWidth="1"/>
    <col min="3342" max="3342" width="3.7265625" style="34" customWidth="1"/>
    <col min="3343" max="3343" width="2.6328125" style="34" customWidth="1"/>
    <col min="3344" max="3346" width="3.7265625" style="34" customWidth="1"/>
    <col min="3347" max="3347" width="5.90625" style="34" customWidth="1"/>
    <col min="3348" max="3583" width="9" style="34"/>
    <col min="3584" max="3584" width="3.453125" style="34" bestFit="1" customWidth="1"/>
    <col min="3585" max="3585" width="13.08984375" style="34" customWidth="1"/>
    <col min="3586" max="3597" width="5.26953125" style="34" customWidth="1"/>
    <col min="3598" max="3598" width="3.7265625" style="34" customWidth="1"/>
    <col min="3599" max="3599" width="2.6328125" style="34" customWidth="1"/>
    <col min="3600" max="3602" width="3.7265625" style="34" customWidth="1"/>
    <col min="3603" max="3603" width="5.90625" style="34" customWidth="1"/>
    <col min="3604" max="3839" width="9" style="34"/>
    <col min="3840" max="3840" width="3.453125" style="34" bestFit="1" customWidth="1"/>
    <col min="3841" max="3841" width="13.08984375" style="34" customWidth="1"/>
    <col min="3842" max="3853" width="5.26953125" style="34" customWidth="1"/>
    <col min="3854" max="3854" width="3.7265625" style="34" customWidth="1"/>
    <col min="3855" max="3855" width="2.6328125" style="34" customWidth="1"/>
    <col min="3856" max="3858" width="3.7265625" style="34" customWidth="1"/>
    <col min="3859" max="3859" width="5.90625" style="34" customWidth="1"/>
    <col min="3860" max="4095" width="9" style="34"/>
    <col min="4096" max="4096" width="3.453125" style="34" bestFit="1" customWidth="1"/>
    <col min="4097" max="4097" width="13.08984375" style="34" customWidth="1"/>
    <col min="4098" max="4109" width="5.26953125" style="34" customWidth="1"/>
    <col min="4110" max="4110" width="3.7265625" style="34" customWidth="1"/>
    <col min="4111" max="4111" width="2.6328125" style="34" customWidth="1"/>
    <col min="4112" max="4114" width="3.7265625" style="34" customWidth="1"/>
    <col min="4115" max="4115" width="5.90625" style="34" customWidth="1"/>
    <col min="4116" max="4351" width="9" style="34"/>
    <col min="4352" max="4352" width="3.453125" style="34" bestFit="1" customWidth="1"/>
    <col min="4353" max="4353" width="13.08984375" style="34" customWidth="1"/>
    <col min="4354" max="4365" width="5.26953125" style="34" customWidth="1"/>
    <col min="4366" max="4366" width="3.7265625" style="34" customWidth="1"/>
    <col min="4367" max="4367" width="2.6328125" style="34" customWidth="1"/>
    <col min="4368" max="4370" width="3.7265625" style="34" customWidth="1"/>
    <col min="4371" max="4371" width="5.90625" style="34" customWidth="1"/>
    <col min="4372" max="4607" width="9" style="34"/>
    <col min="4608" max="4608" width="3.453125" style="34" bestFit="1" customWidth="1"/>
    <col min="4609" max="4609" width="13.08984375" style="34" customWidth="1"/>
    <col min="4610" max="4621" width="5.26953125" style="34" customWidth="1"/>
    <col min="4622" max="4622" width="3.7265625" style="34" customWidth="1"/>
    <col min="4623" max="4623" width="2.6328125" style="34" customWidth="1"/>
    <col min="4624" max="4626" width="3.7265625" style="34" customWidth="1"/>
    <col min="4627" max="4627" width="5.90625" style="34" customWidth="1"/>
    <col min="4628" max="4863" width="9" style="34"/>
    <col min="4864" max="4864" width="3.453125" style="34" bestFit="1" customWidth="1"/>
    <col min="4865" max="4865" width="13.08984375" style="34" customWidth="1"/>
    <col min="4866" max="4877" width="5.26953125" style="34" customWidth="1"/>
    <col min="4878" max="4878" width="3.7265625" style="34" customWidth="1"/>
    <col min="4879" max="4879" width="2.6328125" style="34" customWidth="1"/>
    <col min="4880" max="4882" width="3.7265625" style="34" customWidth="1"/>
    <col min="4883" max="4883" width="5.90625" style="34" customWidth="1"/>
    <col min="4884" max="5119" width="9" style="34"/>
    <col min="5120" max="5120" width="3.453125" style="34" bestFit="1" customWidth="1"/>
    <col min="5121" max="5121" width="13.08984375" style="34" customWidth="1"/>
    <col min="5122" max="5133" width="5.26953125" style="34" customWidth="1"/>
    <col min="5134" max="5134" width="3.7265625" style="34" customWidth="1"/>
    <col min="5135" max="5135" width="2.6328125" style="34" customWidth="1"/>
    <col min="5136" max="5138" width="3.7265625" style="34" customWidth="1"/>
    <col min="5139" max="5139" width="5.90625" style="34" customWidth="1"/>
    <col min="5140" max="5375" width="9" style="34"/>
    <col min="5376" max="5376" width="3.453125" style="34" bestFit="1" customWidth="1"/>
    <col min="5377" max="5377" width="13.08984375" style="34" customWidth="1"/>
    <col min="5378" max="5389" width="5.26953125" style="34" customWidth="1"/>
    <col min="5390" max="5390" width="3.7265625" style="34" customWidth="1"/>
    <col min="5391" max="5391" width="2.6328125" style="34" customWidth="1"/>
    <col min="5392" max="5394" width="3.7265625" style="34" customWidth="1"/>
    <col min="5395" max="5395" width="5.90625" style="34" customWidth="1"/>
    <col min="5396" max="5631" width="9" style="34"/>
    <col min="5632" max="5632" width="3.453125" style="34" bestFit="1" customWidth="1"/>
    <col min="5633" max="5633" width="13.08984375" style="34" customWidth="1"/>
    <col min="5634" max="5645" width="5.26953125" style="34" customWidth="1"/>
    <col min="5646" max="5646" width="3.7265625" style="34" customWidth="1"/>
    <col min="5647" max="5647" width="2.6328125" style="34" customWidth="1"/>
    <col min="5648" max="5650" width="3.7265625" style="34" customWidth="1"/>
    <col min="5651" max="5651" width="5.90625" style="34" customWidth="1"/>
    <col min="5652" max="5887" width="9" style="34"/>
    <col min="5888" max="5888" width="3.453125" style="34" bestFit="1" customWidth="1"/>
    <col min="5889" max="5889" width="13.08984375" style="34" customWidth="1"/>
    <col min="5890" max="5901" width="5.26953125" style="34" customWidth="1"/>
    <col min="5902" max="5902" width="3.7265625" style="34" customWidth="1"/>
    <col min="5903" max="5903" width="2.6328125" style="34" customWidth="1"/>
    <col min="5904" max="5906" width="3.7265625" style="34" customWidth="1"/>
    <col min="5907" max="5907" width="5.90625" style="34" customWidth="1"/>
    <col min="5908" max="6143" width="9" style="34"/>
    <col min="6144" max="6144" width="3.453125" style="34" bestFit="1" customWidth="1"/>
    <col min="6145" max="6145" width="13.08984375" style="34" customWidth="1"/>
    <col min="6146" max="6157" width="5.26953125" style="34" customWidth="1"/>
    <col min="6158" max="6158" width="3.7265625" style="34" customWidth="1"/>
    <col min="6159" max="6159" width="2.6328125" style="34" customWidth="1"/>
    <col min="6160" max="6162" width="3.7265625" style="34" customWidth="1"/>
    <col min="6163" max="6163" width="5.90625" style="34" customWidth="1"/>
    <col min="6164" max="6399" width="9" style="34"/>
    <col min="6400" max="6400" width="3.453125" style="34" bestFit="1" customWidth="1"/>
    <col min="6401" max="6401" width="13.08984375" style="34" customWidth="1"/>
    <col min="6402" max="6413" width="5.26953125" style="34" customWidth="1"/>
    <col min="6414" max="6414" width="3.7265625" style="34" customWidth="1"/>
    <col min="6415" max="6415" width="2.6328125" style="34" customWidth="1"/>
    <col min="6416" max="6418" width="3.7265625" style="34" customWidth="1"/>
    <col min="6419" max="6419" width="5.90625" style="34" customWidth="1"/>
    <col min="6420" max="6655" width="9" style="34"/>
    <col min="6656" max="6656" width="3.453125" style="34" bestFit="1" customWidth="1"/>
    <col min="6657" max="6657" width="13.08984375" style="34" customWidth="1"/>
    <col min="6658" max="6669" width="5.26953125" style="34" customWidth="1"/>
    <col min="6670" max="6670" width="3.7265625" style="34" customWidth="1"/>
    <col min="6671" max="6671" width="2.6328125" style="34" customWidth="1"/>
    <col min="6672" max="6674" width="3.7265625" style="34" customWidth="1"/>
    <col min="6675" max="6675" width="5.90625" style="34" customWidth="1"/>
    <col min="6676" max="6911" width="9" style="34"/>
    <col min="6912" max="6912" width="3.453125" style="34" bestFit="1" customWidth="1"/>
    <col min="6913" max="6913" width="13.08984375" style="34" customWidth="1"/>
    <col min="6914" max="6925" width="5.26953125" style="34" customWidth="1"/>
    <col min="6926" max="6926" width="3.7265625" style="34" customWidth="1"/>
    <col min="6927" max="6927" width="2.6328125" style="34" customWidth="1"/>
    <col min="6928" max="6930" width="3.7265625" style="34" customWidth="1"/>
    <col min="6931" max="6931" width="5.90625" style="34" customWidth="1"/>
    <col min="6932" max="7167" width="9" style="34"/>
    <col min="7168" max="7168" width="3.453125" style="34" bestFit="1" customWidth="1"/>
    <col min="7169" max="7169" width="13.08984375" style="34" customWidth="1"/>
    <col min="7170" max="7181" width="5.26953125" style="34" customWidth="1"/>
    <col min="7182" max="7182" width="3.7265625" style="34" customWidth="1"/>
    <col min="7183" max="7183" width="2.6328125" style="34" customWidth="1"/>
    <col min="7184" max="7186" width="3.7265625" style="34" customWidth="1"/>
    <col min="7187" max="7187" width="5.90625" style="34" customWidth="1"/>
    <col min="7188" max="7423" width="9" style="34"/>
    <col min="7424" max="7424" width="3.453125" style="34" bestFit="1" customWidth="1"/>
    <col min="7425" max="7425" width="13.08984375" style="34" customWidth="1"/>
    <col min="7426" max="7437" width="5.26953125" style="34" customWidth="1"/>
    <col min="7438" max="7438" width="3.7265625" style="34" customWidth="1"/>
    <col min="7439" max="7439" width="2.6328125" style="34" customWidth="1"/>
    <col min="7440" max="7442" width="3.7265625" style="34" customWidth="1"/>
    <col min="7443" max="7443" width="5.90625" style="34" customWidth="1"/>
    <col min="7444" max="7679" width="9" style="34"/>
    <col min="7680" max="7680" width="3.453125" style="34" bestFit="1" customWidth="1"/>
    <col min="7681" max="7681" width="13.08984375" style="34" customWidth="1"/>
    <col min="7682" max="7693" width="5.26953125" style="34" customWidth="1"/>
    <col min="7694" max="7694" width="3.7265625" style="34" customWidth="1"/>
    <col min="7695" max="7695" width="2.6328125" style="34" customWidth="1"/>
    <col min="7696" max="7698" width="3.7265625" style="34" customWidth="1"/>
    <col min="7699" max="7699" width="5.90625" style="34" customWidth="1"/>
    <col min="7700" max="7935" width="9" style="34"/>
    <col min="7936" max="7936" width="3.453125" style="34" bestFit="1" customWidth="1"/>
    <col min="7937" max="7937" width="13.08984375" style="34" customWidth="1"/>
    <col min="7938" max="7949" width="5.26953125" style="34" customWidth="1"/>
    <col min="7950" max="7950" width="3.7265625" style="34" customWidth="1"/>
    <col min="7951" max="7951" width="2.6328125" style="34" customWidth="1"/>
    <col min="7952" max="7954" width="3.7265625" style="34" customWidth="1"/>
    <col min="7955" max="7955" width="5.90625" style="34" customWidth="1"/>
    <col min="7956" max="8191" width="9" style="34"/>
    <col min="8192" max="8192" width="3.453125" style="34" bestFit="1" customWidth="1"/>
    <col min="8193" max="8193" width="13.08984375" style="34" customWidth="1"/>
    <col min="8194" max="8205" width="5.26953125" style="34" customWidth="1"/>
    <col min="8206" max="8206" width="3.7265625" style="34" customWidth="1"/>
    <col min="8207" max="8207" width="2.6328125" style="34" customWidth="1"/>
    <col min="8208" max="8210" width="3.7265625" style="34" customWidth="1"/>
    <col min="8211" max="8211" width="5.90625" style="34" customWidth="1"/>
    <col min="8212" max="8447" width="9" style="34"/>
    <col min="8448" max="8448" width="3.453125" style="34" bestFit="1" customWidth="1"/>
    <col min="8449" max="8449" width="13.08984375" style="34" customWidth="1"/>
    <col min="8450" max="8461" width="5.26953125" style="34" customWidth="1"/>
    <col min="8462" max="8462" width="3.7265625" style="34" customWidth="1"/>
    <col min="8463" max="8463" width="2.6328125" style="34" customWidth="1"/>
    <col min="8464" max="8466" width="3.7265625" style="34" customWidth="1"/>
    <col min="8467" max="8467" width="5.90625" style="34" customWidth="1"/>
    <col min="8468" max="8703" width="9" style="34"/>
    <col min="8704" max="8704" width="3.453125" style="34" bestFit="1" customWidth="1"/>
    <col min="8705" max="8705" width="13.08984375" style="34" customWidth="1"/>
    <col min="8706" max="8717" width="5.26953125" style="34" customWidth="1"/>
    <col min="8718" max="8718" width="3.7265625" style="34" customWidth="1"/>
    <col min="8719" max="8719" width="2.6328125" style="34" customWidth="1"/>
    <col min="8720" max="8722" width="3.7265625" style="34" customWidth="1"/>
    <col min="8723" max="8723" width="5.90625" style="34" customWidth="1"/>
    <col min="8724" max="8959" width="9" style="34"/>
    <col min="8960" max="8960" width="3.453125" style="34" bestFit="1" customWidth="1"/>
    <col min="8961" max="8961" width="13.08984375" style="34" customWidth="1"/>
    <col min="8962" max="8973" width="5.26953125" style="34" customWidth="1"/>
    <col min="8974" max="8974" width="3.7265625" style="34" customWidth="1"/>
    <col min="8975" max="8975" width="2.6328125" style="34" customWidth="1"/>
    <col min="8976" max="8978" width="3.7265625" style="34" customWidth="1"/>
    <col min="8979" max="8979" width="5.90625" style="34" customWidth="1"/>
    <col min="8980" max="9215" width="9" style="34"/>
    <col min="9216" max="9216" width="3.453125" style="34" bestFit="1" customWidth="1"/>
    <col min="9217" max="9217" width="13.08984375" style="34" customWidth="1"/>
    <col min="9218" max="9229" width="5.26953125" style="34" customWidth="1"/>
    <col min="9230" max="9230" width="3.7265625" style="34" customWidth="1"/>
    <col min="9231" max="9231" width="2.6328125" style="34" customWidth="1"/>
    <col min="9232" max="9234" width="3.7265625" style="34" customWidth="1"/>
    <col min="9235" max="9235" width="5.90625" style="34" customWidth="1"/>
    <col min="9236" max="9471" width="9" style="34"/>
    <col min="9472" max="9472" width="3.453125" style="34" bestFit="1" customWidth="1"/>
    <col min="9473" max="9473" width="13.08984375" style="34" customWidth="1"/>
    <col min="9474" max="9485" width="5.26953125" style="34" customWidth="1"/>
    <col min="9486" max="9486" width="3.7265625" style="34" customWidth="1"/>
    <col min="9487" max="9487" width="2.6328125" style="34" customWidth="1"/>
    <col min="9488" max="9490" width="3.7265625" style="34" customWidth="1"/>
    <col min="9491" max="9491" width="5.90625" style="34" customWidth="1"/>
    <col min="9492" max="9727" width="9" style="34"/>
    <col min="9728" max="9728" width="3.453125" style="34" bestFit="1" customWidth="1"/>
    <col min="9729" max="9729" width="13.08984375" style="34" customWidth="1"/>
    <col min="9730" max="9741" width="5.26953125" style="34" customWidth="1"/>
    <col min="9742" max="9742" width="3.7265625" style="34" customWidth="1"/>
    <col min="9743" max="9743" width="2.6328125" style="34" customWidth="1"/>
    <col min="9744" max="9746" width="3.7265625" style="34" customWidth="1"/>
    <col min="9747" max="9747" width="5.90625" style="34" customWidth="1"/>
    <col min="9748" max="9983" width="9" style="34"/>
    <col min="9984" max="9984" width="3.453125" style="34" bestFit="1" customWidth="1"/>
    <col min="9985" max="9985" width="13.08984375" style="34" customWidth="1"/>
    <col min="9986" max="9997" width="5.26953125" style="34" customWidth="1"/>
    <col min="9998" max="9998" width="3.7265625" style="34" customWidth="1"/>
    <col min="9999" max="9999" width="2.6328125" style="34" customWidth="1"/>
    <col min="10000" max="10002" width="3.7265625" style="34" customWidth="1"/>
    <col min="10003" max="10003" width="5.90625" style="34" customWidth="1"/>
    <col min="10004" max="10239" width="9" style="34"/>
    <col min="10240" max="10240" width="3.453125" style="34" bestFit="1" customWidth="1"/>
    <col min="10241" max="10241" width="13.08984375" style="34" customWidth="1"/>
    <col min="10242" max="10253" width="5.26953125" style="34" customWidth="1"/>
    <col min="10254" max="10254" width="3.7265625" style="34" customWidth="1"/>
    <col min="10255" max="10255" width="2.6328125" style="34" customWidth="1"/>
    <col min="10256" max="10258" width="3.7265625" style="34" customWidth="1"/>
    <col min="10259" max="10259" width="5.90625" style="34" customWidth="1"/>
    <col min="10260" max="10495" width="9" style="34"/>
    <col min="10496" max="10496" width="3.453125" style="34" bestFit="1" customWidth="1"/>
    <col min="10497" max="10497" width="13.08984375" style="34" customWidth="1"/>
    <col min="10498" max="10509" width="5.26953125" style="34" customWidth="1"/>
    <col min="10510" max="10510" width="3.7265625" style="34" customWidth="1"/>
    <col min="10511" max="10511" width="2.6328125" style="34" customWidth="1"/>
    <col min="10512" max="10514" width="3.7265625" style="34" customWidth="1"/>
    <col min="10515" max="10515" width="5.90625" style="34" customWidth="1"/>
    <col min="10516" max="10751" width="9" style="34"/>
    <col min="10752" max="10752" width="3.453125" style="34" bestFit="1" customWidth="1"/>
    <col min="10753" max="10753" width="13.08984375" style="34" customWidth="1"/>
    <col min="10754" max="10765" width="5.26953125" style="34" customWidth="1"/>
    <col min="10766" max="10766" width="3.7265625" style="34" customWidth="1"/>
    <col min="10767" max="10767" width="2.6328125" style="34" customWidth="1"/>
    <col min="10768" max="10770" width="3.7265625" style="34" customWidth="1"/>
    <col min="10771" max="10771" width="5.90625" style="34" customWidth="1"/>
    <col min="10772" max="11007" width="9" style="34"/>
    <col min="11008" max="11008" width="3.453125" style="34" bestFit="1" customWidth="1"/>
    <col min="11009" max="11009" width="13.08984375" style="34" customWidth="1"/>
    <col min="11010" max="11021" width="5.26953125" style="34" customWidth="1"/>
    <col min="11022" max="11022" width="3.7265625" style="34" customWidth="1"/>
    <col min="11023" max="11023" width="2.6328125" style="34" customWidth="1"/>
    <col min="11024" max="11026" width="3.7265625" style="34" customWidth="1"/>
    <col min="11027" max="11027" width="5.90625" style="34" customWidth="1"/>
    <col min="11028" max="11263" width="9" style="34"/>
    <col min="11264" max="11264" width="3.453125" style="34" bestFit="1" customWidth="1"/>
    <col min="11265" max="11265" width="13.08984375" style="34" customWidth="1"/>
    <col min="11266" max="11277" width="5.26953125" style="34" customWidth="1"/>
    <col min="11278" max="11278" width="3.7265625" style="34" customWidth="1"/>
    <col min="11279" max="11279" width="2.6328125" style="34" customWidth="1"/>
    <col min="11280" max="11282" width="3.7265625" style="34" customWidth="1"/>
    <col min="11283" max="11283" width="5.90625" style="34" customWidth="1"/>
    <col min="11284" max="11519" width="9" style="34"/>
    <col min="11520" max="11520" width="3.453125" style="34" bestFit="1" customWidth="1"/>
    <col min="11521" max="11521" width="13.08984375" style="34" customWidth="1"/>
    <col min="11522" max="11533" width="5.26953125" style="34" customWidth="1"/>
    <col min="11534" max="11534" width="3.7265625" style="34" customWidth="1"/>
    <col min="11535" max="11535" width="2.6328125" style="34" customWidth="1"/>
    <col min="11536" max="11538" width="3.7265625" style="34" customWidth="1"/>
    <col min="11539" max="11539" width="5.90625" style="34" customWidth="1"/>
    <col min="11540" max="11775" width="9" style="34"/>
    <col min="11776" max="11776" width="3.453125" style="34" bestFit="1" customWidth="1"/>
    <col min="11777" max="11777" width="13.08984375" style="34" customWidth="1"/>
    <col min="11778" max="11789" width="5.26953125" style="34" customWidth="1"/>
    <col min="11790" max="11790" width="3.7265625" style="34" customWidth="1"/>
    <col min="11791" max="11791" width="2.6328125" style="34" customWidth="1"/>
    <col min="11792" max="11794" width="3.7265625" style="34" customWidth="1"/>
    <col min="11795" max="11795" width="5.90625" style="34" customWidth="1"/>
    <col min="11796" max="12031" width="9" style="34"/>
    <col min="12032" max="12032" width="3.453125" style="34" bestFit="1" customWidth="1"/>
    <col min="12033" max="12033" width="13.08984375" style="34" customWidth="1"/>
    <col min="12034" max="12045" width="5.26953125" style="34" customWidth="1"/>
    <col min="12046" max="12046" width="3.7265625" style="34" customWidth="1"/>
    <col min="12047" max="12047" width="2.6328125" style="34" customWidth="1"/>
    <col min="12048" max="12050" width="3.7265625" style="34" customWidth="1"/>
    <col min="12051" max="12051" width="5.90625" style="34" customWidth="1"/>
    <col min="12052" max="12287" width="9" style="34"/>
    <col min="12288" max="12288" width="3.453125" style="34" bestFit="1" customWidth="1"/>
    <col min="12289" max="12289" width="13.08984375" style="34" customWidth="1"/>
    <col min="12290" max="12301" width="5.26953125" style="34" customWidth="1"/>
    <col min="12302" max="12302" width="3.7265625" style="34" customWidth="1"/>
    <col min="12303" max="12303" width="2.6328125" style="34" customWidth="1"/>
    <col min="12304" max="12306" width="3.7265625" style="34" customWidth="1"/>
    <col min="12307" max="12307" width="5.90625" style="34" customWidth="1"/>
    <col min="12308" max="12543" width="9" style="34"/>
    <col min="12544" max="12544" width="3.453125" style="34" bestFit="1" customWidth="1"/>
    <col min="12545" max="12545" width="13.08984375" style="34" customWidth="1"/>
    <col min="12546" max="12557" width="5.26953125" style="34" customWidth="1"/>
    <col min="12558" max="12558" width="3.7265625" style="34" customWidth="1"/>
    <col min="12559" max="12559" width="2.6328125" style="34" customWidth="1"/>
    <col min="12560" max="12562" width="3.7265625" style="34" customWidth="1"/>
    <col min="12563" max="12563" width="5.90625" style="34" customWidth="1"/>
    <col min="12564" max="12799" width="9" style="34"/>
    <col min="12800" max="12800" width="3.453125" style="34" bestFit="1" customWidth="1"/>
    <col min="12801" max="12801" width="13.08984375" style="34" customWidth="1"/>
    <col min="12802" max="12813" width="5.26953125" style="34" customWidth="1"/>
    <col min="12814" max="12814" width="3.7265625" style="34" customWidth="1"/>
    <col min="12815" max="12815" width="2.6328125" style="34" customWidth="1"/>
    <col min="12816" max="12818" width="3.7265625" style="34" customWidth="1"/>
    <col min="12819" max="12819" width="5.90625" style="34" customWidth="1"/>
    <col min="12820" max="13055" width="9" style="34"/>
    <col min="13056" max="13056" width="3.453125" style="34" bestFit="1" customWidth="1"/>
    <col min="13057" max="13057" width="13.08984375" style="34" customWidth="1"/>
    <col min="13058" max="13069" width="5.26953125" style="34" customWidth="1"/>
    <col min="13070" max="13070" width="3.7265625" style="34" customWidth="1"/>
    <col min="13071" max="13071" width="2.6328125" style="34" customWidth="1"/>
    <col min="13072" max="13074" width="3.7265625" style="34" customWidth="1"/>
    <col min="13075" max="13075" width="5.90625" style="34" customWidth="1"/>
    <col min="13076" max="13311" width="9" style="34"/>
    <col min="13312" max="13312" width="3.453125" style="34" bestFit="1" customWidth="1"/>
    <col min="13313" max="13313" width="13.08984375" style="34" customWidth="1"/>
    <col min="13314" max="13325" width="5.26953125" style="34" customWidth="1"/>
    <col min="13326" max="13326" width="3.7265625" style="34" customWidth="1"/>
    <col min="13327" max="13327" width="2.6328125" style="34" customWidth="1"/>
    <col min="13328" max="13330" width="3.7265625" style="34" customWidth="1"/>
    <col min="13331" max="13331" width="5.90625" style="34" customWidth="1"/>
    <col min="13332" max="13567" width="9" style="34"/>
    <col min="13568" max="13568" width="3.453125" style="34" bestFit="1" customWidth="1"/>
    <col min="13569" max="13569" width="13.08984375" style="34" customWidth="1"/>
    <col min="13570" max="13581" width="5.26953125" style="34" customWidth="1"/>
    <col min="13582" max="13582" width="3.7265625" style="34" customWidth="1"/>
    <col min="13583" max="13583" width="2.6328125" style="34" customWidth="1"/>
    <col min="13584" max="13586" width="3.7265625" style="34" customWidth="1"/>
    <col min="13587" max="13587" width="5.90625" style="34" customWidth="1"/>
    <col min="13588" max="13823" width="9" style="34"/>
    <col min="13824" max="13824" width="3.453125" style="34" bestFit="1" customWidth="1"/>
    <col min="13825" max="13825" width="13.08984375" style="34" customWidth="1"/>
    <col min="13826" max="13837" width="5.26953125" style="34" customWidth="1"/>
    <col min="13838" max="13838" width="3.7265625" style="34" customWidth="1"/>
    <col min="13839" max="13839" width="2.6328125" style="34" customWidth="1"/>
    <col min="13840" max="13842" width="3.7265625" style="34" customWidth="1"/>
    <col min="13843" max="13843" width="5.90625" style="34" customWidth="1"/>
    <col min="13844" max="14079" width="9" style="34"/>
    <col min="14080" max="14080" width="3.453125" style="34" bestFit="1" customWidth="1"/>
    <col min="14081" max="14081" width="13.08984375" style="34" customWidth="1"/>
    <col min="14082" max="14093" width="5.26953125" style="34" customWidth="1"/>
    <col min="14094" max="14094" width="3.7265625" style="34" customWidth="1"/>
    <col min="14095" max="14095" width="2.6328125" style="34" customWidth="1"/>
    <col min="14096" max="14098" width="3.7265625" style="34" customWidth="1"/>
    <col min="14099" max="14099" width="5.90625" style="34" customWidth="1"/>
    <col min="14100" max="14335" width="9" style="34"/>
    <col min="14336" max="14336" width="3.453125" style="34" bestFit="1" customWidth="1"/>
    <col min="14337" max="14337" width="13.08984375" style="34" customWidth="1"/>
    <col min="14338" max="14349" width="5.26953125" style="34" customWidth="1"/>
    <col min="14350" max="14350" width="3.7265625" style="34" customWidth="1"/>
    <col min="14351" max="14351" width="2.6328125" style="34" customWidth="1"/>
    <col min="14352" max="14354" width="3.7265625" style="34" customWidth="1"/>
    <col min="14355" max="14355" width="5.90625" style="34" customWidth="1"/>
    <col min="14356" max="14591" width="9" style="34"/>
    <col min="14592" max="14592" width="3.453125" style="34" bestFit="1" customWidth="1"/>
    <col min="14593" max="14593" width="13.08984375" style="34" customWidth="1"/>
    <col min="14594" max="14605" width="5.26953125" style="34" customWidth="1"/>
    <col min="14606" max="14606" width="3.7265625" style="34" customWidth="1"/>
    <col min="14607" max="14607" width="2.6328125" style="34" customWidth="1"/>
    <col min="14608" max="14610" width="3.7265625" style="34" customWidth="1"/>
    <col min="14611" max="14611" width="5.90625" style="34" customWidth="1"/>
    <col min="14612" max="14847" width="9" style="34"/>
    <col min="14848" max="14848" width="3.453125" style="34" bestFit="1" customWidth="1"/>
    <col min="14849" max="14849" width="13.08984375" style="34" customWidth="1"/>
    <col min="14850" max="14861" width="5.26953125" style="34" customWidth="1"/>
    <col min="14862" max="14862" width="3.7265625" style="34" customWidth="1"/>
    <col min="14863" max="14863" width="2.6328125" style="34" customWidth="1"/>
    <col min="14864" max="14866" width="3.7265625" style="34" customWidth="1"/>
    <col min="14867" max="14867" width="5.90625" style="34" customWidth="1"/>
    <col min="14868" max="15103" width="9" style="34"/>
    <col min="15104" max="15104" width="3.453125" style="34" bestFit="1" customWidth="1"/>
    <col min="15105" max="15105" width="13.08984375" style="34" customWidth="1"/>
    <col min="15106" max="15117" width="5.26953125" style="34" customWidth="1"/>
    <col min="15118" max="15118" width="3.7265625" style="34" customWidth="1"/>
    <col min="15119" max="15119" width="2.6328125" style="34" customWidth="1"/>
    <col min="15120" max="15122" width="3.7265625" style="34" customWidth="1"/>
    <col min="15123" max="15123" width="5.90625" style="34" customWidth="1"/>
    <col min="15124" max="15359" width="9" style="34"/>
    <col min="15360" max="15360" width="3.453125" style="34" bestFit="1" customWidth="1"/>
    <col min="15361" max="15361" width="13.08984375" style="34" customWidth="1"/>
    <col min="15362" max="15373" width="5.26953125" style="34" customWidth="1"/>
    <col min="15374" max="15374" width="3.7265625" style="34" customWidth="1"/>
    <col min="15375" max="15375" width="2.6328125" style="34" customWidth="1"/>
    <col min="15376" max="15378" width="3.7265625" style="34" customWidth="1"/>
    <col min="15379" max="15379" width="5.90625" style="34" customWidth="1"/>
    <col min="15380" max="15615" width="9" style="34"/>
    <col min="15616" max="15616" width="3.453125" style="34" bestFit="1" customWidth="1"/>
    <col min="15617" max="15617" width="13.08984375" style="34" customWidth="1"/>
    <col min="15618" max="15629" width="5.26953125" style="34" customWidth="1"/>
    <col min="15630" max="15630" width="3.7265625" style="34" customWidth="1"/>
    <col min="15631" max="15631" width="2.6328125" style="34" customWidth="1"/>
    <col min="15632" max="15634" width="3.7265625" style="34" customWidth="1"/>
    <col min="15635" max="15635" width="5.90625" style="34" customWidth="1"/>
    <col min="15636" max="15871" width="9" style="34"/>
    <col min="15872" max="15872" width="3.453125" style="34" bestFit="1" customWidth="1"/>
    <col min="15873" max="15873" width="13.08984375" style="34" customWidth="1"/>
    <col min="15874" max="15885" width="5.26953125" style="34" customWidth="1"/>
    <col min="15886" max="15886" width="3.7265625" style="34" customWidth="1"/>
    <col min="15887" max="15887" width="2.6328125" style="34" customWidth="1"/>
    <col min="15888" max="15890" width="3.7265625" style="34" customWidth="1"/>
    <col min="15891" max="15891" width="5.90625" style="34" customWidth="1"/>
    <col min="15892" max="16127" width="9" style="34"/>
    <col min="16128" max="16128" width="3.453125" style="34" bestFit="1" customWidth="1"/>
    <col min="16129" max="16129" width="13.08984375" style="34" customWidth="1"/>
    <col min="16130" max="16141" width="5.26953125" style="34" customWidth="1"/>
    <col min="16142" max="16142" width="3.7265625" style="34" customWidth="1"/>
    <col min="16143" max="16143" width="2.6328125" style="34" customWidth="1"/>
    <col min="16144" max="16146" width="3.7265625" style="34" customWidth="1"/>
    <col min="16147" max="16147" width="5.90625" style="34" customWidth="1"/>
    <col min="16148" max="16384" width="9" style="34"/>
  </cols>
  <sheetData>
    <row r="1" spans="1:17" ht="15" customHeight="1" x14ac:dyDescent="0.2"/>
    <row r="2" spans="1:17" ht="27" customHeight="1" thickBot="1" x14ac:dyDescent="0.25">
      <c r="A2" s="51" t="s">
        <v>125</v>
      </c>
      <c r="B2" s="51"/>
      <c r="C2" s="52"/>
      <c r="D2" s="52"/>
      <c r="E2" s="52"/>
      <c r="F2" s="52"/>
      <c r="G2" s="52"/>
      <c r="H2" s="52"/>
      <c r="I2" s="52"/>
      <c r="J2" s="52"/>
      <c r="K2" s="52"/>
      <c r="L2" s="52"/>
      <c r="M2" s="52"/>
      <c r="N2" s="53"/>
      <c r="O2" s="53"/>
      <c r="P2" s="18"/>
    </row>
    <row r="3" spans="1:17" ht="27" customHeight="1" x14ac:dyDescent="0.2">
      <c r="A3" s="252" t="s">
        <v>89</v>
      </c>
      <c r="B3" s="48"/>
      <c r="C3" s="49" t="s">
        <v>90</v>
      </c>
      <c r="D3" s="132" t="s">
        <v>91</v>
      </c>
      <c r="E3" s="133" t="s">
        <v>92</v>
      </c>
      <c r="F3" s="133" t="s">
        <v>252</v>
      </c>
      <c r="G3" s="136" t="s">
        <v>93</v>
      </c>
      <c r="H3" s="137" t="s">
        <v>94</v>
      </c>
      <c r="I3" s="137" t="s">
        <v>95</v>
      </c>
      <c r="J3" s="137" t="s">
        <v>96</v>
      </c>
      <c r="K3" s="137" t="s">
        <v>97</v>
      </c>
      <c r="L3" s="136" t="s">
        <v>98</v>
      </c>
      <c r="M3" s="137" t="s">
        <v>99</v>
      </c>
      <c r="N3" s="136" t="s">
        <v>100</v>
      </c>
      <c r="O3" s="138" t="s">
        <v>101</v>
      </c>
      <c r="P3" s="18"/>
    </row>
    <row r="4" spans="1:17" ht="27" customHeight="1" thickBot="1" x14ac:dyDescent="0.25">
      <c r="A4" s="253"/>
      <c r="B4" s="54" t="s">
        <v>102</v>
      </c>
      <c r="C4" s="50"/>
      <c r="D4" s="134" t="s">
        <v>103</v>
      </c>
      <c r="E4" s="135" t="s">
        <v>104</v>
      </c>
      <c r="F4" s="135" t="s">
        <v>114</v>
      </c>
      <c r="G4" s="139" t="s">
        <v>104</v>
      </c>
      <c r="H4" s="139" t="s">
        <v>105</v>
      </c>
      <c r="I4" s="139" t="s">
        <v>103</v>
      </c>
      <c r="J4" s="139" t="s">
        <v>106</v>
      </c>
      <c r="K4" s="139" t="s">
        <v>105</v>
      </c>
      <c r="L4" s="139" t="s">
        <v>107</v>
      </c>
      <c r="M4" s="139" t="s">
        <v>103</v>
      </c>
      <c r="N4" s="139" t="s">
        <v>108</v>
      </c>
      <c r="O4" s="140" t="s">
        <v>106</v>
      </c>
      <c r="P4" s="18"/>
    </row>
    <row r="5" spans="1:17" ht="39" customHeight="1" x14ac:dyDescent="0.2">
      <c r="A5" s="258" t="s">
        <v>109</v>
      </c>
      <c r="B5" s="256" t="s">
        <v>69</v>
      </c>
      <c r="C5" s="257"/>
      <c r="D5" s="104" t="str">
        <f>IFERROR(AVERAGEIFS(テーブル22[身長],テーブル22[学年],1,テーブル22[性別],"男")," ")</f>
        <v xml:space="preserve"> </v>
      </c>
      <c r="E5" s="94" t="str">
        <f>IFERROR(AVERAGEIFS(テーブル22[体重],テーブル22[学年],1,テーブル22[性別],"男")," ")</f>
        <v xml:space="preserve"> </v>
      </c>
      <c r="F5" s="126" t="str">
        <f>IFERROR(AVERAGEIFS(テーブル22[肥満度数値],テーブル22[学年],1,テーブル22[性別],"男")," ")</f>
        <v xml:space="preserve"> </v>
      </c>
      <c r="G5" s="94" t="str">
        <f>IFERROR(AVERAGEIFS(テーブル22[握力],テーブル22[学年],1,テーブル22[性別],"男")," ")</f>
        <v xml:space="preserve"> </v>
      </c>
      <c r="H5" s="94" t="str">
        <f>IFERROR(AVERAGEIFS(テーブル22[上体],テーブル22[学年],1,テーブル22[性別],"男")," ")</f>
        <v xml:space="preserve"> </v>
      </c>
      <c r="I5" s="94" t="str">
        <f>IFERROR(AVERAGEIFS(テーブル22[長座],テーブル22[学年],1,テーブル22[性別],"男")," ")</f>
        <v xml:space="preserve"> </v>
      </c>
      <c r="J5" s="94" t="str">
        <f>IFERROR(AVERAGEIFS(テーブル22[反復],テーブル22[学年],1,テーブル22[性別],"男")," ")</f>
        <v xml:space="preserve"> </v>
      </c>
      <c r="K5" s="94" t="str">
        <f>IFERROR(AVERAGEIFS(テーブル22[ｼｬﾄﾙﾗﾝ],テーブル22[学年],1,テーブル22[性別],"男")," ")</f>
        <v xml:space="preserve"> </v>
      </c>
      <c r="L5" s="94" t="str">
        <f>IFERROR(AVERAGEIFS(テーブル22[50m走],テーブル22[学年],1,テーブル22[性別],"男")," ")</f>
        <v xml:space="preserve"> </v>
      </c>
      <c r="M5" s="94" t="str">
        <f>IFERROR(AVERAGEIFS(テーブル22[立幅とび],テーブル22[学年],1,テーブル22[性別],"男")," ")</f>
        <v xml:space="preserve"> </v>
      </c>
      <c r="N5" s="94" t="str">
        <f>IFERROR(AVERAGEIFS(テーブル22[ボール投げ],テーブル22[学年],1,テーブル22[性別],"男")," ")</f>
        <v xml:space="preserve"> </v>
      </c>
      <c r="O5" s="95" t="str">
        <f>IFERROR(AVERAGEIFS(テーブル22[得点],テーブル22[学年],1,テーブル22[性別],"男")," ")</f>
        <v xml:space="preserve"> </v>
      </c>
      <c r="P5" s="18"/>
    </row>
    <row r="6" spans="1:17" ht="39" customHeight="1" x14ac:dyDescent="0.2">
      <c r="A6" s="259"/>
      <c r="B6" s="254" t="s">
        <v>70</v>
      </c>
      <c r="C6" s="255"/>
      <c r="D6" s="104" t="str">
        <f>IFERROR(AVERAGEIFS(テーブル22[身長],テーブル22[学年],2,テーブル22[性別],"男")," ")</f>
        <v xml:space="preserve"> </v>
      </c>
      <c r="E6" s="96" t="str">
        <f>IFERROR(AVERAGEIFS(テーブル22[体重],テーブル22[学年],2,テーブル22[性別],"男")," ")</f>
        <v xml:space="preserve"> </v>
      </c>
      <c r="F6" s="127" t="str">
        <f>IFERROR(AVERAGEIFS(テーブル22[肥満度数値],テーブル22[学年],2,テーブル22[性別],"男")," ")</f>
        <v xml:space="preserve"> </v>
      </c>
      <c r="G6" s="96" t="str">
        <f>IFERROR(AVERAGEIFS(テーブル22[握力],テーブル22[学年],2,テーブル22[性別],"男")," ")</f>
        <v xml:space="preserve"> </v>
      </c>
      <c r="H6" s="96" t="str">
        <f>IFERROR(AVERAGEIFS(テーブル22[上体],テーブル22[学年],2,テーブル22[性別],"男")," ")</f>
        <v xml:space="preserve"> </v>
      </c>
      <c r="I6" s="96" t="str">
        <f>IFERROR(AVERAGEIFS(テーブル22[長座],テーブル22[学年],2,テーブル22[性別],"男")," ")</f>
        <v xml:space="preserve"> </v>
      </c>
      <c r="J6" s="96" t="str">
        <f>IFERROR(AVERAGEIFS(テーブル22[反復],テーブル22[学年],2,テーブル22[性別],"男")," ")</f>
        <v xml:space="preserve"> </v>
      </c>
      <c r="K6" s="96" t="str">
        <f>IFERROR(AVERAGEIFS(テーブル22[ｼｬﾄﾙﾗﾝ],テーブル22[学年],2,テーブル22[性別],"男")," ")</f>
        <v xml:space="preserve"> </v>
      </c>
      <c r="L6" s="96" t="str">
        <f>IFERROR(AVERAGEIFS(テーブル22[50m走],テーブル22[学年],2,テーブル22[性別],"男")," ")</f>
        <v xml:space="preserve"> </v>
      </c>
      <c r="M6" s="96" t="str">
        <f>IFERROR(AVERAGEIFS(テーブル22[立幅とび],テーブル22[学年],2,テーブル22[性別],"男")," ")</f>
        <v xml:space="preserve"> </v>
      </c>
      <c r="N6" s="96" t="str">
        <f>IFERROR(AVERAGEIFS(テーブル22[ボール投げ],テーブル22[学年],2,テーブル22[性別],"男")," ")</f>
        <v xml:space="preserve"> </v>
      </c>
      <c r="O6" s="97" t="str">
        <f>IFERROR(AVERAGEIFS(テーブル22[得点],テーブル22[学年],2,テーブル22[性別],"男")," ")</f>
        <v xml:space="preserve"> </v>
      </c>
      <c r="P6" s="18"/>
    </row>
    <row r="7" spans="1:17" s="81" customFormat="1" ht="39" customHeight="1" x14ac:dyDescent="0.2">
      <c r="A7" s="259"/>
      <c r="B7" s="254" t="s">
        <v>71</v>
      </c>
      <c r="C7" s="255"/>
      <c r="D7" s="104" t="str">
        <f>IFERROR(AVERAGEIFS(テーブル22[身長],テーブル22[学年],3,テーブル22[性別],"男")," ")</f>
        <v xml:space="preserve"> </v>
      </c>
      <c r="E7" s="96" t="str">
        <f>IFERROR(AVERAGEIFS(テーブル22[体重],テーブル22[学年],3,テーブル22[性別],"男")," ")</f>
        <v xml:space="preserve"> </v>
      </c>
      <c r="F7" s="127" t="str">
        <f>IFERROR(AVERAGEIFS(テーブル22[肥満度数値],テーブル22[学年],3,テーブル22[性別],"男")," ")</f>
        <v xml:space="preserve"> </v>
      </c>
      <c r="G7" s="96" t="str">
        <f>IFERROR(AVERAGEIFS(テーブル22[握力],テーブル22[学年],3,テーブル22[性別],"男")," ")</f>
        <v xml:space="preserve"> </v>
      </c>
      <c r="H7" s="96" t="str">
        <f>IFERROR(AVERAGEIFS(テーブル22[上体],テーブル22[学年],3,テーブル22[性別],"男")," ")</f>
        <v xml:space="preserve"> </v>
      </c>
      <c r="I7" s="96" t="str">
        <f>IFERROR(AVERAGEIFS(テーブル22[長座],テーブル22[学年],3,テーブル22[性別],"男")," ")</f>
        <v xml:space="preserve"> </v>
      </c>
      <c r="J7" s="96" t="str">
        <f>IFERROR(AVERAGEIFS(テーブル22[反復],テーブル22[学年],3,テーブル22[性別],"男")," ")</f>
        <v xml:space="preserve"> </v>
      </c>
      <c r="K7" s="96" t="str">
        <f>IFERROR(AVERAGEIFS(テーブル22[ｼｬﾄﾙﾗﾝ],テーブル22[学年],3,テーブル22[性別],"男")," ")</f>
        <v xml:space="preserve"> </v>
      </c>
      <c r="L7" s="96" t="str">
        <f>IFERROR(AVERAGEIFS(テーブル22[50m走],テーブル22[学年],3,テーブル22[性別],"男")," ")</f>
        <v xml:space="preserve"> </v>
      </c>
      <c r="M7" s="96" t="str">
        <f>IFERROR(AVERAGEIFS(テーブル22[立幅とび],テーブル22[学年],3,テーブル22[性別],"男")," ")</f>
        <v xml:space="preserve"> </v>
      </c>
      <c r="N7" s="96" t="str">
        <f>IFERROR(AVERAGEIFS(テーブル22[ボール投げ],テーブル22[学年],3,テーブル22[性別],"男")," ")</f>
        <v xml:space="preserve"> </v>
      </c>
      <c r="O7" s="97" t="str">
        <f>IFERROR(AVERAGEIFS(テーブル22[得点],テーブル22[学年],3,テーブル22[性別],"男")," ")</f>
        <v xml:space="preserve"> </v>
      </c>
      <c r="P7" s="18"/>
    </row>
    <row r="8" spans="1:17" s="81" customFormat="1" ht="39" customHeight="1" x14ac:dyDescent="0.2">
      <c r="A8" s="259"/>
      <c r="B8" s="254" t="s">
        <v>115</v>
      </c>
      <c r="C8" s="255"/>
      <c r="D8" s="104" t="str">
        <f>IFERROR(AVERAGEIFS(テーブル22[身長],テーブル22[学年],4,テーブル22[性別],"男")," ")</f>
        <v xml:space="preserve"> </v>
      </c>
      <c r="E8" s="96" t="str">
        <f>IFERROR(AVERAGEIFS(テーブル22[体重],テーブル22[学年],4,テーブル22[性別],"男")," ")</f>
        <v xml:space="preserve"> </v>
      </c>
      <c r="F8" s="127" t="str">
        <f>IFERROR(AVERAGEIFS(テーブル22[肥満度数値],テーブル22[学年],4,テーブル22[性別],"男")," ")</f>
        <v xml:space="preserve"> </v>
      </c>
      <c r="G8" s="96" t="str">
        <f>IFERROR(AVERAGEIFS(テーブル22[握力],テーブル22[学年],4,テーブル22[性別],"男")," ")</f>
        <v xml:space="preserve"> </v>
      </c>
      <c r="H8" s="96" t="str">
        <f>IFERROR(AVERAGEIFS(テーブル22[上体],テーブル22[学年],4,テーブル22[性別],"男")," ")</f>
        <v xml:space="preserve"> </v>
      </c>
      <c r="I8" s="96" t="str">
        <f>IFERROR(AVERAGEIFS(テーブル22[長座],テーブル22[学年],4,テーブル22[性別],"男")," ")</f>
        <v xml:space="preserve"> </v>
      </c>
      <c r="J8" s="96" t="str">
        <f>IFERROR(AVERAGEIFS(テーブル22[反復],テーブル22[学年],4,テーブル22[性別],"男")," ")</f>
        <v xml:space="preserve"> </v>
      </c>
      <c r="K8" s="96" t="str">
        <f>IFERROR(AVERAGEIFS(テーブル22[ｼｬﾄﾙﾗﾝ],テーブル22[学年],4,テーブル22[性別],"男")," ")</f>
        <v xml:space="preserve"> </v>
      </c>
      <c r="L8" s="96" t="str">
        <f>IFERROR(AVERAGEIFS(テーブル22[50m走],テーブル22[学年],4,テーブル22[性別],"男")," ")</f>
        <v xml:space="preserve"> </v>
      </c>
      <c r="M8" s="96" t="str">
        <f>IFERROR(AVERAGEIFS(テーブル22[立幅とび],テーブル22[学年],4,テーブル22[性別],"男")," ")</f>
        <v xml:space="preserve"> </v>
      </c>
      <c r="N8" s="96" t="str">
        <f>IFERROR(AVERAGEIFS(テーブル22[ボール投げ],テーブル22[学年],4,テーブル22[性別],"男")," ")</f>
        <v xml:space="preserve"> </v>
      </c>
      <c r="O8" s="97" t="str">
        <f>IFERROR(AVERAGEIFS(テーブル22[得点],テーブル22[学年],4,テーブル22[性別],"男")," ")</f>
        <v xml:space="preserve"> </v>
      </c>
      <c r="P8" s="18"/>
    </row>
    <row r="9" spans="1:17" ht="39" customHeight="1" x14ac:dyDescent="0.2">
      <c r="A9" s="259"/>
      <c r="B9" s="254" t="s">
        <v>123</v>
      </c>
      <c r="C9" s="255"/>
      <c r="D9" s="104" t="str">
        <f>IFERROR(AVERAGEIFS(テーブル22[身長],テーブル22[学年],5,テーブル22[性別],"男")," ")</f>
        <v xml:space="preserve"> </v>
      </c>
      <c r="E9" s="96" t="str">
        <f>IFERROR(AVERAGEIFS(テーブル22[体重],テーブル22[学年],5,テーブル22[性別],"男")," ")</f>
        <v xml:space="preserve"> </v>
      </c>
      <c r="F9" s="127" t="str">
        <f>IFERROR(AVERAGEIFS(テーブル22[肥満度数値],テーブル22[学年],5,テーブル22[性別],"男")," ")</f>
        <v xml:space="preserve"> </v>
      </c>
      <c r="G9" s="96" t="str">
        <f>IFERROR(AVERAGEIFS(テーブル22[握力],テーブル22[学年],5,テーブル22[性別],"男")," ")</f>
        <v xml:space="preserve"> </v>
      </c>
      <c r="H9" s="96" t="str">
        <f>IFERROR(AVERAGEIFS(テーブル22[上体],テーブル22[学年],5,テーブル22[性別],"男")," ")</f>
        <v xml:space="preserve"> </v>
      </c>
      <c r="I9" s="96" t="str">
        <f>IFERROR(AVERAGEIFS(テーブル22[長座],テーブル22[学年],5,テーブル22[性別],"男")," ")</f>
        <v xml:space="preserve"> </v>
      </c>
      <c r="J9" s="96" t="str">
        <f>IFERROR(AVERAGEIFS(テーブル22[反復],テーブル22[学年],5,テーブル22[性別],"男")," ")</f>
        <v xml:space="preserve"> </v>
      </c>
      <c r="K9" s="96" t="str">
        <f>IFERROR(AVERAGEIFS(テーブル22[ｼｬﾄﾙﾗﾝ],テーブル22[学年],5,テーブル22[性別],"男")," ")</f>
        <v xml:space="preserve"> </v>
      </c>
      <c r="L9" s="96" t="str">
        <f>IFERROR(AVERAGEIFS(テーブル22[50m走],テーブル22[学年],5,テーブル22[性別],"男")," ")</f>
        <v xml:space="preserve"> </v>
      </c>
      <c r="M9" s="96" t="str">
        <f>IFERROR(AVERAGEIFS(テーブル22[立幅とび],テーブル22[学年],5,テーブル22[性別],"男")," ")</f>
        <v xml:space="preserve"> </v>
      </c>
      <c r="N9" s="96" t="str">
        <f>IFERROR(AVERAGEIFS(テーブル22[ボール投げ],テーブル22[学年],5,テーブル22[性別],"男")," ")</f>
        <v xml:space="preserve"> </v>
      </c>
      <c r="O9" s="97" t="str">
        <f>IFERROR(AVERAGEIFS(テーブル22[得点],テーブル22[学年],5,テーブル22[性別],"男")," ")</f>
        <v xml:space="preserve"> </v>
      </c>
      <c r="P9" s="18"/>
      <c r="Q9" s="17"/>
    </row>
    <row r="10" spans="1:17" s="80" customFormat="1" ht="39" customHeight="1" thickBot="1" x14ac:dyDescent="0.25">
      <c r="A10" s="260"/>
      <c r="B10" s="261" t="s">
        <v>124</v>
      </c>
      <c r="C10" s="262"/>
      <c r="D10" s="105" t="str">
        <f>IFERROR(AVERAGEIFS(テーブル22[身長],テーブル22[学年],6,テーブル22[性別],"男")," ")</f>
        <v xml:space="preserve"> </v>
      </c>
      <c r="E10" s="98" t="str">
        <f>IFERROR(AVERAGEIFS(テーブル22[体重],テーブル22[学年],6,テーブル22[性別],"男")," ")</f>
        <v xml:space="preserve"> </v>
      </c>
      <c r="F10" s="128" t="str">
        <f>IFERROR(AVERAGEIFS(テーブル22[肥満度数値],テーブル22[学年],6,テーブル22[性別],"男")," ")</f>
        <v xml:space="preserve"> </v>
      </c>
      <c r="G10" s="98" t="str">
        <f>IFERROR(AVERAGEIFS(テーブル22[握力],テーブル22[学年],6,テーブル22[性別],"男")," ")</f>
        <v xml:space="preserve"> </v>
      </c>
      <c r="H10" s="98" t="str">
        <f>IFERROR(AVERAGEIFS(テーブル22[上体],テーブル22[学年],6,テーブル22[性別],"男")," ")</f>
        <v xml:space="preserve"> </v>
      </c>
      <c r="I10" s="98" t="str">
        <f>IFERROR(AVERAGEIFS(テーブル22[長座],テーブル22[学年],6,テーブル22[性別],"男")," ")</f>
        <v xml:space="preserve"> </v>
      </c>
      <c r="J10" s="98" t="str">
        <f>IFERROR(AVERAGEIFS(テーブル22[反復],テーブル22[学年],6,テーブル22[性別],"男")," ")</f>
        <v xml:space="preserve"> </v>
      </c>
      <c r="K10" s="98" t="str">
        <f>IFERROR(AVERAGEIFS(テーブル22[ｼｬﾄﾙﾗﾝ],テーブル22[学年],6,テーブル22[性別],"男")," ")</f>
        <v xml:space="preserve"> </v>
      </c>
      <c r="L10" s="98" t="str">
        <f>IFERROR(AVERAGEIFS(テーブル22[50m走],テーブル22[学年],6,テーブル22[性別],"男")," ")</f>
        <v xml:space="preserve"> </v>
      </c>
      <c r="M10" s="98" t="str">
        <f>IFERROR(AVERAGEIFS(テーブル22[立幅とび],テーブル22[学年],6,テーブル22[性別],"男")," ")</f>
        <v xml:space="preserve"> </v>
      </c>
      <c r="N10" s="98" t="str">
        <f>IFERROR(AVERAGEIFS(テーブル22[ボール投げ],テーブル22[学年],6,テーブル22[性別],"男")," ")</f>
        <v xml:space="preserve"> </v>
      </c>
      <c r="O10" s="99" t="str">
        <f>IFERROR(AVERAGEIFS(テーブル22[得点],テーブル22[学年],6,テーブル22[性別],"男")," ")</f>
        <v xml:space="preserve"> </v>
      </c>
      <c r="P10" s="18"/>
      <c r="Q10" s="17"/>
    </row>
    <row r="11" spans="1:17" ht="39" customHeight="1" x14ac:dyDescent="0.2">
      <c r="A11" s="263" t="s">
        <v>111</v>
      </c>
      <c r="B11" s="256" t="s">
        <v>69</v>
      </c>
      <c r="C11" s="257"/>
      <c r="D11" s="104" t="str">
        <f>IFERROR(AVERAGEIFS(テーブル22[身長],テーブル22[学年],1,テーブル22[性別],"女")," ")</f>
        <v xml:space="preserve"> </v>
      </c>
      <c r="E11" s="94" t="str">
        <f>IFERROR(AVERAGEIFS(テーブル22[体重],テーブル22[学年],1,テーブル22[性別],"女")," ")</f>
        <v xml:space="preserve"> </v>
      </c>
      <c r="F11" s="126" t="str">
        <f>IFERROR(AVERAGEIFS(テーブル22[肥満度数値],テーブル22[学年],1,テーブル22[性別],"女")," ")</f>
        <v xml:space="preserve"> </v>
      </c>
      <c r="G11" s="94" t="str">
        <f>IFERROR(AVERAGEIFS(テーブル22[握力],テーブル22[学年],1,テーブル22[性別],"女")," ")</f>
        <v xml:space="preserve"> </v>
      </c>
      <c r="H11" s="94" t="str">
        <f>IFERROR(AVERAGEIFS(テーブル22[上体],テーブル22[学年],1,テーブル22[性別],"女")," ")</f>
        <v xml:space="preserve"> </v>
      </c>
      <c r="I11" s="94" t="str">
        <f>IFERROR(AVERAGEIFS(テーブル22[長座],テーブル22[学年],1,テーブル22[性別],"女")," ")</f>
        <v xml:space="preserve"> </v>
      </c>
      <c r="J11" s="94" t="str">
        <f>IFERROR(AVERAGEIFS(テーブル22[反復],テーブル22[学年],1,テーブル22[性別],"女")," ")</f>
        <v xml:space="preserve"> </v>
      </c>
      <c r="K11" s="94" t="str">
        <f>IFERROR(AVERAGEIFS(テーブル22[ｼｬﾄﾙﾗﾝ],テーブル22[学年],1,テーブル22[性別],"女")," ")</f>
        <v xml:space="preserve"> </v>
      </c>
      <c r="L11" s="94" t="str">
        <f>IFERROR(AVERAGEIFS(テーブル22[50m走],テーブル22[学年],1,テーブル22[性別],"女")," ")</f>
        <v xml:space="preserve"> </v>
      </c>
      <c r="M11" s="94" t="str">
        <f>IFERROR(AVERAGEIFS(テーブル22[立幅とび],テーブル22[学年],1,テーブル22[性別],"女")," ")</f>
        <v xml:space="preserve"> </v>
      </c>
      <c r="N11" s="94" t="str">
        <f>IFERROR(AVERAGEIFS(テーブル22[ボール投げ],テーブル22[学年],1,テーブル22[性別],"女")," ")</f>
        <v xml:space="preserve"> </v>
      </c>
      <c r="O11" s="95" t="str">
        <f>IFERROR(AVERAGEIFS(テーブル22[得点],テーブル22[学年],1,テーブル22[性別],"女")," ")</f>
        <v xml:space="preserve"> </v>
      </c>
      <c r="P11" s="18"/>
    </row>
    <row r="12" spans="1:17" s="81" customFormat="1" ht="39" customHeight="1" x14ac:dyDescent="0.2">
      <c r="A12" s="264"/>
      <c r="B12" s="254" t="s">
        <v>70</v>
      </c>
      <c r="C12" s="255"/>
      <c r="D12" s="104" t="str">
        <f>IFERROR(AVERAGEIFS(テーブル22[身長],テーブル22[学年],2,テーブル22[性別],"女")," ")</f>
        <v xml:space="preserve"> </v>
      </c>
      <c r="E12" s="100" t="str">
        <f>IFERROR(AVERAGEIFS(テーブル22[体重],テーブル22[学年],2,テーブル22[性別],"女")," ")</f>
        <v xml:space="preserve"> </v>
      </c>
      <c r="F12" s="129" t="str">
        <f>IFERROR(AVERAGEIFS(テーブル22[肥満度数値],テーブル22[学年],2,テーブル22[性別],"女")," ")</f>
        <v xml:space="preserve"> </v>
      </c>
      <c r="G12" s="100" t="str">
        <f>IFERROR(AVERAGEIFS(テーブル22[握力],テーブル22[学年],2,テーブル22[性別],"女")," ")</f>
        <v xml:space="preserve"> </v>
      </c>
      <c r="H12" s="100" t="str">
        <f>IFERROR(AVERAGEIFS(テーブル22[上体],テーブル22[学年],2,テーブル22[性別],"女")," ")</f>
        <v xml:space="preserve"> </v>
      </c>
      <c r="I12" s="100" t="str">
        <f>IFERROR(AVERAGEIFS(テーブル22[長座],テーブル22[学年],2,テーブル22[性別],"女")," ")</f>
        <v xml:space="preserve"> </v>
      </c>
      <c r="J12" s="100" t="str">
        <f>IFERROR(AVERAGEIFS(テーブル22[反復],テーブル22[学年],2,テーブル22[性別],"女")," ")</f>
        <v xml:space="preserve"> </v>
      </c>
      <c r="K12" s="100" t="str">
        <f>IFERROR(AVERAGEIFS(テーブル22[ｼｬﾄﾙﾗﾝ],テーブル22[学年],2,テーブル22[性別],"女")," ")</f>
        <v xml:space="preserve"> </v>
      </c>
      <c r="L12" s="100" t="str">
        <f>IFERROR(AVERAGEIFS(テーブル22[50m走],テーブル22[学年],2,テーブル22[性別],"女")," ")</f>
        <v xml:space="preserve"> </v>
      </c>
      <c r="M12" s="100" t="str">
        <f>IFERROR(AVERAGEIFS(テーブル22[立幅とび],テーブル22[学年],2,テーブル22[性別],"女")," ")</f>
        <v xml:space="preserve"> </v>
      </c>
      <c r="N12" s="100" t="str">
        <f>IFERROR(AVERAGEIFS(テーブル22[ボール投げ],テーブル22[学年],2,テーブル22[性別],"女")," ")</f>
        <v xml:space="preserve"> </v>
      </c>
      <c r="O12" s="101" t="str">
        <f>IFERROR(AVERAGEIFS(テーブル22[得点],テーブル22[学年],2,テーブル22[性別],"女")," ")</f>
        <v xml:space="preserve"> </v>
      </c>
      <c r="P12" s="18"/>
    </row>
    <row r="13" spans="1:17" ht="39" customHeight="1" x14ac:dyDescent="0.2">
      <c r="A13" s="264"/>
      <c r="B13" s="254" t="s">
        <v>71</v>
      </c>
      <c r="C13" s="255"/>
      <c r="D13" s="104" t="str">
        <f>IFERROR(AVERAGEIFS(テーブル22[身長],テーブル22[学年],3,テーブル22[性別],"女")," ")</f>
        <v xml:space="preserve"> </v>
      </c>
      <c r="E13" s="96" t="str">
        <f>IFERROR(AVERAGEIFS(テーブル22[体重],テーブル22[学年],3,テーブル22[性別],"女")," ")</f>
        <v xml:space="preserve"> </v>
      </c>
      <c r="F13" s="127" t="str">
        <f>IFERROR(AVERAGEIFS(テーブル22[肥満度数値],テーブル22[学年],3,テーブル22[性別],"女")," ")</f>
        <v xml:space="preserve"> </v>
      </c>
      <c r="G13" s="96" t="str">
        <f>IFERROR(AVERAGEIFS(テーブル22[握力],テーブル22[学年],3,テーブル22[性別],"女")," ")</f>
        <v xml:space="preserve"> </v>
      </c>
      <c r="H13" s="96" t="str">
        <f>IFERROR(AVERAGEIFS(テーブル22[上体],テーブル22[学年],3,テーブル22[性別],"女")," ")</f>
        <v xml:space="preserve"> </v>
      </c>
      <c r="I13" s="96" t="str">
        <f>IFERROR(AVERAGEIFS(テーブル22[長座],テーブル22[学年],3,テーブル22[性別],"女")," ")</f>
        <v xml:space="preserve"> </v>
      </c>
      <c r="J13" s="96" t="str">
        <f>IFERROR(AVERAGEIFS(テーブル22[反復],テーブル22[学年],3,テーブル22[性別],"女")," ")</f>
        <v xml:space="preserve"> </v>
      </c>
      <c r="K13" s="96" t="str">
        <f>IFERROR(AVERAGEIFS(テーブル22[ｼｬﾄﾙﾗﾝ],テーブル22[学年],3,テーブル22[性別],"女")," ")</f>
        <v xml:space="preserve"> </v>
      </c>
      <c r="L13" s="96" t="str">
        <f>IFERROR(AVERAGEIFS(テーブル22[50m走],テーブル22[学年],3,テーブル22[性別],"女")," ")</f>
        <v xml:space="preserve"> </v>
      </c>
      <c r="M13" s="96" t="str">
        <f>IFERROR(AVERAGEIFS(テーブル22[立幅とび],テーブル22[学年],3,テーブル22[性別],"女")," ")</f>
        <v xml:space="preserve"> </v>
      </c>
      <c r="N13" s="96" t="str">
        <f>IFERROR(AVERAGEIFS(テーブル22[ボール投げ],テーブル22[学年],3,テーブル22[性別],"女")," ")</f>
        <v xml:space="preserve"> </v>
      </c>
      <c r="O13" s="97" t="str">
        <f>IFERROR(AVERAGEIFS(テーブル22[得点],テーブル22[学年],3,テーブル22[性別],"女")," ")</f>
        <v xml:space="preserve"> </v>
      </c>
    </row>
    <row r="14" spans="1:17" s="81" customFormat="1" ht="39" customHeight="1" x14ac:dyDescent="0.2">
      <c r="A14" s="264"/>
      <c r="B14" s="254" t="s">
        <v>115</v>
      </c>
      <c r="C14" s="255"/>
      <c r="D14" s="104" t="str">
        <f>IFERROR(AVERAGEIFS(テーブル22[身長],テーブル22[学年],4,テーブル22[性別],"女")," ")</f>
        <v xml:space="preserve"> </v>
      </c>
      <c r="E14" s="96" t="str">
        <f>IFERROR(AVERAGEIFS(テーブル22[体重],テーブル22[学年],4,テーブル22[性別],"女")," ")</f>
        <v xml:space="preserve"> </v>
      </c>
      <c r="F14" s="127" t="str">
        <f>IFERROR(AVERAGEIFS(テーブル22[肥満度数値],テーブル22[学年],4,テーブル22[性別],"女")," ")</f>
        <v xml:space="preserve"> </v>
      </c>
      <c r="G14" s="96" t="str">
        <f>IFERROR(AVERAGEIFS(テーブル22[握力],テーブル22[学年],4,テーブル22[性別],"女")," ")</f>
        <v xml:space="preserve"> </v>
      </c>
      <c r="H14" s="96" t="str">
        <f>IFERROR(AVERAGEIFS(テーブル22[上体],テーブル22[学年],4,テーブル22[性別],"女")," ")</f>
        <v xml:space="preserve"> </v>
      </c>
      <c r="I14" s="96" t="str">
        <f>IFERROR(AVERAGEIFS(テーブル22[長座],テーブル22[学年],4,テーブル22[性別],"女")," ")</f>
        <v xml:space="preserve"> </v>
      </c>
      <c r="J14" s="96" t="str">
        <f>IFERROR(AVERAGEIFS(テーブル22[反復],テーブル22[学年],4,テーブル22[性別],"女")," ")</f>
        <v xml:space="preserve"> </v>
      </c>
      <c r="K14" s="96" t="str">
        <f>IFERROR(AVERAGEIFS(テーブル22[ｼｬﾄﾙﾗﾝ],テーブル22[学年],4,テーブル22[性別],"女")," ")</f>
        <v xml:space="preserve"> </v>
      </c>
      <c r="L14" s="96" t="str">
        <f>IFERROR(AVERAGEIFS(テーブル22[50m走],テーブル22[学年],4,テーブル22[性別],"女")," ")</f>
        <v xml:space="preserve"> </v>
      </c>
      <c r="M14" s="96" t="str">
        <f>IFERROR(AVERAGEIFS(テーブル22[立幅とび],テーブル22[学年],4,テーブル22[性別],"女")," ")</f>
        <v xml:space="preserve"> </v>
      </c>
      <c r="N14" s="96" t="str">
        <f>IFERROR(AVERAGEIFS(テーブル22[ボール投げ],テーブル22[学年],4,テーブル22[性別],"女")," ")</f>
        <v xml:space="preserve"> </v>
      </c>
      <c r="O14" s="97" t="str">
        <f>IFERROR(AVERAGEIFS(テーブル22[得点],テーブル22[学年],4,テーブル22[性別],"女")," ")</f>
        <v xml:space="preserve"> </v>
      </c>
    </row>
    <row r="15" spans="1:17" s="80" customFormat="1" ht="39" customHeight="1" x14ac:dyDescent="0.2">
      <c r="A15" s="264"/>
      <c r="B15" s="254" t="s">
        <v>123</v>
      </c>
      <c r="C15" s="255"/>
      <c r="D15" s="106" t="str">
        <f>IFERROR(AVERAGEIFS(テーブル22[身長],テーブル22[学年],5,テーブル22[性別],"女")," ")</f>
        <v xml:space="preserve"> </v>
      </c>
      <c r="E15" s="96" t="str">
        <f>IFERROR(AVERAGEIFS(テーブル22[体重],テーブル22[学年],5,テーブル22[性別],"女")," ")</f>
        <v xml:space="preserve"> </v>
      </c>
      <c r="F15" s="127" t="str">
        <f>IFERROR(AVERAGEIFS(テーブル22[肥満度数値],テーブル22[学年],5,テーブル22[性別],"女")," ")</f>
        <v xml:space="preserve"> </v>
      </c>
      <c r="G15" s="96" t="str">
        <f>IFERROR(AVERAGEIFS(テーブル22[握力],テーブル22[学年],5,テーブル22[性別],"女")," ")</f>
        <v xml:space="preserve"> </v>
      </c>
      <c r="H15" s="96" t="str">
        <f>IFERROR(AVERAGEIFS(テーブル22[上体],テーブル22[学年],5,テーブル22[性別],"女")," ")</f>
        <v xml:space="preserve"> </v>
      </c>
      <c r="I15" s="96" t="str">
        <f>IFERROR(AVERAGEIFS(テーブル22[長座],テーブル22[学年],5,テーブル22[性別],"女")," ")</f>
        <v xml:space="preserve"> </v>
      </c>
      <c r="J15" s="96" t="str">
        <f>IFERROR(AVERAGEIFS(テーブル22[反復],テーブル22[学年],5,テーブル22[性別],"女")," ")</f>
        <v xml:space="preserve"> </v>
      </c>
      <c r="K15" s="96" t="str">
        <f>IFERROR(AVERAGEIFS(テーブル22[ｼｬﾄﾙﾗﾝ],テーブル22[学年],5,テーブル22[性別],"女")," ")</f>
        <v xml:space="preserve"> </v>
      </c>
      <c r="L15" s="96" t="str">
        <f>IFERROR(AVERAGEIFS(テーブル22[50m走],テーブル22[学年],5,テーブル22[性別],"女")," ")</f>
        <v xml:space="preserve"> </v>
      </c>
      <c r="M15" s="96" t="str">
        <f>IFERROR(AVERAGEIFS(テーブル22[立幅とび],テーブル22[学年],5,テーブル22[性別],"女")," ")</f>
        <v xml:space="preserve"> </v>
      </c>
      <c r="N15" s="96" t="str">
        <f>IFERROR(AVERAGEIFS(テーブル22[ボール投げ],テーブル22[学年],5,テーブル22[性別],"女")," ")</f>
        <v xml:space="preserve"> </v>
      </c>
      <c r="O15" s="97" t="str">
        <f>IFERROR(AVERAGEIFS(テーブル22[得点],テーブル22[学年],5,テーブル22[性別],"女")," ")</f>
        <v xml:space="preserve"> </v>
      </c>
    </row>
    <row r="16" spans="1:17" ht="39" customHeight="1" thickBot="1" x14ac:dyDescent="0.25">
      <c r="A16" s="265"/>
      <c r="B16" s="266" t="s">
        <v>124</v>
      </c>
      <c r="C16" s="267"/>
      <c r="D16" s="105" t="str">
        <f>IFERROR(AVERAGEIFS(テーブル22[身長],テーブル22[学年],6,テーブル22[性別],"女")," ")</f>
        <v xml:space="preserve"> </v>
      </c>
      <c r="E16" s="98" t="str">
        <f>IFERROR(AVERAGEIFS(テーブル22[体重],テーブル22[学年],6,テーブル22[性別],"女")," ")</f>
        <v xml:space="preserve"> </v>
      </c>
      <c r="F16" s="128" t="str">
        <f>IFERROR(AVERAGEIFS(テーブル22[肥満度数値],テーブル22[学年],6,テーブル22[性別],"女")," ")</f>
        <v xml:space="preserve"> </v>
      </c>
      <c r="G16" s="98" t="str">
        <f>IFERROR(AVERAGEIFS(テーブル22[握力],テーブル22[学年],6,テーブル22[性別],"女")," ")</f>
        <v xml:space="preserve"> </v>
      </c>
      <c r="H16" s="98" t="str">
        <f>IFERROR(AVERAGEIFS(テーブル22[上体],テーブル22[学年],6,テーブル22[性別],"女")," ")</f>
        <v xml:space="preserve"> </v>
      </c>
      <c r="I16" s="98" t="str">
        <f>IFERROR(AVERAGEIFS(テーブル22[長座],テーブル22[学年],6,テーブル22[性別],"女")," ")</f>
        <v xml:space="preserve"> </v>
      </c>
      <c r="J16" s="98" t="str">
        <f>IFERROR(AVERAGEIFS(テーブル22[反復],テーブル22[学年],6,テーブル22[性別],"女")," ")</f>
        <v xml:space="preserve"> </v>
      </c>
      <c r="K16" s="98" t="str">
        <f>IFERROR(AVERAGEIFS(テーブル22[ｼｬﾄﾙﾗﾝ],テーブル22[学年],6,テーブル22[性別],"女")," ")</f>
        <v xml:space="preserve"> </v>
      </c>
      <c r="L16" s="98" t="str">
        <f>IFERROR(AVERAGEIFS(テーブル22[50m走],テーブル22[学年],6,テーブル22[性別],"女")," ")</f>
        <v xml:space="preserve"> </v>
      </c>
      <c r="M16" s="98" t="str">
        <f>IFERROR(AVERAGEIFS(テーブル22[立幅とび],テーブル22[学年],6,テーブル22[性別],"女")," ")</f>
        <v xml:space="preserve"> </v>
      </c>
      <c r="N16" s="98" t="str">
        <f>IFERROR(AVERAGEIFS(テーブル22[ボール投げ],テーブル22[学年],6,テーブル22[性別],"女")," ")</f>
        <v xml:space="preserve"> </v>
      </c>
      <c r="O16" s="99" t="str">
        <f>IFERROR(AVERAGEIFS(テーブル22[得点],テーブル22[学年],6,テーブル22[性別],"女")," ")</f>
        <v xml:space="preserve"> </v>
      </c>
    </row>
  </sheetData>
  <sheetProtection algorithmName="SHA-512" hashValue="ZH1185qWphC5g/cmXIT/c6IQis7SAdQrtK3QxJZZguqwzmkEOEU4Q2o1s1Ymwu+khiUOuMkZe5qCouScIW4TLw==" saltValue="Us6MjLKN+pGev312UGt2+g==" spinCount="100000" sheet="1" objects="1" scenarios="1"/>
  <mergeCells count="15">
    <mergeCell ref="A11:A16"/>
    <mergeCell ref="B11:C11"/>
    <mergeCell ref="B13:C13"/>
    <mergeCell ref="B16:C16"/>
    <mergeCell ref="B6:C6"/>
    <mergeCell ref="B15:C15"/>
    <mergeCell ref="B12:C12"/>
    <mergeCell ref="B14:C14"/>
    <mergeCell ref="A3:A4"/>
    <mergeCell ref="B9:C9"/>
    <mergeCell ref="B5:C5"/>
    <mergeCell ref="A5:A10"/>
    <mergeCell ref="B10:C10"/>
    <mergeCell ref="B7:C7"/>
    <mergeCell ref="B8:C8"/>
  </mergeCells>
  <phoneticPr fontId="1"/>
  <printOptions horizontalCentered="1" verticalCentered="1"/>
  <pageMargins left="0.59055118110236227" right="0.59055118110236227" top="0.74803149606299213" bottom="0.74803149606299213"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FF00"/>
    <pageSetUpPr fitToPage="1"/>
  </sheetPr>
  <dimension ref="A1:U33"/>
  <sheetViews>
    <sheetView topLeftCell="A22" zoomScaleNormal="100" workbookViewId="0">
      <selection activeCell="I28" sqref="I28"/>
    </sheetView>
  </sheetViews>
  <sheetFormatPr defaultRowHeight="13" x14ac:dyDescent="0.2"/>
  <cols>
    <col min="1" max="1" width="5.90625" style="29" customWidth="1"/>
    <col min="2" max="2" width="6.453125" style="29" bestFit="1" customWidth="1"/>
    <col min="3" max="3" width="14.26953125" style="158" customWidth="1"/>
    <col min="4" max="18" width="7.453125" style="29" customWidth="1"/>
    <col min="19" max="21" width="4.453125" style="29" bestFit="1" customWidth="1"/>
    <col min="22" max="22" width="3.7265625" style="29" customWidth="1"/>
    <col min="23" max="23" width="2.6328125" style="29" customWidth="1"/>
    <col min="24" max="26" width="3.7265625" style="29" customWidth="1"/>
    <col min="27" max="27" width="5.90625" style="29" customWidth="1"/>
    <col min="28" max="263" width="9" style="29"/>
    <col min="264" max="264" width="3.453125" style="29" bestFit="1" customWidth="1"/>
    <col min="265" max="265" width="13.08984375" style="29" customWidth="1"/>
    <col min="266" max="277" width="5.26953125" style="29" customWidth="1"/>
    <col min="278" max="278" width="3.7265625" style="29" customWidth="1"/>
    <col min="279" max="279" width="2.6328125" style="29" customWidth="1"/>
    <col min="280" max="282" width="3.7265625" style="29" customWidth="1"/>
    <col min="283" max="283" width="5.90625" style="29" customWidth="1"/>
    <col min="284" max="519" width="9" style="29"/>
    <col min="520" max="520" width="3.453125" style="29" bestFit="1" customWidth="1"/>
    <col min="521" max="521" width="13.08984375" style="29" customWidth="1"/>
    <col min="522" max="533" width="5.26953125" style="29" customWidth="1"/>
    <col min="534" max="534" width="3.7265625" style="29" customWidth="1"/>
    <col min="535" max="535" width="2.6328125" style="29" customWidth="1"/>
    <col min="536" max="538" width="3.7265625" style="29" customWidth="1"/>
    <col min="539" max="539" width="5.90625" style="29" customWidth="1"/>
    <col min="540" max="775" width="9" style="29"/>
    <col min="776" max="776" width="3.453125" style="29" bestFit="1" customWidth="1"/>
    <col min="777" max="777" width="13.08984375" style="29" customWidth="1"/>
    <col min="778" max="789" width="5.26953125" style="29" customWidth="1"/>
    <col min="790" max="790" width="3.7265625" style="29" customWidth="1"/>
    <col min="791" max="791" width="2.6328125" style="29" customWidth="1"/>
    <col min="792" max="794" width="3.7265625" style="29" customWidth="1"/>
    <col min="795" max="795" width="5.90625" style="29" customWidth="1"/>
    <col min="796" max="1031" width="9" style="29"/>
    <col min="1032" max="1032" width="3.453125" style="29" bestFit="1" customWidth="1"/>
    <col min="1033" max="1033" width="13.08984375" style="29" customWidth="1"/>
    <col min="1034" max="1045" width="5.26953125" style="29" customWidth="1"/>
    <col min="1046" max="1046" width="3.7265625" style="29" customWidth="1"/>
    <col min="1047" max="1047" width="2.6328125" style="29" customWidth="1"/>
    <col min="1048" max="1050" width="3.7265625" style="29" customWidth="1"/>
    <col min="1051" max="1051" width="5.90625" style="29" customWidth="1"/>
    <col min="1052" max="1287" width="9" style="29"/>
    <col min="1288" max="1288" width="3.453125" style="29" bestFit="1" customWidth="1"/>
    <col min="1289" max="1289" width="13.08984375" style="29" customWidth="1"/>
    <col min="1290" max="1301" width="5.26953125" style="29" customWidth="1"/>
    <col min="1302" max="1302" width="3.7265625" style="29" customWidth="1"/>
    <col min="1303" max="1303" width="2.6328125" style="29" customWidth="1"/>
    <col min="1304" max="1306" width="3.7265625" style="29" customWidth="1"/>
    <col min="1307" max="1307" width="5.90625" style="29" customWidth="1"/>
    <col min="1308" max="1543" width="9" style="29"/>
    <col min="1544" max="1544" width="3.453125" style="29" bestFit="1" customWidth="1"/>
    <col min="1545" max="1545" width="13.08984375" style="29" customWidth="1"/>
    <col min="1546" max="1557" width="5.26953125" style="29" customWidth="1"/>
    <col min="1558" max="1558" width="3.7265625" style="29" customWidth="1"/>
    <col min="1559" max="1559" width="2.6328125" style="29" customWidth="1"/>
    <col min="1560" max="1562" width="3.7265625" style="29" customWidth="1"/>
    <col min="1563" max="1563" width="5.90625" style="29" customWidth="1"/>
    <col min="1564" max="1799" width="9" style="29"/>
    <col min="1800" max="1800" width="3.453125" style="29" bestFit="1" customWidth="1"/>
    <col min="1801" max="1801" width="13.08984375" style="29" customWidth="1"/>
    <col min="1802" max="1813" width="5.26953125" style="29" customWidth="1"/>
    <col min="1814" max="1814" width="3.7265625" style="29" customWidth="1"/>
    <col min="1815" max="1815" width="2.6328125" style="29" customWidth="1"/>
    <col min="1816" max="1818" width="3.7265625" style="29" customWidth="1"/>
    <col min="1819" max="1819" width="5.90625" style="29" customWidth="1"/>
    <col min="1820" max="2055" width="9" style="29"/>
    <col min="2056" max="2056" width="3.453125" style="29" bestFit="1" customWidth="1"/>
    <col min="2057" max="2057" width="13.08984375" style="29" customWidth="1"/>
    <col min="2058" max="2069" width="5.26953125" style="29" customWidth="1"/>
    <col min="2070" max="2070" width="3.7265625" style="29" customWidth="1"/>
    <col min="2071" max="2071" width="2.6328125" style="29" customWidth="1"/>
    <col min="2072" max="2074" width="3.7265625" style="29" customWidth="1"/>
    <col min="2075" max="2075" width="5.90625" style="29" customWidth="1"/>
    <col min="2076" max="2311" width="9" style="29"/>
    <col min="2312" max="2312" width="3.453125" style="29" bestFit="1" customWidth="1"/>
    <col min="2313" max="2313" width="13.08984375" style="29" customWidth="1"/>
    <col min="2314" max="2325" width="5.26953125" style="29" customWidth="1"/>
    <col min="2326" max="2326" width="3.7265625" style="29" customWidth="1"/>
    <col min="2327" max="2327" width="2.6328125" style="29" customWidth="1"/>
    <col min="2328" max="2330" width="3.7265625" style="29" customWidth="1"/>
    <col min="2331" max="2331" width="5.90625" style="29" customWidth="1"/>
    <col min="2332" max="2567" width="9" style="29"/>
    <col min="2568" max="2568" width="3.453125" style="29" bestFit="1" customWidth="1"/>
    <col min="2569" max="2569" width="13.08984375" style="29" customWidth="1"/>
    <col min="2570" max="2581" width="5.26953125" style="29" customWidth="1"/>
    <col min="2582" max="2582" width="3.7265625" style="29" customWidth="1"/>
    <col min="2583" max="2583" width="2.6328125" style="29" customWidth="1"/>
    <col min="2584" max="2586" width="3.7265625" style="29" customWidth="1"/>
    <col min="2587" max="2587" width="5.90625" style="29" customWidth="1"/>
    <col min="2588" max="2823" width="9" style="29"/>
    <col min="2824" max="2824" width="3.453125" style="29" bestFit="1" customWidth="1"/>
    <col min="2825" max="2825" width="13.08984375" style="29" customWidth="1"/>
    <col min="2826" max="2837" width="5.26953125" style="29" customWidth="1"/>
    <col min="2838" max="2838" width="3.7265625" style="29" customWidth="1"/>
    <col min="2839" max="2839" width="2.6328125" style="29" customWidth="1"/>
    <col min="2840" max="2842" width="3.7265625" style="29" customWidth="1"/>
    <col min="2843" max="2843" width="5.90625" style="29" customWidth="1"/>
    <col min="2844" max="3079" width="9" style="29"/>
    <col min="3080" max="3080" width="3.453125" style="29" bestFit="1" customWidth="1"/>
    <col min="3081" max="3081" width="13.08984375" style="29" customWidth="1"/>
    <col min="3082" max="3093" width="5.26953125" style="29" customWidth="1"/>
    <col min="3094" max="3094" width="3.7265625" style="29" customWidth="1"/>
    <col min="3095" max="3095" width="2.6328125" style="29" customWidth="1"/>
    <col min="3096" max="3098" width="3.7265625" style="29" customWidth="1"/>
    <col min="3099" max="3099" width="5.90625" style="29" customWidth="1"/>
    <col min="3100" max="3335" width="9" style="29"/>
    <col min="3336" max="3336" width="3.453125" style="29" bestFit="1" customWidth="1"/>
    <col min="3337" max="3337" width="13.08984375" style="29" customWidth="1"/>
    <col min="3338" max="3349" width="5.26953125" style="29" customWidth="1"/>
    <col min="3350" max="3350" width="3.7265625" style="29" customWidth="1"/>
    <col min="3351" max="3351" width="2.6328125" style="29" customWidth="1"/>
    <col min="3352" max="3354" width="3.7265625" style="29" customWidth="1"/>
    <col min="3355" max="3355" width="5.90625" style="29" customWidth="1"/>
    <col min="3356" max="3591" width="9" style="29"/>
    <col min="3592" max="3592" width="3.453125" style="29" bestFit="1" customWidth="1"/>
    <col min="3593" max="3593" width="13.08984375" style="29" customWidth="1"/>
    <col min="3594" max="3605" width="5.26953125" style="29" customWidth="1"/>
    <col min="3606" max="3606" width="3.7265625" style="29" customWidth="1"/>
    <col min="3607" max="3607" width="2.6328125" style="29" customWidth="1"/>
    <col min="3608" max="3610" width="3.7265625" style="29" customWidth="1"/>
    <col min="3611" max="3611" width="5.90625" style="29" customWidth="1"/>
    <col min="3612" max="3847" width="9" style="29"/>
    <col min="3848" max="3848" width="3.453125" style="29" bestFit="1" customWidth="1"/>
    <col min="3849" max="3849" width="13.08984375" style="29" customWidth="1"/>
    <col min="3850" max="3861" width="5.26953125" style="29" customWidth="1"/>
    <col min="3862" max="3862" width="3.7265625" style="29" customWidth="1"/>
    <col min="3863" max="3863" width="2.6328125" style="29" customWidth="1"/>
    <col min="3864" max="3866" width="3.7265625" style="29" customWidth="1"/>
    <col min="3867" max="3867" width="5.90625" style="29" customWidth="1"/>
    <col min="3868" max="4103" width="9" style="29"/>
    <col min="4104" max="4104" width="3.453125" style="29" bestFit="1" customWidth="1"/>
    <col min="4105" max="4105" width="13.08984375" style="29" customWidth="1"/>
    <col min="4106" max="4117" width="5.26953125" style="29" customWidth="1"/>
    <col min="4118" max="4118" width="3.7265625" style="29" customWidth="1"/>
    <col min="4119" max="4119" width="2.6328125" style="29" customWidth="1"/>
    <col min="4120" max="4122" width="3.7265625" style="29" customWidth="1"/>
    <col min="4123" max="4123" width="5.90625" style="29" customWidth="1"/>
    <col min="4124" max="4359" width="9" style="29"/>
    <col min="4360" max="4360" width="3.453125" style="29" bestFit="1" customWidth="1"/>
    <col min="4361" max="4361" width="13.08984375" style="29" customWidth="1"/>
    <col min="4362" max="4373" width="5.26953125" style="29" customWidth="1"/>
    <col min="4374" max="4374" width="3.7265625" style="29" customWidth="1"/>
    <col min="4375" max="4375" width="2.6328125" style="29" customWidth="1"/>
    <col min="4376" max="4378" width="3.7265625" style="29" customWidth="1"/>
    <col min="4379" max="4379" width="5.90625" style="29" customWidth="1"/>
    <col min="4380" max="4615" width="9" style="29"/>
    <col min="4616" max="4616" width="3.453125" style="29" bestFit="1" customWidth="1"/>
    <col min="4617" max="4617" width="13.08984375" style="29" customWidth="1"/>
    <col min="4618" max="4629" width="5.26953125" style="29" customWidth="1"/>
    <col min="4630" max="4630" width="3.7265625" style="29" customWidth="1"/>
    <col min="4631" max="4631" width="2.6328125" style="29" customWidth="1"/>
    <col min="4632" max="4634" width="3.7265625" style="29" customWidth="1"/>
    <col min="4635" max="4635" width="5.90625" style="29" customWidth="1"/>
    <col min="4636" max="4871" width="9" style="29"/>
    <col min="4872" max="4872" width="3.453125" style="29" bestFit="1" customWidth="1"/>
    <col min="4873" max="4873" width="13.08984375" style="29" customWidth="1"/>
    <col min="4874" max="4885" width="5.26953125" style="29" customWidth="1"/>
    <col min="4886" max="4886" width="3.7265625" style="29" customWidth="1"/>
    <col min="4887" max="4887" width="2.6328125" style="29" customWidth="1"/>
    <col min="4888" max="4890" width="3.7265625" style="29" customWidth="1"/>
    <col min="4891" max="4891" width="5.90625" style="29" customWidth="1"/>
    <col min="4892" max="5127" width="9" style="29"/>
    <col min="5128" max="5128" width="3.453125" style="29" bestFit="1" customWidth="1"/>
    <col min="5129" max="5129" width="13.08984375" style="29" customWidth="1"/>
    <col min="5130" max="5141" width="5.26953125" style="29" customWidth="1"/>
    <col min="5142" max="5142" width="3.7265625" style="29" customWidth="1"/>
    <col min="5143" max="5143" width="2.6328125" style="29" customWidth="1"/>
    <col min="5144" max="5146" width="3.7265625" style="29" customWidth="1"/>
    <col min="5147" max="5147" width="5.90625" style="29" customWidth="1"/>
    <col min="5148" max="5383" width="9" style="29"/>
    <col min="5384" max="5384" width="3.453125" style="29" bestFit="1" customWidth="1"/>
    <col min="5385" max="5385" width="13.08984375" style="29" customWidth="1"/>
    <col min="5386" max="5397" width="5.26953125" style="29" customWidth="1"/>
    <col min="5398" max="5398" width="3.7265625" style="29" customWidth="1"/>
    <col min="5399" max="5399" width="2.6328125" style="29" customWidth="1"/>
    <col min="5400" max="5402" width="3.7265625" style="29" customWidth="1"/>
    <col min="5403" max="5403" width="5.90625" style="29" customWidth="1"/>
    <col min="5404" max="5639" width="9" style="29"/>
    <col min="5640" max="5640" width="3.453125" style="29" bestFit="1" customWidth="1"/>
    <col min="5641" max="5641" width="13.08984375" style="29" customWidth="1"/>
    <col min="5642" max="5653" width="5.26953125" style="29" customWidth="1"/>
    <col min="5654" max="5654" width="3.7265625" style="29" customWidth="1"/>
    <col min="5655" max="5655" width="2.6328125" style="29" customWidth="1"/>
    <col min="5656" max="5658" width="3.7265625" style="29" customWidth="1"/>
    <col min="5659" max="5659" width="5.90625" style="29" customWidth="1"/>
    <col min="5660" max="5895" width="9" style="29"/>
    <col min="5896" max="5896" width="3.453125" style="29" bestFit="1" customWidth="1"/>
    <col min="5897" max="5897" width="13.08984375" style="29" customWidth="1"/>
    <col min="5898" max="5909" width="5.26953125" style="29" customWidth="1"/>
    <col min="5910" max="5910" width="3.7265625" style="29" customWidth="1"/>
    <col min="5911" max="5911" width="2.6328125" style="29" customWidth="1"/>
    <col min="5912" max="5914" width="3.7265625" style="29" customWidth="1"/>
    <col min="5915" max="5915" width="5.90625" style="29" customWidth="1"/>
    <col min="5916" max="6151" width="9" style="29"/>
    <col min="6152" max="6152" width="3.453125" style="29" bestFit="1" customWidth="1"/>
    <col min="6153" max="6153" width="13.08984375" style="29" customWidth="1"/>
    <col min="6154" max="6165" width="5.26953125" style="29" customWidth="1"/>
    <col min="6166" max="6166" width="3.7265625" style="29" customWidth="1"/>
    <col min="6167" max="6167" width="2.6328125" style="29" customWidth="1"/>
    <col min="6168" max="6170" width="3.7265625" style="29" customWidth="1"/>
    <col min="6171" max="6171" width="5.90625" style="29" customWidth="1"/>
    <col min="6172" max="6407" width="9" style="29"/>
    <col min="6408" max="6408" width="3.453125" style="29" bestFit="1" customWidth="1"/>
    <col min="6409" max="6409" width="13.08984375" style="29" customWidth="1"/>
    <col min="6410" max="6421" width="5.26953125" style="29" customWidth="1"/>
    <col min="6422" max="6422" width="3.7265625" style="29" customWidth="1"/>
    <col min="6423" max="6423" width="2.6328125" style="29" customWidth="1"/>
    <col min="6424" max="6426" width="3.7265625" style="29" customWidth="1"/>
    <col min="6427" max="6427" width="5.90625" style="29" customWidth="1"/>
    <col min="6428" max="6663" width="9" style="29"/>
    <col min="6664" max="6664" width="3.453125" style="29" bestFit="1" customWidth="1"/>
    <col min="6665" max="6665" width="13.08984375" style="29" customWidth="1"/>
    <col min="6666" max="6677" width="5.26953125" style="29" customWidth="1"/>
    <col min="6678" max="6678" width="3.7265625" style="29" customWidth="1"/>
    <col min="6679" max="6679" width="2.6328125" style="29" customWidth="1"/>
    <col min="6680" max="6682" width="3.7265625" style="29" customWidth="1"/>
    <col min="6683" max="6683" width="5.90625" style="29" customWidth="1"/>
    <col min="6684" max="6919" width="9" style="29"/>
    <col min="6920" max="6920" width="3.453125" style="29" bestFit="1" customWidth="1"/>
    <col min="6921" max="6921" width="13.08984375" style="29" customWidth="1"/>
    <col min="6922" max="6933" width="5.26953125" style="29" customWidth="1"/>
    <col min="6934" max="6934" width="3.7265625" style="29" customWidth="1"/>
    <col min="6935" max="6935" width="2.6328125" style="29" customWidth="1"/>
    <col min="6936" max="6938" width="3.7265625" style="29" customWidth="1"/>
    <col min="6939" max="6939" width="5.90625" style="29" customWidth="1"/>
    <col min="6940" max="7175" width="9" style="29"/>
    <col min="7176" max="7176" width="3.453125" style="29" bestFit="1" customWidth="1"/>
    <col min="7177" max="7177" width="13.08984375" style="29" customWidth="1"/>
    <col min="7178" max="7189" width="5.26953125" style="29" customWidth="1"/>
    <col min="7190" max="7190" width="3.7265625" style="29" customWidth="1"/>
    <col min="7191" max="7191" width="2.6328125" style="29" customWidth="1"/>
    <col min="7192" max="7194" width="3.7265625" style="29" customWidth="1"/>
    <col min="7195" max="7195" width="5.90625" style="29" customWidth="1"/>
    <col min="7196" max="7431" width="9" style="29"/>
    <col min="7432" max="7432" width="3.453125" style="29" bestFit="1" customWidth="1"/>
    <col min="7433" max="7433" width="13.08984375" style="29" customWidth="1"/>
    <col min="7434" max="7445" width="5.26953125" style="29" customWidth="1"/>
    <col min="7446" max="7446" width="3.7265625" style="29" customWidth="1"/>
    <col min="7447" max="7447" width="2.6328125" style="29" customWidth="1"/>
    <col min="7448" max="7450" width="3.7265625" style="29" customWidth="1"/>
    <col min="7451" max="7451" width="5.90625" style="29" customWidth="1"/>
    <col min="7452" max="7687" width="9" style="29"/>
    <col min="7688" max="7688" width="3.453125" style="29" bestFit="1" customWidth="1"/>
    <col min="7689" max="7689" width="13.08984375" style="29" customWidth="1"/>
    <col min="7690" max="7701" width="5.26953125" style="29" customWidth="1"/>
    <col min="7702" max="7702" width="3.7265625" style="29" customWidth="1"/>
    <col min="7703" max="7703" width="2.6328125" style="29" customWidth="1"/>
    <col min="7704" max="7706" width="3.7265625" style="29" customWidth="1"/>
    <col min="7707" max="7707" width="5.90625" style="29" customWidth="1"/>
    <col min="7708" max="7943" width="9" style="29"/>
    <col min="7944" max="7944" width="3.453125" style="29" bestFit="1" customWidth="1"/>
    <col min="7945" max="7945" width="13.08984375" style="29" customWidth="1"/>
    <col min="7946" max="7957" width="5.26953125" style="29" customWidth="1"/>
    <col min="7958" max="7958" width="3.7265625" style="29" customWidth="1"/>
    <col min="7959" max="7959" width="2.6328125" style="29" customWidth="1"/>
    <col min="7960" max="7962" width="3.7265625" style="29" customWidth="1"/>
    <col min="7963" max="7963" width="5.90625" style="29" customWidth="1"/>
    <col min="7964" max="8199" width="9" style="29"/>
    <col min="8200" max="8200" width="3.453125" style="29" bestFit="1" customWidth="1"/>
    <col min="8201" max="8201" width="13.08984375" style="29" customWidth="1"/>
    <col min="8202" max="8213" width="5.26953125" style="29" customWidth="1"/>
    <col min="8214" max="8214" width="3.7265625" style="29" customWidth="1"/>
    <col min="8215" max="8215" width="2.6328125" style="29" customWidth="1"/>
    <col min="8216" max="8218" width="3.7265625" style="29" customWidth="1"/>
    <col min="8219" max="8219" width="5.90625" style="29" customWidth="1"/>
    <col min="8220" max="8455" width="9" style="29"/>
    <col min="8456" max="8456" width="3.453125" style="29" bestFit="1" customWidth="1"/>
    <col min="8457" max="8457" width="13.08984375" style="29" customWidth="1"/>
    <col min="8458" max="8469" width="5.26953125" style="29" customWidth="1"/>
    <col min="8470" max="8470" width="3.7265625" style="29" customWidth="1"/>
    <col min="8471" max="8471" width="2.6328125" style="29" customWidth="1"/>
    <col min="8472" max="8474" width="3.7265625" style="29" customWidth="1"/>
    <col min="8475" max="8475" width="5.90625" style="29" customWidth="1"/>
    <col min="8476" max="8711" width="9" style="29"/>
    <col min="8712" max="8712" width="3.453125" style="29" bestFit="1" customWidth="1"/>
    <col min="8713" max="8713" width="13.08984375" style="29" customWidth="1"/>
    <col min="8714" max="8725" width="5.26953125" style="29" customWidth="1"/>
    <col min="8726" max="8726" width="3.7265625" style="29" customWidth="1"/>
    <col min="8727" max="8727" width="2.6328125" style="29" customWidth="1"/>
    <col min="8728" max="8730" width="3.7265625" style="29" customWidth="1"/>
    <col min="8731" max="8731" width="5.90625" style="29" customWidth="1"/>
    <col min="8732" max="8967" width="9" style="29"/>
    <col min="8968" max="8968" width="3.453125" style="29" bestFit="1" customWidth="1"/>
    <col min="8969" max="8969" width="13.08984375" style="29" customWidth="1"/>
    <col min="8970" max="8981" width="5.26953125" style="29" customWidth="1"/>
    <col min="8982" max="8982" width="3.7265625" style="29" customWidth="1"/>
    <col min="8983" max="8983" width="2.6328125" style="29" customWidth="1"/>
    <col min="8984" max="8986" width="3.7265625" style="29" customWidth="1"/>
    <col min="8987" max="8987" width="5.90625" style="29" customWidth="1"/>
    <col min="8988" max="9223" width="9" style="29"/>
    <col min="9224" max="9224" width="3.453125" style="29" bestFit="1" customWidth="1"/>
    <col min="9225" max="9225" width="13.08984375" style="29" customWidth="1"/>
    <col min="9226" max="9237" width="5.26953125" style="29" customWidth="1"/>
    <col min="9238" max="9238" width="3.7265625" style="29" customWidth="1"/>
    <col min="9239" max="9239" width="2.6328125" style="29" customWidth="1"/>
    <col min="9240" max="9242" width="3.7265625" style="29" customWidth="1"/>
    <col min="9243" max="9243" width="5.90625" style="29" customWidth="1"/>
    <col min="9244" max="9479" width="9" style="29"/>
    <col min="9480" max="9480" width="3.453125" style="29" bestFit="1" customWidth="1"/>
    <col min="9481" max="9481" width="13.08984375" style="29" customWidth="1"/>
    <col min="9482" max="9493" width="5.26953125" style="29" customWidth="1"/>
    <col min="9494" max="9494" width="3.7265625" style="29" customWidth="1"/>
    <col min="9495" max="9495" width="2.6328125" style="29" customWidth="1"/>
    <col min="9496" max="9498" width="3.7265625" style="29" customWidth="1"/>
    <col min="9499" max="9499" width="5.90625" style="29" customWidth="1"/>
    <col min="9500" max="9735" width="9" style="29"/>
    <col min="9736" max="9736" width="3.453125" style="29" bestFit="1" customWidth="1"/>
    <col min="9737" max="9737" width="13.08984375" style="29" customWidth="1"/>
    <col min="9738" max="9749" width="5.26953125" style="29" customWidth="1"/>
    <col min="9750" max="9750" width="3.7265625" style="29" customWidth="1"/>
    <col min="9751" max="9751" width="2.6328125" style="29" customWidth="1"/>
    <col min="9752" max="9754" width="3.7265625" style="29" customWidth="1"/>
    <col min="9755" max="9755" width="5.90625" style="29" customWidth="1"/>
    <col min="9756" max="9991" width="9" style="29"/>
    <col min="9992" max="9992" width="3.453125" style="29" bestFit="1" customWidth="1"/>
    <col min="9993" max="9993" width="13.08984375" style="29" customWidth="1"/>
    <col min="9994" max="10005" width="5.26953125" style="29" customWidth="1"/>
    <col min="10006" max="10006" width="3.7265625" style="29" customWidth="1"/>
    <col min="10007" max="10007" width="2.6328125" style="29" customWidth="1"/>
    <col min="10008" max="10010" width="3.7265625" style="29" customWidth="1"/>
    <col min="10011" max="10011" width="5.90625" style="29" customWidth="1"/>
    <col min="10012" max="10247" width="9" style="29"/>
    <col min="10248" max="10248" width="3.453125" style="29" bestFit="1" customWidth="1"/>
    <col min="10249" max="10249" width="13.08984375" style="29" customWidth="1"/>
    <col min="10250" max="10261" width="5.26953125" style="29" customWidth="1"/>
    <col min="10262" max="10262" width="3.7265625" style="29" customWidth="1"/>
    <col min="10263" max="10263" width="2.6328125" style="29" customWidth="1"/>
    <col min="10264" max="10266" width="3.7265625" style="29" customWidth="1"/>
    <col min="10267" max="10267" width="5.90625" style="29" customWidth="1"/>
    <col min="10268" max="10503" width="9" style="29"/>
    <col min="10504" max="10504" width="3.453125" style="29" bestFit="1" customWidth="1"/>
    <col min="10505" max="10505" width="13.08984375" style="29" customWidth="1"/>
    <col min="10506" max="10517" width="5.26953125" style="29" customWidth="1"/>
    <col min="10518" max="10518" width="3.7265625" style="29" customWidth="1"/>
    <col min="10519" max="10519" width="2.6328125" style="29" customWidth="1"/>
    <col min="10520" max="10522" width="3.7265625" style="29" customWidth="1"/>
    <col min="10523" max="10523" width="5.90625" style="29" customWidth="1"/>
    <col min="10524" max="10759" width="9" style="29"/>
    <col min="10760" max="10760" width="3.453125" style="29" bestFit="1" customWidth="1"/>
    <col min="10761" max="10761" width="13.08984375" style="29" customWidth="1"/>
    <col min="10762" max="10773" width="5.26953125" style="29" customWidth="1"/>
    <col min="10774" max="10774" width="3.7265625" style="29" customWidth="1"/>
    <col min="10775" max="10775" width="2.6328125" style="29" customWidth="1"/>
    <col min="10776" max="10778" width="3.7265625" style="29" customWidth="1"/>
    <col min="10779" max="10779" width="5.90625" style="29" customWidth="1"/>
    <col min="10780" max="11015" width="9" style="29"/>
    <col min="11016" max="11016" width="3.453125" style="29" bestFit="1" customWidth="1"/>
    <col min="11017" max="11017" width="13.08984375" style="29" customWidth="1"/>
    <col min="11018" max="11029" width="5.26953125" style="29" customWidth="1"/>
    <col min="11030" max="11030" width="3.7265625" style="29" customWidth="1"/>
    <col min="11031" max="11031" width="2.6328125" style="29" customWidth="1"/>
    <col min="11032" max="11034" width="3.7265625" style="29" customWidth="1"/>
    <col min="11035" max="11035" width="5.90625" style="29" customWidth="1"/>
    <col min="11036" max="11271" width="9" style="29"/>
    <col min="11272" max="11272" width="3.453125" style="29" bestFit="1" customWidth="1"/>
    <col min="11273" max="11273" width="13.08984375" style="29" customWidth="1"/>
    <col min="11274" max="11285" width="5.26953125" style="29" customWidth="1"/>
    <col min="11286" max="11286" width="3.7265625" style="29" customWidth="1"/>
    <col min="11287" max="11287" width="2.6328125" style="29" customWidth="1"/>
    <col min="11288" max="11290" width="3.7265625" style="29" customWidth="1"/>
    <col min="11291" max="11291" width="5.90625" style="29" customWidth="1"/>
    <col min="11292" max="11527" width="9" style="29"/>
    <col min="11528" max="11528" width="3.453125" style="29" bestFit="1" customWidth="1"/>
    <col min="11529" max="11529" width="13.08984375" style="29" customWidth="1"/>
    <col min="11530" max="11541" width="5.26953125" style="29" customWidth="1"/>
    <col min="11542" max="11542" width="3.7265625" style="29" customWidth="1"/>
    <col min="11543" max="11543" width="2.6328125" style="29" customWidth="1"/>
    <col min="11544" max="11546" width="3.7265625" style="29" customWidth="1"/>
    <col min="11547" max="11547" width="5.90625" style="29" customWidth="1"/>
    <col min="11548" max="11783" width="9" style="29"/>
    <col min="11784" max="11784" width="3.453125" style="29" bestFit="1" customWidth="1"/>
    <col min="11785" max="11785" width="13.08984375" style="29" customWidth="1"/>
    <col min="11786" max="11797" width="5.26953125" style="29" customWidth="1"/>
    <col min="11798" max="11798" width="3.7265625" style="29" customWidth="1"/>
    <col min="11799" max="11799" width="2.6328125" style="29" customWidth="1"/>
    <col min="11800" max="11802" width="3.7265625" style="29" customWidth="1"/>
    <col min="11803" max="11803" width="5.90625" style="29" customWidth="1"/>
    <col min="11804" max="12039" width="9" style="29"/>
    <col min="12040" max="12040" width="3.453125" style="29" bestFit="1" customWidth="1"/>
    <col min="12041" max="12041" width="13.08984375" style="29" customWidth="1"/>
    <col min="12042" max="12053" width="5.26953125" style="29" customWidth="1"/>
    <col min="12054" max="12054" width="3.7265625" style="29" customWidth="1"/>
    <col min="12055" max="12055" width="2.6328125" style="29" customWidth="1"/>
    <col min="12056" max="12058" width="3.7265625" style="29" customWidth="1"/>
    <col min="12059" max="12059" width="5.90625" style="29" customWidth="1"/>
    <col min="12060" max="12295" width="9" style="29"/>
    <col min="12296" max="12296" width="3.453125" style="29" bestFit="1" customWidth="1"/>
    <col min="12297" max="12297" width="13.08984375" style="29" customWidth="1"/>
    <col min="12298" max="12309" width="5.26953125" style="29" customWidth="1"/>
    <col min="12310" max="12310" width="3.7265625" style="29" customWidth="1"/>
    <col min="12311" max="12311" width="2.6328125" style="29" customWidth="1"/>
    <col min="12312" max="12314" width="3.7265625" style="29" customWidth="1"/>
    <col min="12315" max="12315" width="5.90625" style="29" customWidth="1"/>
    <col min="12316" max="12551" width="9" style="29"/>
    <col min="12552" max="12552" width="3.453125" style="29" bestFit="1" customWidth="1"/>
    <col min="12553" max="12553" width="13.08984375" style="29" customWidth="1"/>
    <col min="12554" max="12565" width="5.26953125" style="29" customWidth="1"/>
    <col min="12566" max="12566" width="3.7265625" style="29" customWidth="1"/>
    <col min="12567" max="12567" width="2.6328125" style="29" customWidth="1"/>
    <col min="12568" max="12570" width="3.7265625" style="29" customWidth="1"/>
    <col min="12571" max="12571" width="5.90625" style="29" customWidth="1"/>
    <col min="12572" max="12807" width="9" style="29"/>
    <col min="12808" max="12808" width="3.453125" style="29" bestFit="1" customWidth="1"/>
    <col min="12809" max="12809" width="13.08984375" style="29" customWidth="1"/>
    <col min="12810" max="12821" width="5.26953125" style="29" customWidth="1"/>
    <col min="12822" max="12822" width="3.7265625" style="29" customWidth="1"/>
    <col min="12823" max="12823" width="2.6328125" style="29" customWidth="1"/>
    <col min="12824" max="12826" width="3.7265625" style="29" customWidth="1"/>
    <col min="12827" max="12827" width="5.90625" style="29" customWidth="1"/>
    <col min="12828" max="13063" width="9" style="29"/>
    <col min="13064" max="13064" width="3.453125" style="29" bestFit="1" customWidth="1"/>
    <col min="13065" max="13065" width="13.08984375" style="29" customWidth="1"/>
    <col min="13066" max="13077" width="5.26953125" style="29" customWidth="1"/>
    <col min="13078" max="13078" width="3.7265625" style="29" customWidth="1"/>
    <col min="13079" max="13079" width="2.6328125" style="29" customWidth="1"/>
    <col min="13080" max="13082" width="3.7265625" style="29" customWidth="1"/>
    <col min="13083" max="13083" width="5.90625" style="29" customWidth="1"/>
    <col min="13084" max="13319" width="9" style="29"/>
    <col min="13320" max="13320" width="3.453125" style="29" bestFit="1" customWidth="1"/>
    <col min="13321" max="13321" width="13.08984375" style="29" customWidth="1"/>
    <col min="13322" max="13333" width="5.26953125" style="29" customWidth="1"/>
    <col min="13334" max="13334" width="3.7265625" style="29" customWidth="1"/>
    <col min="13335" max="13335" width="2.6328125" style="29" customWidth="1"/>
    <col min="13336" max="13338" width="3.7265625" style="29" customWidth="1"/>
    <col min="13339" max="13339" width="5.90625" style="29" customWidth="1"/>
    <col min="13340" max="13575" width="9" style="29"/>
    <col min="13576" max="13576" width="3.453125" style="29" bestFit="1" customWidth="1"/>
    <col min="13577" max="13577" width="13.08984375" style="29" customWidth="1"/>
    <col min="13578" max="13589" width="5.26953125" style="29" customWidth="1"/>
    <col min="13590" max="13590" width="3.7265625" style="29" customWidth="1"/>
    <col min="13591" max="13591" width="2.6328125" style="29" customWidth="1"/>
    <col min="13592" max="13594" width="3.7265625" style="29" customWidth="1"/>
    <col min="13595" max="13595" width="5.90625" style="29" customWidth="1"/>
    <col min="13596" max="13831" width="9" style="29"/>
    <col min="13832" max="13832" width="3.453125" style="29" bestFit="1" customWidth="1"/>
    <col min="13833" max="13833" width="13.08984375" style="29" customWidth="1"/>
    <col min="13834" max="13845" width="5.26953125" style="29" customWidth="1"/>
    <col min="13846" max="13846" width="3.7265625" style="29" customWidth="1"/>
    <col min="13847" max="13847" width="2.6328125" style="29" customWidth="1"/>
    <col min="13848" max="13850" width="3.7265625" style="29" customWidth="1"/>
    <col min="13851" max="13851" width="5.90625" style="29" customWidth="1"/>
    <col min="13852" max="14087" width="9" style="29"/>
    <col min="14088" max="14088" width="3.453125" style="29" bestFit="1" customWidth="1"/>
    <col min="14089" max="14089" width="13.08984375" style="29" customWidth="1"/>
    <col min="14090" max="14101" width="5.26953125" style="29" customWidth="1"/>
    <col min="14102" max="14102" width="3.7265625" style="29" customWidth="1"/>
    <col min="14103" max="14103" width="2.6328125" style="29" customWidth="1"/>
    <col min="14104" max="14106" width="3.7265625" style="29" customWidth="1"/>
    <col min="14107" max="14107" width="5.90625" style="29" customWidth="1"/>
    <col min="14108" max="14343" width="9" style="29"/>
    <col min="14344" max="14344" width="3.453125" style="29" bestFit="1" customWidth="1"/>
    <col min="14345" max="14345" width="13.08984375" style="29" customWidth="1"/>
    <col min="14346" max="14357" width="5.26953125" style="29" customWidth="1"/>
    <col min="14358" max="14358" width="3.7265625" style="29" customWidth="1"/>
    <col min="14359" max="14359" width="2.6328125" style="29" customWidth="1"/>
    <col min="14360" max="14362" width="3.7265625" style="29" customWidth="1"/>
    <col min="14363" max="14363" width="5.90625" style="29" customWidth="1"/>
    <col min="14364" max="14599" width="9" style="29"/>
    <col min="14600" max="14600" width="3.453125" style="29" bestFit="1" customWidth="1"/>
    <col min="14601" max="14601" width="13.08984375" style="29" customWidth="1"/>
    <col min="14602" max="14613" width="5.26953125" style="29" customWidth="1"/>
    <col min="14614" max="14614" width="3.7265625" style="29" customWidth="1"/>
    <col min="14615" max="14615" width="2.6328125" style="29" customWidth="1"/>
    <col min="14616" max="14618" width="3.7265625" style="29" customWidth="1"/>
    <col min="14619" max="14619" width="5.90625" style="29" customWidth="1"/>
    <col min="14620" max="14855" width="9" style="29"/>
    <col min="14856" max="14856" width="3.453125" style="29" bestFit="1" customWidth="1"/>
    <col min="14857" max="14857" width="13.08984375" style="29" customWidth="1"/>
    <col min="14858" max="14869" width="5.26953125" style="29" customWidth="1"/>
    <col min="14870" max="14870" width="3.7265625" style="29" customWidth="1"/>
    <col min="14871" max="14871" width="2.6328125" style="29" customWidth="1"/>
    <col min="14872" max="14874" width="3.7265625" style="29" customWidth="1"/>
    <col min="14875" max="14875" width="5.90625" style="29" customWidth="1"/>
    <col min="14876" max="15111" width="9" style="29"/>
    <col min="15112" max="15112" width="3.453125" style="29" bestFit="1" customWidth="1"/>
    <col min="15113" max="15113" width="13.08984375" style="29" customWidth="1"/>
    <col min="15114" max="15125" width="5.26953125" style="29" customWidth="1"/>
    <col min="15126" max="15126" width="3.7265625" style="29" customWidth="1"/>
    <col min="15127" max="15127" width="2.6328125" style="29" customWidth="1"/>
    <col min="15128" max="15130" width="3.7265625" style="29" customWidth="1"/>
    <col min="15131" max="15131" width="5.90625" style="29" customWidth="1"/>
    <col min="15132" max="15367" width="9" style="29"/>
    <col min="15368" max="15368" width="3.453125" style="29" bestFit="1" customWidth="1"/>
    <col min="15369" max="15369" width="13.08984375" style="29" customWidth="1"/>
    <col min="15370" max="15381" width="5.26953125" style="29" customWidth="1"/>
    <col min="15382" max="15382" width="3.7265625" style="29" customWidth="1"/>
    <col min="15383" max="15383" width="2.6328125" style="29" customWidth="1"/>
    <col min="15384" max="15386" width="3.7265625" style="29" customWidth="1"/>
    <col min="15387" max="15387" width="5.90625" style="29" customWidth="1"/>
    <col min="15388" max="15623" width="9" style="29"/>
    <col min="15624" max="15624" width="3.453125" style="29" bestFit="1" customWidth="1"/>
    <col min="15625" max="15625" width="13.08984375" style="29" customWidth="1"/>
    <col min="15626" max="15637" width="5.26953125" style="29" customWidth="1"/>
    <col min="15638" max="15638" width="3.7265625" style="29" customWidth="1"/>
    <col min="15639" max="15639" width="2.6328125" style="29" customWidth="1"/>
    <col min="15640" max="15642" width="3.7265625" style="29" customWidth="1"/>
    <col min="15643" max="15643" width="5.90625" style="29" customWidth="1"/>
    <col min="15644" max="15879" width="9" style="29"/>
    <col min="15880" max="15880" width="3.453125" style="29" bestFit="1" customWidth="1"/>
    <col min="15881" max="15881" width="13.08984375" style="29" customWidth="1"/>
    <col min="15882" max="15893" width="5.26953125" style="29" customWidth="1"/>
    <col min="15894" max="15894" width="3.7265625" style="29" customWidth="1"/>
    <col min="15895" max="15895" width="2.6328125" style="29" customWidth="1"/>
    <col min="15896" max="15898" width="3.7265625" style="29" customWidth="1"/>
    <col min="15899" max="15899" width="5.90625" style="29" customWidth="1"/>
    <col min="15900" max="16135" width="9" style="29"/>
    <col min="16136" max="16136" width="3.453125" style="29" bestFit="1" customWidth="1"/>
    <col min="16137" max="16137" width="13.08984375" style="29" customWidth="1"/>
    <col min="16138" max="16149" width="5.26953125" style="29" customWidth="1"/>
    <col min="16150" max="16150" width="3.7265625" style="29" customWidth="1"/>
    <col min="16151" max="16151" width="2.6328125" style="29" customWidth="1"/>
    <col min="16152" max="16154" width="3.7265625" style="29" customWidth="1"/>
    <col min="16155" max="16155" width="5.90625" style="29" customWidth="1"/>
    <col min="16156" max="16384" width="9" style="29"/>
  </cols>
  <sheetData>
    <row r="1" spans="1:21" ht="15" customHeight="1" x14ac:dyDescent="0.2"/>
    <row r="2" spans="1:21" ht="39" customHeight="1" x14ac:dyDescent="0.2">
      <c r="A2" s="276" t="s">
        <v>132</v>
      </c>
      <c r="B2" s="276"/>
      <c r="C2" s="277"/>
      <c r="D2" s="280" t="s">
        <v>60</v>
      </c>
      <c r="E2" s="281"/>
      <c r="F2" s="281"/>
      <c r="G2" s="281"/>
      <c r="H2" s="281"/>
      <c r="I2" s="281"/>
      <c r="J2" s="281"/>
      <c r="K2" s="281"/>
      <c r="L2" s="281"/>
      <c r="M2" s="281"/>
      <c r="N2" s="281"/>
      <c r="O2" s="281"/>
      <c r="P2" s="281"/>
      <c r="Q2" s="281"/>
      <c r="R2" s="283"/>
      <c r="S2" s="284" t="s">
        <v>61</v>
      </c>
      <c r="T2" s="284"/>
      <c r="U2" s="284"/>
    </row>
    <row r="3" spans="1:21" ht="24" customHeight="1" thickBot="1" x14ac:dyDescent="0.25">
      <c r="A3" s="276"/>
      <c r="B3" s="276"/>
      <c r="C3" s="277"/>
      <c r="D3" s="280" t="s">
        <v>62</v>
      </c>
      <c r="E3" s="281"/>
      <c r="F3" s="282"/>
      <c r="G3" s="280" t="s">
        <v>63</v>
      </c>
      <c r="H3" s="281"/>
      <c r="I3" s="282"/>
      <c r="J3" s="280" t="s">
        <v>64</v>
      </c>
      <c r="K3" s="281"/>
      <c r="L3" s="282"/>
      <c r="M3" s="280" t="s">
        <v>65</v>
      </c>
      <c r="N3" s="281"/>
      <c r="O3" s="282"/>
      <c r="P3" s="280" t="s">
        <v>66</v>
      </c>
      <c r="Q3" s="281"/>
      <c r="R3" s="282"/>
      <c r="S3" s="284"/>
      <c r="T3" s="284"/>
      <c r="U3" s="284"/>
    </row>
    <row r="4" spans="1:21" ht="24" customHeight="1" x14ac:dyDescent="0.2">
      <c r="A4" s="278"/>
      <c r="B4" s="278"/>
      <c r="C4" s="279"/>
      <c r="D4" s="35" t="s">
        <v>67</v>
      </c>
      <c r="E4" s="38" t="s">
        <v>68</v>
      </c>
      <c r="F4" s="194" t="s">
        <v>80</v>
      </c>
      <c r="G4" s="184" t="s">
        <v>67</v>
      </c>
      <c r="H4" s="38" t="s">
        <v>68</v>
      </c>
      <c r="I4" s="194" t="s">
        <v>80</v>
      </c>
      <c r="J4" s="184" t="s">
        <v>67</v>
      </c>
      <c r="K4" s="38" t="s">
        <v>68</v>
      </c>
      <c r="L4" s="194" t="s">
        <v>80</v>
      </c>
      <c r="M4" s="184" t="s">
        <v>67</v>
      </c>
      <c r="N4" s="38" t="s">
        <v>68</v>
      </c>
      <c r="O4" s="194" t="s">
        <v>80</v>
      </c>
      <c r="P4" s="184" t="s">
        <v>67</v>
      </c>
      <c r="Q4" s="38" t="s">
        <v>68</v>
      </c>
      <c r="R4" s="194" t="s">
        <v>80</v>
      </c>
      <c r="S4" s="184" t="s">
        <v>67</v>
      </c>
      <c r="T4" s="36" t="s">
        <v>79</v>
      </c>
      <c r="U4" s="37" t="s">
        <v>61</v>
      </c>
    </row>
    <row r="5" spans="1:21" ht="24" customHeight="1" x14ac:dyDescent="0.2">
      <c r="A5" s="293" t="s">
        <v>55</v>
      </c>
      <c r="B5" s="290" t="s">
        <v>69</v>
      </c>
      <c r="C5" s="270" t="s">
        <v>257</v>
      </c>
      <c r="D5" s="160">
        <f>COUNTIFS(テーブル22[学年],"1",テーブル22[性別],"男",テーブル22[判定],"Ａ")</f>
        <v>0</v>
      </c>
      <c r="E5" s="161">
        <f>COUNTIFS(テーブル22[学年],"1",テーブル22[性別],"女",テーブル22[判定],"Ａ")</f>
        <v>0</v>
      </c>
      <c r="F5" s="195">
        <f>SUM(D5:E5)</f>
        <v>0</v>
      </c>
      <c r="G5" s="185">
        <f>COUNTIFS(テーブル22[学年],"1",テーブル22[性別],"男",テーブル22[判定],"Ｂ")</f>
        <v>0</v>
      </c>
      <c r="H5" s="161">
        <f>COUNTIFS(テーブル22[学年],"1",テーブル22[性別],"女",テーブル22[判定],"Ｂ")</f>
        <v>0</v>
      </c>
      <c r="I5" s="195">
        <f>SUM(G5:H5)</f>
        <v>0</v>
      </c>
      <c r="J5" s="185">
        <f>COUNTIFS(テーブル22[学年],"1",テーブル22[性別],"男",テーブル22[判定],"Ｃ")</f>
        <v>0</v>
      </c>
      <c r="K5" s="161">
        <f>COUNTIFS(テーブル22[学年],"1",テーブル22[性別],"女",テーブル22[判定],"Ｃ")</f>
        <v>0</v>
      </c>
      <c r="L5" s="195">
        <f>SUM(J5:K5)</f>
        <v>0</v>
      </c>
      <c r="M5" s="185">
        <f>COUNTIFS(テーブル22[学年],"1",テーブル22[性別],"男",テーブル22[判定],"Ｄ")</f>
        <v>0</v>
      </c>
      <c r="N5" s="161">
        <f>COUNTIFS(テーブル22[学年],"1",テーブル22[性別],"女",テーブル22[判定],"Ｄ")</f>
        <v>0</v>
      </c>
      <c r="O5" s="195">
        <f>SUM(M5:N5)</f>
        <v>0</v>
      </c>
      <c r="P5" s="185">
        <f>COUNTIFS(テーブル22[学年],"1",テーブル22[性別],"男",テーブル22[判定],"Ｅ")</f>
        <v>0</v>
      </c>
      <c r="Q5" s="161">
        <f>COUNTIFS(テーブル22[学年],"1",テーブル22[性別],"女",テーブル22[判定],"Ｅ")</f>
        <v>0</v>
      </c>
      <c r="R5" s="195">
        <f>SUM(P5:Q5)</f>
        <v>0</v>
      </c>
      <c r="S5" s="202">
        <f>D5+G5+J5+M5+P5</f>
        <v>0</v>
      </c>
      <c r="T5" s="162">
        <f>E5+H5+K5+N5+Q5</f>
        <v>0</v>
      </c>
      <c r="U5" s="163">
        <f>F5+I5+L5+O5+R5</f>
        <v>0</v>
      </c>
    </row>
    <row r="6" spans="1:21" s="158" customFormat="1" ht="24" customHeight="1" x14ac:dyDescent="0.2">
      <c r="A6" s="294"/>
      <c r="B6" s="291"/>
      <c r="C6" s="271"/>
      <c r="D6" s="173">
        <f>IFERROR(D5/$S$5,0)</f>
        <v>0</v>
      </c>
      <c r="E6" s="174">
        <f>IFERROR(E5/$T$5,0)</f>
        <v>0</v>
      </c>
      <c r="F6" s="196">
        <f>IFERROR(F5/$U$5,0)</f>
        <v>0</v>
      </c>
      <c r="G6" s="186">
        <f>IFERROR(G5/$S$5,0)</f>
        <v>0</v>
      </c>
      <c r="H6" s="174">
        <f>IFERROR(H5/$T$5,0)</f>
        <v>0</v>
      </c>
      <c r="I6" s="196">
        <f>IFERROR(I5/$U$5,0)</f>
        <v>0</v>
      </c>
      <c r="J6" s="186">
        <f>IFERROR(J5/$S$5,0)</f>
        <v>0</v>
      </c>
      <c r="K6" s="174">
        <f>IFERROR(K5/$T$5,0)</f>
        <v>0</v>
      </c>
      <c r="L6" s="196">
        <f>IFERROR(L5/$U$5,0)</f>
        <v>0</v>
      </c>
      <c r="M6" s="186">
        <f>IFERROR(M5/$S$5,0)</f>
        <v>0</v>
      </c>
      <c r="N6" s="174">
        <f>IFERROR(N5/$T$5,0)</f>
        <v>0</v>
      </c>
      <c r="O6" s="196">
        <f>IFERROR(O5/$U$5,0)</f>
        <v>0</v>
      </c>
      <c r="P6" s="186">
        <f>IFERROR(P5/$S$5,0)</f>
        <v>0</v>
      </c>
      <c r="Q6" s="174">
        <f>IFERROR(Q5/$T$5,0)</f>
        <v>0</v>
      </c>
      <c r="R6" s="196">
        <f>IFERROR(R5/$U$5,0)</f>
        <v>0</v>
      </c>
      <c r="S6" s="272"/>
      <c r="T6" s="273"/>
      <c r="U6" s="274"/>
    </row>
    <row r="7" spans="1:21" s="158" customFormat="1" ht="24" customHeight="1" x14ac:dyDescent="0.2">
      <c r="A7" s="294"/>
      <c r="B7" s="291"/>
      <c r="C7" s="268" t="s">
        <v>256</v>
      </c>
      <c r="D7" s="160">
        <f>COUNTIFS(テーブル22[学年],"1",テーブル22[性別],"男",テーブル22[判定],"Ａ",入力シート!AD6:AD505,"=8")</f>
        <v>0</v>
      </c>
      <c r="E7" s="161">
        <f>COUNTIFS(テーブル22[学年],"1",テーブル22[性別],"女",テーブル22[判定],"Ａ",入力シート!AD6:AD505,"=8")</f>
        <v>0</v>
      </c>
      <c r="F7" s="195">
        <f>SUM(D7:E7)</f>
        <v>0</v>
      </c>
      <c r="G7" s="185">
        <f>COUNTIFS(テーブル22[学年],"1",テーブル22[性別],"男",テーブル22[判定],"Ｂ",入力シート!AD6:AD505,"=8")</f>
        <v>0</v>
      </c>
      <c r="H7" s="161">
        <f>COUNTIFS(テーブル22[学年],"1",テーブル22[性別],"女",テーブル22[判定],"Ｂ",入力シート!AD6:AD505,"=8")</f>
        <v>0</v>
      </c>
      <c r="I7" s="195">
        <f>SUM(G7:H7)</f>
        <v>0</v>
      </c>
      <c r="J7" s="185">
        <f>COUNTIFS(テーブル22[学年],"1",テーブル22[性別],"男",テーブル22[判定],"Ｃ",入力シート!AD6:AD505,"=8")</f>
        <v>0</v>
      </c>
      <c r="K7" s="161">
        <f>COUNTIFS(テーブル22[学年],"1",テーブル22[性別],"女",テーブル22[判定],"Ｃ",入力シート!AD6:AD505,"=8")</f>
        <v>0</v>
      </c>
      <c r="L7" s="195">
        <f>SUM(J7:K7)</f>
        <v>0</v>
      </c>
      <c r="M7" s="185">
        <f>COUNTIFS(テーブル22[学年],"1",テーブル22[性別],"男",テーブル22[判定],"Ｄ",入力シート!AD6:AD505,"=8")</f>
        <v>0</v>
      </c>
      <c r="N7" s="161">
        <f>COUNTIFS(テーブル22[学年],"1",テーブル22[性別],"女",テーブル22[判定],"Ｄ",入力シート!AD6:AD505,"=8")</f>
        <v>0</v>
      </c>
      <c r="O7" s="195">
        <f>SUM(M7:N7)</f>
        <v>0</v>
      </c>
      <c r="P7" s="185">
        <f>COUNTIFS(テーブル22[学年],"1",テーブル22[性別],"男",テーブル22[判定],"Ｅ",入力シート!AD6:AD505,"=8")</f>
        <v>0</v>
      </c>
      <c r="Q7" s="161">
        <f>COUNTIFS(テーブル22[学年],"1",テーブル22[性別],"女",テーブル22[判定],"Ｅ",入力シート!AD6:AD505,"=8")</f>
        <v>0</v>
      </c>
      <c r="R7" s="195">
        <f>SUM(P7:Q7)</f>
        <v>0</v>
      </c>
      <c r="S7" s="202">
        <f>D7+G7+J7+M7+P7</f>
        <v>0</v>
      </c>
      <c r="T7" s="162">
        <f>E7+H7+K7+N7+Q7</f>
        <v>0</v>
      </c>
      <c r="U7" s="163">
        <f>F7+I7+L7+O7+R7</f>
        <v>0</v>
      </c>
    </row>
    <row r="8" spans="1:21" ht="24" customHeight="1" x14ac:dyDescent="0.2">
      <c r="A8" s="294"/>
      <c r="B8" s="292"/>
      <c r="C8" s="269"/>
      <c r="D8" s="178">
        <f>IFERROR(D7/$S$7,0)</f>
        <v>0</v>
      </c>
      <c r="E8" s="179">
        <f>IFERROR(E7/$T$7,0)</f>
        <v>0</v>
      </c>
      <c r="F8" s="197">
        <f>IFERROR(F7/$U$7,0)</f>
        <v>0</v>
      </c>
      <c r="G8" s="187">
        <f>IFERROR(G7/$S$7,0)</f>
        <v>0</v>
      </c>
      <c r="H8" s="179">
        <f>IFERROR(H7/$T$7,0)</f>
        <v>0</v>
      </c>
      <c r="I8" s="197">
        <f>IFERROR(I7/$U$7,0)</f>
        <v>0</v>
      </c>
      <c r="J8" s="187">
        <f>IFERROR(J7/$S$7,0)</f>
        <v>0</v>
      </c>
      <c r="K8" s="179">
        <f>IFERROR(K7/$T$7,0)</f>
        <v>0</v>
      </c>
      <c r="L8" s="197">
        <f>IFERROR(L7/$U$7,0)</f>
        <v>0</v>
      </c>
      <c r="M8" s="187">
        <f>IFERROR(M7/$S$7,0)</f>
        <v>0</v>
      </c>
      <c r="N8" s="179">
        <f>IFERROR(N7/$T$7,0)</f>
        <v>0</v>
      </c>
      <c r="O8" s="197">
        <f>IFERROR(O7/$U$7,0)</f>
        <v>0</v>
      </c>
      <c r="P8" s="187">
        <f>IFERROR(P7/$S$7,0)</f>
        <v>0</v>
      </c>
      <c r="Q8" s="179">
        <f>IFERROR(Q7/$T$7,0)</f>
        <v>0</v>
      </c>
      <c r="R8" s="197">
        <f>IFERROR(R7/$U$7,0)</f>
        <v>0</v>
      </c>
      <c r="S8" s="272"/>
      <c r="T8" s="273"/>
      <c r="U8" s="274"/>
    </row>
    <row r="9" spans="1:21" ht="24" customHeight="1" x14ac:dyDescent="0.2">
      <c r="A9" s="294"/>
      <c r="B9" s="290" t="s">
        <v>70</v>
      </c>
      <c r="C9" s="270" t="s">
        <v>257</v>
      </c>
      <c r="D9" s="160">
        <f>COUNTIFS(テーブル22[学年],"2",テーブル22[性別],"男",テーブル22[判定],"Ａ")</f>
        <v>0</v>
      </c>
      <c r="E9" s="161">
        <f>COUNTIFS(テーブル22[学年],"2",テーブル22[性別],"女",テーブル22[判定],"Ａ")</f>
        <v>0</v>
      </c>
      <c r="F9" s="195">
        <f>SUM(D9:E9)</f>
        <v>0</v>
      </c>
      <c r="G9" s="185">
        <f>COUNTIFS(テーブル22[学年],"2",テーブル22[性別],"男",テーブル22[判定],"Ｂ")</f>
        <v>0</v>
      </c>
      <c r="H9" s="161">
        <f>COUNTIFS(テーブル22[学年],"2",テーブル22[性別],"女",テーブル22[判定],"Ｂ")</f>
        <v>0</v>
      </c>
      <c r="I9" s="195">
        <f>SUM(G9:H9)</f>
        <v>0</v>
      </c>
      <c r="J9" s="185">
        <f>COUNTIFS(テーブル22[学年],"2",テーブル22[性別],"男",テーブル22[判定],"Ｃ")</f>
        <v>0</v>
      </c>
      <c r="K9" s="161">
        <f>COUNTIFS(テーブル22[学年],"2",テーブル22[性別],"女",テーブル22[判定],"Ｃ")</f>
        <v>0</v>
      </c>
      <c r="L9" s="195">
        <f>SUM(J9:K9)</f>
        <v>0</v>
      </c>
      <c r="M9" s="185">
        <f>COUNTIFS(テーブル22[学年],"2",テーブル22[性別],"男",テーブル22[判定],"Ｄ")</f>
        <v>0</v>
      </c>
      <c r="N9" s="161">
        <f>COUNTIFS(テーブル22[学年],"2",テーブル22[性別],"女",テーブル22[判定],"Ｄ")</f>
        <v>0</v>
      </c>
      <c r="O9" s="195">
        <f>SUM(M9:N9)</f>
        <v>0</v>
      </c>
      <c r="P9" s="185">
        <f>COUNTIFS(テーブル22[学年],"2",テーブル22[性別],"男",テーブル22[判定],"Ｅ")</f>
        <v>0</v>
      </c>
      <c r="Q9" s="161">
        <f>COUNTIFS(テーブル22[学年],"2",テーブル22[性別],"女",テーブル22[判定],"Ｅ")</f>
        <v>0</v>
      </c>
      <c r="R9" s="195">
        <f>SUM(P9:Q9)</f>
        <v>0</v>
      </c>
      <c r="S9" s="202">
        <f>D9+G9+J9+M9+P9</f>
        <v>0</v>
      </c>
      <c r="T9" s="162">
        <f>E9+H9+K9+N9+Q9</f>
        <v>0</v>
      </c>
      <c r="U9" s="163">
        <f>F9+I9+L9+O9+R9</f>
        <v>0</v>
      </c>
    </row>
    <row r="10" spans="1:21" s="158" customFormat="1" ht="24" customHeight="1" x14ac:dyDescent="0.2">
      <c r="A10" s="294"/>
      <c r="B10" s="291"/>
      <c r="C10" s="271"/>
      <c r="D10" s="173">
        <f>IFERROR(D9/$S$9,0)</f>
        <v>0</v>
      </c>
      <c r="E10" s="174">
        <f>IFERROR(E9/$T$9,0)</f>
        <v>0</v>
      </c>
      <c r="F10" s="196">
        <f>IFERROR(F9/$U$9,0)</f>
        <v>0</v>
      </c>
      <c r="G10" s="186">
        <f>IFERROR(G9/$S$9,0)</f>
        <v>0</v>
      </c>
      <c r="H10" s="174">
        <f>IFERROR(H9/$T$9,0)</f>
        <v>0</v>
      </c>
      <c r="I10" s="196">
        <f>IFERROR(I9/$U$9,0)</f>
        <v>0</v>
      </c>
      <c r="J10" s="186">
        <f>IFERROR(J9/$S$9,0)</f>
        <v>0</v>
      </c>
      <c r="K10" s="174">
        <f>IFERROR(K9/$T$9,0)</f>
        <v>0</v>
      </c>
      <c r="L10" s="196">
        <f>IFERROR(L9/$U$9,0)</f>
        <v>0</v>
      </c>
      <c r="M10" s="186">
        <f>IFERROR(M9/$S$9,0)</f>
        <v>0</v>
      </c>
      <c r="N10" s="174">
        <f>IFERROR(N9/$T$9,0)</f>
        <v>0</v>
      </c>
      <c r="O10" s="196">
        <f>IFERROR(O9/$U$9,0)</f>
        <v>0</v>
      </c>
      <c r="P10" s="186">
        <f>IFERROR(P9/$S$9,0)</f>
        <v>0</v>
      </c>
      <c r="Q10" s="174">
        <f>IFERROR(Q9/$T$9,0)</f>
        <v>0</v>
      </c>
      <c r="R10" s="196">
        <f>IFERROR(R9/$U$9,0)</f>
        <v>0</v>
      </c>
      <c r="S10" s="272"/>
      <c r="T10" s="273"/>
      <c r="U10" s="274"/>
    </row>
    <row r="11" spans="1:21" s="158" customFormat="1" ht="24" customHeight="1" x14ac:dyDescent="0.2">
      <c r="A11" s="294"/>
      <c r="B11" s="291"/>
      <c r="C11" s="268" t="s">
        <v>256</v>
      </c>
      <c r="D11" s="160">
        <f>COUNTIFS(テーブル22[学年],"2",テーブル22[性別],"男",テーブル22[判定],"Ａ",入力シート!AD6:AD505,"=8")</f>
        <v>0</v>
      </c>
      <c r="E11" s="161">
        <f>COUNTIFS(テーブル22[学年],"2",テーブル22[性別],"女",テーブル22[判定],"Ａ",入力シート!AD6:AD505,"=8")</f>
        <v>0</v>
      </c>
      <c r="F11" s="195">
        <f>SUM(D11:E11)</f>
        <v>0</v>
      </c>
      <c r="G11" s="185">
        <f>COUNTIFS(テーブル22[学年],"2",テーブル22[性別],"男",テーブル22[判定],"Ｂ",入力シート!AD6:AD505,"=8")</f>
        <v>0</v>
      </c>
      <c r="H11" s="161">
        <f>COUNTIFS(テーブル22[学年],"2",テーブル22[性別],"女",テーブル22[判定],"Ｂ",入力シート!AD6:AD505,"=8")</f>
        <v>0</v>
      </c>
      <c r="I11" s="195">
        <f>SUM(G11:H11)</f>
        <v>0</v>
      </c>
      <c r="J11" s="185">
        <f>COUNTIFS(テーブル22[学年],"2",テーブル22[性別],"男",テーブル22[判定],"Ｃ",入力シート!AD6:AD505,"=8")</f>
        <v>0</v>
      </c>
      <c r="K11" s="161">
        <f>COUNTIFS(テーブル22[学年],"2",テーブル22[性別],"女",テーブル22[判定],"Ｃ",入力シート!AD6:AD505,"=8")</f>
        <v>0</v>
      </c>
      <c r="L11" s="195">
        <f>SUM(J11:K11)</f>
        <v>0</v>
      </c>
      <c r="M11" s="185">
        <f>COUNTIFS(テーブル22[学年],"2",テーブル22[性別],"男",テーブル22[判定],"Ｄ",入力シート!AD6:AD505,"=8")</f>
        <v>0</v>
      </c>
      <c r="N11" s="161">
        <f>COUNTIFS(テーブル22[学年],"2",テーブル22[性別],"女",テーブル22[判定],"Ｄ",入力シート!AD6:AD505,"=8")</f>
        <v>0</v>
      </c>
      <c r="O11" s="195">
        <f>SUM(M11:N11)</f>
        <v>0</v>
      </c>
      <c r="P11" s="185">
        <f>COUNTIFS(テーブル22[学年],"2",テーブル22[性別],"男",テーブル22[判定],"Ｅ",入力シート!AD6:AD505,"=8")</f>
        <v>0</v>
      </c>
      <c r="Q11" s="161">
        <f>COUNTIFS(テーブル22[学年],"2",テーブル22[性別],"女",テーブル22[判定],"Ｅ",入力シート!AD6:AD505,"=8")</f>
        <v>0</v>
      </c>
      <c r="R11" s="195">
        <f>SUM(P11:Q11)</f>
        <v>0</v>
      </c>
      <c r="S11" s="202">
        <f>D11+G11+J11+M11+P11</f>
        <v>0</v>
      </c>
      <c r="T11" s="162">
        <f>E11+H11+K11+N11+Q11</f>
        <v>0</v>
      </c>
      <c r="U11" s="163">
        <f>F11+I11+L11+O11+R11</f>
        <v>0</v>
      </c>
    </row>
    <row r="12" spans="1:21" ht="24" customHeight="1" x14ac:dyDescent="0.2">
      <c r="A12" s="294"/>
      <c r="B12" s="292"/>
      <c r="C12" s="269"/>
      <c r="D12" s="178">
        <f>IFERROR(D11/$S$11,0)</f>
        <v>0</v>
      </c>
      <c r="E12" s="179">
        <f>IFERROR(E9/$T$9,0)</f>
        <v>0</v>
      </c>
      <c r="F12" s="197">
        <f>IFERROR(F9/$U$9,0)</f>
        <v>0</v>
      </c>
      <c r="G12" s="187">
        <f>IFERROR(G11/$S$11,0)</f>
        <v>0</v>
      </c>
      <c r="H12" s="179">
        <f>IFERROR(H11/$T$11,0)</f>
        <v>0</v>
      </c>
      <c r="I12" s="197">
        <f>IFERROR(I11/$U$11,0)</f>
        <v>0</v>
      </c>
      <c r="J12" s="187">
        <f>IFERROR(J11/$S$11,0)</f>
        <v>0</v>
      </c>
      <c r="K12" s="179">
        <f>IFERROR(K11/$T$11,0)</f>
        <v>0</v>
      </c>
      <c r="L12" s="197">
        <f>IFERROR(L11/$U$11,0)</f>
        <v>0</v>
      </c>
      <c r="M12" s="187">
        <f>IFERROR(M11/$S$11,0)</f>
        <v>0</v>
      </c>
      <c r="N12" s="179">
        <f>IFERROR(N11/$T$11,0)</f>
        <v>0</v>
      </c>
      <c r="O12" s="197">
        <f>IFERROR(O11/$U$11,0)</f>
        <v>0</v>
      </c>
      <c r="P12" s="187">
        <f>IFERROR(P11/$S$11,0)</f>
        <v>0</v>
      </c>
      <c r="Q12" s="179">
        <f>IFERROR(Q11/$T$11,0)</f>
        <v>0</v>
      </c>
      <c r="R12" s="197">
        <f>IFERROR(R11/$U$11,0)</f>
        <v>0</v>
      </c>
      <c r="S12" s="272"/>
      <c r="T12" s="273"/>
      <c r="U12" s="274"/>
    </row>
    <row r="13" spans="1:21" ht="24" customHeight="1" x14ac:dyDescent="0.2">
      <c r="A13" s="294"/>
      <c r="B13" s="290" t="s">
        <v>71</v>
      </c>
      <c r="C13" s="270" t="s">
        <v>257</v>
      </c>
      <c r="D13" s="160">
        <f>COUNTIFS(テーブル22[学年],"3",テーブル22[性別],"男",テーブル22[判定],"Ａ")</f>
        <v>0</v>
      </c>
      <c r="E13" s="161">
        <f>COUNTIFS(テーブル22[学年],"3",テーブル22[性別],"女",テーブル22[判定],"Ａ")</f>
        <v>0</v>
      </c>
      <c r="F13" s="195">
        <f>SUM(D13:E13)</f>
        <v>0</v>
      </c>
      <c r="G13" s="185">
        <f>COUNTIFS(テーブル22[学年],"3",テーブル22[性別],"男",テーブル22[判定],"Ｂ")</f>
        <v>0</v>
      </c>
      <c r="H13" s="161">
        <f>COUNTIFS(テーブル22[学年],"3",テーブル22[性別],"女",テーブル22[判定],"Ｂ")</f>
        <v>0</v>
      </c>
      <c r="I13" s="195">
        <f>SUM(G13:H13)</f>
        <v>0</v>
      </c>
      <c r="J13" s="185">
        <f>COUNTIFS(テーブル22[学年],"3",テーブル22[性別],"男",テーブル22[判定],"Ｃ")</f>
        <v>0</v>
      </c>
      <c r="K13" s="161">
        <f>COUNTIFS(テーブル22[学年],"3",テーブル22[性別],"女",テーブル22[判定],"Ｃ")</f>
        <v>0</v>
      </c>
      <c r="L13" s="195">
        <f>SUM(J13:K13)</f>
        <v>0</v>
      </c>
      <c r="M13" s="185">
        <f>COUNTIFS(テーブル22[学年],"3",テーブル22[性別],"男",テーブル22[判定],"Ｄ")</f>
        <v>0</v>
      </c>
      <c r="N13" s="161">
        <f>COUNTIFS(テーブル22[学年],"3",テーブル22[性別],"女",テーブル22[判定],"Ｄ")</f>
        <v>0</v>
      </c>
      <c r="O13" s="195">
        <f>SUM(M13:N13)</f>
        <v>0</v>
      </c>
      <c r="P13" s="185">
        <f>COUNTIFS(テーブル22[学年],"3",テーブル22[性別],"男",テーブル22[判定],"Ｅ")</f>
        <v>0</v>
      </c>
      <c r="Q13" s="161">
        <f>COUNTIFS(テーブル22[学年],"3",テーブル22[性別],"女",テーブル22[判定],"Ｅ")</f>
        <v>0</v>
      </c>
      <c r="R13" s="195">
        <f>SUM(P13:Q13)</f>
        <v>0</v>
      </c>
      <c r="S13" s="202">
        <f>D13+G13+J13+M13+P13</f>
        <v>0</v>
      </c>
      <c r="T13" s="162">
        <f>E13+H13+K13+N13+Q13</f>
        <v>0</v>
      </c>
      <c r="U13" s="163">
        <f>F13+I13+L13+O13+R13</f>
        <v>0</v>
      </c>
    </row>
    <row r="14" spans="1:21" s="158" customFormat="1" ht="24" customHeight="1" x14ac:dyDescent="0.2">
      <c r="A14" s="294"/>
      <c r="B14" s="291"/>
      <c r="C14" s="271"/>
      <c r="D14" s="175">
        <f>IFERROR(D13/$S$13,0)</f>
        <v>0</v>
      </c>
      <c r="E14" s="176">
        <f>IFERROR(E13/$T$13,0)</f>
        <v>0</v>
      </c>
      <c r="F14" s="198">
        <f>IFERROR(F13/$U$13,0)</f>
        <v>0</v>
      </c>
      <c r="G14" s="188">
        <f>IFERROR(G13/$S$13,0)</f>
        <v>0</v>
      </c>
      <c r="H14" s="176">
        <f>IFERROR(H13/$T$13,0)</f>
        <v>0</v>
      </c>
      <c r="I14" s="198">
        <f>IFERROR(I13/$U$13,0)</f>
        <v>0</v>
      </c>
      <c r="J14" s="188">
        <f>IFERROR(J13/$S$13,0)</f>
        <v>0</v>
      </c>
      <c r="K14" s="176">
        <f>IFERROR(K13/$T$13,0)</f>
        <v>0</v>
      </c>
      <c r="L14" s="198">
        <f>IFERROR(L13/$U$13,0)</f>
        <v>0</v>
      </c>
      <c r="M14" s="188">
        <f>IFERROR(M13/$S$13,0)</f>
        <v>0</v>
      </c>
      <c r="N14" s="176">
        <f>IFERROR(N13/$T$13,0)</f>
        <v>0</v>
      </c>
      <c r="O14" s="198">
        <f>IFERROR(O13/$U$13,0)</f>
        <v>0</v>
      </c>
      <c r="P14" s="188">
        <f>IFERROR(P13/$S$13,0)</f>
        <v>0</v>
      </c>
      <c r="Q14" s="176">
        <f>IFERROR(Q13/$T$13,0)</f>
        <v>0</v>
      </c>
      <c r="R14" s="198">
        <f>IFERROR(R13/$U$13,0)</f>
        <v>0</v>
      </c>
      <c r="S14" s="272"/>
      <c r="T14" s="273"/>
      <c r="U14" s="274"/>
    </row>
    <row r="15" spans="1:21" s="158" customFormat="1" ht="24" customHeight="1" x14ac:dyDescent="0.2">
      <c r="A15" s="294"/>
      <c r="B15" s="291"/>
      <c r="C15" s="268" t="s">
        <v>256</v>
      </c>
      <c r="D15" s="160">
        <f>COUNTIFS(テーブル22[学年],"3",テーブル22[性別],"男",テーブル22[判定],"Ａ",入力シート!AD6:AD505,"=8")</f>
        <v>0</v>
      </c>
      <c r="E15" s="161">
        <f>COUNTIFS(テーブル22[学年],"3",テーブル22[性別],"女",テーブル22[判定],"Ａ",入力シート!AD6:AD505,"=8")</f>
        <v>0</v>
      </c>
      <c r="F15" s="195">
        <f>SUM(D15:E15)</f>
        <v>0</v>
      </c>
      <c r="G15" s="185">
        <f>COUNTIFS(テーブル22[学年],"3",テーブル22[性別],"男",テーブル22[判定],"Ｂ",入力シート!AD6:AD505,"=8")</f>
        <v>0</v>
      </c>
      <c r="H15" s="161">
        <f>COUNTIFS(テーブル22[学年],"3",テーブル22[性別],"女",テーブル22[判定],"Ｂ",入力シート!AD6:AD505,"=8")</f>
        <v>0</v>
      </c>
      <c r="I15" s="195">
        <f>SUM(G15:H15)</f>
        <v>0</v>
      </c>
      <c r="J15" s="185">
        <f>COUNTIFS(テーブル22[学年],"3",テーブル22[性別],"男",テーブル22[判定],"Ｃ",入力シート!AD6:AD505,"=8")</f>
        <v>0</v>
      </c>
      <c r="K15" s="161">
        <f>COUNTIFS(テーブル22[学年],"3",テーブル22[性別],"女",テーブル22[判定],"Ｃ",入力シート!AD6:AD505,"=8")</f>
        <v>0</v>
      </c>
      <c r="L15" s="195">
        <f>SUM(J15:K15)</f>
        <v>0</v>
      </c>
      <c r="M15" s="185">
        <f>COUNTIFS(テーブル22[学年],"3",テーブル22[性別],"男",テーブル22[判定],"Ｄ",入力シート!AD6:AD505,"=8")</f>
        <v>0</v>
      </c>
      <c r="N15" s="161">
        <f>COUNTIFS(テーブル22[学年],"3",テーブル22[性別],"女",テーブル22[判定],"Ｄ",入力シート!AD6:AD505,"=8")</f>
        <v>0</v>
      </c>
      <c r="O15" s="195">
        <f>SUM(M15:N15)</f>
        <v>0</v>
      </c>
      <c r="P15" s="185">
        <f>COUNTIFS(テーブル22[学年],"3",テーブル22[性別],"男",テーブル22[判定],"Ｅ",入力シート!AD6:AD505,"=8")</f>
        <v>0</v>
      </c>
      <c r="Q15" s="161">
        <f>COUNTIFS(テーブル22[学年],"3",テーブル22[性別],"女",テーブル22[判定],"Ｅ",入力シート!AD6:AD505,"=8")</f>
        <v>0</v>
      </c>
      <c r="R15" s="195">
        <f>SUM(P15:Q15)</f>
        <v>0</v>
      </c>
      <c r="S15" s="202">
        <f>D15+G15+J15+M15+P15</f>
        <v>0</v>
      </c>
      <c r="T15" s="162">
        <f>E15+H15+K15+N15+Q15</f>
        <v>0</v>
      </c>
      <c r="U15" s="163">
        <f>F15+I15+L15+O15+R15</f>
        <v>0</v>
      </c>
    </row>
    <row r="16" spans="1:21" ht="24" customHeight="1" x14ac:dyDescent="0.2">
      <c r="A16" s="294"/>
      <c r="B16" s="292"/>
      <c r="C16" s="269"/>
      <c r="D16" s="180">
        <f>IFERROR(D15/$S$15,0)</f>
        <v>0</v>
      </c>
      <c r="E16" s="181">
        <f>IFERROR(E15/$T$15,0)</f>
        <v>0</v>
      </c>
      <c r="F16" s="199">
        <f>IFERROR(F15/$U$15,0)</f>
        <v>0</v>
      </c>
      <c r="G16" s="189">
        <f>IFERROR(G15/$S$15,0)</f>
        <v>0</v>
      </c>
      <c r="H16" s="181">
        <f>IFERROR(H15/$T$15,0)</f>
        <v>0</v>
      </c>
      <c r="I16" s="199">
        <f>IFERROR(I15/$U$15,0)</f>
        <v>0</v>
      </c>
      <c r="J16" s="189">
        <f>IFERROR(J15/$S$15,0)</f>
        <v>0</v>
      </c>
      <c r="K16" s="181">
        <f>IFERROR(K15/$T$15,0)</f>
        <v>0</v>
      </c>
      <c r="L16" s="199">
        <f>IFERROR(L15/$U$15,0)</f>
        <v>0</v>
      </c>
      <c r="M16" s="189">
        <f>IFERROR(M15/$S$15,0)</f>
        <v>0</v>
      </c>
      <c r="N16" s="181">
        <f>IFERROR(N15/$T$15,0)</f>
        <v>0</v>
      </c>
      <c r="O16" s="199">
        <f>IFERROR(O15/$U$15,0)</f>
        <v>0</v>
      </c>
      <c r="P16" s="189">
        <f>IFERROR(P15/$S$15,0)</f>
        <v>0</v>
      </c>
      <c r="Q16" s="181">
        <f>IFERROR(Q15/$T$15,0)</f>
        <v>0</v>
      </c>
      <c r="R16" s="199">
        <f>IFERROR(R15/$U$15,0)</f>
        <v>0</v>
      </c>
      <c r="S16" s="272"/>
      <c r="T16" s="273"/>
      <c r="U16" s="274"/>
    </row>
    <row r="17" spans="1:21" ht="24" customHeight="1" x14ac:dyDescent="0.2">
      <c r="A17" s="294"/>
      <c r="B17" s="290" t="s">
        <v>115</v>
      </c>
      <c r="C17" s="270" t="s">
        <v>257</v>
      </c>
      <c r="D17" s="164">
        <f>COUNTIFS(テーブル22[学年],"4",テーブル22[性別],"男",テーブル22[判定],"Ａ")</f>
        <v>0</v>
      </c>
      <c r="E17" s="165">
        <f>COUNTIFS(テーブル22[学年],"4",テーブル22[性別],"女",テーブル22[判定],"Ａ")</f>
        <v>0</v>
      </c>
      <c r="F17" s="200">
        <f>SUM(D17:E17)</f>
        <v>0</v>
      </c>
      <c r="G17" s="190">
        <f>COUNTIFS(テーブル22[学年],"4",テーブル22[性別],"男",テーブル22[判定],"Ｂ")</f>
        <v>0</v>
      </c>
      <c r="H17" s="165">
        <f>COUNTIFS(テーブル22[学年],"4",テーブル22[性別],"女",テーブル22[判定],"Ｂ")</f>
        <v>0</v>
      </c>
      <c r="I17" s="200">
        <f>SUM(G17:H17)</f>
        <v>0</v>
      </c>
      <c r="J17" s="190">
        <f>COUNTIFS(テーブル22[学年],"4",テーブル22[性別],"男",テーブル22[判定],"Ｃ")</f>
        <v>0</v>
      </c>
      <c r="K17" s="165">
        <f>COUNTIFS(テーブル22[学年],"4",テーブル22[性別],"女",テーブル22[判定],"Ｃ")</f>
        <v>0</v>
      </c>
      <c r="L17" s="200">
        <f>SUM(J17:K17)</f>
        <v>0</v>
      </c>
      <c r="M17" s="190">
        <f>COUNTIFS(テーブル22[学年],"4",テーブル22[性別],"男",テーブル22[判定],"Ｄ")</f>
        <v>0</v>
      </c>
      <c r="N17" s="165">
        <f>COUNTIFS(テーブル22[学年],"4",テーブル22[性別],"女",テーブル22[判定],"Ｄ")</f>
        <v>0</v>
      </c>
      <c r="O17" s="200">
        <f>SUM(M17:N17)</f>
        <v>0</v>
      </c>
      <c r="P17" s="190">
        <f>COUNTIFS(テーブル22[学年],"4",テーブル22[性別],"男",テーブル22[判定],"Ｅ")</f>
        <v>0</v>
      </c>
      <c r="Q17" s="165">
        <f>COUNTIFS(テーブル22[学年],"4",テーブル22[性別],"女",テーブル22[判定],"Ｅ")</f>
        <v>0</v>
      </c>
      <c r="R17" s="200">
        <f>SUM(P17:Q17)</f>
        <v>0</v>
      </c>
      <c r="S17" s="202">
        <f>D17+G17+J17+M17+P17</f>
        <v>0</v>
      </c>
      <c r="T17" s="162">
        <f>E17+H17+K17+N17+Q17</f>
        <v>0</v>
      </c>
      <c r="U17" s="163">
        <f>F17+I17+L17+O17+R17</f>
        <v>0</v>
      </c>
    </row>
    <row r="18" spans="1:21" s="158" customFormat="1" ht="24" customHeight="1" x14ac:dyDescent="0.2">
      <c r="A18" s="294"/>
      <c r="B18" s="291"/>
      <c r="C18" s="271"/>
      <c r="D18" s="175">
        <f>IFERROR(D17/$S$17,0)</f>
        <v>0</v>
      </c>
      <c r="E18" s="176">
        <f>IFERROR(E17/$T$17,0)</f>
        <v>0</v>
      </c>
      <c r="F18" s="198">
        <f>IFERROR(F17/$U$17,0)</f>
        <v>0</v>
      </c>
      <c r="G18" s="188">
        <f>IFERROR(G17/$S$17,0)</f>
        <v>0</v>
      </c>
      <c r="H18" s="176">
        <f>IFERROR(H17/$T$17,0)</f>
        <v>0</v>
      </c>
      <c r="I18" s="198">
        <f>IFERROR(I17/$U$17,0)</f>
        <v>0</v>
      </c>
      <c r="J18" s="188">
        <f>IFERROR(J17/$S$17,0)</f>
        <v>0</v>
      </c>
      <c r="K18" s="176">
        <f>IFERROR(K17/$T$17,0)</f>
        <v>0</v>
      </c>
      <c r="L18" s="198">
        <f>IFERROR(L17/$U$17,0)</f>
        <v>0</v>
      </c>
      <c r="M18" s="188">
        <f>IFERROR(M17/$S$17,0)</f>
        <v>0</v>
      </c>
      <c r="N18" s="176">
        <f>IFERROR(N17/$T$17,0)</f>
        <v>0</v>
      </c>
      <c r="O18" s="198">
        <f>IFERROR(O17/$U$17,0)</f>
        <v>0</v>
      </c>
      <c r="P18" s="188">
        <f>IFERROR(P17/$S$17,0)</f>
        <v>0</v>
      </c>
      <c r="Q18" s="176">
        <f>IFERROR(Q17/$T$17,0)</f>
        <v>0</v>
      </c>
      <c r="R18" s="198">
        <f>IFERROR(R17/$U$17,0)</f>
        <v>0</v>
      </c>
      <c r="S18" s="272"/>
      <c r="T18" s="273"/>
      <c r="U18" s="274"/>
    </row>
    <row r="19" spans="1:21" s="158" customFormat="1" ht="24" customHeight="1" x14ac:dyDescent="0.2">
      <c r="A19" s="294"/>
      <c r="B19" s="291"/>
      <c r="C19" s="268" t="s">
        <v>256</v>
      </c>
      <c r="D19" s="164">
        <f>COUNTIFS(テーブル22[学年],"4",テーブル22[性別],"男",テーブル22[判定],"Ａ",入力シート!AD6:AD505,"=8")</f>
        <v>0</v>
      </c>
      <c r="E19" s="165">
        <f>COUNTIFS(テーブル22[学年],"4",テーブル22[性別],"女",テーブル22[判定],"Ａ",入力シート!AD6:AD505,"=8")</f>
        <v>0</v>
      </c>
      <c r="F19" s="200">
        <f>SUM(D19:E19)</f>
        <v>0</v>
      </c>
      <c r="G19" s="190">
        <f>COUNTIFS(テーブル22[学年],"4",テーブル22[性別],"男",テーブル22[判定],"Ｂ",入力シート!AD6:AD505,"=8")</f>
        <v>0</v>
      </c>
      <c r="H19" s="165">
        <f>COUNTIFS(テーブル22[学年],"4",テーブル22[性別],"女",テーブル22[判定],"Ｂ",入力シート!AD6:AD505,"=8")</f>
        <v>0</v>
      </c>
      <c r="I19" s="200">
        <f>SUM(G19:H19)</f>
        <v>0</v>
      </c>
      <c r="J19" s="190">
        <f>COUNTIFS(テーブル22[学年],"4",テーブル22[性別],"男",テーブル22[判定],"Ｃ",入力シート!AD6:AD505,"=8")</f>
        <v>0</v>
      </c>
      <c r="K19" s="165">
        <f>COUNTIFS(テーブル22[学年],"4",テーブル22[性別],"女",テーブル22[判定],"Ｃ",入力シート!AD6:AD505,"=8")</f>
        <v>0</v>
      </c>
      <c r="L19" s="200">
        <f>SUM(J19:K19)</f>
        <v>0</v>
      </c>
      <c r="M19" s="190">
        <f>COUNTIFS(テーブル22[学年],"4",テーブル22[性別],"男",テーブル22[判定],"Ｄ",入力シート!AD6:AD505,"=8")</f>
        <v>0</v>
      </c>
      <c r="N19" s="165">
        <f>COUNTIFS(テーブル22[学年],"4",テーブル22[性別],"女",テーブル22[判定],"Ｄ",入力シート!AD6:AD505,"=8")</f>
        <v>0</v>
      </c>
      <c r="O19" s="200">
        <f>SUM(M19:N19)</f>
        <v>0</v>
      </c>
      <c r="P19" s="190">
        <f>COUNTIFS(テーブル22[学年],"4",テーブル22[性別],"男",テーブル22[判定],"Ｅ",入力シート!AD6:AD505,"=8")</f>
        <v>0</v>
      </c>
      <c r="Q19" s="165">
        <f>COUNTIFS(テーブル22[学年],"4",テーブル22[性別],"女",テーブル22[判定],"Ｅ",入力シート!AD6:AD505,"=8")</f>
        <v>0</v>
      </c>
      <c r="R19" s="200">
        <f>SUM(P19:Q19)</f>
        <v>0</v>
      </c>
      <c r="S19" s="202">
        <f>D19+G19+J19+M19+P19</f>
        <v>0</v>
      </c>
      <c r="T19" s="162">
        <f>E19+H19+K19+N19+Q19</f>
        <v>0</v>
      </c>
      <c r="U19" s="163">
        <f>F19+I19+L19+O19+R19</f>
        <v>0</v>
      </c>
    </row>
    <row r="20" spans="1:21" ht="24" customHeight="1" x14ac:dyDescent="0.2">
      <c r="A20" s="294"/>
      <c r="B20" s="292"/>
      <c r="C20" s="269"/>
      <c r="D20" s="180">
        <f>IFERROR(D19/$S$19,0)</f>
        <v>0</v>
      </c>
      <c r="E20" s="181">
        <f>IFERROR(E19/$T$19,0)</f>
        <v>0</v>
      </c>
      <c r="F20" s="199">
        <f>IFERROR(F19/$U$19,0)</f>
        <v>0</v>
      </c>
      <c r="G20" s="189">
        <f>IFERROR(G19/$S$19,0)</f>
        <v>0</v>
      </c>
      <c r="H20" s="181">
        <f>IFERROR(H19/$T$19,0)</f>
        <v>0</v>
      </c>
      <c r="I20" s="199">
        <f>IFERROR(I19/$U$19,0)</f>
        <v>0</v>
      </c>
      <c r="J20" s="189">
        <f>IFERROR(J19/$S$19,0)</f>
        <v>0</v>
      </c>
      <c r="K20" s="181">
        <f>IFERROR(K19/$T$19,0)</f>
        <v>0</v>
      </c>
      <c r="L20" s="199">
        <f>IFERROR(L19/$U$19,0)</f>
        <v>0</v>
      </c>
      <c r="M20" s="189">
        <f>IFERROR(M19/$S$19,0)</f>
        <v>0</v>
      </c>
      <c r="N20" s="181">
        <f>IFERROR(N19/$T$19,0)</f>
        <v>0</v>
      </c>
      <c r="O20" s="199">
        <f>IFERROR(O19/$U$19,0)</f>
        <v>0</v>
      </c>
      <c r="P20" s="189">
        <f>IFERROR(P19/$S$19,0)</f>
        <v>0</v>
      </c>
      <c r="Q20" s="181">
        <f>IFERROR(Q19/$T$19,0)</f>
        <v>0</v>
      </c>
      <c r="R20" s="199">
        <f>IFERROR(R19/$U$19,0)</f>
        <v>0</v>
      </c>
      <c r="S20" s="272"/>
      <c r="T20" s="273"/>
      <c r="U20" s="274"/>
    </row>
    <row r="21" spans="1:21" s="82" customFormat="1" ht="24" customHeight="1" x14ac:dyDescent="0.2">
      <c r="A21" s="294"/>
      <c r="B21" s="290" t="s">
        <v>123</v>
      </c>
      <c r="C21" s="270" t="s">
        <v>257</v>
      </c>
      <c r="D21" s="166">
        <f>COUNTIFS(テーブル22[学年],"5",テーブル22[性別],"男",テーブル22[判定],"Ａ")</f>
        <v>0</v>
      </c>
      <c r="E21" s="167">
        <f>COUNTIFS(テーブル22[学年],"5",テーブル22[性別],"女",テーブル22[判定],"Ａ")</f>
        <v>0</v>
      </c>
      <c r="F21" s="200">
        <f>SUM(D21:E21)</f>
        <v>0</v>
      </c>
      <c r="G21" s="191">
        <f>COUNTIFS(テーブル22[学年],"5",テーブル22[性別],"男",テーブル22[判定],"Ｂ")</f>
        <v>0</v>
      </c>
      <c r="H21" s="167">
        <f>COUNTIFS(テーブル22[学年],"5",テーブル22[性別],"女",テーブル22[判定],"Ｂ")</f>
        <v>0</v>
      </c>
      <c r="I21" s="200">
        <f>SUM(G21:H21)</f>
        <v>0</v>
      </c>
      <c r="J21" s="191">
        <f>COUNTIFS(テーブル22[学年],"5",テーブル22[性別],"男",テーブル22[判定],"Ｃ")</f>
        <v>0</v>
      </c>
      <c r="K21" s="167">
        <f>COUNTIFS(テーブル22[学年],"5",テーブル22[性別],"女",テーブル22[判定],"Ｃ")</f>
        <v>0</v>
      </c>
      <c r="L21" s="200">
        <f>SUM(J21:K21)</f>
        <v>0</v>
      </c>
      <c r="M21" s="191">
        <f>COUNTIFS(テーブル22[学年],"5",テーブル22[性別],"男",テーブル22[判定],"Ｄ")</f>
        <v>0</v>
      </c>
      <c r="N21" s="167">
        <f>COUNTIFS(テーブル22[学年],"5",テーブル22[性別],"女",テーブル22[判定],"Ｄ")</f>
        <v>0</v>
      </c>
      <c r="O21" s="200">
        <f>SUM(M21:N21)</f>
        <v>0</v>
      </c>
      <c r="P21" s="191">
        <f>COUNTIFS(テーブル22[学年],"5",テーブル22[性別],"男",テーブル22[判定],"Ｅ")</f>
        <v>0</v>
      </c>
      <c r="Q21" s="167">
        <f>COUNTIFS(テーブル22[学年],"5",テーブル22[性別],"女",テーブル22[判定],"Ｅ")</f>
        <v>0</v>
      </c>
      <c r="R21" s="200">
        <f>SUM(P21:Q21)</f>
        <v>0</v>
      </c>
      <c r="S21" s="162">
        <f>D21+G21+J21+M21+P21</f>
        <v>0</v>
      </c>
      <c r="T21" s="169">
        <f>E21+H21+K21+N21+Q21</f>
        <v>0</v>
      </c>
      <c r="U21" s="170">
        <f>F21+I21+L21+O21+R21</f>
        <v>0</v>
      </c>
    </row>
    <row r="22" spans="1:21" s="158" customFormat="1" ht="24" customHeight="1" x14ac:dyDescent="0.2">
      <c r="A22" s="294"/>
      <c r="B22" s="291"/>
      <c r="C22" s="271"/>
      <c r="D22" s="175">
        <f>IFERROR(D21/$S$21,0)</f>
        <v>0</v>
      </c>
      <c r="E22" s="176">
        <f>IFERROR(E21/$T$21,0)</f>
        <v>0</v>
      </c>
      <c r="F22" s="198">
        <f>IFERROR(F21/$U$21,0)</f>
        <v>0</v>
      </c>
      <c r="G22" s="188">
        <f>IFERROR(G21/$S$21,0)</f>
        <v>0</v>
      </c>
      <c r="H22" s="176">
        <f>IFERROR(H21/$T$21,0)</f>
        <v>0</v>
      </c>
      <c r="I22" s="198">
        <f>IFERROR(I21/$U$21,0)</f>
        <v>0</v>
      </c>
      <c r="J22" s="188">
        <f>IFERROR(J21/$S$21,0)</f>
        <v>0</v>
      </c>
      <c r="K22" s="176">
        <f>IFERROR(K21/$T$21,0)</f>
        <v>0</v>
      </c>
      <c r="L22" s="198">
        <f>IFERROR(L21/$U$21,0)</f>
        <v>0</v>
      </c>
      <c r="M22" s="188">
        <f>IFERROR(M21/$S$21,0)</f>
        <v>0</v>
      </c>
      <c r="N22" s="176">
        <f>IFERROR(N21/$T$21,0)</f>
        <v>0</v>
      </c>
      <c r="O22" s="198">
        <f>IFERROR(O21/$U$21,0)</f>
        <v>0</v>
      </c>
      <c r="P22" s="188">
        <f>IFERROR(P21/$S$21,0)</f>
        <v>0</v>
      </c>
      <c r="Q22" s="176">
        <f>IFERROR(Q21/$T$21,0)</f>
        <v>0</v>
      </c>
      <c r="R22" s="198">
        <f>IFERROR(R21/$U$21,0)</f>
        <v>0</v>
      </c>
      <c r="S22" s="272"/>
      <c r="T22" s="272"/>
      <c r="U22" s="275"/>
    </row>
    <row r="23" spans="1:21" s="158" customFormat="1" ht="24" customHeight="1" x14ac:dyDescent="0.2">
      <c r="A23" s="294"/>
      <c r="B23" s="291"/>
      <c r="C23" s="268" t="s">
        <v>256</v>
      </c>
      <c r="D23" s="166">
        <f>COUNTIFS(テーブル22[学年],"5",テーブル22[性別],"男",テーブル22[判定],"Ａ",入力シート!AD6:AD505,"=8")</f>
        <v>0</v>
      </c>
      <c r="E23" s="167">
        <f>COUNTIFS(テーブル22[学年],"5",テーブル22[性別],"女",テーブル22[判定],"Ａ",入力シート!AD6:AD505,"=8")</f>
        <v>0</v>
      </c>
      <c r="F23" s="200">
        <f>SUM(D23:E23)</f>
        <v>0</v>
      </c>
      <c r="G23" s="191">
        <f>COUNTIFS(テーブル22[学年],"5",テーブル22[性別],"男",テーブル22[判定],"Ｂ",入力シート!AD6:AD505,"=8")</f>
        <v>0</v>
      </c>
      <c r="H23" s="167">
        <f>COUNTIFS(テーブル22[学年],"5",テーブル22[性別],"女",テーブル22[判定],"Ｂ",入力シート!AD6:AD505,"=8")</f>
        <v>0</v>
      </c>
      <c r="I23" s="200">
        <f>SUM(G23:H23)</f>
        <v>0</v>
      </c>
      <c r="J23" s="191">
        <f>COUNTIFS(テーブル22[学年],"5",テーブル22[性別],"男",テーブル22[判定],"Ｃ",入力シート!AD6:AD505,"=8")</f>
        <v>0</v>
      </c>
      <c r="K23" s="167">
        <f>COUNTIFS(テーブル22[学年],"5",テーブル22[性別],"女",テーブル22[判定],"Ｃ",入力シート!AD6:AD505,"=8")</f>
        <v>0</v>
      </c>
      <c r="L23" s="200">
        <f>SUM(J23:K23)</f>
        <v>0</v>
      </c>
      <c r="M23" s="191">
        <f>COUNTIFS(テーブル22[学年],"5",テーブル22[性別],"男",テーブル22[判定],"Ｄ",入力シート!AD6:AD505,"=8")</f>
        <v>0</v>
      </c>
      <c r="N23" s="167">
        <f>COUNTIFS(テーブル22[学年],"5",テーブル22[性別],"女",テーブル22[判定],"Ｄ",入力シート!AD6:AD505,"=8")</f>
        <v>0</v>
      </c>
      <c r="O23" s="200">
        <f>SUM(M23:N23)</f>
        <v>0</v>
      </c>
      <c r="P23" s="191">
        <f>COUNTIFS(テーブル22[学年],"5",テーブル22[性別],"男",テーブル22[判定],"Ｅ",入力シート!AD6:AD505,"=8")</f>
        <v>0</v>
      </c>
      <c r="Q23" s="167">
        <f>COUNTIFS(テーブル22[学年],"5",テーブル22[性別],"女",テーブル22[判定],"Ｅ",入力シート!AD6:AD505,"=8")</f>
        <v>0</v>
      </c>
      <c r="R23" s="200">
        <f>SUM(P23:Q23)</f>
        <v>0</v>
      </c>
      <c r="S23" s="162">
        <f>D23+G23+J23+M23+P23</f>
        <v>0</v>
      </c>
      <c r="T23" s="169">
        <f>E23+H23+K23+N23+Q23</f>
        <v>0</v>
      </c>
      <c r="U23" s="170">
        <f>F23+I23+L23+O23+R23</f>
        <v>0</v>
      </c>
    </row>
    <row r="24" spans="1:21" s="82" customFormat="1" ht="24" customHeight="1" x14ac:dyDescent="0.2">
      <c r="A24" s="294"/>
      <c r="B24" s="292"/>
      <c r="C24" s="269"/>
      <c r="D24" s="180">
        <f>IFERROR(D23/$S$23,0)</f>
        <v>0</v>
      </c>
      <c r="E24" s="181">
        <f>IFERROR(E23/$T$23,0)</f>
        <v>0</v>
      </c>
      <c r="F24" s="199">
        <f>IFERROR(F23/$U$23,0)</f>
        <v>0</v>
      </c>
      <c r="G24" s="189">
        <f>IFERROR(G23/$S$23,0)</f>
        <v>0</v>
      </c>
      <c r="H24" s="181">
        <f>IFERROR(H23/$T$23,0)</f>
        <v>0</v>
      </c>
      <c r="I24" s="199">
        <f>IFERROR(I23/$U$23,0)</f>
        <v>0</v>
      </c>
      <c r="J24" s="189">
        <f>IFERROR(J23/$S$21,0)</f>
        <v>0</v>
      </c>
      <c r="K24" s="181">
        <f>IFERROR(K23/$T$23,0)</f>
        <v>0</v>
      </c>
      <c r="L24" s="199">
        <f>IFERROR(L23/$U$23,0)</f>
        <v>0</v>
      </c>
      <c r="M24" s="189">
        <f>IFERROR(M23/$S$23,0)</f>
        <v>0</v>
      </c>
      <c r="N24" s="181">
        <f>IFERROR(N23/$T$23,0)</f>
        <v>0</v>
      </c>
      <c r="O24" s="199">
        <f>IFERROR(O23/$U$23,0)</f>
        <v>0</v>
      </c>
      <c r="P24" s="189">
        <f>IFERROR(P23/$S$23,0)</f>
        <v>0</v>
      </c>
      <c r="Q24" s="181">
        <f>IFERROR(Q23/$T$23,0)</f>
        <v>0</v>
      </c>
      <c r="R24" s="199">
        <f>IFERROR(R23/$U$23,0)</f>
        <v>0</v>
      </c>
      <c r="S24" s="272"/>
      <c r="T24" s="272"/>
      <c r="U24" s="275"/>
    </row>
    <row r="25" spans="1:21" s="82" customFormat="1" ht="24" customHeight="1" x14ac:dyDescent="0.2">
      <c r="A25" s="294"/>
      <c r="B25" s="290" t="s">
        <v>124</v>
      </c>
      <c r="C25" s="270" t="s">
        <v>257</v>
      </c>
      <c r="D25" s="166">
        <f>COUNTIFS(テーブル22[学年],"6",テーブル22[性別],"男",テーブル22[判定],"Ａ")</f>
        <v>0</v>
      </c>
      <c r="E25" s="167">
        <f>COUNTIFS(テーブル22[学年],"6",テーブル22[性別],"女",テーブル22[判定],"Ａ")</f>
        <v>0</v>
      </c>
      <c r="F25" s="200">
        <f>SUM(D25:E25)</f>
        <v>0</v>
      </c>
      <c r="G25" s="191">
        <f>COUNTIFS(テーブル22[学年],"6",テーブル22[性別],"男",テーブル22[判定],"Ｂ")</f>
        <v>0</v>
      </c>
      <c r="H25" s="167">
        <f>COUNTIFS(テーブル22[学年],"6",テーブル22[性別],"女",テーブル22[判定],"Ｂ")</f>
        <v>0</v>
      </c>
      <c r="I25" s="200">
        <f>SUM(G25:H25)</f>
        <v>0</v>
      </c>
      <c r="J25" s="191">
        <f>COUNTIFS(テーブル22[学年],"6",テーブル22[性別],"男",テーブル22[判定],"Ｃ")</f>
        <v>0</v>
      </c>
      <c r="K25" s="167">
        <f>COUNTIFS(テーブル22[学年],"6",テーブル22[性別],"女",テーブル22[判定],"Ｃ")</f>
        <v>0</v>
      </c>
      <c r="L25" s="200">
        <f>SUM(J25:K25)</f>
        <v>0</v>
      </c>
      <c r="M25" s="191">
        <f>COUNTIFS(テーブル22[学年],"6",テーブル22[性別],"男",テーブル22[判定],"Ｄ")</f>
        <v>0</v>
      </c>
      <c r="N25" s="167">
        <f>COUNTIFS(テーブル22[学年],"6",テーブル22[性別],"女",テーブル22[判定],"Ｄ")</f>
        <v>0</v>
      </c>
      <c r="O25" s="200">
        <f>SUM(M25:N25)</f>
        <v>0</v>
      </c>
      <c r="P25" s="191">
        <f>COUNTIFS(テーブル22[学年],"6",テーブル22[性別],"男",テーブル22[判定],"Ｅ")</f>
        <v>0</v>
      </c>
      <c r="Q25" s="167">
        <f>COUNTIFS(テーブル22[学年],"6",テーブル22[性別],"女",テーブル22[判定],"Ｅ")</f>
        <v>0</v>
      </c>
      <c r="R25" s="200">
        <f>SUM(P25:Q25)</f>
        <v>0</v>
      </c>
      <c r="S25" s="162">
        <f>D25+G25+J25+M25+P25</f>
        <v>0</v>
      </c>
      <c r="T25" s="171">
        <f>E25+H25+K25+N25+Q25</f>
        <v>0</v>
      </c>
      <c r="U25" s="172">
        <f>F25+I25+L25+O25+R25</f>
        <v>0</v>
      </c>
    </row>
    <row r="26" spans="1:21" s="158" customFormat="1" ht="24" customHeight="1" x14ac:dyDescent="0.2">
      <c r="A26" s="294"/>
      <c r="B26" s="291"/>
      <c r="C26" s="271"/>
      <c r="D26" s="175">
        <f>IFERROR(D25/$S$25,0)</f>
        <v>0</v>
      </c>
      <c r="E26" s="176">
        <f>IFERROR(E25/$T$25,0)</f>
        <v>0</v>
      </c>
      <c r="F26" s="198">
        <f>IFERROR(F25/$U$25,0)</f>
        <v>0</v>
      </c>
      <c r="G26" s="188">
        <f>IFERROR(G25/$S$25,0)</f>
        <v>0</v>
      </c>
      <c r="H26" s="176">
        <f>IFERROR(H25/$T$25,0)</f>
        <v>0</v>
      </c>
      <c r="I26" s="198">
        <f>IFERROR(I25/$U$25,0)</f>
        <v>0</v>
      </c>
      <c r="J26" s="188">
        <f>IFERROR(J25/$S$25,0)</f>
        <v>0</v>
      </c>
      <c r="K26" s="176">
        <f>IFERROR(K25/$T$25,0)</f>
        <v>0</v>
      </c>
      <c r="L26" s="198">
        <f>IFERROR(L25/$U$25,0)</f>
        <v>0</v>
      </c>
      <c r="M26" s="188">
        <f>IFERROR(M25/$S$25,0)</f>
        <v>0</v>
      </c>
      <c r="N26" s="176">
        <f>IFERROR(N25/$T$25,0)</f>
        <v>0</v>
      </c>
      <c r="O26" s="198">
        <f>IFERROR(O25/$U$25,0)</f>
        <v>0</v>
      </c>
      <c r="P26" s="188">
        <f>IFERROR(P25/$S$25,0)</f>
        <v>0</v>
      </c>
      <c r="Q26" s="176">
        <f>IFERROR(Q25/$T$25,0)</f>
        <v>0</v>
      </c>
      <c r="R26" s="198">
        <f>IFERROR(R25/$U$25,0)</f>
        <v>0</v>
      </c>
      <c r="S26" s="272"/>
      <c r="T26" s="272"/>
      <c r="U26" s="275"/>
    </row>
    <row r="27" spans="1:21" s="158" customFormat="1" ht="24" customHeight="1" x14ac:dyDescent="0.2">
      <c r="A27" s="294"/>
      <c r="B27" s="291"/>
      <c r="C27" s="268" t="s">
        <v>256</v>
      </c>
      <c r="D27" s="166">
        <f>COUNTIFS(テーブル22[学年],"6",テーブル22[性別],"男",テーブル22[判定],"Ａ",入力シート!AD6:AD505,"=8")</f>
        <v>0</v>
      </c>
      <c r="E27" s="167">
        <f>COUNTIFS(テーブル22[学年],"6",テーブル22[性別],"女",テーブル22[判定],"Ａ",入力シート!AD6:AD505,"=8")</f>
        <v>0</v>
      </c>
      <c r="F27" s="200">
        <f>SUM(D27:E27)</f>
        <v>0</v>
      </c>
      <c r="G27" s="191">
        <f>COUNTIFS(テーブル22[学年],"6",テーブル22[性別],"男",テーブル22[判定],"Ｂ",入力シート!AD6:AD505,"=8")</f>
        <v>0</v>
      </c>
      <c r="H27" s="167">
        <f>COUNTIFS(テーブル22[学年],"6",テーブル22[性別],"女",テーブル22[判定],"Ｂ",入力シート!AD6:AD505,"=8")</f>
        <v>0</v>
      </c>
      <c r="I27" s="200">
        <f>SUM(G27:H27)</f>
        <v>0</v>
      </c>
      <c r="J27" s="191">
        <f>COUNTIFS(テーブル22[学年],"6",テーブル22[性別],"男",テーブル22[判定],"Ｃ",入力シート!AD6:AD505,"=8")</f>
        <v>0</v>
      </c>
      <c r="K27" s="167">
        <f>COUNTIFS(テーブル22[学年],"6",テーブル22[性別],"女",テーブル22[判定],"Ｃ",入力シート!AD6:AD505,"=8")</f>
        <v>0</v>
      </c>
      <c r="L27" s="200">
        <f>SUM(J27:K27)</f>
        <v>0</v>
      </c>
      <c r="M27" s="191">
        <f>COUNTIFS(テーブル22[学年],"6",テーブル22[性別],"男",テーブル22[判定],"Ｄ",入力シート!AD6:AD505,"=8")</f>
        <v>0</v>
      </c>
      <c r="N27" s="167">
        <f>COUNTIFS(テーブル22[学年],"6",テーブル22[性別],"女",テーブル22[判定],"Ｄ",入力シート!AD6:AD505,"=8")</f>
        <v>0</v>
      </c>
      <c r="O27" s="200">
        <f>SUM(M27:N27)</f>
        <v>0</v>
      </c>
      <c r="P27" s="191">
        <f>COUNTIFS(テーブル22[学年],"6",テーブル22[性別],"男",テーブル22[判定],"Ｅ",入力シート!AD6:AD505,"=8")</f>
        <v>0</v>
      </c>
      <c r="Q27" s="167">
        <f>COUNTIFS(テーブル22[学年],"6",テーブル22[性別],"女",テーブル22[判定],"Ｅ",入力シート!AD6:AD505,"=8")</f>
        <v>0</v>
      </c>
      <c r="R27" s="200">
        <f>SUM(P27:Q27)</f>
        <v>0</v>
      </c>
      <c r="S27" s="162">
        <f>D27+G27+J27+M27+P27</f>
        <v>0</v>
      </c>
      <c r="T27" s="171">
        <f>E27+H27+K27+N27+Q27</f>
        <v>0</v>
      </c>
      <c r="U27" s="172">
        <f>F27+I27+L27+O27+R27</f>
        <v>0</v>
      </c>
    </row>
    <row r="28" spans="1:21" s="82" customFormat="1" ht="24" customHeight="1" x14ac:dyDescent="0.2">
      <c r="A28" s="294"/>
      <c r="B28" s="292"/>
      <c r="C28" s="269"/>
      <c r="D28" s="180">
        <f>IFERROR(D27/$S$27,0)</f>
        <v>0</v>
      </c>
      <c r="E28" s="181">
        <f>IFERROR(E27/$T$27,0)</f>
        <v>0</v>
      </c>
      <c r="F28" s="199">
        <f>IFERROR(F27/$U$27,0)</f>
        <v>0</v>
      </c>
      <c r="G28" s="189">
        <f>IFERROR(G27/$S$27,0)</f>
        <v>0</v>
      </c>
      <c r="H28" s="181">
        <f>IFERROR(H27/$T$27,0)</f>
        <v>0</v>
      </c>
      <c r="I28" s="199">
        <f>IFERROR(I27/$U$27,0)</f>
        <v>0</v>
      </c>
      <c r="J28" s="189">
        <f>IFERROR(J27/$S$27,0)</f>
        <v>0</v>
      </c>
      <c r="K28" s="181">
        <f>IFERROR(K27/$T$27,0)</f>
        <v>0</v>
      </c>
      <c r="L28" s="199">
        <f>IFERROR(L27/$U$27,0)</f>
        <v>0</v>
      </c>
      <c r="M28" s="189">
        <f>IFERROR(M27/$S$27,0)</f>
        <v>0</v>
      </c>
      <c r="N28" s="181">
        <f>IFERROR(N27/$T$27,0)</f>
        <v>0</v>
      </c>
      <c r="O28" s="199">
        <f>IFERROR(O27/$U$27,0)</f>
        <v>0</v>
      </c>
      <c r="P28" s="189">
        <f>IFERROR(P27/$S$27,0)</f>
        <v>0</v>
      </c>
      <c r="Q28" s="181">
        <f>IFERROR(Q27/$T$27,0)</f>
        <v>0</v>
      </c>
      <c r="R28" s="199">
        <f>IFERROR(R27/$U$27,0)</f>
        <v>0</v>
      </c>
      <c r="S28" s="272"/>
      <c r="T28" s="272"/>
      <c r="U28" s="275"/>
    </row>
    <row r="29" spans="1:21" ht="24" customHeight="1" x14ac:dyDescent="0.2">
      <c r="A29" s="285" t="s">
        <v>61</v>
      </c>
      <c r="B29" s="282"/>
      <c r="C29" s="270" t="s">
        <v>258</v>
      </c>
      <c r="D29" s="168">
        <f t="shared" ref="D29:R29" si="0">D5+D9+D13+D17+D21+D25</f>
        <v>0</v>
      </c>
      <c r="E29" s="183">
        <f t="shared" si="0"/>
        <v>0</v>
      </c>
      <c r="F29" s="195">
        <f t="shared" si="0"/>
        <v>0</v>
      </c>
      <c r="G29" s="162">
        <f t="shared" si="0"/>
        <v>0</v>
      </c>
      <c r="H29" s="183">
        <f t="shared" si="0"/>
        <v>0</v>
      </c>
      <c r="I29" s="195">
        <f t="shared" si="0"/>
        <v>0</v>
      </c>
      <c r="J29" s="162">
        <f t="shared" si="0"/>
        <v>0</v>
      </c>
      <c r="K29" s="183">
        <f t="shared" si="0"/>
        <v>0</v>
      </c>
      <c r="L29" s="195">
        <f t="shared" si="0"/>
        <v>0</v>
      </c>
      <c r="M29" s="162">
        <f t="shared" si="0"/>
        <v>0</v>
      </c>
      <c r="N29" s="183">
        <f t="shared" si="0"/>
        <v>0</v>
      </c>
      <c r="O29" s="195">
        <f t="shared" si="0"/>
        <v>0</v>
      </c>
      <c r="P29" s="162">
        <f t="shared" si="0"/>
        <v>0</v>
      </c>
      <c r="Q29" s="183">
        <f t="shared" si="0"/>
        <v>0</v>
      </c>
      <c r="R29" s="195">
        <f t="shared" si="0"/>
        <v>0</v>
      </c>
      <c r="S29" s="202">
        <f>D29+G29+J29+M29+P29</f>
        <v>0</v>
      </c>
      <c r="T29" s="162">
        <f>E29+H29+K29+N29+Q29</f>
        <v>0</v>
      </c>
      <c r="U29" s="163">
        <f>F29+I29+L29+O29+R29</f>
        <v>0</v>
      </c>
    </row>
    <row r="30" spans="1:21" s="158" customFormat="1" ht="24" customHeight="1" x14ac:dyDescent="0.2">
      <c r="A30" s="286"/>
      <c r="B30" s="287"/>
      <c r="C30" s="271"/>
      <c r="D30" s="177">
        <f>IFERROR(D29/$S$29,0)</f>
        <v>0</v>
      </c>
      <c r="E30" s="174">
        <f>IFERROR(E29/$T$29,0)</f>
        <v>0</v>
      </c>
      <c r="F30" s="196">
        <f>IFERROR(F29/$U$29,0)</f>
        <v>0</v>
      </c>
      <c r="G30" s="192">
        <f>IFERROR(G29/$S$29,0)</f>
        <v>0</v>
      </c>
      <c r="H30" s="174">
        <f>IFERROR(H29/$T$29,0)</f>
        <v>0</v>
      </c>
      <c r="I30" s="196">
        <f>IFERROR(I29/$U$29,0)</f>
        <v>0</v>
      </c>
      <c r="J30" s="192">
        <f>IFERROR(J29/$S$29,0)</f>
        <v>0</v>
      </c>
      <c r="K30" s="174">
        <f>IFERROR(K29/$T$29,0)</f>
        <v>0</v>
      </c>
      <c r="L30" s="196">
        <f>IFERROR(L29/$U$29,0)</f>
        <v>0</v>
      </c>
      <c r="M30" s="192">
        <f>IFERROR(M29/$S$29,0)</f>
        <v>0</v>
      </c>
      <c r="N30" s="174">
        <f>IFERROR(N29/$T$29,0)</f>
        <v>0</v>
      </c>
      <c r="O30" s="196">
        <f>IFERROR(O29/$U$29,0)</f>
        <v>0</v>
      </c>
      <c r="P30" s="192">
        <f>IFERROR(P29/$S$29,0)</f>
        <v>0</v>
      </c>
      <c r="Q30" s="174">
        <f>IFERROR(Q29/$T$29,0)</f>
        <v>0</v>
      </c>
      <c r="R30" s="196">
        <f>IFERROR(R29/$U$29,0)</f>
        <v>0</v>
      </c>
      <c r="S30" s="272"/>
      <c r="T30" s="273"/>
      <c r="U30" s="274"/>
    </row>
    <row r="31" spans="1:21" s="158" customFormat="1" ht="24" customHeight="1" x14ac:dyDescent="0.2">
      <c r="A31" s="286"/>
      <c r="B31" s="287"/>
      <c r="C31" s="268" t="s">
        <v>256</v>
      </c>
      <c r="D31" s="168">
        <f t="shared" ref="D31:R31" si="1">D7+D11+D15+D19+D23+D27</f>
        <v>0</v>
      </c>
      <c r="E31" s="183">
        <f t="shared" si="1"/>
        <v>0</v>
      </c>
      <c r="F31" s="195">
        <f t="shared" si="1"/>
        <v>0</v>
      </c>
      <c r="G31" s="162">
        <f t="shared" si="1"/>
        <v>0</v>
      </c>
      <c r="H31" s="183">
        <f t="shared" si="1"/>
        <v>0</v>
      </c>
      <c r="I31" s="195">
        <f t="shared" si="1"/>
        <v>0</v>
      </c>
      <c r="J31" s="162">
        <f t="shared" si="1"/>
        <v>0</v>
      </c>
      <c r="K31" s="183">
        <f t="shared" si="1"/>
        <v>0</v>
      </c>
      <c r="L31" s="195">
        <f t="shared" si="1"/>
        <v>0</v>
      </c>
      <c r="M31" s="162">
        <f t="shared" si="1"/>
        <v>0</v>
      </c>
      <c r="N31" s="183">
        <f t="shared" si="1"/>
        <v>0</v>
      </c>
      <c r="O31" s="195">
        <f t="shared" si="1"/>
        <v>0</v>
      </c>
      <c r="P31" s="162">
        <f t="shared" si="1"/>
        <v>0</v>
      </c>
      <c r="Q31" s="183">
        <f t="shared" si="1"/>
        <v>0</v>
      </c>
      <c r="R31" s="195">
        <f t="shared" si="1"/>
        <v>0</v>
      </c>
      <c r="S31" s="202">
        <f>D31+G31+J31+M31+P31</f>
        <v>0</v>
      </c>
      <c r="T31" s="162">
        <f>E31+H31+K31+N31+Q31</f>
        <v>0</v>
      </c>
      <c r="U31" s="163">
        <f>F31+I31+L31+O31+R31</f>
        <v>0</v>
      </c>
    </row>
    <row r="32" spans="1:21" ht="24" customHeight="1" thickBot="1" x14ac:dyDescent="0.25">
      <c r="A32" s="288"/>
      <c r="B32" s="289"/>
      <c r="C32" s="269"/>
      <c r="D32" s="182">
        <f>IFERROR(D31/$S$31,0)</f>
        <v>0</v>
      </c>
      <c r="E32" s="179">
        <f>IFERROR(E31/$T$29,0)</f>
        <v>0</v>
      </c>
      <c r="F32" s="201">
        <f>IFERROR(F31/$U$31,0)</f>
        <v>0</v>
      </c>
      <c r="G32" s="193">
        <f>IFERROR(G31/$S$31,0)</f>
        <v>0</v>
      </c>
      <c r="H32" s="179">
        <f>IFERROR(H31/$T$31,0)</f>
        <v>0</v>
      </c>
      <c r="I32" s="201">
        <f>IFERROR(I31/$U$31,0)</f>
        <v>0</v>
      </c>
      <c r="J32" s="193">
        <f>IFERROR(J31/$S$31,0)</f>
        <v>0</v>
      </c>
      <c r="K32" s="179">
        <f>IFERROR(K31/$T$31,0)</f>
        <v>0</v>
      </c>
      <c r="L32" s="201">
        <f>IFERROR(L31/$U$31,0)</f>
        <v>0</v>
      </c>
      <c r="M32" s="193">
        <f>IFERROR(M31/$S$31,0)</f>
        <v>0</v>
      </c>
      <c r="N32" s="179">
        <f>IFERROR(N31/$T$31,0)</f>
        <v>0</v>
      </c>
      <c r="O32" s="201">
        <f>IFERROR(O31/$U$31,0)</f>
        <v>0</v>
      </c>
      <c r="P32" s="193">
        <f>IFERROR(P31/$S$31,0)</f>
        <v>0</v>
      </c>
      <c r="Q32" s="179">
        <f>IFERROR(Q31/$T$31,0)</f>
        <v>0</v>
      </c>
      <c r="R32" s="201">
        <f>IFERROR(R31/$U$31,0)</f>
        <v>0</v>
      </c>
      <c r="S32" s="272"/>
      <c r="T32" s="273"/>
      <c r="U32" s="274"/>
    </row>
    <row r="33" ht="27.75" customHeight="1" x14ac:dyDescent="0.2"/>
  </sheetData>
  <mergeCells count="44">
    <mergeCell ref="A29:B32"/>
    <mergeCell ref="B5:B8"/>
    <mergeCell ref="B9:B12"/>
    <mergeCell ref="B13:B16"/>
    <mergeCell ref="B17:B20"/>
    <mergeCell ref="A5:A28"/>
    <mergeCell ref="B21:B24"/>
    <mergeCell ref="B25:B28"/>
    <mergeCell ref="S16:U16"/>
    <mergeCell ref="S20:U20"/>
    <mergeCell ref="S32:U32"/>
    <mergeCell ref="J3:L3"/>
    <mergeCell ref="M3:O3"/>
    <mergeCell ref="P3:R3"/>
    <mergeCell ref="S2:U3"/>
    <mergeCell ref="S24:U24"/>
    <mergeCell ref="S28:U28"/>
    <mergeCell ref="S30:U30"/>
    <mergeCell ref="C5:C6"/>
    <mergeCell ref="C7:C8"/>
    <mergeCell ref="A2:C4"/>
    <mergeCell ref="S10:U10"/>
    <mergeCell ref="C9:C10"/>
    <mergeCell ref="D3:F3"/>
    <mergeCell ref="G3:I3"/>
    <mergeCell ref="S8:U8"/>
    <mergeCell ref="D2:R2"/>
    <mergeCell ref="S6:U6"/>
    <mergeCell ref="C27:C28"/>
    <mergeCell ref="C29:C30"/>
    <mergeCell ref="C31:C32"/>
    <mergeCell ref="C11:C12"/>
    <mergeCell ref="S14:U14"/>
    <mergeCell ref="S18:U18"/>
    <mergeCell ref="S22:U22"/>
    <mergeCell ref="S26:U26"/>
    <mergeCell ref="C13:C14"/>
    <mergeCell ref="C15:C16"/>
    <mergeCell ref="C17:C18"/>
    <mergeCell ref="C19:C20"/>
    <mergeCell ref="C21:C22"/>
    <mergeCell ref="C23:C24"/>
    <mergeCell ref="C25:C26"/>
    <mergeCell ref="S12:U12"/>
  </mergeCells>
  <phoneticPr fontId="1"/>
  <printOptions horizontalCentered="1" verticalCentered="1"/>
  <pageMargins left="0.59055118110236227" right="0.59055118110236227" top="0.74803149606299213" bottom="0.74803149606299213" header="0.31496062992125984" footer="0.31496062992125984"/>
  <pageSetup paperSize="9" scale="61" orientation="portrait" r:id="rId1"/>
  <ignoredErrors>
    <ignoredError sqref="F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W21"/>
  <sheetViews>
    <sheetView workbookViewId="0">
      <selection activeCell="A2" sqref="A2:C2"/>
    </sheetView>
  </sheetViews>
  <sheetFormatPr defaultRowHeight="13" x14ac:dyDescent="0.2"/>
  <cols>
    <col min="1" max="23" width="3.6328125" customWidth="1"/>
  </cols>
  <sheetData>
    <row r="1" spans="1:23" ht="43.5" customHeight="1" thickBot="1" x14ac:dyDescent="0.25">
      <c r="A1" s="295" t="s">
        <v>72</v>
      </c>
      <c r="B1" s="295"/>
      <c r="C1" s="295"/>
      <c r="D1" s="295"/>
      <c r="E1" s="295"/>
      <c r="F1" s="295"/>
      <c r="G1" s="295"/>
      <c r="H1" s="295"/>
      <c r="I1" s="295"/>
      <c r="J1" s="295"/>
      <c r="K1" s="295"/>
      <c r="L1" s="295"/>
      <c r="M1" s="295"/>
      <c r="N1" s="295"/>
      <c r="O1" s="295"/>
      <c r="P1" s="295"/>
      <c r="Q1" s="295"/>
      <c r="R1" s="295"/>
      <c r="S1" s="295"/>
      <c r="T1" s="295"/>
      <c r="U1" s="295"/>
      <c r="V1" s="295"/>
      <c r="W1" s="295"/>
    </row>
    <row r="2" spans="1:23" ht="47.25" customHeight="1" x14ac:dyDescent="0.2">
      <c r="A2" s="341" t="s">
        <v>0</v>
      </c>
      <c r="B2" s="342"/>
      <c r="C2" s="343"/>
      <c r="D2" s="344" t="s">
        <v>1</v>
      </c>
      <c r="E2" s="345"/>
      <c r="F2" s="346"/>
      <c r="G2" s="342"/>
      <c r="H2" s="342"/>
      <c r="I2" s="342"/>
      <c r="J2" s="342"/>
      <c r="K2" s="342"/>
      <c r="L2" s="342"/>
      <c r="M2" s="342"/>
      <c r="N2" s="342"/>
      <c r="O2" s="342"/>
      <c r="P2" s="343"/>
      <c r="Q2" s="319" t="s">
        <v>2</v>
      </c>
      <c r="R2" s="317"/>
      <c r="S2" s="318"/>
      <c r="T2" s="319" t="s">
        <v>3</v>
      </c>
      <c r="U2" s="317"/>
      <c r="V2" s="317"/>
      <c r="W2" s="320"/>
    </row>
    <row r="3" spans="1:23" ht="47.25" customHeight="1" thickBot="1" x14ac:dyDescent="0.25">
      <c r="A3" s="335" t="s">
        <v>4</v>
      </c>
      <c r="B3" s="336"/>
      <c r="C3" s="336"/>
      <c r="D3" s="336"/>
      <c r="E3" s="337"/>
      <c r="F3" s="338" t="s">
        <v>5</v>
      </c>
      <c r="G3" s="336"/>
      <c r="H3" s="337"/>
      <c r="I3" s="339"/>
      <c r="J3" s="339"/>
      <c r="K3" s="339"/>
      <c r="L3" s="339"/>
      <c r="M3" s="339"/>
      <c r="N3" s="339"/>
      <c r="O3" s="339"/>
      <c r="P3" s="339"/>
      <c r="Q3" s="339"/>
      <c r="R3" s="339"/>
      <c r="S3" s="339"/>
      <c r="T3" s="339"/>
      <c r="U3" s="339"/>
      <c r="V3" s="339"/>
      <c r="W3" s="340"/>
    </row>
    <row r="4" spans="1:23" ht="32.25" customHeight="1" thickBot="1" x14ac:dyDescent="0.25">
      <c r="A4" s="2"/>
      <c r="B4" s="2"/>
      <c r="C4" s="2"/>
      <c r="D4" s="2"/>
      <c r="E4" s="2"/>
      <c r="F4" s="2"/>
      <c r="G4" s="2"/>
      <c r="H4" s="2"/>
      <c r="I4" s="2"/>
      <c r="J4" s="2"/>
      <c r="K4" s="2"/>
      <c r="L4" s="2"/>
      <c r="M4" s="2"/>
      <c r="N4" s="2"/>
      <c r="O4" s="2"/>
      <c r="P4" s="2"/>
      <c r="Q4" s="2"/>
      <c r="R4" s="2"/>
      <c r="S4" s="2"/>
      <c r="T4" s="2"/>
      <c r="U4" s="2"/>
      <c r="V4" s="2"/>
      <c r="W4" s="2"/>
    </row>
    <row r="5" spans="1:23" ht="41.25" customHeight="1" thickBot="1" x14ac:dyDescent="0.25">
      <c r="A5" s="330" t="s">
        <v>6</v>
      </c>
      <c r="B5" s="331"/>
      <c r="C5" s="332"/>
      <c r="D5" s="333" t="s">
        <v>7</v>
      </c>
      <c r="E5" s="333"/>
      <c r="F5" s="333"/>
      <c r="G5" s="333"/>
      <c r="H5" s="333"/>
      <c r="I5" s="333" t="s">
        <v>8</v>
      </c>
      <c r="J5" s="333"/>
      <c r="K5" s="333" t="s">
        <v>9</v>
      </c>
      <c r="L5" s="333"/>
      <c r="M5" s="333"/>
      <c r="N5" s="333"/>
      <c r="O5" s="333"/>
      <c r="P5" s="333" t="s">
        <v>10</v>
      </c>
      <c r="Q5" s="334"/>
      <c r="R5" s="3"/>
      <c r="S5" s="3"/>
      <c r="T5" s="3"/>
      <c r="U5" s="3"/>
      <c r="V5" s="3"/>
      <c r="W5" s="3"/>
    </row>
    <row r="6" spans="1:23" ht="32.25" customHeight="1" thickBot="1" x14ac:dyDescent="0.25">
      <c r="A6" s="2"/>
      <c r="B6" s="2"/>
      <c r="C6" s="2"/>
      <c r="D6" s="2"/>
      <c r="E6" s="2"/>
      <c r="F6" s="2"/>
      <c r="G6" s="2"/>
      <c r="H6" s="2"/>
      <c r="I6" s="2"/>
      <c r="J6" s="2"/>
      <c r="K6" s="2"/>
      <c r="L6" s="2"/>
      <c r="M6" s="2"/>
      <c r="N6" s="2"/>
      <c r="O6" s="2"/>
      <c r="P6" s="2"/>
      <c r="Q6" s="2"/>
      <c r="R6" s="2"/>
      <c r="S6" s="2"/>
      <c r="T6" s="2"/>
      <c r="U6" s="2"/>
      <c r="V6" s="2"/>
      <c r="W6" s="2"/>
    </row>
    <row r="7" spans="1:23" ht="45" customHeight="1" x14ac:dyDescent="0.2">
      <c r="A7" s="316" t="s">
        <v>11</v>
      </c>
      <c r="B7" s="317"/>
      <c r="C7" s="317"/>
      <c r="D7" s="317"/>
      <c r="E7" s="317"/>
      <c r="F7" s="317"/>
      <c r="G7" s="317"/>
      <c r="H7" s="318"/>
      <c r="I7" s="319" t="s">
        <v>12</v>
      </c>
      <c r="J7" s="317"/>
      <c r="K7" s="317"/>
      <c r="L7" s="317"/>
      <c r="M7" s="317"/>
      <c r="N7" s="317"/>
      <c r="O7" s="317"/>
      <c r="P7" s="317"/>
      <c r="Q7" s="317"/>
      <c r="R7" s="317"/>
      <c r="S7" s="317"/>
      <c r="T7" s="318"/>
      <c r="U7" s="317" t="s">
        <v>13</v>
      </c>
      <c r="V7" s="317"/>
      <c r="W7" s="320"/>
    </row>
    <row r="8" spans="1:23" ht="45" customHeight="1" x14ac:dyDescent="0.2">
      <c r="A8" s="321" t="s">
        <v>14</v>
      </c>
      <c r="B8" s="298"/>
      <c r="C8" s="298"/>
      <c r="D8" s="298"/>
      <c r="E8" s="298"/>
      <c r="F8" s="299"/>
      <c r="G8" s="326" t="s">
        <v>15</v>
      </c>
      <c r="H8" s="326"/>
      <c r="I8" s="327" t="s">
        <v>16</v>
      </c>
      <c r="J8" s="307"/>
      <c r="K8" s="307"/>
      <c r="L8" s="307"/>
      <c r="M8" s="309" t="s">
        <v>17</v>
      </c>
      <c r="N8" s="310"/>
      <c r="O8" s="307" t="s">
        <v>18</v>
      </c>
      <c r="P8" s="307"/>
      <c r="Q8" s="307"/>
      <c r="R8" s="307"/>
      <c r="S8" s="309" t="s">
        <v>17</v>
      </c>
      <c r="T8" s="310"/>
      <c r="U8" s="298"/>
      <c r="V8" s="298"/>
      <c r="W8" s="328"/>
    </row>
    <row r="9" spans="1:23" ht="45" customHeight="1" x14ac:dyDescent="0.2">
      <c r="A9" s="322"/>
      <c r="B9" s="300"/>
      <c r="C9" s="300"/>
      <c r="D9" s="300"/>
      <c r="E9" s="300"/>
      <c r="F9" s="323"/>
      <c r="G9" s="326" t="s">
        <v>19</v>
      </c>
      <c r="H9" s="326"/>
      <c r="I9" s="327" t="s">
        <v>16</v>
      </c>
      <c r="J9" s="307"/>
      <c r="K9" s="307"/>
      <c r="L9" s="307"/>
      <c r="M9" s="309" t="s">
        <v>20</v>
      </c>
      <c r="N9" s="310"/>
      <c r="O9" s="307" t="s">
        <v>18</v>
      </c>
      <c r="P9" s="307"/>
      <c r="Q9" s="307"/>
      <c r="R9" s="307"/>
      <c r="S9" s="309" t="s">
        <v>20</v>
      </c>
      <c r="T9" s="310"/>
      <c r="U9" s="300"/>
      <c r="V9" s="300"/>
      <c r="W9" s="301"/>
    </row>
    <row r="10" spans="1:23" ht="45" customHeight="1" x14ac:dyDescent="0.2">
      <c r="A10" s="324"/>
      <c r="B10" s="313"/>
      <c r="C10" s="313"/>
      <c r="D10" s="313"/>
      <c r="E10" s="313"/>
      <c r="F10" s="325"/>
      <c r="G10" s="326" t="s">
        <v>21</v>
      </c>
      <c r="H10" s="326"/>
      <c r="I10" s="313"/>
      <c r="J10" s="313"/>
      <c r="K10" s="313"/>
      <c r="L10" s="313"/>
      <c r="M10" s="313"/>
      <c r="N10" s="313"/>
      <c r="O10" s="313"/>
      <c r="P10" s="313"/>
      <c r="Q10" s="313"/>
      <c r="R10" s="313"/>
      <c r="S10" s="314" t="s">
        <v>10</v>
      </c>
      <c r="T10" s="315"/>
      <c r="U10" s="313"/>
      <c r="V10" s="313"/>
      <c r="W10" s="329"/>
    </row>
    <row r="11" spans="1:23" ht="45" customHeight="1" x14ac:dyDescent="0.2">
      <c r="A11" s="306" t="s">
        <v>22</v>
      </c>
      <c r="B11" s="307"/>
      <c r="C11" s="307"/>
      <c r="D11" s="307"/>
      <c r="E11" s="307"/>
      <c r="F11" s="307"/>
      <c r="G11" s="307"/>
      <c r="H11" s="308"/>
      <c r="I11" s="307"/>
      <c r="J11" s="307"/>
      <c r="K11" s="307"/>
      <c r="L11" s="307"/>
      <c r="M11" s="307"/>
      <c r="N11" s="307"/>
      <c r="O11" s="307"/>
      <c r="P11" s="307"/>
      <c r="Q11" s="307"/>
      <c r="R11" s="307"/>
      <c r="S11" s="309" t="s">
        <v>23</v>
      </c>
      <c r="T11" s="310"/>
      <c r="U11" s="307"/>
      <c r="V11" s="307"/>
      <c r="W11" s="311"/>
    </row>
    <row r="12" spans="1:23" ht="45" customHeight="1" x14ac:dyDescent="0.2">
      <c r="A12" s="306" t="s">
        <v>24</v>
      </c>
      <c r="B12" s="307"/>
      <c r="C12" s="307"/>
      <c r="D12" s="307"/>
      <c r="E12" s="307"/>
      <c r="F12" s="307"/>
      <c r="G12" s="307"/>
      <c r="H12" s="308"/>
      <c r="I12" s="307" t="s">
        <v>16</v>
      </c>
      <c r="J12" s="307"/>
      <c r="K12" s="307"/>
      <c r="L12" s="307"/>
      <c r="M12" s="309" t="s">
        <v>25</v>
      </c>
      <c r="N12" s="310"/>
      <c r="O12" s="307" t="s">
        <v>18</v>
      </c>
      <c r="P12" s="307"/>
      <c r="Q12" s="307"/>
      <c r="R12" s="307"/>
      <c r="S12" s="309" t="s">
        <v>25</v>
      </c>
      <c r="T12" s="310"/>
      <c r="U12" s="307"/>
      <c r="V12" s="307"/>
      <c r="W12" s="311"/>
    </row>
    <row r="13" spans="1:23" ht="45" customHeight="1" x14ac:dyDescent="0.2">
      <c r="A13" s="306" t="s">
        <v>26</v>
      </c>
      <c r="B13" s="307"/>
      <c r="C13" s="307"/>
      <c r="D13" s="307"/>
      <c r="E13" s="307"/>
      <c r="F13" s="307"/>
      <c r="G13" s="307"/>
      <c r="H13" s="308"/>
      <c r="I13" s="307" t="s">
        <v>16</v>
      </c>
      <c r="J13" s="307"/>
      <c r="K13" s="307"/>
      <c r="L13" s="307"/>
      <c r="M13" s="309" t="s">
        <v>27</v>
      </c>
      <c r="N13" s="310"/>
      <c r="O13" s="307" t="s">
        <v>18</v>
      </c>
      <c r="P13" s="307"/>
      <c r="Q13" s="307"/>
      <c r="R13" s="307"/>
      <c r="S13" s="309" t="s">
        <v>27</v>
      </c>
      <c r="T13" s="310"/>
      <c r="U13" s="307"/>
      <c r="V13" s="307"/>
      <c r="W13" s="311"/>
    </row>
    <row r="14" spans="1:23" ht="45" customHeight="1" x14ac:dyDescent="0.2">
      <c r="A14" s="306" t="s">
        <v>28</v>
      </c>
      <c r="B14" s="307"/>
      <c r="C14" s="307"/>
      <c r="D14" s="307"/>
      <c r="E14" s="307"/>
      <c r="F14" s="307"/>
      <c r="G14" s="307"/>
      <c r="H14" s="308"/>
      <c r="I14" s="312" t="s">
        <v>29</v>
      </c>
      <c r="J14" s="309"/>
      <c r="K14" s="309"/>
      <c r="L14" s="309"/>
      <c r="M14" s="309"/>
      <c r="N14" s="309"/>
      <c r="O14" s="309"/>
      <c r="P14" s="309" t="s">
        <v>30</v>
      </c>
      <c r="Q14" s="309"/>
      <c r="R14" s="309"/>
      <c r="S14" s="309"/>
      <c r="T14" s="310"/>
      <c r="U14" s="307"/>
      <c r="V14" s="307"/>
      <c r="W14" s="311"/>
    </row>
    <row r="15" spans="1:23" ht="45" customHeight="1" x14ac:dyDescent="0.2">
      <c r="A15" s="306" t="s">
        <v>31</v>
      </c>
      <c r="B15" s="307"/>
      <c r="C15" s="307"/>
      <c r="D15" s="307"/>
      <c r="E15" s="307"/>
      <c r="F15" s="307"/>
      <c r="G15" s="307"/>
      <c r="H15" s="308"/>
      <c r="I15" s="307" t="s">
        <v>32</v>
      </c>
      <c r="J15" s="307"/>
      <c r="K15" s="307"/>
      <c r="L15" s="307"/>
      <c r="M15" s="307"/>
      <c r="N15" s="307"/>
      <c r="O15" s="307"/>
      <c r="P15" s="307"/>
      <c r="Q15" s="307"/>
      <c r="R15" s="307"/>
      <c r="S15" s="309" t="s">
        <v>23</v>
      </c>
      <c r="T15" s="310"/>
      <c r="U15" s="307"/>
      <c r="V15" s="307"/>
      <c r="W15" s="311"/>
    </row>
    <row r="16" spans="1:23" ht="45" customHeight="1" x14ac:dyDescent="0.2">
      <c r="A16" s="306" t="s">
        <v>33</v>
      </c>
      <c r="B16" s="307"/>
      <c r="C16" s="307"/>
      <c r="D16" s="307"/>
      <c r="E16" s="307"/>
      <c r="F16" s="307"/>
      <c r="G16" s="307"/>
      <c r="H16" s="308"/>
      <c r="I16" s="307"/>
      <c r="J16" s="307"/>
      <c r="K16" s="307"/>
      <c r="L16" s="307"/>
      <c r="M16" s="307"/>
      <c r="N16" s="307"/>
      <c r="O16" s="307"/>
      <c r="P16" s="307"/>
      <c r="Q16" s="307"/>
      <c r="R16" s="307"/>
      <c r="S16" s="309" t="s">
        <v>30</v>
      </c>
      <c r="T16" s="310"/>
      <c r="U16" s="307"/>
      <c r="V16" s="307"/>
      <c r="W16" s="311"/>
    </row>
    <row r="17" spans="1:23" ht="45" customHeight="1" x14ac:dyDescent="0.2">
      <c r="A17" s="306" t="s">
        <v>34</v>
      </c>
      <c r="B17" s="307"/>
      <c r="C17" s="307"/>
      <c r="D17" s="307"/>
      <c r="E17" s="307"/>
      <c r="F17" s="307"/>
      <c r="G17" s="307"/>
      <c r="H17" s="308"/>
      <c r="I17" s="307" t="s">
        <v>16</v>
      </c>
      <c r="J17" s="307"/>
      <c r="K17" s="307"/>
      <c r="L17" s="307"/>
      <c r="M17" s="309" t="s">
        <v>35</v>
      </c>
      <c r="N17" s="310"/>
      <c r="O17" s="307" t="s">
        <v>18</v>
      </c>
      <c r="P17" s="307"/>
      <c r="Q17" s="307"/>
      <c r="R17" s="307"/>
      <c r="S17" s="309" t="s">
        <v>35</v>
      </c>
      <c r="T17" s="310"/>
      <c r="U17" s="307"/>
      <c r="V17" s="307"/>
      <c r="W17" s="311"/>
    </row>
    <row r="18" spans="1:23" ht="45" customHeight="1" x14ac:dyDescent="0.2">
      <c r="A18" s="306" t="s">
        <v>36</v>
      </c>
      <c r="B18" s="307"/>
      <c r="C18" s="307"/>
      <c r="D18" s="307"/>
      <c r="E18" s="307"/>
      <c r="F18" s="307"/>
      <c r="G18" s="307"/>
      <c r="H18" s="308"/>
      <c r="I18" s="307" t="s">
        <v>16</v>
      </c>
      <c r="J18" s="307"/>
      <c r="K18" s="307"/>
      <c r="L18" s="307"/>
      <c r="M18" s="309" t="s">
        <v>37</v>
      </c>
      <c r="N18" s="310"/>
      <c r="O18" s="307" t="s">
        <v>18</v>
      </c>
      <c r="P18" s="307"/>
      <c r="Q18" s="307"/>
      <c r="R18" s="307"/>
      <c r="S18" s="309" t="s">
        <v>37</v>
      </c>
      <c r="T18" s="310"/>
      <c r="U18" s="307"/>
      <c r="V18" s="307"/>
      <c r="W18" s="311"/>
    </row>
    <row r="19" spans="1:23" ht="45" customHeight="1" thickBot="1" x14ac:dyDescent="0.25">
      <c r="A19" s="296" t="s">
        <v>38</v>
      </c>
      <c r="B19" s="297"/>
      <c r="C19" s="297"/>
      <c r="D19" s="297"/>
      <c r="E19" s="297"/>
      <c r="F19" s="297"/>
      <c r="G19" s="297"/>
      <c r="H19" s="297"/>
      <c r="I19" s="298"/>
      <c r="J19" s="298"/>
      <c r="K19" s="298"/>
      <c r="L19" s="298"/>
      <c r="M19" s="298"/>
      <c r="N19" s="298"/>
      <c r="O19" s="298"/>
      <c r="P19" s="298"/>
      <c r="Q19" s="298"/>
      <c r="R19" s="298"/>
      <c r="S19" s="298"/>
      <c r="T19" s="299"/>
      <c r="U19" s="300"/>
      <c r="V19" s="300"/>
      <c r="W19" s="301"/>
    </row>
    <row r="20" spans="1:23" ht="45" customHeight="1" thickTop="1" thickBot="1" x14ac:dyDescent="0.25">
      <c r="A20" s="302" t="s">
        <v>39</v>
      </c>
      <c r="B20" s="303"/>
      <c r="C20" s="303"/>
      <c r="D20" s="303"/>
      <c r="E20" s="303"/>
      <c r="F20" s="303"/>
      <c r="G20" s="303"/>
      <c r="H20" s="303"/>
      <c r="I20" s="304" t="s">
        <v>40</v>
      </c>
      <c r="J20" s="304"/>
      <c r="K20" s="304"/>
      <c r="L20" s="304" t="s">
        <v>41</v>
      </c>
      <c r="M20" s="304"/>
      <c r="N20" s="304"/>
      <c r="O20" s="304" t="s">
        <v>42</v>
      </c>
      <c r="P20" s="304"/>
      <c r="Q20" s="304"/>
      <c r="R20" s="304" t="s">
        <v>43</v>
      </c>
      <c r="S20" s="304"/>
      <c r="T20" s="304"/>
      <c r="U20" s="304" t="s">
        <v>44</v>
      </c>
      <c r="V20" s="304"/>
      <c r="W20" s="305"/>
    </row>
    <row r="21" spans="1:23" ht="32.25" customHeight="1" x14ac:dyDescent="0.2"/>
  </sheetData>
  <mergeCells count="81">
    <mergeCell ref="A3:E3"/>
    <mergeCell ref="F3:H3"/>
    <mergeCell ref="I3:W3"/>
    <mergeCell ref="A2:C2"/>
    <mergeCell ref="D2:E2"/>
    <mergeCell ref="F2:P2"/>
    <mergeCell ref="Q2:S2"/>
    <mergeCell ref="T2:W2"/>
    <mergeCell ref="A5:C5"/>
    <mergeCell ref="D5:H5"/>
    <mergeCell ref="I5:J5"/>
    <mergeCell ref="K5:O5"/>
    <mergeCell ref="P5:Q5"/>
    <mergeCell ref="A7:H7"/>
    <mergeCell ref="I7:T7"/>
    <mergeCell ref="U7:W7"/>
    <mergeCell ref="A8:F10"/>
    <mergeCell ref="G8:H8"/>
    <mergeCell ref="I8:L8"/>
    <mergeCell ref="M8:N8"/>
    <mergeCell ref="O8:R8"/>
    <mergeCell ref="S8:T8"/>
    <mergeCell ref="U8:W10"/>
    <mergeCell ref="G9:H9"/>
    <mergeCell ref="I9:L9"/>
    <mergeCell ref="M9:N9"/>
    <mergeCell ref="O9:R9"/>
    <mergeCell ref="S9:T9"/>
    <mergeCell ref="G10:H10"/>
    <mergeCell ref="I10:R10"/>
    <mergeCell ref="S10:T10"/>
    <mergeCell ref="U13:W13"/>
    <mergeCell ref="A11:H11"/>
    <mergeCell ref="I11:R11"/>
    <mergeCell ref="S11:T11"/>
    <mergeCell ref="U11:W11"/>
    <mergeCell ref="A12:H12"/>
    <mergeCell ref="I12:L12"/>
    <mergeCell ref="M12:N12"/>
    <mergeCell ref="O12:R12"/>
    <mergeCell ref="S12:T12"/>
    <mergeCell ref="U12:W12"/>
    <mergeCell ref="A13:H13"/>
    <mergeCell ref="I13:L13"/>
    <mergeCell ref="M13:N13"/>
    <mergeCell ref="O13:R13"/>
    <mergeCell ref="S13:T13"/>
    <mergeCell ref="A14:H14"/>
    <mergeCell ref="I14:O14"/>
    <mergeCell ref="P14:T14"/>
    <mergeCell ref="U14:W14"/>
    <mergeCell ref="A15:H15"/>
    <mergeCell ref="I15:R15"/>
    <mergeCell ref="S15:T15"/>
    <mergeCell ref="U15:W15"/>
    <mergeCell ref="A16:H16"/>
    <mergeCell ref="I16:R16"/>
    <mergeCell ref="S16:T16"/>
    <mergeCell ref="U16:W16"/>
    <mergeCell ref="A17:H17"/>
    <mergeCell ref="I17:L17"/>
    <mergeCell ref="M17:N17"/>
    <mergeCell ref="O17:R17"/>
    <mergeCell ref="S17:T17"/>
    <mergeCell ref="U17:W17"/>
    <mergeCell ref="A1:W1"/>
    <mergeCell ref="A19:H19"/>
    <mergeCell ref="I19:T19"/>
    <mergeCell ref="U19:W19"/>
    <mergeCell ref="A20:H20"/>
    <mergeCell ref="I20:K20"/>
    <mergeCell ref="L20:N20"/>
    <mergeCell ref="O20:Q20"/>
    <mergeCell ref="R20:T20"/>
    <mergeCell ref="U20:W20"/>
    <mergeCell ref="A18:H18"/>
    <mergeCell ref="I18:L18"/>
    <mergeCell ref="M18:N18"/>
    <mergeCell ref="O18:R18"/>
    <mergeCell ref="S18:T18"/>
    <mergeCell ref="U18:W18"/>
  </mergeCells>
  <phoneticPr fontId="1"/>
  <printOptions horizontalCentered="1" verticalCentered="1"/>
  <pageMargins left="0.51181102362204722" right="0.51181102362204722" top="0.55118110236220474"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入力例（見本)</vt:lpstr>
      <vt:lpstr>入力シート</vt:lpstr>
      <vt:lpstr>（鑑）体力優良証交付申請報告書</vt:lpstr>
      <vt:lpstr>体力優良証交付申請</vt:lpstr>
      <vt:lpstr>記録平均</vt:lpstr>
      <vt:lpstr>判定集計表</vt:lpstr>
      <vt:lpstr>記録表</vt:lpstr>
      <vt:lpstr>'（鑑）体力優良証交付申請報告書'!Print_Area</vt:lpstr>
      <vt:lpstr>記録平均!Print_Area</vt:lpstr>
      <vt:lpstr>体力優良証交付申請!Print_Area</vt:lpstr>
      <vt:lpstr>入力シート!Print_Area</vt:lpstr>
      <vt:lpstr>'入力例（見本)'!Print_Area</vt:lpstr>
      <vt:lpstr>判定集計表!Print_Area</vt:lpstr>
      <vt:lpstr>入力シート!判定12歳</vt:lpstr>
      <vt:lpstr>'入力例（見本)'!判定12歳</vt:lpstr>
      <vt:lpstr>入力シート!判定13歳</vt:lpstr>
      <vt:lpstr>'入力例（見本)'!判定13歳</vt:lpstr>
      <vt:lpstr>入力シート!判定14歳</vt:lpstr>
      <vt:lpstr>'入力例（見本)'!判定14歳</vt:lpstr>
      <vt:lpstr>入力シート!判定15歳</vt:lpstr>
      <vt:lpstr>'入力例（見本)'!判定15歳</vt:lpstr>
      <vt:lpstr>入力シート!判定16歳</vt:lpstr>
      <vt:lpstr>'入力例（見本)'!判定16歳</vt:lpstr>
      <vt:lpstr>入力シート!判定17歳</vt:lpstr>
      <vt:lpstr>'入力例（見本)'!判定17歳</vt:lpstr>
      <vt:lpstr>入力シート!判定18歳</vt:lpstr>
      <vt:lpstr>'入力例（見本)'!判定18歳</vt:lpstr>
      <vt:lpstr>入力シート!判定19歳</vt:lpstr>
      <vt:lpstr>'入力例（見本)'!判定19歳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2020-10-12T01:48:42Z</dcterms:modified>
</cp:coreProperties>
</file>