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55" windowWidth="14805" windowHeight="7860" activeTab="1"/>
  </bookViews>
  <sheets>
    <sheet name="入力例(見本)" sheetId="18" r:id="rId1"/>
    <sheet name="入力シート" sheetId="1" r:id="rId2"/>
    <sheet name="（鑑）体力優良証交付申請報告書" sheetId="6" r:id="rId3"/>
    <sheet name="体力優良証交付申請書" sheetId="7" r:id="rId4"/>
    <sheet name="記録平均" sheetId="14" r:id="rId5"/>
    <sheet name="判定集計表" sheetId="10" r:id="rId6"/>
    <sheet name="記録表（参考）" sheetId="3" r:id="rId7"/>
    <sheet name="持久走早見表（参考）" sheetId="16" r:id="rId8"/>
  </sheets>
  <definedNames>
    <definedName name="_xlnm._FilterDatabase" localSheetId="1" hidden="1">入力シート!$A$1:$AC$4</definedName>
    <definedName name="_xlnm._FilterDatabase" localSheetId="0" hidden="1">'入力例(見本)'!$A$1:$AC$4</definedName>
    <definedName name="_xlnm.Print_Area" localSheetId="2">'（鑑）体力優良証交付申請報告書'!$A$1:$T$40</definedName>
    <definedName name="_xlnm.Print_Area" localSheetId="4">記録平均!$A$2:$P$10</definedName>
    <definedName name="_xlnm.Print_Area" localSheetId="3">体力優良証交付申請書!$A$1:$N$314</definedName>
    <definedName name="_xlnm.Print_Area" localSheetId="1">入力シート!$A$1:$AG$505</definedName>
    <definedName name="_xlnm.Print_Area" localSheetId="0">'入力例(見本)'!$A$1:$AG$55</definedName>
    <definedName name="_xlnm.Print_Area" localSheetId="5">判定集計表!$A$2:$U$20</definedName>
    <definedName name="_xlnm.Print_Titles" localSheetId="3">体力優良証交付申請書!$13:$14</definedName>
    <definedName name="判定12歳" localSheetId="0">'入力例(見本)'!$AF$6:$AF$10</definedName>
    <definedName name="判定12歳">入力シート!$AF$6:$AF$10</definedName>
    <definedName name="判定13歳" localSheetId="0">'入力例(見本)'!$AG$6:$AH$10</definedName>
    <definedName name="判定13歳">入力シート!$AG$6:$AH$10</definedName>
    <definedName name="判定14歳" localSheetId="0">'入力例(見本)'!$AI$6:$AJ$10</definedName>
    <definedName name="判定14歳">入力シート!$AI$6:$AJ$10</definedName>
    <definedName name="判定15歳" localSheetId="0">'入力例(見本)'!$AK$6:$AL$10</definedName>
    <definedName name="判定15歳">入力シート!$AK$6:$AL$10</definedName>
    <definedName name="判定16歳" localSheetId="0">'入力例(見本)'!$AM$6:$AN$10</definedName>
    <definedName name="判定16歳">入力シート!$AM$6:$AN$10</definedName>
    <definedName name="判定17歳" localSheetId="0">'入力例(見本)'!$AO$6:$AP$10</definedName>
    <definedName name="判定17歳">入力シート!$AO$6:$AP$10</definedName>
    <definedName name="判定18歳" localSheetId="0">'入力例(見本)'!$AS$6:$AT$10</definedName>
    <definedName name="判定18歳">入力シート!$AS$6:$AT$10</definedName>
    <definedName name="判定19歳" localSheetId="0">'入力例(見本)'!$AU$6:$AV$10</definedName>
    <definedName name="判定19歳">入力シート!$AU$6:$AV$10</definedName>
  </definedNames>
  <calcPr calcId="162913"/>
</workbook>
</file>

<file path=xl/calcChain.xml><?xml version="1.0" encoding="utf-8"?>
<calcChain xmlns="http://schemas.openxmlformats.org/spreadsheetml/2006/main">
  <c r="Q15" i="10" l="1"/>
  <c r="P15" i="10"/>
  <c r="N15" i="10"/>
  <c r="M15" i="10"/>
  <c r="K15" i="10"/>
  <c r="J15" i="10"/>
  <c r="H15" i="10"/>
  <c r="G15" i="10"/>
  <c r="E15" i="10"/>
  <c r="D15" i="10"/>
  <c r="Q11" i="10"/>
  <c r="P11" i="10"/>
  <c r="N11" i="10"/>
  <c r="M11" i="10"/>
  <c r="K11" i="10"/>
  <c r="J11" i="10"/>
  <c r="H11" i="10"/>
  <c r="G11" i="10"/>
  <c r="E11" i="10"/>
  <c r="D11" i="10"/>
  <c r="Q7" i="10"/>
  <c r="Q19" i="10" s="1"/>
  <c r="P7" i="10"/>
  <c r="P19" i="10" s="1"/>
  <c r="N7" i="10"/>
  <c r="M7" i="10"/>
  <c r="K7" i="10"/>
  <c r="J7" i="10"/>
  <c r="H7" i="10"/>
  <c r="H19" i="10" s="1"/>
  <c r="G7" i="10"/>
  <c r="E7" i="10"/>
  <c r="D7" i="10"/>
  <c r="E19" i="10" l="1"/>
  <c r="K19" i="10"/>
  <c r="R19" i="10"/>
  <c r="G19" i="10"/>
  <c r="M19" i="10"/>
  <c r="N19" i="10"/>
  <c r="D19" i="10"/>
  <c r="J19" i="10"/>
  <c r="L19" i="10" s="1"/>
  <c r="R15" i="10"/>
  <c r="O15" i="10"/>
  <c r="L15" i="10"/>
  <c r="T15" i="10"/>
  <c r="H16" i="10" s="1"/>
  <c r="I15" i="10"/>
  <c r="S15" i="10"/>
  <c r="J16" i="10" s="1"/>
  <c r="F15" i="10"/>
  <c r="R11" i="10"/>
  <c r="O11" i="10"/>
  <c r="L11" i="10"/>
  <c r="T11" i="10"/>
  <c r="K12" i="10" s="1"/>
  <c r="I11" i="10"/>
  <c r="S11" i="10"/>
  <c r="P12" i="10" s="1"/>
  <c r="F11" i="10"/>
  <c r="T7" i="10"/>
  <c r="E8" i="10" s="1"/>
  <c r="S7" i="10"/>
  <c r="D8" i="10" s="1"/>
  <c r="E16" i="10" l="1"/>
  <c r="N16" i="10"/>
  <c r="N12" i="10"/>
  <c r="Q12" i="10"/>
  <c r="M8" i="10"/>
  <c r="S19" i="10"/>
  <c r="P20" i="10" s="1"/>
  <c r="I19" i="10"/>
  <c r="G8" i="10"/>
  <c r="T19" i="10"/>
  <c r="N20" i="10" s="1"/>
  <c r="K8" i="10"/>
  <c r="Q16" i="10"/>
  <c r="Q8" i="10"/>
  <c r="M16" i="10"/>
  <c r="J8" i="10"/>
  <c r="O19" i="10"/>
  <c r="M20" i="10"/>
  <c r="J12" i="10"/>
  <c r="F19" i="10"/>
  <c r="U11" i="10"/>
  <c r="O12" i="10" s="1"/>
  <c r="P16" i="10"/>
  <c r="D16" i="10"/>
  <c r="P8" i="10"/>
  <c r="H8" i="10"/>
  <c r="K16" i="10"/>
  <c r="G16" i="10"/>
  <c r="M12" i="10"/>
  <c r="N8" i="10"/>
  <c r="U15" i="10"/>
  <c r="F16" i="10" s="1"/>
  <c r="E12" i="10"/>
  <c r="H12" i="10"/>
  <c r="D12" i="10"/>
  <c r="G12" i="10"/>
  <c r="I12" i="10" l="1"/>
  <c r="R12" i="10"/>
  <c r="G20" i="10"/>
  <c r="F12" i="10"/>
  <c r="L12" i="10"/>
  <c r="J20" i="10"/>
  <c r="L16" i="10"/>
  <c r="K20" i="10"/>
  <c r="H20" i="10"/>
  <c r="Q20" i="10"/>
  <c r="E20" i="10"/>
  <c r="I16" i="10"/>
  <c r="U19" i="10"/>
  <c r="R16" i="10"/>
  <c r="O16" i="10"/>
  <c r="I20" i="10"/>
  <c r="D20" i="10"/>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L20" i="10" l="1"/>
  <c r="R20" i="10"/>
  <c r="F20" i="10"/>
  <c r="O20" i="10"/>
  <c r="D5" i="14"/>
  <c r="AE55" i="18" l="1"/>
  <c r="AE54" i="18"/>
  <c r="AE53" i="18"/>
  <c r="AE52" i="18"/>
  <c r="AE51" i="18"/>
  <c r="AE50" i="18"/>
  <c r="AE49" i="18"/>
  <c r="AE48" i="18"/>
  <c r="AG48" i="18"/>
  <c r="AH48" i="18" s="1"/>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B12" i="18"/>
  <c r="AD12" i="18" s="1"/>
  <c r="AE12" i="18" s="1"/>
  <c r="AC12" i="18" s="1"/>
  <c r="AA12" i="18"/>
  <c r="Z12" i="18"/>
  <c r="Y12" i="18"/>
  <c r="X12" i="18"/>
  <c r="W12" i="18"/>
  <c r="V12" i="18"/>
  <c r="U12" i="18"/>
  <c r="T12" i="18"/>
  <c r="S12" i="18"/>
  <c r="AB11" i="18"/>
  <c r="AD11" i="18" s="1"/>
  <c r="AE11" i="18" s="1"/>
  <c r="AC11" i="18" s="1"/>
  <c r="AA11" i="18"/>
  <c r="Z11" i="18"/>
  <c r="Y11" i="18"/>
  <c r="X11" i="18"/>
  <c r="W11" i="18"/>
  <c r="V11" i="18"/>
  <c r="U11" i="18"/>
  <c r="T11" i="18"/>
  <c r="S11" i="18"/>
  <c r="AB10" i="18"/>
  <c r="AD10" i="18" s="1"/>
  <c r="AE10" i="18" s="1"/>
  <c r="AC10" i="18" s="1"/>
  <c r="AA10" i="18"/>
  <c r="Z10" i="18"/>
  <c r="Y10" i="18"/>
  <c r="X10" i="18"/>
  <c r="W10" i="18"/>
  <c r="V10" i="18"/>
  <c r="U10" i="18"/>
  <c r="T10" i="18"/>
  <c r="S10" i="18"/>
  <c r="AB9" i="18"/>
  <c r="AD9" i="18" s="1"/>
  <c r="AE9" i="18" s="1"/>
  <c r="AC9" i="18" s="1"/>
  <c r="AA9" i="18"/>
  <c r="Z9" i="18"/>
  <c r="Y9" i="18"/>
  <c r="X9" i="18"/>
  <c r="W9" i="18"/>
  <c r="V9" i="18"/>
  <c r="U9" i="18"/>
  <c r="T9" i="18"/>
  <c r="S9" i="18"/>
  <c r="AB8" i="18"/>
  <c r="AD8" i="18" s="1"/>
  <c r="AE8" i="18" s="1"/>
  <c r="AC8" i="18" s="1"/>
  <c r="AA8" i="18"/>
  <c r="Z8" i="18"/>
  <c r="Y8" i="18"/>
  <c r="X8" i="18"/>
  <c r="W8" i="18"/>
  <c r="V8" i="18"/>
  <c r="U8" i="18"/>
  <c r="T8" i="18"/>
  <c r="S8" i="18"/>
  <c r="AB7" i="18"/>
  <c r="AD7" i="18" s="1"/>
  <c r="AE7" i="18" s="1"/>
  <c r="AC7" i="18" s="1"/>
  <c r="AA7" i="18"/>
  <c r="Z7" i="18"/>
  <c r="Y7" i="18"/>
  <c r="X7" i="18"/>
  <c r="W7" i="18"/>
  <c r="V7" i="18"/>
  <c r="U7" i="18"/>
  <c r="T7" i="18"/>
  <c r="S7" i="18"/>
  <c r="AB6" i="18"/>
  <c r="AD6" i="18" s="1"/>
  <c r="AE6" i="18" s="1"/>
  <c r="AC6" i="18" s="1"/>
  <c r="AA6" i="18"/>
  <c r="Z6" i="18"/>
  <c r="Y6" i="18"/>
  <c r="X6" i="18"/>
  <c r="W6" i="18"/>
  <c r="V6" i="18"/>
  <c r="U6" i="18"/>
  <c r="T6" i="18"/>
  <c r="S6" i="18"/>
  <c r="AG26" i="18" l="1"/>
  <c r="AH26" i="18" s="1"/>
  <c r="AG16" i="18"/>
  <c r="AH16" i="18" s="1"/>
  <c r="AG44" i="18"/>
  <c r="AH44" i="18" s="1"/>
  <c r="AG32" i="18"/>
  <c r="AH32" i="18" s="1"/>
  <c r="AG35" i="18"/>
  <c r="AH35" i="18" s="1"/>
  <c r="AG36" i="18"/>
  <c r="AH36" i="18" s="1"/>
  <c r="AG37" i="18"/>
  <c r="AH37" i="18" s="1"/>
  <c r="AG43" i="18"/>
  <c r="AH43" i="18" s="1"/>
  <c r="AG22" i="18"/>
  <c r="AH22" i="18" s="1"/>
  <c r="AG42" i="18"/>
  <c r="AH42" i="18" s="1"/>
  <c r="AG54" i="18"/>
  <c r="AH54" i="18" s="1"/>
  <c r="AG19" i="18"/>
  <c r="AH19" i="18" s="1"/>
  <c r="AG20" i="18"/>
  <c r="AH20" i="18" s="1"/>
  <c r="AG21" i="18"/>
  <c r="AH21" i="18" s="1"/>
  <c r="AG14" i="18"/>
  <c r="AH14" i="18" s="1"/>
  <c r="AG33" i="18"/>
  <c r="AH33" i="18" s="1"/>
  <c r="AG34" i="18"/>
  <c r="AH34" i="18" s="1"/>
  <c r="AG39" i="18"/>
  <c r="AH39" i="18" s="1"/>
  <c r="AG40" i="18"/>
  <c r="AH40" i="18" s="1"/>
  <c r="AG46" i="18"/>
  <c r="AH46" i="18" s="1"/>
  <c r="AG17" i="18"/>
  <c r="AH17" i="18" s="1"/>
  <c r="AG18" i="18"/>
  <c r="AH18" i="18" s="1"/>
  <c r="AG23" i="18"/>
  <c r="AH23" i="18" s="1"/>
  <c r="AG24" i="18"/>
  <c r="AH24" i="18" s="1"/>
  <c r="AG30" i="18"/>
  <c r="AH30" i="18" s="1"/>
  <c r="AG49" i="18"/>
  <c r="AH49" i="18" s="1"/>
  <c r="AG50" i="18"/>
  <c r="AH50" i="18" s="1"/>
  <c r="AG55" i="18"/>
  <c r="AH55" i="18" s="1"/>
  <c r="Q10" i="18"/>
  <c r="R10" i="18" s="1"/>
  <c r="AG10" i="18" s="1"/>
  <c r="AG27" i="18"/>
  <c r="AH27" i="18" s="1"/>
  <c r="AG28" i="18"/>
  <c r="AH28" i="18" s="1"/>
  <c r="AG38" i="18"/>
  <c r="AH38" i="18" s="1"/>
  <c r="AG51" i="18"/>
  <c r="AH51" i="18" s="1"/>
  <c r="AG52" i="18"/>
  <c r="AH52" i="18" s="1"/>
  <c r="AG53" i="18"/>
  <c r="AH53" i="18" s="1"/>
  <c r="Q11" i="18"/>
  <c r="R11" i="18" s="1"/>
  <c r="AG11" i="18" s="1"/>
  <c r="Q12" i="18"/>
  <c r="R12" i="18" s="1"/>
  <c r="AG12" i="18" s="1"/>
  <c r="Q6" i="18"/>
  <c r="R6" i="18" s="1"/>
  <c r="AG6" i="18" s="1"/>
  <c r="AH6" i="18" s="1"/>
  <c r="Q7" i="18"/>
  <c r="R7" i="18" s="1"/>
  <c r="AG7" i="18" s="1"/>
  <c r="AH7" i="18" s="1"/>
  <c r="Q8" i="18"/>
  <c r="R8" i="18" s="1"/>
  <c r="AG8" i="18" s="1"/>
  <c r="AG15" i="18"/>
  <c r="AH15" i="18" s="1"/>
  <c r="AG47" i="18"/>
  <c r="AH47" i="18" s="1"/>
  <c r="AG31" i="18"/>
  <c r="AH31" i="18" s="1"/>
  <c r="Q9" i="18"/>
  <c r="R9" i="18" s="1"/>
  <c r="AG9" i="18" s="1"/>
  <c r="AH9" i="18" s="1"/>
  <c r="AG25" i="18"/>
  <c r="AH25" i="18" s="1"/>
  <c r="AG41" i="18"/>
  <c r="AH41" i="18" s="1"/>
  <c r="AG13" i="18"/>
  <c r="AH13" i="18" s="1"/>
  <c r="AG29" i="18"/>
  <c r="AH29" i="18" s="1"/>
  <c r="AG45" i="18"/>
  <c r="AH45" i="18" s="1"/>
  <c r="AD398" i="1"/>
  <c r="AH12" i="18" l="1"/>
  <c r="AH8" i="18"/>
  <c r="AH11" i="18"/>
  <c r="AH10" i="18"/>
  <c r="AE398" i="1"/>
  <c r="AC398" i="1" s="1"/>
  <c r="AB7" i="1" l="1"/>
  <c r="AD7" i="1" s="1"/>
  <c r="AE7" i="1" s="1"/>
  <c r="AC7" i="1" s="1"/>
  <c r="AB8" i="1"/>
  <c r="AD8" i="1" s="1"/>
  <c r="AE8" i="1" s="1"/>
  <c r="AC8" i="1" s="1"/>
  <c r="AB9" i="1"/>
  <c r="AD9" i="1" s="1"/>
  <c r="AE9" i="1" s="1"/>
  <c r="AC9" i="1" s="1"/>
  <c r="AB10" i="1"/>
  <c r="AD10" i="1" s="1"/>
  <c r="AE10" i="1" s="1"/>
  <c r="AC10" i="1" s="1"/>
  <c r="AB11" i="1"/>
  <c r="AD11" i="1" s="1"/>
  <c r="AE11" i="1" s="1"/>
  <c r="AC11" i="1" s="1"/>
  <c r="AB12" i="1"/>
  <c r="AD12" i="1" s="1"/>
  <c r="AE12" i="1" s="1"/>
  <c r="AC12" i="1" s="1"/>
  <c r="AB13" i="1"/>
  <c r="AD13" i="1" s="1"/>
  <c r="AE13" i="1" s="1"/>
  <c r="AC13" i="1" s="1"/>
  <c r="AB14" i="1"/>
  <c r="AD14" i="1" s="1"/>
  <c r="AE14" i="1" s="1"/>
  <c r="AC14" i="1" s="1"/>
  <c r="AB15" i="1"/>
  <c r="AD15" i="1" s="1"/>
  <c r="AE15" i="1" s="1"/>
  <c r="AC15" i="1" s="1"/>
  <c r="AB16" i="1"/>
  <c r="AD16" i="1" s="1"/>
  <c r="AE16" i="1" s="1"/>
  <c r="AC16" i="1" s="1"/>
  <c r="AB17" i="1"/>
  <c r="AD17" i="1" s="1"/>
  <c r="AE17" i="1" s="1"/>
  <c r="AC17" i="1" s="1"/>
  <c r="AB18" i="1"/>
  <c r="AD18" i="1" s="1"/>
  <c r="AE18" i="1" s="1"/>
  <c r="AC18" i="1" s="1"/>
  <c r="AB19" i="1"/>
  <c r="AD19" i="1" s="1"/>
  <c r="AE19" i="1" s="1"/>
  <c r="AC19" i="1" s="1"/>
  <c r="AB20" i="1"/>
  <c r="AD20" i="1" s="1"/>
  <c r="AE20" i="1" s="1"/>
  <c r="AC20" i="1" s="1"/>
  <c r="AB21" i="1"/>
  <c r="AD21" i="1" s="1"/>
  <c r="AE21" i="1" s="1"/>
  <c r="AC21" i="1" s="1"/>
  <c r="AB22" i="1"/>
  <c r="AD22" i="1" s="1"/>
  <c r="AE22" i="1" s="1"/>
  <c r="AC22" i="1" s="1"/>
  <c r="AB23" i="1"/>
  <c r="AD23" i="1" s="1"/>
  <c r="AE23" i="1" s="1"/>
  <c r="AC23" i="1" s="1"/>
  <c r="AB24" i="1"/>
  <c r="AD24" i="1" s="1"/>
  <c r="AE24" i="1" s="1"/>
  <c r="AC24" i="1" s="1"/>
  <c r="AB25" i="1"/>
  <c r="AD25" i="1" s="1"/>
  <c r="AE25" i="1" s="1"/>
  <c r="AC25" i="1" s="1"/>
  <c r="AB26" i="1"/>
  <c r="AD26" i="1" s="1"/>
  <c r="AE26" i="1" s="1"/>
  <c r="AC26" i="1" s="1"/>
  <c r="AB27" i="1"/>
  <c r="AD27" i="1" s="1"/>
  <c r="AE27" i="1" s="1"/>
  <c r="AC27" i="1" s="1"/>
  <c r="AB28" i="1"/>
  <c r="AD28" i="1" s="1"/>
  <c r="AE28" i="1" s="1"/>
  <c r="AC28" i="1" s="1"/>
  <c r="AB29" i="1"/>
  <c r="AD29" i="1" s="1"/>
  <c r="AE29" i="1" s="1"/>
  <c r="AC29" i="1" s="1"/>
  <c r="AB30" i="1"/>
  <c r="AD30" i="1" s="1"/>
  <c r="AE30" i="1" s="1"/>
  <c r="AC30" i="1" s="1"/>
  <c r="AB31" i="1"/>
  <c r="AD31" i="1" s="1"/>
  <c r="AE31" i="1" s="1"/>
  <c r="AC31" i="1" s="1"/>
  <c r="AB32" i="1"/>
  <c r="AD32" i="1" s="1"/>
  <c r="AE32" i="1" s="1"/>
  <c r="AC32" i="1" s="1"/>
  <c r="AB33" i="1"/>
  <c r="AD33" i="1" s="1"/>
  <c r="AE33" i="1" s="1"/>
  <c r="AC33" i="1" s="1"/>
  <c r="AB34" i="1"/>
  <c r="AD34" i="1" s="1"/>
  <c r="AE34" i="1" s="1"/>
  <c r="AC34" i="1" s="1"/>
  <c r="AB35" i="1"/>
  <c r="AD35" i="1" s="1"/>
  <c r="AE35" i="1" s="1"/>
  <c r="AC35" i="1" s="1"/>
  <c r="AB36" i="1"/>
  <c r="AD36" i="1" s="1"/>
  <c r="AE36" i="1" s="1"/>
  <c r="AC36" i="1" s="1"/>
  <c r="AB37" i="1"/>
  <c r="AD37" i="1" s="1"/>
  <c r="AE37" i="1" s="1"/>
  <c r="AC37" i="1" s="1"/>
  <c r="AB38" i="1"/>
  <c r="AD38" i="1" s="1"/>
  <c r="AE38" i="1" s="1"/>
  <c r="AC38" i="1" s="1"/>
  <c r="AB39" i="1"/>
  <c r="AD39" i="1" s="1"/>
  <c r="AE39" i="1" s="1"/>
  <c r="AC39" i="1" s="1"/>
  <c r="AB40" i="1"/>
  <c r="AD40" i="1" s="1"/>
  <c r="AE40" i="1" s="1"/>
  <c r="AC40" i="1" s="1"/>
  <c r="AB41" i="1"/>
  <c r="AD41" i="1" s="1"/>
  <c r="AE41" i="1" s="1"/>
  <c r="AC41" i="1" s="1"/>
  <c r="AB42" i="1"/>
  <c r="AD42" i="1" s="1"/>
  <c r="AE42" i="1" s="1"/>
  <c r="AC42" i="1" s="1"/>
  <c r="AB43" i="1"/>
  <c r="AD43" i="1" s="1"/>
  <c r="AE43" i="1" s="1"/>
  <c r="AC43" i="1" s="1"/>
  <c r="AB44" i="1"/>
  <c r="AD44" i="1" s="1"/>
  <c r="AE44" i="1" s="1"/>
  <c r="AC44" i="1" s="1"/>
  <c r="AB45" i="1"/>
  <c r="AD45" i="1" s="1"/>
  <c r="AE45" i="1" s="1"/>
  <c r="AC45" i="1" s="1"/>
  <c r="AB46" i="1"/>
  <c r="AD46" i="1" s="1"/>
  <c r="AE46" i="1" s="1"/>
  <c r="AC46" i="1" s="1"/>
  <c r="AB47" i="1"/>
  <c r="AD47" i="1" s="1"/>
  <c r="AE47" i="1" s="1"/>
  <c r="AC47" i="1" s="1"/>
  <c r="AB48" i="1"/>
  <c r="AD48" i="1" s="1"/>
  <c r="AE48" i="1" s="1"/>
  <c r="AC48" i="1" s="1"/>
  <c r="AB49" i="1"/>
  <c r="AD49" i="1" s="1"/>
  <c r="AE49" i="1" s="1"/>
  <c r="AC49" i="1" s="1"/>
  <c r="AB50" i="1"/>
  <c r="AD50" i="1" s="1"/>
  <c r="AE50" i="1" s="1"/>
  <c r="AC50" i="1" s="1"/>
  <c r="AB51" i="1"/>
  <c r="AD51" i="1" s="1"/>
  <c r="AE51" i="1" s="1"/>
  <c r="AC51" i="1" s="1"/>
  <c r="AB52" i="1"/>
  <c r="AD52" i="1" s="1"/>
  <c r="AE52" i="1" s="1"/>
  <c r="AC52" i="1" s="1"/>
  <c r="AB53" i="1"/>
  <c r="AD53" i="1" s="1"/>
  <c r="AE53" i="1" s="1"/>
  <c r="AC53" i="1" s="1"/>
  <c r="AB54" i="1"/>
  <c r="AD54" i="1" s="1"/>
  <c r="AE54" i="1" s="1"/>
  <c r="AC54" i="1" s="1"/>
  <c r="AB55" i="1"/>
  <c r="AD55" i="1" s="1"/>
  <c r="AE55" i="1" s="1"/>
  <c r="AC55" i="1" s="1"/>
  <c r="AB56" i="1"/>
  <c r="AD56" i="1" s="1"/>
  <c r="AE56" i="1" s="1"/>
  <c r="AC56" i="1" s="1"/>
  <c r="AB57" i="1"/>
  <c r="AD57" i="1" s="1"/>
  <c r="AE57" i="1" s="1"/>
  <c r="AC57" i="1" s="1"/>
  <c r="AB58" i="1"/>
  <c r="AD58" i="1" s="1"/>
  <c r="AE58" i="1" s="1"/>
  <c r="AC58" i="1" s="1"/>
  <c r="AB59" i="1"/>
  <c r="AD59" i="1" s="1"/>
  <c r="AE59" i="1" s="1"/>
  <c r="AC59" i="1" s="1"/>
  <c r="AB60" i="1"/>
  <c r="AD60" i="1" s="1"/>
  <c r="AE60" i="1" s="1"/>
  <c r="AC60" i="1" s="1"/>
  <c r="AB61" i="1"/>
  <c r="AD61" i="1" s="1"/>
  <c r="AE61" i="1" s="1"/>
  <c r="AC61" i="1" s="1"/>
  <c r="AB62" i="1"/>
  <c r="AD62" i="1" s="1"/>
  <c r="AE62" i="1" s="1"/>
  <c r="AC62" i="1" s="1"/>
  <c r="AB63" i="1"/>
  <c r="AD63" i="1" s="1"/>
  <c r="AE63" i="1" s="1"/>
  <c r="AC63" i="1" s="1"/>
  <c r="AB64" i="1"/>
  <c r="AD64" i="1" s="1"/>
  <c r="AE64" i="1" s="1"/>
  <c r="AC64" i="1" s="1"/>
  <c r="AB65" i="1"/>
  <c r="AD65" i="1" s="1"/>
  <c r="AE65" i="1" s="1"/>
  <c r="AC65" i="1" s="1"/>
  <c r="AB66" i="1"/>
  <c r="AD66" i="1" s="1"/>
  <c r="AE66" i="1" s="1"/>
  <c r="AC66" i="1" s="1"/>
  <c r="AB67" i="1"/>
  <c r="AD67" i="1" s="1"/>
  <c r="AE67" i="1" s="1"/>
  <c r="AC67" i="1" s="1"/>
  <c r="AB68" i="1"/>
  <c r="AD68" i="1" s="1"/>
  <c r="AE68" i="1" s="1"/>
  <c r="AC68" i="1" s="1"/>
  <c r="AB69" i="1"/>
  <c r="AD69" i="1" s="1"/>
  <c r="AE69" i="1" s="1"/>
  <c r="AC69" i="1" s="1"/>
  <c r="AB70" i="1"/>
  <c r="AD70" i="1" s="1"/>
  <c r="AE70" i="1" s="1"/>
  <c r="AC70" i="1" s="1"/>
  <c r="AB71" i="1"/>
  <c r="AD71" i="1" s="1"/>
  <c r="AE71" i="1" s="1"/>
  <c r="AC71" i="1" s="1"/>
  <c r="AB72" i="1"/>
  <c r="AD72" i="1" s="1"/>
  <c r="AE72" i="1" s="1"/>
  <c r="AC72" i="1" s="1"/>
  <c r="AB73" i="1"/>
  <c r="AD73" i="1" s="1"/>
  <c r="AE73" i="1" s="1"/>
  <c r="AC73" i="1" s="1"/>
  <c r="AB74" i="1"/>
  <c r="AD74" i="1" s="1"/>
  <c r="AE74" i="1" s="1"/>
  <c r="AC74" i="1" s="1"/>
  <c r="AB75" i="1"/>
  <c r="AD75" i="1" s="1"/>
  <c r="AE75" i="1" s="1"/>
  <c r="AC75" i="1" s="1"/>
  <c r="AB76" i="1"/>
  <c r="AD76" i="1" s="1"/>
  <c r="AE76" i="1" s="1"/>
  <c r="AC76" i="1" s="1"/>
  <c r="AB77" i="1"/>
  <c r="AD77" i="1" s="1"/>
  <c r="AE77" i="1" s="1"/>
  <c r="AC77" i="1" s="1"/>
  <c r="AB78" i="1"/>
  <c r="AD78" i="1" s="1"/>
  <c r="AE78" i="1" s="1"/>
  <c r="AC78" i="1" s="1"/>
  <c r="AB79" i="1"/>
  <c r="AD79" i="1" s="1"/>
  <c r="AE79" i="1" s="1"/>
  <c r="AC79" i="1" s="1"/>
  <c r="AB80" i="1"/>
  <c r="AD80" i="1" s="1"/>
  <c r="AE80" i="1" s="1"/>
  <c r="AC80" i="1" s="1"/>
  <c r="AB81" i="1"/>
  <c r="AD81" i="1" s="1"/>
  <c r="AE81" i="1" s="1"/>
  <c r="AC81" i="1" s="1"/>
  <c r="AB82" i="1"/>
  <c r="AD82" i="1" s="1"/>
  <c r="AE82" i="1" s="1"/>
  <c r="AC82" i="1" s="1"/>
  <c r="AB83" i="1"/>
  <c r="AD83" i="1" s="1"/>
  <c r="AE83" i="1" s="1"/>
  <c r="AC83" i="1" s="1"/>
  <c r="AB84" i="1"/>
  <c r="AD84" i="1" s="1"/>
  <c r="AE84" i="1" s="1"/>
  <c r="AC84" i="1" s="1"/>
  <c r="AB85" i="1"/>
  <c r="AD85" i="1" s="1"/>
  <c r="AE85" i="1" s="1"/>
  <c r="AC85" i="1" s="1"/>
  <c r="AB86" i="1"/>
  <c r="AD86" i="1" s="1"/>
  <c r="AE86" i="1" s="1"/>
  <c r="AC86" i="1" s="1"/>
  <c r="AB87" i="1"/>
  <c r="AD87" i="1" s="1"/>
  <c r="AE87" i="1" s="1"/>
  <c r="AC87" i="1" s="1"/>
  <c r="AB88" i="1"/>
  <c r="AD88" i="1" s="1"/>
  <c r="AE88" i="1" s="1"/>
  <c r="AC88" i="1" s="1"/>
  <c r="AB89" i="1"/>
  <c r="AD89" i="1" s="1"/>
  <c r="AE89" i="1" s="1"/>
  <c r="AC89" i="1" s="1"/>
  <c r="AB90" i="1"/>
  <c r="AD90" i="1" s="1"/>
  <c r="AE90" i="1" s="1"/>
  <c r="AC90" i="1" s="1"/>
  <c r="AB91" i="1"/>
  <c r="AD91" i="1" s="1"/>
  <c r="AE91" i="1" s="1"/>
  <c r="AC91" i="1" s="1"/>
  <c r="AB92" i="1"/>
  <c r="AD92" i="1" s="1"/>
  <c r="AE92" i="1" s="1"/>
  <c r="AC92" i="1" s="1"/>
  <c r="AB93" i="1"/>
  <c r="AD93" i="1" s="1"/>
  <c r="AE93" i="1" s="1"/>
  <c r="AC93" i="1" s="1"/>
  <c r="AB94" i="1"/>
  <c r="AD94" i="1" s="1"/>
  <c r="AE94" i="1" s="1"/>
  <c r="AC94" i="1" s="1"/>
  <c r="AB95" i="1"/>
  <c r="AD95" i="1" s="1"/>
  <c r="AE95" i="1" s="1"/>
  <c r="AC95" i="1" s="1"/>
  <c r="AB96" i="1"/>
  <c r="AD96" i="1" s="1"/>
  <c r="AE96" i="1" s="1"/>
  <c r="AC96" i="1" s="1"/>
  <c r="AB97" i="1"/>
  <c r="AD97" i="1" s="1"/>
  <c r="AE97" i="1" s="1"/>
  <c r="AC97" i="1" s="1"/>
  <c r="AB98" i="1"/>
  <c r="AD98" i="1" s="1"/>
  <c r="AE98" i="1" s="1"/>
  <c r="AC98" i="1" s="1"/>
  <c r="AB99" i="1"/>
  <c r="AD99" i="1" s="1"/>
  <c r="AE99" i="1" s="1"/>
  <c r="AC99" i="1" s="1"/>
  <c r="AB100" i="1"/>
  <c r="AD100" i="1" s="1"/>
  <c r="AE100" i="1" s="1"/>
  <c r="AC100" i="1" s="1"/>
  <c r="AB101" i="1"/>
  <c r="AD101" i="1" s="1"/>
  <c r="AE101" i="1" s="1"/>
  <c r="AC101" i="1" s="1"/>
  <c r="AB102" i="1"/>
  <c r="AD102" i="1" s="1"/>
  <c r="AE102" i="1" s="1"/>
  <c r="AC102" i="1" s="1"/>
  <c r="AB103" i="1"/>
  <c r="AD103" i="1" s="1"/>
  <c r="AE103" i="1" s="1"/>
  <c r="AC103" i="1" s="1"/>
  <c r="AB104" i="1"/>
  <c r="AD104" i="1" s="1"/>
  <c r="AE104" i="1" s="1"/>
  <c r="AC104" i="1" s="1"/>
  <c r="AB105" i="1"/>
  <c r="AD105" i="1" s="1"/>
  <c r="AE105" i="1" s="1"/>
  <c r="AC105" i="1" s="1"/>
  <c r="AB106" i="1"/>
  <c r="AD106" i="1" s="1"/>
  <c r="AE106" i="1" s="1"/>
  <c r="AC106" i="1" s="1"/>
  <c r="AB107" i="1"/>
  <c r="AD107" i="1" s="1"/>
  <c r="AE107" i="1" s="1"/>
  <c r="AC107" i="1" s="1"/>
  <c r="AB108" i="1"/>
  <c r="AD108" i="1" s="1"/>
  <c r="AE108" i="1" s="1"/>
  <c r="AC108" i="1" s="1"/>
  <c r="AB109" i="1"/>
  <c r="AD109" i="1" s="1"/>
  <c r="AE109" i="1" s="1"/>
  <c r="AC109" i="1" s="1"/>
  <c r="AB110" i="1"/>
  <c r="AD110" i="1" s="1"/>
  <c r="AE110" i="1" s="1"/>
  <c r="AC110" i="1" s="1"/>
  <c r="AB111" i="1"/>
  <c r="AD111" i="1" s="1"/>
  <c r="AE111" i="1" s="1"/>
  <c r="AC111" i="1" s="1"/>
  <c r="AB112" i="1"/>
  <c r="AD112" i="1" s="1"/>
  <c r="AE112" i="1" s="1"/>
  <c r="AC112" i="1" s="1"/>
  <c r="AB113" i="1"/>
  <c r="AD113" i="1" s="1"/>
  <c r="AE113" i="1" s="1"/>
  <c r="AC113" i="1" s="1"/>
  <c r="AB114" i="1"/>
  <c r="AD114" i="1" s="1"/>
  <c r="AE114" i="1" s="1"/>
  <c r="AC114" i="1" s="1"/>
  <c r="AB115" i="1"/>
  <c r="AD115" i="1" s="1"/>
  <c r="AE115" i="1" s="1"/>
  <c r="AC115" i="1" s="1"/>
  <c r="AB116" i="1"/>
  <c r="AD116" i="1" s="1"/>
  <c r="AE116" i="1" s="1"/>
  <c r="AC116" i="1" s="1"/>
  <c r="AB117" i="1"/>
  <c r="AD117" i="1" s="1"/>
  <c r="AE117" i="1" s="1"/>
  <c r="AC117" i="1" s="1"/>
  <c r="AB118" i="1"/>
  <c r="AD118" i="1" s="1"/>
  <c r="AE118" i="1" s="1"/>
  <c r="AC118" i="1" s="1"/>
  <c r="AB119" i="1"/>
  <c r="AD119" i="1" s="1"/>
  <c r="AE119" i="1" s="1"/>
  <c r="AC119" i="1" s="1"/>
  <c r="AB120" i="1"/>
  <c r="AD120" i="1" s="1"/>
  <c r="AE120" i="1" s="1"/>
  <c r="AC120" i="1" s="1"/>
  <c r="AB121" i="1"/>
  <c r="AD121" i="1" s="1"/>
  <c r="AE121" i="1" s="1"/>
  <c r="AC121" i="1" s="1"/>
  <c r="AB122" i="1"/>
  <c r="AD122" i="1" s="1"/>
  <c r="AE122" i="1" s="1"/>
  <c r="AC122" i="1" s="1"/>
  <c r="AB123" i="1"/>
  <c r="AD123" i="1" s="1"/>
  <c r="AE123" i="1" s="1"/>
  <c r="AC123" i="1" s="1"/>
  <c r="AB124" i="1"/>
  <c r="AD124" i="1" s="1"/>
  <c r="AE124" i="1" s="1"/>
  <c r="AC124" i="1" s="1"/>
  <c r="AB125" i="1"/>
  <c r="AD125" i="1" s="1"/>
  <c r="AE125" i="1" s="1"/>
  <c r="AC125" i="1" s="1"/>
  <c r="AB126" i="1"/>
  <c r="AD126" i="1" s="1"/>
  <c r="AE126" i="1" s="1"/>
  <c r="AC126" i="1" s="1"/>
  <c r="AB127" i="1"/>
  <c r="AD127" i="1" s="1"/>
  <c r="AE127" i="1" s="1"/>
  <c r="AC127" i="1" s="1"/>
  <c r="AB128" i="1"/>
  <c r="AD128" i="1" s="1"/>
  <c r="AE128" i="1" s="1"/>
  <c r="AC128" i="1" s="1"/>
  <c r="AB129" i="1"/>
  <c r="AD129" i="1" s="1"/>
  <c r="AE129" i="1" s="1"/>
  <c r="AC129" i="1" s="1"/>
  <c r="AB130" i="1"/>
  <c r="AD130" i="1" s="1"/>
  <c r="AE130" i="1" s="1"/>
  <c r="AC130" i="1" s="1"/>
  <c r="AB131" i="1"/>
  <c r="AD131" i="1" s="1"/>
  <c r="AE131" i="1" s="1"/>
  <c r="AC131" i="1" s="1"/>
  <c r="AB132" i="1"/>
  <c r="AD132" i="1" s="1"/>
  <c r="AE132" i="1" s="1"/>
  <c r="AC132" i="1" s="1"/>
  <c r="AB133" i="1"/>
  <c r="AD133" i="1" s="1"/>
  <c r="AE133" i="1" s="1"/>
  <c r="AC133" i="1" s="1"/>
  <c r="AB134" i="1"/>
  <c r="AD134" i="1" s="1"/>
  <c r="AE134" i="1" s="1"/>
  <c r="AC134" i="1" s="1"/>
  <c r="AB135" i="1"/>
  <c r="AD135" i="1" s="1"/>
  <c r="AE135" i="1" s="1"/>
  <c r="AC135" i="1" s="1"/>
  <c r="AB136" i="1"/>
  <c r="AD136" i="1" s="1"/>
  <c r="AE136" i="1" s="1"/>
  <c r="AC136" i="1" s="1"/>
  <c r="AB137" i="1"/>
  <c r="AD137" i="1" s="1"/>
  <c r="AE137" i="1" s="1"/>
  <c r="AC137" i="1" s="1"/>
  <c r="AB138" i="1"/>
  <c r="AD138" i="1" s="1"/>
  <c r="AE138" i="1" s="1"/>
  <c r="AC138" i="1" s="1"/>
  <c r="AB139" i="1"/>
  <c r="AD139" i="1" s="1"/>
  <c r="AE139" i="1" s="1"/>
  <c r="AC139" i="1" s="1"/>
  <c r="AB140" i="1"/>
  <c r="AD140" i="1" s="1"/>
  <c r="AE140" i="1" s="1"/>
  <c r="AC140" i="1" s="1"/>
  <c r="AB141" i="1"/>
  <c r="AD141" i="1" s="1"/>
  <c r="AE141" i="1" s="1"/>
  <c r="AC141" i="1" s="1"/>
  <c r="AB142" i="1"/>
  <c r="AD142" i="1" s="1"/>
  <c r="AE142" i="1" s="1"/>
  <c r="AC142" i="1" s="1"/>
  <c r="AB143" i="1"/>
  <c r="AD143" i="1" s="1"/>
  <c r="AE143" i="1" s="1"/>
  <c r="AB144" i="1"/>
  <c r="AD144" i="1" s="1"/>
  <c r="AE144" i="1" s="1"/>
  <c r="AC144" i="1" s="1"/>
  <c r="AB145" i="1"/>
  <c r="AD145" i="1" s="1"/>
  <c r="AE145" i="1" s="1"/>
  <c r="AC145" i="1" s="1"/>
  <c r="AB146" i="1"/>
  <c r="AD146" i="1" s="1"/>
  <c r="AE146" i="1" s="1"/>
  <c r="AC146" i="1" s="1"/>
  <c r="AB147" i="1"/>
  <c r="AD147" i="1" s="1"/>
  <c r="AE147" i="1" s="1"/>
  <c r="AC147" i="1" s="1"/>
  <c r="AB148" i="1"/>
  <c r="AD148" i="1" s="1"/>
  <c r="AE148" i="1" s="1"/>
  <c r="AC148" i="1" s="1"/>
  <c r="AB149" i="1"/>
  <c r="AD149" i="1" s="1"/>
  <c r="AE149" i="1" s="1"/>
  <c r="AC149" i="1" s="1"/>
  <c r="AB150" i="1"/>
  <c r="AD150" i="1" s="1"/>
  <c r="AE150" i="1" s="1"/>
  <c r="AC150" i="1" s="1"/>
  <c r="AB151" i="1"/>
  <c r="AD151" i="1" s="1"/>
  <c r="AE151" i="1" s="1"/>
  <c r="AC151" i="1" s="1"/>
  <c r="AB152" i="1"/>
  <c r="AD152" i="1" s="1"/>
  <c r="AE152" i="1" s="1"/>
  <c r="AC152" i="1" s="1"/>
  <c r="AB153" i="1"/>
  <c r="AD153" i="1" s="1"/>
  <c r="AE153" i="1" s="1"/>
  <c r="AC153" i="1" s="1"/>
  <c r="AB154" i="1"/>
  <c r="AD154" i="1" s="1"/>
  <c r="AE154" i="1" s="1"/>
  <c r="AC154" i="1" s="1"/>
  <c r="AB155" i="1"/>
  <c r="AD155" i="1" s="1"/>
  <c r="AE155" i="1" s="1"/>
  <c r="AC155" i="1" s="1"/>
  <c r="AB156" i="1"/>
  <c r="AD156" i="1" s="1"/>
  <c r="AE156" i="1" s="1"/>
  <c r="AC156" i="1" s="1"/>
  <c r="AB157" i="1"/>
  <c r="AD157" i="1" s="1"/>
  <c r="AE157" i="1" s="1"/>
  <c r="AC157" i="1" s="1"/>
  <c r="AB158" i="1"/>
  <c r="AD158" i="1" s="1"/>
  <c r="AE158" i="1" s="1"/>
  <c r="AC158" i="1" s="1"/>
  <c r="AB159" i="1"/>
  <c r="AD159" i="1" s="1"/>
  <c r="AE159" i="1" s="1"/>
  <c r="AC159" i="1" s="1"/>
  <c r="AB160" i="1"/>
  <c r="AD160" i="1" s="1"/>
  <c r="AE160" i="1" s="1"/>
  <c r="AC160" i="1" s="1"/>
  <c r="AB161" i="1"/>
  <c r="AD161" i="1" s="1"/>
  <c r="AE161" i="1" s="1"/>
  <c r="AC161" i="1" s="1"/>
  <c r="AB162" i="1"/>
  <c r="AD162" i="1" s="1"/>
  <c r="AE162" i="1" s="1"/>
  <c r="AC162" i="1" s="1"/>
  <c r="AB163" i="1"/>
  <c r="AD163" i="1" s="1"/>
  <c r="AE163" i="1" s="1"/>
  <c r="AC163" i="1" s="1"/>
  <c r="AB164" i="1"/>
  <c r="AD164" i="1" s="1"/>
  <c r="AE164" i="1" s="1"/>
  <c r="AC164" i="1" s="1"/>
  <c r="AB165" i="1"/>
  <c r="AD165" i="1" s="1"/>
  <c r="AE165" i="1" s="1"/>
  <c r="AC165" i="1" s="1"/>
  <c r="AB166" i="1"/>
  <c r="AD166" i="1" s="1"/>
  <c r="AE166" i="1" s="1"/>
  <c r="AC166" i="1" s="1"/>
  <c r="AB167" i="1"/>
  <c r="AD167" i="1" s="1"/>
  <c r="AE167" i="1" s="1"/>
  <c r="AC167" i="1" s="1"/>
  <c r="AB168" i="1"/>
  <c r="AD168" i="1" s="1"/>
  <c r="AE168" i="1" s="1"/>
  <c r="AC168" i="1" s="1"/>
  <c r="AB169" i="1"/>
  <c r="AD169" i="1" s="1"/>
  <c r="AE169" i="1" s="1"/>
  <c r="AC169" i="1" s="1"/>
  <c r="AB170" i="1"/>
  <c r="AD170" i="1" s="1"/>
  <c r="AE170" i="1" s="1"/>
  <c r="AC170" i="1" s="1"/>
  <c r="AB171" i="1"/>
  <c r="AD171" i="1" s="1"/>
  <c r="AE171" i="1" s="1"/>
  <c r="AC171" i="1" s="1"/>
  <c r="AB172" i="1"/>
  <c r="AD172" i="1" s="1"/>
  <c r="AE172" i="1" s="1"/>
  <c r="AC172" i="1" s="1"/>
  <c r="AB173" i="1"/>
  <c r="AD173" i="1" s="1"/>
  <c r="AE173" i="1" s="1"/>
  <c r="AC173" i="1" s="1"/>
  <c r="AB174" i="1"/>
  <c r="AD174" i="1" s="1"/>
  <c r="AE174" i="1" s="1"/>
  <c r="AC174" i="1" s="1"/>
  <c r="AB175" i="1"/>
  <c r="AD175" i="1" s="1"/>
  <c r="AE175" i="1" s="1"/>
  <c r="AC175" i="1" s="1"/>
  <c r="AB176" i="1"/>
  <c r="AD176" i="1" s="1"/>
  <c r="AE176" i="1" s="1"/>
  <c r="AC176" i="1" s="1"/>
  <c r="AB177" i="1"/>
  <c r="AD177" i="1" s="1"/>
  <c r="AE177" i="1" s="1"/>
  <c r="AC177" i="1" s="1"/>
  <c r="AB178" i="1"/>
  <c r="AD178" i="1" s="1"/>
  <c r="AE178" i="1" s="1"/>
  <c r="AC178" i="1" s="1"/>
  <c r="AB179" i="1"/>
  <c r="AD179" i="1" s="1"/>
  <c r="AE179" i="1" s="1"/>
  <c r="AC179" i="1" s="1"/>
  <c r="AB180" i="1"/>
  <c r="AD180" i="1" s="1"/>
  <c r="AE180" i="1" s="1"/>
  <c r="AC180" i="1" s="1"/>
  <c r="AB181" i="1"/>
  <c r="AD181" i="1" s="1"/>
  <c r="AE181" i="1" s="1"/>
  <c r="AC181" i="1" s="1"/>
  <c r="AB182" i="1"/>
  <c r="AD182" i="1" s="1"/>
  <c r="AE182" i="1" s="1"/>
  <c r="AC182" i="1" s="1"/>
  <c r="AB183" i="1"/>
  <c r="AD183" i="1" s="1"/>
  <c r="AE183" i="1" s="1"/>
  <c r="AC183" i="1" s="1"/>
  <c r="AB184" i="1"/>
  <c r="AD184" i="1" s="1"/>
  <c r="AE184" i="1" s="1"/>
  <c r="AC184" i="1" s="1"/>
  <c r="AB185" i="1"/>
  <c r="AD185" i="1" s="1"/>
  <c r="AE185" i="1" s="1"/>
  <c r="AC185" i="1" s="1"/>
  <c r="AB186" i="1"/>
  <c r="AD186" i="1" s="1"/>
  <c r="AE186" i="1" s="1"/>
  <c r="AC186" i="1" s="1"/>
  <c r="AB187" i="1"/>
  <c r="AD187" i="1" s="1"/>
  <c r="AE187" i="1" s="1"/>
  <c r="AC187" i="1" s="1"/>
  <c r="AB188" i="1"/>
  <c r="AD188" i="1" s="1"/>
  <c r="AE188" i="1" s="1"/>
  <c r="AC188" i="1" s="1"/>
  <c r="AB189" i="1"/>
  <c r="AD189" i="1" s="1"/>
  <c r="AE189" i="1" s="1"/>
  <c r="AC189" i="1" s="1"/>
  <c r="AB190" i="1"/>
  <c r="AD190" i="1" s="1"/>
  <c r="AE190" i="1" s="1"/>
  <c r="AC190" i="1" s="1"/>
  <c r="AB191" i="1"/>
  <c r="AD191" i="1" s="1"/>
  <c r="AE191" i="1" s="1"/>
  <c r="AC191" i="1" s="1"/>
  <c r="AB192" i="1"/>
  <c r="AD192" i="1" s="1"/>
  <c r="AE192" i="1" s="1"/>
  <c r="AC192" i="1" s="1"/>
  <c r="AB193" i="1"/>
  <c r="AD193" i="1" s="1"/>
  <c r="AE193" i="1" s="1"/>
  <c r="AC193" i="1" s="1"/>
  <c r="AB194" i="1"/>
  <c r="AD194" i="1" s="1"/>
  <c r="AE194" i="1" s="1"/>
  <c r="AC194" i="1" s="1"/>
  <c r="AB195" i="1"/>
  <c r="AD195" i="1" s="1"/>
  <c r="AE195" i="1" s="1"/>
  <c r="AC195" i="1" s="1"/>
  <c r="AB196" i="1"/>
  <c r="AD196" i="1" s="1"/>
  <c r="AE196" i="1" s="1"/>
  <c r="AC196" i="1" s="1"/>
  <c r="AB197" i="1"/>
  <c r="AD197" i="1" s="1"/>
  <c r="AE197" i="1" s="1"/>
  <c r="AC197" i="1" s="1"/>
  <c r="AB198" i="1"/>
  <c r="AD198" i="1" s="1"/>
  <c r="AE198" i="1" s="1"/>
  <c r="AC198" i="1" s="1"/>
  <c r="AB199" i="1"/>
  <c r="AD199" i="1" s="1"/>
  <c r="AE199" i="1" s="1"/>
  <c r="AC199" i="1" s="1"/>
  <c r="AB200" i="1"/>
  <c r="AD200" i="1" s="1"/>
  <c r="AE200" i="1" s="1"/>
  <c r="AC200" i="1" s="1"/>
  <c r="AB201" i="1"/>
  <c r="AD201" i="1" s="1"/>
  <c r="AE201" i="1" s="1"/>
  <c r="AC201" i="1" s="1"/>
  <c r="AB202" i="1"/>
  <c r="AD202" i="1" s="1"/>
  <c r="AE202" i="1" s="1"/>
  <c r="AC202" i="1" s="1"/>
  <c r="AB203" i="1"/>
  <c r="AD203" i="1" s="1"/>
  <c r="AE203" i="1" s="1"/>
  <c r="AC203" i="1" s="1"/>
  <c r="AB204" i="1"/>
  <c r="AD204" i="1" s="1"/>
  <c r="AE204" i="1" s="1"/>
  <c r="AC204" i="1" s="1"/>
  <c r="AB205" i="1"/>
  <c r="AD205" i="1" s="1"/>
  <c r="AE205" i="1" s="1"/>
  <c r="AC205" i="1" s="1"/>
  <c r="AB206" i="1"/>
  <c r="AD206" i="1" s="1"/>
  <c r="AE206" i="1" s="1"/>
  <c r="AC206" i="1" s="1"/>
  <c r="AB207" i="1"/>
  <c r="AD207" i="1" s="1"/>
  <c r="AE207" i="1" s="1"/>
  <c r="AC207" i="1" s="1"/>
  <c r="AB208" i="1"/>
  <c r="AD208" i="1" s="1"/>
  <c r="AE208" i="1" s="1"/>
  <c r="AC208" i="1" s="1"/>
  <c r="AB209" i="1"/>
  <c r="AD209" i="1" s="1"/>
  <c r="AE209" i="1" s="1"/>
  <c r="AC209" i="1" s="1"/>
  <c r="AB210" i="1"/>
  <c r="AD210" i="1" s="1"/>
  <c r="AE210" i="1" s="1"/>
  <c r="AC210" i="1" s="1"/>
  <c r="AB211" i="1"/>
  <c r="AD211" i="1" s="1"/>
  <c r="AE211" i="1" s="1"/>
  <c r="AC211" i="1" s="1"/>
  <c r="AB212" i="1"/>
  <c r="AD212" i="1" s="1"/>
  <c r="AE212" i="1" s="1"/>
  <c r="AC212" i="1" s="1"/>
  <c r="AB213" i="1"/>
  <c r="AD213" i="1" s="1"/>
  <c r="AE213" i="1" s="1"/>
  <c r="AC213" i="1" s="1"/>
  <c r="AB214" i="1"/>
  <c r="AD214" i="1" s="1"/>
  <c r="AE214" i="1" s="1"/>
  <c r="AC214" i="1" s="1"/>
  <c r="AB215" i="1"/>
  <c r="AD215" i="1" s="1"/>
  <c r="AE215" i="1" s="1"/>
  <c r="AC215" i="1" s="1"/>
  <c r="AB216" i="1"/>
  <c r="AD216" i="1" s="1"/>
  <c r="AE216" i="1" s="1"/>
  <c r="AC216" i="1" s="1"/>
  <c r="AB217" i="1"/>
  <c r="AD217" i="1" s="1"/>
  <c r="AE217" i="1" s="1"/>
  <c r="AC217" i="1" s="1"/>
  <c r="AB218" i="1"/>
  <c r="AD218" i="1" s="1"/>
  <c r="AE218" i="1" s="1"/>
  <c r="AC218" i="1" s="1"/>
  <c r="AB219" i="1"/>
  <c r="AD219" i="1" s="1"/>
  <c r="AE219" i="1" s="1"/>
  <c r="AC219" i="1" s="1"/>
  <c r="AB220" i="1"/>
  <c r="AD220" i="1" s="1"/>
  <c r="AE220" i="1" s="1"/>
  <c r="AC220" i="1" s="1"/>
  <c r="AB221" i="1"/>
  <c r="AD221" i="1" s="1"/>
  <c r="AE221" i="1" s="1"/>
  <c r="AC221" i="1" s="1"/>
  <c r="AB222" i="1"/>
  <c r="AD222" i="1" s="1"/>
  <c r="AE222" i="1" s="1"/>
  <c r="AC222" i="1" s="1"/>
  <c r="AB223" i="1"/>
  <c r="AD223" i="1" s="1"/>
  <c r="AE223" i="1" s="1"/>
  <c r="AC223" i="1" s="1"/>
  <c r="AB224" i="1"/>
  <c r="AD224" i="1" s="1"/>
  <c r="AE224" i="1" s="1"/>
  <c r="AC224" i="1" s="1"/>
  <c r="AB225" i="1"/>
  <c r="AD225" i="1" s="1"/>
  <c r="AE225" i="1" s="1"/>
  <c r="AC225" i="1" s="1"/>
  <c r="AB226" i="1"/>
  <c r="AD226" i="1" s="1"/>
  <c r="AE226" i="1" s="1"/>
  <c r="AC226" i="1" s="1"/>
  <c r="AB227" i="1"/>
  <c r="AD227" i="1" s="1"/>
  <c r="AE227" i="1" s="1"/>
  <c r="AC227" i="1" s="1"/>
  <c r="AB228" i="1"/>
  <c r="AD228" i="1" s="1"/>
  <c r="AE228" i="1" s="1"/>
  <c r="AC228" i="1" s="1"/>
  <c r="AB229" i="1"/>
  <c r="AD229" i="1" s="1"/>
  <c r="AE229" i="1" s="1"/>
  <c r="AC229" i="1" s="1"/>
  <c r="AB230" i="1"/>
  <c r="AD230" i="1" s="1"/>
  <c r="AE230" i="1" s="1"/>
  <c r="AC230" i="1" s="1"/>
  <c r="AB231" i="1"/>
  <c r="AD231" i="1" s="1"/>
  <c r="AE231" i="1" s="1"/>
  <c r="AC231" i="1" s="1"/>
  <c r="AB232" i="1"/>
  <c r="AD232" i="1" s="1"/>
  <c r="AE232" i="1" s="1"/>
  <c r="AC232" i="1" s="1"/>
  <c r="AB233" i="1"/>
  <c r="AD233" i="1" s="1"/>
  <c r="AE233" i="1" s="1"/>
  <c r="AC233" i="1" s="1"/>
  <c r="AB234" i="1"/>
  <c r="AD234" i="1" s="1"/>
  <c r="AE234" i="1" s="1"/>
  <c r="AC234" i="1" s="1"/>
  <c r="AB235" i="1"/>
  <c r="AD235" i="1" s="1"/>
  <c r="AE235" i="1" s="1"/>
  <c r="AC235" i="1" s="1"/>
  <c r="AB236" i="1"/>
  <c r="AD236" i="1" s="1"/>
  <c r="AE236" i="1" s="1"/>
  <c r="AC236" i="1" s="1"/>
  <c r="AB237" i="1"/>
  <c r="AD237" i="1" s="1"/>
  <c r="AE237" i="1" s="1"/>
  <c r="AC237" i="1" s="1"/>
  <c r="AB238" i="1"/>
  <c r="AD238" i="1" s="1"/>
  <c r="AE238" i="1" s="1"/>
  <c r="AC238" i="1" s="1"/>
  <c r="AB239" i="1"/>
  <c r="AD239" i="1" s="1"/>
  <c r="AE239" i="1" s="1"/>
  <c r="AC239" i="1" s="1"/>
  <c r="AB240" i="1"/>
  <c r="AD240" i="1" s="1"/>
  <c r="AE240" i="1" s="1"/>
  <c r="AC240" i="1" s="1"/>
  <c r="AB241" i="1"/>
  <c r="AD241" i="1" s="1"/>
  <c r="AE241" i="1" s="1"/>
  <c r="AC241" i="1" s="1"/>
  <c r="AB242" i="1"/>
  <c r="AD242" i="1" s="1"/>
  <c r="AE242" i="1" s="1"/>
  <c r="AC242" i="1" s="1"/>
  <c r="AB243" i="1"/>
  <c r="AD243" i="1" s="1"/>
  <c r="AE243" i="1" s="1"/>
  <c r="AC243" i="1" s="1"/>
  <c r="AB244" i="1"/>
  <c r="AD244" i="1" s="1"/>
  <c r="AE244" i="1" s="1"/>
  <c r="AC244" i="1" s="1"/>
  <c r="AB245" i="1"/>
  <c r="AD245" i="1" s="1"/>
  <c r="AE245" i="1" s="1"/>
  <c r="AC245" i="1" s="1"/>
  <c r="AB246" i="1"/>
  <c r="AD246" i="1" s="1"/>
  <c r="AE246" i="1" s="1"/>
  <c r="AC246" i="1" s="1"/>
  <c r="AB247" i="1"/>
  <c r="AD247" i="1" s="1"/>
  <c r="AE247" i="1" s="1"/>
  <c r="AC247" i="1" s="1"/>
  <c r="AB248" i="1"/>
  <c r="AD248" i="1" s="1"/>
  <c r="AE248" i="1" s="1"/>
  <c r="AC248" i="1" s="1"/>
  <c r="AB249" i="1"/>
  <c r="AD249" i="1" s="1"/>
  <c r="AE249" i="1" s="1"/>
  <c r="AC249" i="1" s="1"/>
  <c r="AB250" i="1"/>
  <c r="AD250" i="1" s="1"/>
  <c r="AE250" i="1" s="1"/>
  <c r="AC250" i="1" s="1"/>
  <c r="AB251" i="1"/>
  <c r="AD251" i="1" s="1"/>
  <c r="AE251" i="1" s="1"/>
  <c r="AC251" i="1" s="1"/>
  <c r="AB252" i="1"/>
  <c r="AD252" i="1" s="1"/>
  <c r="AE252" i="1" s="1"/>
  <c r="AC252" i="1" s="1"/>
  <c r="AB253" i="1"/>
  <c r="AD253" i="1" s="1"/>
  <c r="AE253" i="1" s="1"/>
  <c r="AB254" i="1"/>
  <c r="AD254" i="1" s="1"/>
  <c r="AE254" i="1" s="1"/>
  <c r="AC254" i="1" s="1"/>
  <c r="AB255" i="1"/>
  <c r="AD255" i="1" s="1"/>
  <c r="AE255" i="1" s="1"/>
  <c r="AC255" i="1" s="1"/>
  <c r="AB256" i="1"/>
  <c r="AD256" i="1" s="1"/>
  <c r="AE256" i="1" s="1"/>
  <c r="AC256" i="1" s="1"/>
  <c r="AB257" i="1"/>
  <c r="AD257" i="1" s="1"/>
  <c r="AE257" i="1" s="1"/>
  <c r="AC257" i="1" s="1"/>
  <c r="AB258" i="1"/>
  <c r="AD258" i="1" s="1"/>
  <c r="AE258" i="1" s="1"/>
  <c r="AC258" i="1" s="1"/>
  <c r="AB259" i="1"/>
  <c r="AD259" i="1" s="1"/>
  <c r="AE259" i="1" s="1"/>
  <c r="AC259" i="1" s="1"/>
  <c r="AB260" i="1"/>
  <c r="AD260" i="1" s="1"/>
  <c r="AE260" i="1" s="1"/>
  <c r="AC260" i="1" s="1"/>
  <c r="AB261" i="1"/>
  <c r="AD261" i="1" s="1"/>
  <c r="AE261" i="1" s="1"/>
  <c r="AC261" i="1" s="1"/>
  <c r="AB262" i="1"/>
  <c r="AD262" i="1" s="1"/>
  <c r="AE262" i="1" s="1"/>
  <c r="AC262" i="1" s="1"/>
  <c r="AB263" i="1"/>
  <c r="AD263" i="1" s="1"/>
  <c r="AE263" i="1" s="1"/>
  <c r="AC263" i="1" s="1"/>
  <c r="AB264" i="1"/>
  <c r="AD264" i="1" s="1"/>
  <c r="AE264" i="1" s="1"/>
  <c r="AC264" i="1" s="1"/>
  <c r="AB265" i="1"/>
  <c r="AD265" i="1" s="1"/>
  <c r="AE265" i="1" s="1"/>
  <c r="AC265" i="1" s="1"/>
  <c r="AB266" i="1"/>
  <c r="AD266" i="1" s="1"/>
  <c r="AE266" i="1" s="1"/>
  <c r="AC266" i="1" s="1"/>
  <c r="AB267" i="1"/>
  <c r="AD267" i="1" s="1"/>
  <c r="AE267" i="1" s="1"/>
  <c r="AC267" i="1" s="1"/>
  <c r="AB268" i="1"/>
  <c r="AD268" i="1" s="1"/>
  <c r="AE268" i="1" s="1"/>
  <c r="AC268" i="1" s="1"/>
  <c r="AB269" i="1"/>
  <c r="AD269" i="1" s="1"/>
  <c r="AE269" i="1" s="1"/>
  <c r="AC269" i="1" s="1"/>
  <c r="AB270" i="1"/>
  <c r="AD270" i="1" s="1"/>
  <c r="AE270" i="1" s="1"/>
  <c r="AC270" i="1" s="1"/>
  <c r="AB271" i="1"/>
  <c r="AD271" i="1" s="1"/>
  <c r="AE271" i="1" s="1"/>
  <c r="AC271" i="1" s="1"/>
  <c r="AB272" i="1"/>
  <c r="AD272" i="1" s="1"/>
  <c r="AE272" i="1" s="1"/>
  <c r="AC272" i="1" s="1"/>
  <c r="AB273" i="1"/>
  <c r="AD273" i="1" s="1"/>
  <c r="AE273" i="1" s="1"/>
  <c r="AC273" i="1" s="1"/>
  <c r="AB274" i="1"/>
  <c r="AD274" i="1" s="1"/>
  <c r="AE274" i="1" s="1"/>
  <c r="AC274" i="1" s="1"/>
  <c r="AB275" i="1"/>
  <c r="AD275" i="1" s="1"/>
  <c r="AE275" i="1" s="1"/>
  <c r="AC275" i="1" s="1"/>
  <c r="AB276" i="1"/>
  <c r="AD276" i="1" s="1"/>
  <c r="AE276" i="1" s="1"/>
  <c r="AC276" i="1" s="1"/>
  <c r="AB277" i="1"/>
  <c r="AD277" i="1" s="1"/>
  <c r="AE277" i="1" s="1"/>
  <c r="AC277" i="1" s="1"/>
  <c r="AB278" i="1"/>
  <c r="AD278" i="1" s="1"/>
  <c r="AE278" i="1" s="1"/>
  <c r="AC278" i="1" s="1"/>
  <c r="AB279" i="1"/>
  <c r="AD279" i="1" s="1"/>
  <c r="AE279" i="1" s="1"/>
  <c r="AC279" i="1" s="1"/>
  <c r="AB280" i="1"/>
  <c r="AD280" i="1" s="1"/>
  <c r="AE280" i="1" s="1"/>
  <c r="AC280" i="1" s="1"/>
  <c r="AB281" i="1"/>
  <c r="AD281" i="1" s="1"/>
  <c r="AE281" i="1" s="1"/>
  <c r="AC281" i="1" s="1"/>
  <c r="AB282" i="1"/>
  <c r="AD282" i="1" s="1"/>
  <c r="AE282" i="1" s="1"/>
  <c r="AC282" i="1" s="1"/>
  <c r="AB283" i="1"/>
  <c r="AD283" i="1" s="1"/>
  <c r="AE283" i="1" s="1"/>
  <c r="AC283" i="1" s="1"/>
  <c r="AB284" i="1"/>
  <c r="AD284" i="1" s="1"/>
  <c r="AE284" i="1" s="1"/>
  <c r="AC284" i="1" s="1"/>
  <c r="AB285" i="1"/>
  <c r="AD285" i="1" s="1"/>
  <c r="AE285" i="1" s="1"/>
  <c r="AC285" i="1" s="1"/>
  <c r="AB286" i="1"/>
  <c r="AD286" i="1" s="1"/>
  <c r="AE286" i="1" s="1"/>
  <c r="AC286" i="1" s="1"/>
  <c r="AB287" i="1"/>
  <c r="AD287" i="1" s="1"/>
  <c r="AE287" i="1" s="1"/>
  <c r="AC287" i="1" s="1"/>
  <c r="AB288" i="1"/>
  <c r="AD288" i="1" s="1"/>
  <c r="AE288" i="1" s="1"/>
  <c r="AC288" i="1" s="1"/>
  <c r="AB289" i="1"/>
  <c r="AD289" i="1" s="1"/>
  <c r="AE289" i="1" s="1"/>
  <c r="AC289" i="1" s="1"/>
  <c r="AB290" i="1"/>
  <c r="AD290" i="1" s="1"/>
  <c r="AE290" i="1" s="1"/>
  <c r="AC290" i="1" s="1"/>
  <c r="AB291" i="1"/>
  <c r="AD291" i="1" s="1"/>
  <c r="AE291" i="1" s="1"/>
  <c r="AC291" i="1" s="1"/>
  <c r="AB292" i="1"/>
  <c r="AD292" i="1" s="1"/>
  <c r="AE292" i="1" s="1"/>
  <c r="AC292" i="1" s="1"/>
  <c r="AB293" i="1"/>
  <c r="AD293" i="1" s="1"/>
  <c r="AE293" i="1" s="1"/>
  <c r="AC293" i="1" s="1"/>
  <c r="AB294" i="1"/>
  <c r="AD294" i="1" s="1"/>
  <c r="AE294" i="1" s="1"/>
  <c r="AC294" i="1" s="1"/>
  <c r="AB295" i="1"/>
  <c r="AD295" i="1" s="1"/>
  <c r="AE295" i="1" s="1"/>
  <c r="AC295" i="1" s="1"/>
  <c r="AB296" i="1"/>
  <c r="AD296" i="1" s="1"/>
  <c r="AE296" i="1" s="1"/>
  <c r="AC296" i="1" s="1"/>
  <c r="AB297" i="1"/>
  <c r="AD297" i="1" s="1"/>
  <c r="AE297" i="1" s="1"/>
  <c r="AC297" i="1" s="1"/>
  <c r="AB298" i="1"/>
  <c r="AD298" i="1" s="1"/>
  <c r="AE298" i="1" s="1"/>
  <c r="AC298" i="1" s="1"/>
  <c r="AB299" i="1"/>
  <c r="AD299" i="1" s="1"/>
  <c r="AE299" i="1" s="1"/>
  <c r="AC299" i="1" s="1"/>
  <c r="AB300" i="1"/>
  <c r="AD300" i="1" s="1"/>
  <c r="AE300" i="1" s="1"/>
  <c r="AC300" i="1" s="1"/>
  <c r="AB301" i="1"/>
  <c r="AD301" i="1" s="1"/>
  <c r="AE301" i="1" s="1"/>
  <c r="AC301" i="1" s="1"/>
  <c r="AB302" i="1"/>
  <c r="AD302" i="1" s="1"/>
  <c r="AE302" i="1" s="1"/>
  <c r="AC302" i="1" s="1"/>
  <c r="AB303" i="1"/>
  <c r="AD303" i="1" s="1"/>
  <c r="AE303" i="1" s="1"/>
  <c r="AC303" i="1" s="1"/>
  <c r="AB304" i="1"/>
  <c r="AD304" i="1" s="1"/>
  <c r="AE304" i="1" s="1"/>
  <c r="AC304" i="1" s="1"/>
  <c r="AB305" i="1"/>
  <c r="AD305" i="1" s="1"/>
  <c r="AE305" i="1" s="1"/>
  <c r="AC305" i="1" s="1"/>
  <c r="AB306" i="1"/>
  <c r="AD306" i="1" s="1"/>
  <c r="AE306" i="1" s="1"/>
  <c r="AC306" i="1" s="1"/>
  <c r="AB307" i="1"/>
  <c r="AD307" i="1" s="1"/>
  <c r="AE307" i="1" s="1"/>
  <c r="AC307" i="1" s="1"/>
  <c r="AB308" i="1"/>
  <c r="AD308" i="1" s="1"/>
  <c r="AE308" i="1" s="1"/>
  <c r="AC308" i="1" s="1"/>
  <c r="AB309" i="1"/>
  <c r="AD309" i="1" s="1"/>
  <c r="AE309" i="1" s="1"/>
  <c r="AC309" i="1" s="1"/>
  <c r="AB310" i="1"/>
  <c r="AD310" i="1" s="1"/>
  <c r="AE310" i="1" s="1"/>
  <c r="AC310" i="1" s="1"/>
  <c r="AB311" i="1"/>
  <c r="AD311" i="1" s="1"/>
  <c r="AE311" i="1" s="1"/>
  <c r="AC311" i="1" s="1"/>
  <c r="AB312" i="1"/>
  <c r="AD312" i="1" s="1"/>
  <c r="AE312" i="1" s="1"/>
  <c r="AC312" i="1" s="1"/>
  <c r="AB313" i="1"/>
  <c r="AD313" i="1" s="1"/>
  <c r="AE313" i="1" s="1"/>
  <c r="AC313" i="1" s="1"/>
  <c r="AB314" i="1"/>
  <c r="AD314" i="1" s="1"/>
  <c r="AE314" i="1" s="1"/>
  <c r="AC314" i="1" s="1"/>
  <c r="AB315" i="1"/>
  <c r="AD315" i="1" s="1"/>
  <c r="AE315" i="1" s="1"/>
  <c r="AC315" i="1" s="1"/>
  <c r="AB316" i="1"/>
  <c r="AD316" i="1" s="1"/>
  <c r="AE316" i="1" s="1"/>
  <c r="AC316" i="1" s="1"/>
  <c r="AB317" i="1"/>
  <c r="AD317" i="1" s="1"/>
  <c r="AE317" i="1" s="1"/>
  <c r="AC317" i="1" s="1"/>
  <c r="AB318" i="1"/>
  <c r="AD318" i="1" s="1"/>
  <c r="AE318" i="1" s="1"/>
  <c r="AC318" i="1" s="1"/>
  <c r="AB319" i="1"/>
  <c r="AD319" i="1" s="1"/>
  <c r="AE319" i="1" s="1"/>
  <c r="AC319" i="1" s="1"/>
  <c r="AB320" i="1"/>
  <c r="AD320" i="1" s="1"/>
  <c r="AE320" i="1" s="1"/>
  <c r="AC320" i="1" s="1"/>
  <c r="AB321" i="1"/>
  <c r="AD321" i="1" s="1"/>
  <c r="AE321" i="1" s="1"/>
  <c r="AC321" i="1" s="1"/>
  <c r="AB322" i="1"/>
  <c r="AD322" i="1" s="1"/>
  <c r="AE322" i="1" s="1"/>
  <c r="AC322" i="1" s="1"/>
  <c r="AB323" i="1"/>
  <c r="AD323" i="1" s="1"/>
  <c r="AE323" i="1" s="1"/>
  <c r="AC323" i="1" s="1"/>
  <c r="AB324" i="1"/>
  <c r="AD324" i="1" s="1"/>
  <c r="AE324" i="1" s="1"/>
  <c r="AC324" i="1" s="1"/>
  <c r="AB325" i="1"/>
  <c r="AD325" i="1" s="1"/>
  <c r="AE325" i="1" s="1"/>
  <c r="AC325" i="1" s="1"/>
  <c r="AB326" i="1"/>
  <c r="AD326" i="1" s="1"/>
  <c r="AE326" i="1" s="1"/>
  <c r="AC326" i="1" s="1"/>
  <c r="AB327" i="1"/>
  <c r="AD327" i="1" s="1"/>
  <c r="AE327" i="1" s="1"/>
  <c r="AC327" i="1" s="1"/>
  <c r="AB328" i="1"/>
  <c r="AD328" i="1" s="1"/>
  <c r="AE328" i="1" s="1"/>
  <c r="AC328" i="1" s="1"/>
  <c r="AB329" i="1"/>
  <c r="AD329" i="1" s="1"/>
  <c r="AE329" i="1" s="1"/>
  <c r="AC329" i="1" s="1"/>
  <c r="AB330" i="1"/>
  <c r="AD330" i="1" s="1"/>
  <c r="AE330" i="1" s="1"/>
  <c r="AC330" i="1" s="1"/>
  <c r="AB331" i="1"/>
  <c r="AD331" i="1" s="1"/>
  <c r="AE331" i="1" s="1"/>
  <c r="AC331" i="1" s="1"/>
  <c r="AB332" i="1"/>
  <c r="AD332" i="1" s="1"/>
  <c r="AE332" i="1" s="1"/>
  <c r="AC332" i="1" s="1"/>
  <c r="AB333" i="1"/>
  <c r="AD333" i="1" s="1"/>
  <c r="AE333" i="1" s="1"/>
  <c r="AC333" i="1" s="1"/>
  <c r="AB334" i="1"/>
  <c r="AD334" i="1" s="1"/>
  <c r="AE334" i="1" s="1"/>
  <c r="AC334" i="1" s="1"/>
  <c r="AB335" i="1"/>
  <c r="AD335" i="1" s="1"/>
  <c r="AE335" i="1" s="1"/>
  <c r="AC335" i="1" s="1"/>
  <c r="AB336" i="1"/>
  <c r="AD336" i="1" s="1"/>
  <c r="AE336" i="1" s="1"/>
  <c r="AC336" i="1" s="1"/>
  <c r="AB337" i="1"/>
  <c r="AD337" i="1" s="1"/>
  <c r="AE337" i="1" s="1"/>
  <c r="AC337" i="1" s="1"/>
  <c r="AB338" i="1"/>
  <c r="AD338" i="1" s="1"/>
  <c r="AE338" i="1" s="1"/>
  <c r="AC338" i="1" s="1"/>
  <c r="AB339" i="1"/>
  <c r="AD339" i="1" s="1"/>
  <c r="AE339" i="1" s="1"/>
  <c r="AC339" i="1" s="1"/>
  <c r="AB340" i="1"/>
  <c r="AD340" i="1" s="1"/>
  <c r="AE340" i="1" s="1"/>
  <c r="AC340" i="1" s="1"/>
  <c r="AB341" i="1"/>
  <c r="AD341" i="1" s="1"/>
  <c r="AE341" i="1" s="1"/>
  <c r="AC341" i="1" s="1"/>
  <c r="AB342" i="1"/>
  <c r="AD342" i="1" s="1"/>
  <c r="AE342" i="1" s="1"/>
  <c r="AC342" i="1" s="1"/>
  <c r="AB343" i="1"/>
  <c r="AD343" i="1" s="1"/>
  <c r="AE343" i="1" s="1"/>
  <c r="AC343" i="1" s="1"/>
  <c r="AB344" i="1"/>
  <c r="AD344" i="1" s="1"/>
  <c r="AE344" i="1" s="1"/>
  <c r="AC344" i="1" s="1"/>
  <c r="AB345" i="1"/>
  <c r="AD345" i="1" s="1"/>
  <c r="AE345" i="1" s="1"/>
  <c r="AC345" i="1" s="1"/>
  <c r="AB346" i="1"/>
  <c r="AD346" i="1" s="1"/>
  <c r="AE346" i="1" s="1"/>
  <c r="AC346" i="1" s="1"/>
  <c r="AB347" i="1"/>
  <c r="AD347" i="1" s="1"/>
  <c r="AE347" i="1" s="1"/>
  <c r="AC347" i="1" s="1"/>
  <c r="AB348" i="1"/>
  <c r="AD348" i="1" s="1"/>
  <c r="AE348" i="1" s="1"/>
  <c r="AC348" i="1" s="1"/>
  <c r="AB349" i="1"/>
  <c r="AD349" i="1" s="1"/>
  <c r="AE349" i="1" s="1"/>
  <c r="AC349" i="1" s="1"/>
  <c r="AB350" i="1"/>
  <c r="AD350" i="1" s="1"/>
  <c r="AE350" i="1" s="1"/>
  <c r="AC350" i="1" s="1"/>
  <c r="AB351" i="1"/>
  <c r="AD351" i="1" s="1"/>
  <c r="AE351" i="1" s="1"/>
  <c r="AC351" i="1" s="1"/>
  <c r="AB352" i="1"/>
  <c r="AD352" i="1" s="1"/>
  <c r="AE352" i="1" s="1"/>
  <c r="AC352" i="1" s="1"/>
  <c r="AB353" i="1"/>
  <c r="AD353" i="1" s="1"/>
  <c r="AE353" i="1" s="1"/>
  <c r="AC353" i="1" s="1"/>
  <c r="AB354" i="1"/>
  <c r="AD354" i="1" s="1"/>
  <c r="AE354" i="1" s="1"/>
  <c r="AC354" i="1" s="1"/>
  <c r="AB355" i="1"/>
  <c r="AD355" i="1" s="1"/>
  <c r="AE355" i="1" s="1"/>
  <c r="AC355" i="1" s="1"/>
  <c r="AB356" i="1"/>
  <c r="AD356" i="1" s="1"/>
  <c r="AE356" i="1" s="1"/>
  <c r="AC356" i="1" s="1"/>
  <c r="AB357" i="1"/>
  <c r="AD357" i="1" s="1"/>
  <c r="AE357" i="1" s="1"/>
  <c r="AC357" i="1" s="1"/>
  <c r="AB358" i="1"/>
  <c r="AD358" i="1" s="1"/>
  <c r="AE358" i="1" s="1"/>
  <c r="AC358" i="1" s="1"/>
  <c r="AB359" i="1"/>
  <c r="AD359" i="1" s="1"/>
  <c r="AE359" i="1" s="1"/>
  <c r="AC359" i="1" s="1"/>
  <c r="AB360" i="1"/>
  <c r="AD360" i="1" s="1"/>
  <c r="AE360" i="1" s="1"/>
  <c r="AC360" i="1" s="1"/>
  <c r="AB361" i="1"/>
  <c r="AD361" i="1" s="1"/>
  <c r="AE361" i="1" s="1"/>
  <c r="AC361" i="1" s="1"/>
  <c r="AB362" i="1"/>
  <c r="AD362" i="1" s="1"/>
  <c r="AE362" i="1" s="1"/>
  <c r="AC362" i="1" s="1"/>
  <c r="AB363" i="1"/>
  <c r="AD363" i="1" s="1"/>
  <c r="AE363" i="1" s="1"/>
  <c r="AC363" i="1" s="1"/>
  <c r="AB364" i="1"/>
  <c r="AD364" i="1" s="1"/>
  <c r="AE364" i="1" s="1"/>
  <c r="AC364" i="1" s="1"/>
  <c r="AB365" i="1"/>
  <c r="AD365" i="1" s="1"/>
  <c r="AE365" i="1" s="1"/>
  <c r="AC365" i="1" s="1"/>
  <c r="AB366" i="1"/>
  <c r="AD366" i="1" s="1"/>
  <c r="AE366" i="1" s="1"/>
  <c r="AC366" i="1" s="1"/>
  <c r="AB367" i="1"/>
  <c r="AD367" i="1" s="1"/>
  <c r="AE367" i="1" s="1"/>
  <c r="AC367" i="1" s="1"/>
  <c r="AB368" i="1"/>
  <c r="AD368" i="1" s="1"/>
  <c r="AE368" i="1" s="1"/>
  <c r="AC368" i="1" s="1"/>
  <c r="AB369" i="1"/>
  <c r="AD369" i="1" s="1"/>
  <c r="AE369" i="1" s="1"/>
  <c r="AC369" i="1" s="1"/>
  <c r="AB370" i="1"/>
  <c r="AD370" i="1" s="1"/>
  <c r="AE370" i="1" s="1"/>
  <c r="AC370" i="1" s="1"/>
  <c r="AB371" i="1"/>
  <c r="AD371" i="1" s="1"/>
  <c r="AE371" i="1" s="1"/>
  <c r="AC371" i="1" s="1"/>
  <c r="AB372" i="1"/>
  <c r="AD372" i="1" s="1"/>
  <c r="AE372" i="1" s="1"/>
  <c r="AC372" i="1" s="1"/>
  <c r="AB373" i="1"/>
  <c r="AD373" i="1" s="1"/>
  <c r="AE373" i="1" s="1"/>
  <c r="AC373" i="1" s="1"/>
  <c r="AB374" i="1"/>
  <c r="AD374" i="1" s="1"/>
  <c r="AE374" i="1" s="1"/>
  <c r="AC374" i="1" s="1"/>
  <c r="AB375" i="1"/>
  <c r="AD375" i="1" s="1"/>
  <c r="AE375" i="1" s="1"/>
  <c r="AC375" i="1" s="1"/>
  <c r="AB376" i="1"/>
  <c r="AD376" i="1" s="1"/>
  <c r="AE376" i="1" s="1"/>
  <c r="AC376" i="1" s="1"/>
  <c r="AB377" i="1"/>
  <c r="AD377" i="1" s="1"/>
  <c r="AE377" i="1" s="1"/>
  <c r="AC377" i="1" s="1"/>
  <c r="AB378" i="1"/>
  <c r="AD378" i="1" s="1"/>
  <c r="AE378" i="1" s="1"/>
  <c r="AB379" i="1"/>
  <c r="AD379" i="1" s="1"/>
  <c r="AE379" i="1" s="1"/>
  <c r="AC379" i="1" s="1"/>
  <c r="AB380" i="1"/>
  <c r="AD380" i="1" s="1"/>
  <c r="AE380" i="1" s="1"/>
  <c r="AC380" i="1" s="1"/>
  <c r="AB381" i="1"/>
  <c r="AD381" i="1" s="1"/>
  <c r="AE381" i="1" s="1"/>
  <c r="AC381" i="1" s="1"/>
  <c r="AB382" i="1"/>
  <c r="AD382" i="1" s="1"/>
  <c r="AE382" i="1" s="1"/>
  <c r="AC382" i="1" s="1"/>
  <c r="AB383" i="1"/>
  <c r="AD383" i="1" s="1"/>
  <c r="AE383" i="1" s="1"/>
  <c r="AC383" i="1" s="1"/>
  <c r="AB384" i="1"/>
  <c r="AD384" i="1" s="1"/>
  <c r="AE384" i="1" s="1"/>
  <c r="AC384" i="1" s="1"/>
  <c r="AB385" i="1"/>
  <c r="AD385" i="1" s="1"/>
  <c r="AE385" i="1" s="1"/>
  <c r="AC385" i="1" s="1"/>
  <c r="AB386" i="1"/>
  <c r="AD386" i="1" s="1"/>
  <c r="AE386" i="1" s="1"/>
  <c r="AC386" i="1" s="1"/>
  <c r="AB387" i="1"/>
  <c r="AD387" i="1" s="1"/>
  <c r="AE387" i="1" s="1"/>
  <c r="AC387" i="1" s="1"/>
  <c r="AB388" i="1"/>
  <c r="AD388" i="1" s="1"/>
  <c r="AE388" i="1" s="1"/>
  <c r="AC388" i="1" s="1"/>
  <c r="AB389" i="1"/>
  <c r="AD389" i="1" s="1"/>
  <c r="AE389" i="1" s="1"/>
  <c r="AC389" i="1" s="1"/>
  <c r="AB390" i="1"/>
  <c r="AD390" i="1" s="1"/>
  <c r="AE390" i="1" s="1"/>
  <c r="AC390" i="1" s="1"/>
  <c r="AB391" i="1"/>
  <c r="AD391" i="1" s="1"/>
  <c r="AE391" i="1" s="1"/>
  <c r="AC391" i="1" s="1"/>
  <c r="AB392" i="1"/>
  <c r="AD392" i="1" s="1"/>
  <c r="AE392" i="1" s="1"/>
  <c r="AC392" i="1" s="1"/>
  <c r="AB393" i="1"/>
  <c r="AD393" i="1" s="1"/>
  <c r="AE393" i="1" s="1"/>
  <c r="AC393" i="1" s="1"/>
  <c r="AB394" i="1"/>
  <c r="AD394" i="1" s="1"/>
  <c r="AE394" i="1" s="1"/>
  <c r="AC394" i="1" s="1"/>
  <c r="AB395" i="1"/>
  <c r="AD395" i="1" s="1"/>
  <c r="AE395" i="1" s="1"/>
  <c r="AC395" i="1" s="1"/>
  <c r="AB396" i="1"/>
  <c r="AD396" i="1" s="1"/>
  <c r="AE396" i="1" s="1"/>
  <c r="AC396" i="1" s="1"/>
  <c r="AB397" i="1"/>
  <c r="AD397" i="1" s="1"/>
  <c r="AE397" i="1" s="1"/>
  <c r="AC397" i="1" s="1"/>
  <c r="AB398" i="1"/>
  <c r="AB399" i="1"/>
  <c r="AD399" i="1" s="1"/>
  <c r="AE399" i="1" s="1"/>
  <c r="AC399" i="1" s="1"/>
  <c r="AB400" i="1"/>
  <c r="AD400" i="1" s="1"/>
  <c r="AE400" i="1" s="1"/>
  <c r="AC400" i="1" s="1"/>
  <c r="AB401" i="1"/>
  <c r="AD401" i="1" s="1"/>
  <c r="AE401" i="1" s="1"/>
  <c r="AC401" i="1" s="1"/>
  <c r="AB402" i="1"/>
  <c r="AD402" i="1" s="1"/>
  <c r="AE402" i="1" s="1"/>
  <c r="AC402" i="1" s="1"/>
  <c r="AB403" i="1"/>
  <c r="AD403" i="1" s="1"/>
  <c r="AE403" i="1" s="1"/>
  <c r="AC403" i="1" s="1"/>
  <c r="AB404" i="1"/>
  <c r="AD404" i="1" s="1"/>
  <c r="AE404" i="1" s="1"/>
  <c r="AC404" i="1" s="1"/>
  <c r="AB405" i="1"/>
  <c r="AD405" i="1" s="1"/>
  <c r="AE405" i="1" s="1"/>
  <c r="AC405" i="1" s="1"/>
  <c r="AB406" i="1"/>
  <c r="AD406" i="1" s="1"/>
  <c r="AE406" i="1" s="1"/>
  <c r="AC406" i="1" s="1"/>
  <c r="AB407" i="1"/>
  <c r="AD407" i="1" s="1"/>
  <c r="AE407" i="1" s="1"/>
  <c r="AC407" i="1" s="1"/>
  <c r="AB408" i="1"/>
  <c r="AD408" i="1" s="1"/>
  <c r="AE408" i="1" s="1"/>
  <c r="AC408" i="1" s="1"/>
  <c r="AB409" i="1"/>
  <c r="AD409" i="1" s="1"/>
  <c r="AE409" i="1" s="1"/>
  <c r="AC409" i="1" s="1"/>
  <c r="AB410" i="1"/>
  <c r="AD410" i="1" s="1"/>
  <c r="AE410" i="1" s="1"/>
  <c r="AC410" i="1" s="1"/>
  <c r="AB411" i="1"/>
  <c r="AD411" i="1" s="1"/>
  <c r="AE411" i="1" s="1"/>
  <c r="AC411" i="1" s="1"/>
  <c r="AB412" i="1"/>
  <c r="AD412" i="1" s="1"/>
  <c r="AE412" i="1" s="1"/>
  <c r="AC412" i="1" s="1"/>
  <c r="AB413" i="1"/>
  <c r="AD413" i="1" s="1"/>
  <c r="AE413" i="1" s="1"/>
  <c r="AC413" i="1" s="1"/>
  <c r="AB414" i="1"/>
  <c r="AD414" i="1" s="1"/>
  <c r="AE414" i="1" s="1"/>
  <c r="AC414" i="1" s="1"/>
  <c r="AB415" i="1"/>
  <c r="AD415" i="1" s="1"/>
  <c r="AE415" i="1" s="1"/>
  <c r="AC415" i="1" s="1"/>
  <c r="AB416" i="1"/>
  <c r="AD416" i="1" s="1"/>
  <c r="AE416" i="1" s="1"/>
  <c r="AC416" i="1" s="1"/>
  <c r="AB417" i="1"/>
  <c r="AD417" i="1" s="1"/>
  <c r="AE417" i="1" s="1"/>
  <c r="AC417" i="1" s="1"/>
  <c r="AB418" i="1"/>
  <c r="AD418" i="1" s="1"/>
  <c r="AE418" i="1" s="1"/>
  <c r="AC418" i="1" s="1"/>
  <c r="AB419" i="1"/>
  <c r="AD419" i="1" s="1"/>
  <c r="AE419" i="1" s="1"/>
  <c r="AC419" i="1" s="1"/>
  <c r="AB420" i="1"/>
  <c r="AD420" i="1" s="1"/>
  <c r="AE420" i="1" s="1"/>
  <c r="AC420" i="1" s="1"/>
  <c r="AB421" i="1"/>
  <c r="AD421" i="1" s="1"/>
  <c r="AE421" i="1" s="1"/>
  <c r="AC421" i="1" s="1"/>
  <c r="AB422" i="1"/>
  <c r="AD422" i="1" s="1"/>
  <c r="AE422" i="1" s="1"/>
  <c r="AC422" i="1" s="1"/>
  <c r="AB423" i="1"/>
  <c r="AD423" i="1" s="1"/>
  <c r="AE423" i="1" s="1"/>
  <c r="AC423" i="1" s="1"/>
  <c r="AB424" i="1"/>
  <c r="AD424" i="1" s="1"/>
  <c r="AE424" i="1" s="1"/>
  <c r="AC424" i="1" s="1"/>
  <c r="AB425" i="1"/>
  <c r="AD425" i="1" s="1"/>
  <c r="AE425" i="1" s="1"/>
  <c r="AC425" i="1" s="1"/>
  <c r="AB426" i="1"/>
  <c r="AD426" i="1" s="1"/>
  <c r="AE426" i="1" s="1"/>
  <c r="AC426" i="1" s="1"/>
  <c r="AB427" i="1"/>
  <c r="AD427" i="1" s="1"/>
  <c r="AE427" i="1" s="1"/>
  <c r="AC427" i="1" s="1"/>
  <c r="AB428" i="1"/>
  <c r="AD428" i="1" s="1"/>
  <c r="AE428" i="1" s="1"/>
  <c r="AC428" i="1" s="1"/>
  <c r="AB429" i="1"/>
  <c r="AD429" i="1" s="1"/>
  <c r="AE429" i="1" s="1"/>
  <c r="AC429" i="1" s="1"/>
  <c r="AB430" i="1"/>
  <c r="AD430" i="1" s="1"/>
  <c r="AE430" i="1" s="1"/>
  <c r="AC430" i="1" s="1"/>
  <c r="AB431" i="1"/>
  <c r="AD431" i="1" s="1"/>
  <c r="AE431" i="1" s="1"/>
  <c r="AC431" i="1" s="1"/>
  <c r="AB432" i="1"/>
  <c r="AD432" i="1" s="1"/>
  <c r="AE432" i="1" s="1"/>
  <c r="AC432" i="1" s="1"/>
  <c r="AB433" i="1"/>
  <c r="AD433" i="1" s="1"/>
  <c r="AE433" i="1" s="1"/>
  <c r="AC433" i="1" s="1"/>
  <c r="AB434" i="1"/>
  <c r="AD434" i="1" s="1"/>
  <c r="AE434" i="1" s="1"/>
  <c r="AC434" i="1" s="1"/>
  <c r="AB435" i="1"/>
  <c r="AD435" i="1" s="1"/>
  <c r="AE435" i="1" s="1"/>
  <c r="AC435" i="1" s="1"/>
  <c r="AB436" i="1"/>
  <c r="AD436" i="1" s="1"/>
  <c r="AE436" i="1" s="1"/>
  <c r="AC436" i="1" s="1"/>
  <c r="AB437" i="1"/>
  <c r="AD437" i="1" s="1"/>
  <c r="AE437" i="1" s="1"/>
  <c r="AC437" i="1" s="1"/>
  <c r="AB438" i="1"/>
  <c r="AD438" i="1" s="1"/>
  <c r="AE438" i="1" s="1"/>
  <c r="AC438" i="1" s="1"/>
  <c r="AB439" i="1"/>
  <c r="AD439" i="1" s="1"/>
  <c r="AE439" i="1" s="1"/>
  <c r="AC439" i="1" s="1"/>
  <c r="AB440" i="1"/>
  <c r="AD440" i="1" s="1"/>
  <c r="AE440" i="1" s="1"/>
  <c r="AC440" i="1" s="1"/>
  <c r="AB441" i="1"/>
  <c r="AD441" i="1" s="1"/>
  <c r="AE441" i="1" s="1"/>
  <c r="AC441" i="1" s="1"/>
  <c r="AB442" i="1"/>
  <c r="AD442" i="1" s="1"/>
  <c r="AE442" i="1" s="1"/>
  <c r="AC442" i="1" s="1"/>
  <c r="AB443" i="1"/>
  <c r="AD443" i="1" s="1"/>
  <c r="AE443" i="1" s="1"/>
  <c r="AC443" i="1" s="1"/>
  <c r="AB444" i="1"/>
  <c r="AD444" i="1" s="1"/>
  <c r="AE444" i="1" s="1"/>
  <c r="AC444" i="1" s="1"/>
  <c r="AB445" i="1"/>
  <c r="AD445" i="1" s="1"/>
  <c r="AE445" i="1" s="1"/>
  <c r="AC445" i="1" s="1"/>
  <c r="AB446" i="1"/>
  <c r="AD446" i="1" s="1"/>
  <c r="AE446" i="1" s="1"/>
  <c r="AC446" i="1" s="1"/>
  <c r="AB447" i="1"/>
  <c r="AD447" i="1" s="1"/>
  <c r="AE447" i="1" s="1"/>
  <c r="AC447" i="1" s="1"/>
  <c r="AB448" i="1"/>
  <c r="AD448" i="1" s="1"/>
  <c r="AE448" i="1" s="1"/>
  <c r="AC448" i="1" s="1"/>
  <c r="AB449" i="1"/>
  <c r="AD449" i="1" s="1"/>
  <c r="AE449" i="1" s="1"/>
  <c r="AC449" i="1" s="1"/>
  <c r="AB450" i="1"/>
  <c r="AD450" i="1" s="1"/>
  <c r="AE450" i="1" s="1"/>
  <c r="AC450" i="1" s="1"/>
  <c r="AB451" i="1"/>
  <c r="AD451" i="1" s="1"/>
  <c r="AE451" i="1" s="1"/>
  <c r="AC451" i="1" s="1"/>
  <c r="AB452" i="1"/>
  <c r="AD452" i="1" s="1"/>
  <c r="AE452" i="1" s="1"/>
  <c r="AC452" i="1" s="1"/>
  <c r="AB453" i="1"/>
  <c r="AD453" i="1" s="1"/>
  <c r="AE453" i="1" s="1"/>
  <c r="AC453" i="1" s="1"/>
  <c r="AB454" i="1"/>
  <c r="AD454" i="1" s="1"/>
  <c r="AE454" i="1" s="1"/>
  <c r="AC454" i="1" s="1"/>
  <c r="AB455" i="1"/>
  <c r="AD455" i="1" s="1"/>
  <c r="AE455" i="1" s="1"/>
  <c r="AC455" i="1" s="1"/>
  <c r="AB456" i="1"/>
  <c r="AD456" i="1" s="1"/>
  <c r="AE456" i="1" s="1"/>
  <c r="AC456" i="1" s="1"/>
  <c r="AB457" i="1"/>
  <c r="AD457" i="1" s="1"/>
  <c r="AE457" i="1" s="1"/>
  <c r="AC457" i="1" s="1"/>
  <c r="AB458" i="1"/>
  <c r="AD458" i="1" s="1"/>
  <c r="AE458" i="1" s="1"/>
  <c r="AC458" i="1" s="1"/>
  <c r="AB459" i="1"/>
  <c r="AD459" i="1" s="1"/>
  <c r="AE459" i="1" s="1"/>
  <c r="AC459" i="1" s="1"/>
  <c r="AB460" i="1"/>
  <c r="AD460" i="1" s="1"/>
  <c r="AE460" i="1" s="1"/>
  <c r="AC460" i="1" s="1"/>
  <c r="AB461" i="1"/>
  <c r="AD461" i="1" s="1"/>
  <c r="AE461" i="1" s="1"/>
  <c r="AC461" i="1" s="1"/>
  <c r="AB462" i="1"/>
  <c r="AD462" i="1" s="1"/>
  <c r="AE462" i="1" s="1"/>
  <c r="AC462" i="1" s="1"/>
  <c r="AB463" i="1"/>
  <c r="AD463" i="1" s="1"/>
  <c r="AE463" i="1" s="1"/>
  <c r="AC463" i="1" s="1"/>
  <c r="AB464" i="1"/>
  <c r="AD464" i="1" s="1"/>
  <c r="AE464" i="1" s="1"/>
  <c r="AC464" i="1" s="1"/>
  <c r="AB465" i="1"/>
  <c r="AD465" i="1" s="1"/>
  <c r="AE465" i="1" s="1"/>
  <c r="AC465" i="1" s="1"/>
  <c r="AB466" i="1"/>
  <c r="AD466" i="1" s="1"/>
  <c r="AE466" i="1" s="1"/>
  <c r="AC466" i="1" s="1"/>
  <c r="AB467" i="1"/>
  <c r="AD467" i="1" s="1"/>
  <c r="AE467" i="1" s="1"/>
  <c r="AC467" i="1" s="1"/>
  <c r="AB468" i="1"/>
  <c r="AD468" i="1" s="1"/>
  <c r="AE468" i="1" s="1"/>
  <c r="AC468" i="1" s="1"/>
  <c r="AB469" i="1"/>
  <c r="AD469" i="1" s="1"/>
  <c r="AE469" i="1" s="1"/>
  <c r="AC469" i="1" s="1"/>
  <c r="AB470" i="1"/>
  <c r="AD470" i="1" s="1"/>
  <c r="AE470" i="1" s="1"/>
  <c r="AC470" i="1" s="1"/>
  <c r="AB471" i="1"/>
  <c r="AD471" i="1" s="1"/>
  <c r="AE471" i="1" s="1"/>
  <c r="AC471" i="1" s="1"/>
  <c r="AB472" i="1"/>
  <c r="AD472" i="1" s="1"/>
  <c r="AE472" i="1" s="1"/>
  <c r="AC472" i="1" s="1"/>
  <c r="AB473" i="1"/>
  <c r="AD473" i="1" s="1"/>
  <c r="AE473" i="1" s="1"/>
  <c r="AC473" i="1" s="1"/>
  <c r="AB474" i="1"/>
  <c r="AD474" i="1" s="1"/>
  <c r="AE474" i="1" s="1"/>
  <c r="AC474" i="1" s="1"/>
  <c r="AB475" i="1"/>
  <c r="AD475" i="1" s="1"/>
  <c r="AE475" i="1" s="1"/>
  <c r="AC475" i="1" s="1"/>
  <c r="AB476" i="1"/>
  <c r="AD476" i="1" s="1"/>
  <c r="AE476" i="1" s="1"/>
  <c r="AC476" i="1" s="1"/>
  <c r="AB477" i="1"/>
  <c r="AD477" i="1" s="1"/>
  <c r="AE477" i="1" s="1"/>
  <c r="AC477" i="1" s="1"/>
  <c r="AB478" i="1"/>
  <c r="AD478" i="1" s="1"/>
  <c r="AE478" i="1" s="1"/>
  <c r="AC478" i="1" s="1"/>
  <c r="AB479" i="1"/>
  <c r="AD479" i="1" s="1"/>
  <c r="AE479" i="1" s="1"/>
  <c r="AC479" i="1" s="1"/>
  <c r="AB480" i="1"/>
  <c r="AD480" i="1" s="1"/>
  <c r="AE480" i="1" s="1"/>
  <c r="AC480" i="1" s="1"/>
  <c r="AB481" i="1"/>
  <c r="AD481" i="1" s="1"/>
  <c r="AE481" i="1" s="1"/>
  <c r="AC481" i="1" s="1"/>
  <c r="AB482" i="1"/>
  <c r="AD482" i="1" s="1"/>
  <c r="AE482" i="1" s="1"/>
  <c r="AC482" i="1" s="1"/>
  <c r="AB483" i="1"/>
  <c r="AD483" i="1" s="1"/>
  <c r="AE483" i="1" s="1"/>
  <c r="AC483" i="1" s="1"/>
  <c r="AB484" i="1"/>
  <c r="AD484" i="1" s="1"/>
  <c r="AE484" i="1" s="1"/>
  <c r="AC484" i="1" s="1"/>
  <c r="AB485" i="1"/>
  <c r="AD485" i="1" s="1"/>
  <c r="AE485" i="1" s="1"/>
  <c r="AC485" i="1" s="1"/>
  <c r="AB486" i="1"/>
  <c r="AD486" i="1" s="1"/>
  <c r="AE486" i="1" s="1"/>
  <c r="AC486" i="1" s="1"/>
  <c r="AB487" i="1"/>
  <c r="AD487" i="1" s="1"/>
  <c r="AE487" i="1" s="1"/>
  <c r="AC487" i="1" s="1"/>
  <c r="AB488" i="1"/>
  <c r="AD488" i="1" s="1"/>
  <c r="AE488" i="1" s="1"/>
  <c r="AC488" i="1" s="1"/>
  <c r="AB489" i="1"/>
  <c r="AD489" i="1" s="1"/>
  <c r="AE489" i="1" s="1"/>
  <c r="AC489" i="1" s="1"/>
  <c r="AB490" i="1"/>
  <c r="AD490" i="1" s="1"/>
  <c r="AE490" i="1" s="1"/>
  <c r="AC490" i="1" s="1"/>
  <c r="AB491" i="1"/>
  <c r="AD491" i="1" s="1"/>
  <c r="AE491" i="1" s="1"/>
  <c r="AC491" i="1" s="1"/>
  <c r="AB492" i="1"/>
  <c r="AD492" i="1" s="1"/>
  <c r="AE492" i="1" s="1"/>
  <c r="AC492" i="1" s="1"/>
  <c r="AB493" i="1"/>
  <c r="AD493" i="1" s="1"/>
  <c r="AE493" i="1" s="1"/>
  <c r="AC493" i="1" s="1"/>
  <c r="AB494" i="1"/>
  <c r="AD494" i="1" s="1"/>
  <c r="AE494" i="1" s="1"/>
  <c r="AC494" i="1" s="1"/>
  <c r="AB495" i="1"/>
  <c r="AD495" i="1" s="1"/>
  <c r="AE495" i="1" s="1"/>
  <c r="AC495" i="1" s="1"/>
  <c r="AB496" i="1"/>
  <c r="AD496" i="1" s="1"/>
  <c r="AE496" i="1" s="1"/>
  <c r="AC496" i="1" s="1"/>
  <c r="AB497" i="1"/>
  <c r="AD497" i="1" s="1"/>
  <c r="AE497" i="1" s="1"/>
  <c r="AC497" i="1" s="1"/>
  <c r="AB498" i="1"/>
  <c r="AD498" i="1" s="1"/>
  <c r="AE498" i="1" s="1"/>
  <c r="AC498" i="1" s="1"/>
  <c r="AB499" i="1"/>
  <c r="AD499" i="1" s="1"/>
  <c r="AE499" i="1" s="1"/>
  <c r="AC499" i="1" s="1"/>
  <c r="AB500" i="1"/>
  <c r="AD500" i="1" s="1"/>
  <c r="AE500" i="1" s="1"/>
  <c r="AC500" i="1" s="1"/>
  <c r="AB501" i="1"/>
  <c r="AD501" i="1" s="1"/>
  <c r="AE501" i="1" s="1"/>
  <c r="AC501" i="1" s="1"/>
  <c r="AB502" i="1"/>
  <c r="AD502" i="1" s="1"/>
  <c r="AE502" i="1" s="1"/>
  <c r="AC502" i="1" s="1"/>
  <c r="AB503" i="1"/>
  <c r="AD503" i="1" s="1"/>
  <c r="AE503" i="1" s="1"/>
  <c r="AC503" i="1" s="1"/>
  <c r="AB504" i="1"/>
  <c r="AD504" i="1" s="1"/>
  <c r="AE504" i="1" s="1"/>
  <c r="AB505" i="1"/>
  <c r="AD505" i="1" s="1"/>
  <c r="AE505" i="1" s="1"/>
  <c r="AC505" i="1" s="1"/>
  <c r="AB6" i="1"/>
  <c r="AD6" i="1" s="1"/>
  <c r="AE6" i="1" s="1"/>
  <c r="AC253" i="1" l="1"/>
  <c r="F7" i="14"/>
  <c r="AC378" i="1"/>
  <c r="F8" i="14"/>
  <c r="F9" i="14"/>
  <c r="AC504" i="1"/>
  <c r="F10" i="14"/>
  <c r="F6" i="14"/>
  <c r="AC143" i="1"/>
  <c r="AC6" i="1"/>
  <c r="F5" i="14"/>
  <c r="S6" i="1"/>
  <c r="V6" i="1"/>
  <c r="G7" i="14" l="1"/>
  <c r="AA6" i="1"/>
  <c r="Y6" i="1"/>
  <c r="I9" i="7" l="1"/>
  <c r="I8" i="7"/>
  <c r="L7" i="6"/>
  <c r="L8" i="6"/>
  <c r="X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G10" i="14"/>
  <c r="Q7" i="1" l="1"/>
  <c r="R7" i="1" s="1"/>
  <c r="Q8" i="1"/>
  <c r="R8" i="1" s="1"/>
  <c r="Q493" i="1"/>
  <c r="R493" i="1" s="1"/>
  <c r="Q489" i="1"/>
  <c r="R489" i="1" s="1"/>
  <c r="Q461" i="1"/>
  <c r="R461" i="1" s="1"/>
  <c r="Q457" i="1"/>
  <c r="R457" i="1" s="1"/>
  <c r="Q429" i="1"/>
  <c r="R429" i="1" s="1"/>
  <c r="Q425" i="1"/>
  <c r="R425" i="1" s="1"/>
  <c r="Q397" i="1"/>
  <c r="R397" i="1" s="1"/>
  <c r="Q393" i="1"/>
  <c r="R393" i="1" s="1"/>
  <c r="Q365" i="1"/>
  <c r="R365" i="1" s="1"/>
  <c r="Q361" i="1"/>
  <c r="R361" i="1" s="1"/>
  <c r="Q333" i="1"/>
  <c r="R333" i="1" s="1"/>
  <c r="Q329" i="1"/>
  <c r="R329" i="1" s="1"/>
  <c r="Q301" i="1"/>
  <c r="R301" i="1" s="1"/>
  <c r="Q297" i="1"/>
  <c r="R297" i="1" s="1"/>
  <c r="Q269" i="1"/>
  <c r="R269" i="1" s="1"/>
  <c r="Q265" i="1"/>
  <c r="R265" i="1" s="1"/>
  <c r="Q237" i="1"/>
  <c r="R237" i="1" s="1"/>
  <c r="Q233" i="1"/>
  <c r="R233" i="1" s="1"/>
  <c r="Q349" i="1"/>
  <c r="R349" i="1" s="1"/>
  <c r="Q381" i="1"/>
  <c r="R381" i="1" s="1"/>
  <c r="Q377" i="1"/>
  <c r="R377" i="1" s="1"/>
  <c r="Q345" i="1"/>
  <c r="R345" i="1" s="1"/>
  <c r="Q317" i="1"/>
  <c r="R317" i="1" s="1"/>
  <c r="Q285" i="1"/>
  <c r="R285" i="1" s="1"/>
  <c r="Q249" i="1"/>
  <c r="R249" i="1" s="1"/>
  <c r="Q221" i="1"/>
  <c r="R221" i="1" s="1"/>
  <c r="Q505" i="1"/>
  <c r="R505" i="1" s="1"/>
  <c r="Q473" i="1"/>
  <c r="R473" i="1" s="1"/>
  <c r="Q441" i="1"/>
  <c r="R441" i="1" s="1"/>
  <c r="Q413" i="1"/>
  <c r="R413" i="1" s="1"/>
  <c r="Q313" i="1"/>
  <c r="R313" i="1" s="1"/>
  <c r="Q281" i="1"/>
  <c r="R281" i="1" s="1"/>
  <c r="Q253" i="1"/>
  <c r="R253" i="1" s="1"/>
  <c r="Q217" i="1"/>
  <c r="R217" i="1" s="1"/>
  <c r="Q477" i="1"/>
  <c r="R477" i="1" s="1"/>
  <c r="Q445" i="1"/>
  <c r="R445" i="1" s="1"/>
  <c r="Q409" i="1"/>
  <c r="R409" i="1" s="1"/>
  <c r="Q503" i="1"/>
  <c r="R503" i="1" s="1"/>
  <c r="Q499" i="1"/>
  <c r="R499" i="1" s="1"/>
  <c r="Q495" i="1"/>
  <c r="R495" i="1" s="1"/>
  <c r="Q491" i="1"/>
  <c r="R491" i="1" s="1"/>
  <c r="Q487" i="1"/>
  <c r="R487" i="1" s="1"/>
  <c r="Q483" i="1"/>
  <c r="R483" i="1" s="1"/>
  <c r="Q479" i="1"/>
  <c r="R479" i="1" s="1"/>
  <c r="Q475" i="1"/>
  <c r="R475" i="1" s="1"/>
  <c r="Q471" i="1"/>
  <c r="R471" i="1" s="1"/>
  <c r="Q467" i="1"/>
  <c r="R467" i="1" s="1"/>
  <c r="Q463" i="1"/>
  <c r="R463" i="1" s="1"/>
  <c r="Q459" i="1"/>
  <c r="R459" i="1" s="1"/>
  <c r="Q455" i="1"/>
  <c r="R455" i="1" s="1"/>
  <c r="Q451" i="1"/>
  <c r="R451" i="1" s="1"/>
  <c r="Q447" i="1"/>
  <c r="R447" i="1" s="1"/>
  <c r="Q443" i="1"/>
  <c r="R443" i="1" s="1"/>
  <c r="Q439" i="1"/>
  <c r="R439" i="1" s="1"/>
  <c r="Q435" i="1"/>
  <c r="R435" i="1" s="1"/>
  <c r="Q431" i="1"/>
  <c r="R431" i="1" s="1"/>
  <c r="Q427" i="1"/>
  <c r="R427" i="1" s="1"/>
  <c r="Q423" i="1"/>
  <c r="R423" i="1" s="1"/>
  <c r="Q419" i="1"/>
  <c r="R419" i="1" s="1"/>
  <c r="Q415" i="1"/>
  <c r="R415" i="1" s="1"/>
  <c r="Q411" i="1"/>
  <c r="R411" i="1" s="1"/>
  <c r="Q407" i="1"/>
  <c r="R407" i="1" s="1"/>
  <c r="Q403" i="1"/>
  <c r="R403" i="1" s="1"/>
  <c r="Q399" i="1"/>
  <c r="R399" i="1" s="1"/>
  <c r="Q395" i="1"/>
  <c r="R395" i="1" s="1"/>
  <c r="Q391" i="1"/>
  <c r="R391" i="1" s="1"/>
  <c r="Q387" i="1"/>
  <c r="R387" i="1" s="1"/>
  <c r="Q383" i="1"/>
  <c r="R383" i="1" s="1"/>
  <c r="Q379" i="1"/>
  <c r="R379" i="1" s="1"/>
  <c r="Q375" i="1"/>
  <c r="R375" i="1" s="1"/>
  <c r="Q371" i="1"/>
  <c r="R371" i="1" s="1"/>
  <c r="Q367" i="1"/>
  <c r="R367" i="1" s="1"/>
  <c r="Q363" i="1"/>
  <c r="R363" i="1" s="1"/>
  <c r="Q359" i="1"/>
  <c r="R359" i="1" s="1"/>
  <c r="Q355" i="1"/>
  <c r="R355" i="1" s="1"/>
  <c r="Q351" i="1"/>
  <c r="R351" i="1" s="1"/>
  <c r="Q347" i="1"/>
  <c r="R347" i="1" s="1"/>
  <c r="Q343" i="1"/>
  <c r="R343" i="1" s="1"/>
  <c r="Q339" i="1"/>
  <c r="R339" i="1" s="1"/>
  <c r="Q335" i="1"/>
  <c r="R335" i="1" s="1"/>
  <c r="Q331" i="1"/>
  <c r="R331" i="1" s="1"/>
  <c r="Q327" i="1"/>
  <c r="R327" i="1" s="1"/>
  <c r="Q323" i="1"/>
  <c r="R323" i="1" s="1"/>
  <c r="Q319" i="1"/>
  <c r="R319" i="1" s="1"/>
  <c r="Q315" i="1"/>
  <c r="R315" i="1" s="1"/>
  <c r="Q311" i="1"/>
  <c r="R311" i="1" s="1"/>
  <c r="Q307" i="1"/>
  <c r="R307" i="1" s="1"/>
  <c r="Q303" i="1"/>
  <c r="R303" i="1" s="1"/>
  <c r="Q299" i="1"/>
  <c r="R299" i="1" s="1"/>
  <c r="Q295" i="1"/>
  <c r="R295" i="1" s="1"/>
  <c r="Q291" i="1"/>
  <c r="R291" i="1" s="1"/>
  <c r="Q287" i="1"/>
  <c r="R287" i="1" s="1"/>
  <c r="Q283" i="1"/>
  <c r="R283" i="1" s="1"/>
  <c r="Q279" i="1"/>
  <c r="R279" i="1" s="1"/>
  <c r="Q275" i="1"/>
  <c r="R275" i="1" s="1"/>
  <c r="Q271" i="1"/>
  <c r="R271" i="1" s="1"/>
  <c r="Q267" i="1"/>
  <c r="R267" i="1" s="1"/>
  <c r="Q263" i="1"/>
  <c r="R263" i="1" s="1"/>
  <c r="Q259" i="1"/>
  <c r="R259" i="1" s="1"/>
  <c r="Q255" i="1"/>
  <c r="R255" i="1" s="1"/>
  <c r="Q251" i="1"/>
  <c r="R251" i="1" s="1"/>
  <c r="Q247" i="1"/>
  <c r="R247" i="1" s="1"/>
  <c r="Q243" i="1"/>
  <c r="R243" i="1" s="1"/>
  <c r="Q239" i="1"/>
  <c r="R239" i="1" s="1"/>
  <c r="Q235" i="1"/>
  <c r="R235" i="1" s="1"/>
  <c r="Q231" i="1"/>
  <c r="R231" i="1" s="1"/>
  <c r="Q227" i="1"/>
  <c r="R227" i="1" s="1"/>
  <c r="Q223" i="1"/>
  <c r="R223" i="1" s="1"/>
  <c r="Q219" i="1"/>
  <c r="R219" i="1" s="1"/>
  <c r="Q215" i="1"/>
  <c r="R215" i="1" s="1"/>
  <c r="Q211" i="1"/>
  <c r="R211" i="1" s="1"/>
  <c r="Q207" i="1"/>
  <c r="R207" i="1" s="1"/>
  <c r="Q502" i="1"/>
  <c r="R502" i="1" s="1"/>
  <c r="Q498" i="1"/>
  <c r="R498" i="1" s="1"/>
  <c r="Q494" i="1"/>
  <c r="R494" i="1" s="1"/>
  <c r="Q490" i="1"/>
  <c r="R490" i="1" s="1"/>
  <c r="Q486" i="1"/>
  <c r="R486" i="1" s="1"/>
  <c r="Q482" i="1"/>
  <c r="R482" i="1" s="1"/>
  <c r="Q478" i="1"/>
  <c r="R478" i="1" s="1"/>
  <c r="Q474" i="1"/>
  <c r="R474" i="1" s="1"/>
  <c r="Q470" i="1"/>
  <c r="R470" i="1" s="1"/>
  <c r="Q466" i="1"/>
  <c r="R466" i="1" s="1"/>
  <c r="Q462" i="1"/>
  <c r="R462" i="1" s="1"/>
  <c r="Q458" i="1"/>
  <c r="R458" i="1" s="1"/>
  <c r="Q454" i="1"/>
  <c r="R454" i="1" s="1"/>
  <c r="Q450" i="1"/>
  <c r="R450" i="1" s="1"/>
  <c r="Q446" i="1"/>
  <c r="R446" i="1" s="1"/>
  <c r="Q442" i="1"/>
  <c r="R442" i="1" s="1"/>
  <c r="Q438" i="1"/>
  <c r="R438" i="1" s="1"/>
  <c r="Q434" i="1"/>
  <c r="R434" i="1" s="1"/>
  <c r="Q430" i="1"/>
  <c r="R430" i="1" s="1"/>
  <c r="Q426" i="1"/>
  <c r="R426" i="1" s="1"/>
  <c r="Q422" i="1"/>
  <c r="R422" i="1" s="1"/>
  <c r="Q418" i="1"/>
  <c r="R418" i="1" s="1"/>
  <c r="Q414" i="1"/>
  <c r="R414" i="1" s="1"/>
  <c r="Q410" i="1"/>
  <c r="R410" i="1" s="1"/>
  <c r="Q406" i="1"/>
  <c r="R406" i="1" s="1"/>
  <c r="Q402" i="1"/>
  <c r="R402" i="1" s="1"/>
  <c r="Q398" i="1"/>
  <c r="R398" i="1" s="1"/>
  <c r="Q394" i="1"/>
  <c r="R394" i="1" s="1"/>
  <c r="Q390" i="1"/>
  <c r="R390" i="1" s="1"/>
  <c r="Q386" i="1"/>
  <c r="R386" i="1" s="1"/>
  <c r="Q382" i="1"/>
  <c r="R382" i="1" s="1"/>
  <c r="Q378" i="1"/>
  <c r="R378" i="1" s="1"/>
  <c r="Q374" i="1"/>
  <c r="R374" i="1" s="1"/>
  <c r="Q370" i="1"/>
  <c r="R370" i="1" s="1"/>
  <c r="Q366" i="1"/>
  <c r="R366" i="1" s="1"/>
  <c r="Q362" i="1"/>
  <c r="R362" i="1" s="1"/>
  <c r="Q358" i="1"/>
  <c r="R358" i="1" s="1"/>
  <c r="Q354" i="1"/>
  <c r="R354" i="1" s="1"/>
  <c r="Q350" i="1"/>
  <c r="R350" i="1" s="1"/>
  <c r="Q346" i="1"/>
  <c r="R346" i="1" s="1"/>
  <c r="Q342" i="1"/>
  <c r="R342" i="1" s="1"/>
  <c r="Q338" i="1"/>
  <c r="R338" i="1" s="1"/>
  <c r="Q334" i="1"/>
  <c r="R334" i="1" s="1"/>
  <c r="Q330" i="1"/>
  <c r="R330" i="1" s="1"/>
  <c r="Q326" i="1"/>
  <c r="R326" i="1" s="1"/>
  <c r="Q322" i="1"/>
  <c r="R322" i="1" s="1"/>
  <c r="Q318" i="1"/>
  <c r="R318" i="1" s="1"/>
  <c r="Q314" i="1"/>
  <c r="R314" i="1" s="1"/>
  <c r="Q310" i="1"/>
  <c r="R310" i="1" s="1"/>
  <c r="Q306" i="1"/>
  <c r="R306" i="1" s="1"/>
  <c r="Q302" i="1"/>
  <c r="R302" i="1" s="1"/>
  <c r="Q298" i="1"/>
  <c r="R298" i="1" s="1"/>
  <c r="Q294" i="1"/>
  <c r="R294" i="1" s="1"/>
  <c r="Q290" i="1"/>
  <c r="R290" i="1" s="1"/>
  <c r="Q286" i="1"/>
  <c r="R286" i="1" s="1"/>
  <c r="Q282" i="1"/>
  <c r="R282" i="1" s="1"/>
  <c r="Q501" i="1"/>
  <c r="R501" i="1" s="1"/>
  <c r="Q485" i="1"/>
  <c r="R485" i="1" s="1"/>
  <c r="Q469" i="1"/>
  <c r="R469" i="1" s="1"/>
  <c r="Q453" i="1"/>
  <c r="R453" i="1" s="1"/>
  <c r="Q437" i="1"/>
  <c r="R437" i="1" s="1"/>
  <c r="Q421" i="1"/>
  <c r="R421" i="1" s="1"/>
  <c r="Q405" i="1"/>
  <c r="R405" i="1" s="1"/>
  <c r="Q389" i="1"/>
  <c r="R389" i="1" s="1"/>
  <c r="Q373" i="1"/>
  <c r="R373" i="1" s="1"/>
  <c r="Q357" i="1"/>
  <c r="R357" i="1" s="1"/>
  <c r="Q341" i="1"/>
  <c r="R341" i="1" s="1"/>
  <c r="Q325" i="1"/>
  <c r="R325" i="1" s="1"/>
  <c r="Q309" i="1"/>
  <c r="R309" i="1" s="1"/>
  <c r="Q293" i="1"/>
  <c r="R293" i="1" s="1"/>
  <c r="Q277" i="1"/>
  <c r="R277" i="1" s="1"/>
  <c r="Q261" i="1"/>
  <c r="R261" i="1" s="1"/>
  <c r="Q245" i="1"/>
  <c r="R245" i="1" s="1"/>
  <c r="Q229" i="1"/>
  <c r="R229" i="1" s="1"/>
  <c r="Q213" i="1"/>
  <c r="R213" i="1" s="1"/>
  <c r="Q497" i="1"/>
  <c r="R497" i="1" s="1"/>
  <c r="Q481" i="1"/>
  <c r="R481" i="1" s="1"/>
  <c r="Q465" i="1"/>
  <c r="R465" i="1" s="1"/>
  <c r="Q449" i="1"/>
  <c r="R449" i="1" s="1"/>
  <c r="Q433" i="1"/>
  <c r="R433" i="1" s="1"/>
  <c r="Q417" i="1"/>
  <c r="R417" i="1" s="1"/>
  <c r="Q401" i="1"/>
  <c r="R401" i="1" s="1"/>
  <c r="Q385" i="1"/>
  <c r="R385" i="1" s="1"/>
  <c r="Q369" i="1"/>
  <c r="R369" i="1" s="1"/>
  <c r="Q353" i="1"/>
  <c r="R353" i="1" s="1"/>
  <c r="Q337" i="1"/>
  <c r="R337" i="1" s="1"/>
  <c r="Q321" i="1"/>
  <c r="R321" i="1" s="1"/>
  <c r="Q305" i="1"/>
  <c r="R305" i="1" s="1"/>
  <c r="Q289" i="1"/>
  <c r="R289" i="1" s="1"/>
  <c r="Q273" i="1"/>
  <c r="R273" i="1" s="1"/>
  <c r="Q257" i="1"/>
  <c r="R257" i="1" s="1"/>
  <c r="Q241" i="1"/>
  <c r="R241" i="1" s="1"/>
  <c r="Q225" i="1"/>
  <c r="R225" i="1" s="1"/>
  <c r="Q209" i="1"/>
  <c r="R209" i="1" s="1"/>
  <c r="Q504" i="1"/>
  <c r="R504" i="1" s="1"/>
  <c r="Q500" i="1"/>
  <c r="R500" i="1" s="1"/>
  <c r="Q496" i="1"/>
  <c r="R496" i="1" s="1"/>
  <c r="Q492" i="1"/>
  <c r="R492" i="1" s="1"/>
  <c r="Q488" i="1"/>
  <c r="R488" i="1" s="1"/>
  <c r="Q484" i="1"/>
  <c r="R484" i="1" s="1"/>
  <c r="Q480" i="1"/>
  <c r="R480" i="1" s="1"/>
  <c r="Q476" i="1"/>
  <c r="R476" i="1" s="1"/>
  <c r="Q472" i="1"/>
  <c r="R472" i="1" s="1"/>
  <c r="Q468" i="1"/>
  <c r="R468" i="1" s="1"/>
  <c r="Q464" i="1"/>
  <c r="R464" i="1" s="1"/>
  <c r="Q460" i="1"/>
  <c r="R460" i="1" s="1"/>
  <c r="Q456" i="1"/>
  <c r="R456" i="1" s="1"/>
  <c r="Q452" i="1"/>
  <c r="R452" i="1" s="1"/>
  <c r="Q448" i="1"/>
  <c r="R448" i="1" s="1"/>
  <c r="Q444" i="1"/>
  <c r="R444" i="1" s="1"/>
  <c r="Q440" i="1"/>
  <c r="R440" i="1" s="1"/>
  <c r="Q436" i="1"/>
  <c r="R436" i="1" s="1"/>
  <c r="Q432" i="1"/>
  <c r="R432" i="1" s="1"/>
  <c r="Q428" i="1"/>
  <c r="R428" i="1" s="1"/>
  <c r="Q424" i="1"/>
  <c r="R424" i="1" s="1"/>
  <c r="Q420" i="1"/>
  <c r="R420" i="1" s="1"/>
  <c r="Q416" i="1"/>
  <c r="R416" i="1" s="1"/>
  <c r="Q412" i="1"/>
  <c r="R412" i="1" s="1"/>
  <c r="Q408" i="1"/>
  <c r="R408" i="1" s="1"/>
  <c r="Q404" i="1"/>
  <c r="R404" i="1" s="1"/>
  <c r="Q400" i="1"/>
  <c r="R400" i="1" s="1"/>
  <c r="Q396" i="1"/>
  <c r="R396" i="1" s="1"/>
  <c r="Q392" i="1"/>
  <c r="R392" i="1" s="1"/>
  <c r="Q388" i="1"/>
  <c r="R388" i="1" s="1"/>
  <c r="Q384" i="1"/>
  <c r="R384" i="1" s="1"/>
  <c r="Q380" i="1"/>
  <c r="R380" i="1" s="1"/>
  <c r="Q376" i="1"/>
  <c r="R376" i="1" s="1"/>
  <c r="Q372" i="1"/>
  <c r="R372" i="1" s="1"/>
  <c r="Q368" i="1"/>
  <c r="R368" i="1" s="1"/>
  <c r="Q364" i="1"/>
  <c r="R364" i="1" s="1"/>
  <c r="Q360" i="1"/>
  <c r="R360" i="1" s="1"/>
  <c r="Q356" i="1"/>
  <c r="R356" i="1" s="1"/>
  <c r="Q352" i="1"/>
  <c r="R352" i="1" s="1"/>
  <c r="Q348" i="1"/>
  <c r="R348" i="1" s="1"/>
  <c r="Q344" i="1"/>
  <c r="R344" i="1" s="1"/>
  <c r="Q340" i="1"/>
  <c r="R340" i="1" s="1"/>
  <c r="Q336" i="1"/>
  <c r="R336" i="1" s="1"/>
  <c r="Q332" i="1"/>
  <c r="R332" i="1" s="1"/>
  <c r="Q328" i="1"/>
  <c r="R328" i="1" s="1"/>
  <c r="Q324" i="1"/>
  <c r="R324" i="1" s="1"/>
  <c r="Q320" i="1"/>
  <c r="R320" i="1" s="1"/>
  <c r="Q316" i="1"/>
  <c r="R316" i="1" s="1"/>
  <c r="Q312" i="1"/>
  <c r="R312" i="1" s="1"/>
  <c r="Q308" i="1"/>
  <c r="R308" i="1" s="1"/>
  <c r="Q304" i="1"/>
  <c r="R304" i="1" s="1"/>
  <c r="Q300" i="1"/>
  <c r="R300" i="1" s="1"/>
  <c r="Q296" i="1"/>
  <c r="R296" i="1" s="1"/>
  <c r="Q292" i="1"/>
  <c r="R292" i="1" s="1"/>
  <c r="Q288" i="1"/>
  <c r="R288" i="1" s="1"/>
  <c r="Q284" i="1"/>
  <c r="R284" i="1" s="1"/>
  <c r="Q280" i="1"/>
  <c r="R280" i="1" s="1"/>
  <c r="Q276" i="1"/>
  <c r="R276" i="1" s="1"/>
  <c r="Q272" i="1"/>
  <c r="R272" i="1" s="1"/>
  <c r="Q268" i="1"/>
  <c r="R268" i="1" s="1"/>
  <c r="Q264" i="1"/>
  <c r="R264" i="1" s="1"/>
  <c r="Q260" i="1"/>
  <c r="R260" i="1" s="1"/>
  <c r="Q256" i="1"/>
  <c r="R256" i="1" s="1"/>
  <c r="Q278" i="1"/>
  <c r="R278" i="1" s="1"/>
  <c r="Q274" i="1"/>
  <c r="R274" i="1" s="1"/>
  <c r="Q270" i="1"/>
  <c r="R270" i="1" s="1"/>
  <c r="Q266" i="1"/>
  <c r="R266" i="1" s="1"/>
  <c r="Q262" i="1"/>
  <c r="R262" i="1" s="1"/>
  <c r="Q258" i="1"/>
  <c r="R258" i="1" s="1"/>
  <c r="Q254" i="1"/>
  <c r="R254" i="1" s="1"/>
  <c r="Q250" i="1"/>
  <c r="R250" i="1" s="1"/>
  <c r="Q246" i="1"/>
  <c r="R246" i="1" s="1"/>
  <c r="Q242" i="1"/>
  <c r="R242" i="1" s="1"/>
  <c r="Q238" i="1"/>
  <c r="R238" i="1" s="1"/>
  <c r="Q234" i="1"/>
  <c r="R234" i="1" s="1"/>
  <c r="Q230" i="1"/>
  <c r="R230" i="1" s="1"/>
  <c r="Q226" i="1"/>
  <c r="R226" i="1" s="1"/>
  <c r="Q222" i="1"/>
  <c r="R222" i="1" s="1"/>
  <c r="Q218" i="1"/>
  <c r="R218" i="1" s="1"/>
  <c r="Q214" i="1"/>
  <c r="R214" i="1" s="1"/>
  <c r="Q210" i="1"/>
  <c r="R210" i="1" s="1"/>
  <c r="Q206" i="1"/>
  <c r="R206" i="1" s="1"/>
  <c r="Q252" i="1"/>
  <c r="R252" i="1" s="1"/>
  <c r="Q248" i="1"/>
  <c r="R248" i="1" s="1"/>
  <c r="Q244" i="1"/>
  <c r="R244" i="1" s="1"/>
  <c r="Q240" i="1"/>
  <c r="R240" i="1" s="1"/>
  <c r="Q236" i="1"/>
  <c r="R236" i="1" s="1"/>
  <c r="Q232" i="1"/>
  <c r="R232" i="1" s="1"/>
  <c r="Q228" i="1"/>
  <c r="R228" i="1" s="1"/>
  <c r="Q224" i="1"/>
  <c r="R224" i="1" s="1"/>
  <c r="Q220" i="1"/>
  <c r="R220" i="1" s="1"/>
  <c r="Q216" i="1"/>
  <c r="R216" i="1" s="1"/>
  <c r="Q212" i="1"/>
  <c r="R212" i="1" s="1"/>
  <c r="Q208" i="1"/>
  <c r="R208" i="1" s="1"/>
  <c r="AG240" i="1" l="1"/>
  <c r="AH240" i="1" s="1"/>
  <c r="AG254" i="1"/>
  <c r="AH254" i="1" s="1"/>
  <c r="AG256" i="1"/>
  <c r="AH256" i="1" s="1"/>
  <c r="AG292" i="1"/>
  <c r="AH292" i="1" s="1"/>
  <c r="AG356" i="1"/>
  <c r="AG420" i="1"/>
  <c r="AH420" i="1" s="1"/>
  <c r="AG484" i="1"/>
  <c r="AG225" i="1"/>
  <c r="AH225" i="1" s="1"/>
  <c r="AG357" i="1"/>
  <c r="AG313" i="1"/>
  <c r="AG298" i="1"/>
  <c r="AH298" i="1" s="1"/>
  <c r="AG342" i="1"/>
  <c r="AH342" i="1" s="1"/>
  <c r="AG406" i="1"/>
  <c r="AH406" i="1" s="1"/>
  <c r="AG426" i="1"/>
  <c r="AG235" i="1"/>
  <c r="AH235" i="1" s="1"/>
  <c r="AG271" i="1"/>
  <c r="AH271" i="1" s="1"/>
  <c r="AG447" i="1"/>
  <c r="AH447" i="1" s="1"/>
  <c r="AG441" i="1"/>
  <c r="AH441" i="1" s="1"/>
  <c r="AG445" i="1"/>
  <c r="AG222" i="1"/>
  <c r="AH222" i="1" s="1"/>
  <c r="AG260" i="1"/>
  <c r="AH260" i="1" s="1"/>
  <c r="AG324" i="1"/>
  <c r="AH324" i="1" s="1"/>
  <c r="AG388" i="1"/>
  <c r="AH388" i="1" s="1"/>
  <c r="AG452" i="1"/>
  <c r="AG373" i="1"/>
  <c r="AG501" i="1"/>
  <c r="AG329" i="1"/>
  <c r="AG453" i="1"/>
  <c r="AG330" i="1"/>
  <c r="AH330" i="1" s="1"/>
  <c r="AG394" i="1"/>
  <c r="AG458" i="1"/>
  <c r="AH458" i="1" s="1"/>
  <c r="AG211" i="1"/>
  <c r="AH211" i="1" s="1"/>
  <c r="AG239" i="1"/>
  <c r="AH239" i="1" s="1"/>
  <c r="AG275" i="1"/>
  <c r="AH275" i="1" s="1"/>
  <c r="AG303" i="1"/>
  <c r="AH303" i="1" s="1"/>
  <c r="AG339" i="1"/>
  <c r="AG367" i="1"/>
  <c r="AH367" i="1" s="1"/>
  <c r="AG403" i="1"/>
  <c r="AH403" i="1" s="1"/>
  <c r="AG415" i="1"/>
  <c r="AH415" i="1" s="1"/>
  <c r="AG479" i="1"/>
  <c r="AG449" i="1"/>
  <c r="AG269" i="1"/>
  <c r="AG232" i="1"/>
  <c r="AH232" i="1" s="1"/>
  <c r="AG236" i="1"/>
  <c r="AG214" i="1"/>
  <c r="AG218" i="1"/>
  <c r="AG246" i="1"/>
  <c r="AH246" i="1" s="1"/>
  <c r="AG250" i="1"/>
  <c r="AH250" i="1" s="1"/>
  <c r="AG278" i="1"/>
  <c r="AG282" i="1"/>
  <c r="AH282" i="1" s="1"/>
  <c r="AG284" i="1"/>
  <c r="AH284" i="1" s="1"/>
  <c r="AG288" i="1"/>
  <c r="AG316" i="1"/>
  <c r="AH316" i="1" s="1"/>
  <c r="AG320" i="1"/>
  <c r="AG348" i="1"/>
  <c r="AG352" i="1"/>
  <c r="AH352" i="1" s="1"/>
  <c r="AG380" i="1"/>
  <c r="AH380" i="1" s="1"/>
  <c r="AG384" i="1"/>
  <c r="AG412" i="1"/>
  <c r="AH412" i="1" s="1"/>
  <c r="AG416" i="1"/>
  <c r="AH416" i="1" s="1"/>
  <c r="AG444" i="1"/>
  <c r="AH444" i="1" s="1"/>
  <c r="AG448" i="1"/>
  <c r="AH448" i="1" s="1"/>
  <c r="AG476" i="1"/>
  <c r="AH476" i="1" s="1"/>
  <c r="AG480" i="1"/>
  <c r="AG213" i="1"/>
  <c r="AH213" i="1" s="1"/>
  <c r="AG341" i="1"/>
  <c r="AH341" i="1" s="1"/>
  <c r="AG469" i="1"/>
  <c r="AG229" i="1"/>
  <c r="AG297" i="1"/>
  <c r="AG421" i="1"/>
  <c r="AG425" i="1"/>
  <c r="AH425" i="1" s="1"/>
  <c r="AG485" i="1"/>
  <c r="AH485" i="1" s="1"/>
  <c r="AG290" i="1"/>
  <c r="AH290" i="1" s="1"/>
  <c r="AG294" i="1"/>
  <c r="AH294" i="1" s="1"/>
  <c r="AG310" i="1"/>
  <c r="AH310" i="1" s="1"/>
  <c r="AG322" i="1"/>
  <c r="AH322" i="1" s="1"/>
  <c r="AG326" i="1"/>
  <c r="AG354" i="1"/>
  <c r="AH354" i="1" s="1"/>
  <c r="AG358" i="1"/>
  <c r="AH358" i="1" s="1"/>
  <c r="AG374" i="1"/>
  <c r="AH374" i="1" s="1"/>
  <c r="AG386" i="1"/>
  <c r="AH386" i="1" s="1"/>
  <c r="AG390" i="1"/>
  <c r="AG418" i="1"/>
  <c r="AH418" i="1" s="1"/>
  <c r="AG422" i="1"/>
  <c r="AH422" i="1" s="1"/>
  <c r="AG450" i="1"/>
  <c r="AH450" i="1" s="1"/>
  <c r="AG454" i="1"/>
  <c r="AG482" i="1"/>
  <c r="AH482" i="1" s="1"/>
  <c r="AG486" i="1"/>
  <c r="AH486" i="1" s="1"/>
  <c r="AG215" i="1"/>
  <c r="AH215" i="1" s="1"/>
  <c r="AG219" i="1"/>
  <c r="AH219" i="1" s="1"/>
  <c r="AG247" i="1"/>
  <c r="AH247" i="1" s="1"/>
  <c r="AG251" i="1"/>
  <c r="AH251" i="1" s="1"/>
  <c r="AG267" i="1"/>
  <c r="AH267" i="1" s="1"/>
  <c r="AG279" i="1"/>
  <c r="AH279" i="1" s="1"/>
  <c r="AG283" i="1"/>
  <c r="AG311" i="1"/>
  <c r="AG315" i="1"/>
  <c r="AH315" i="1" s="1"/>
  <c r="AG343" i="1"/>
  <c r="AH343" i="1" s="1"/>
  <c r="AG347" i="1"/>
  <c r="AG375" i="1"/>
  <c r="AG379" i="1"/>
  <c r="AG407" i="1"/>
  <c r="AH407" i="1" s="1"/>
  <c r="AG411" i="1"/>
  <c r="AG439" i="1"/>
  <c r="AH439" i="1" s="1"/>
  <c r="AG443" i="1"/>
  <c r="AH443" i="1" s="1"/>
  <c r="AG471" i="1"/>
  <c r="AH471" i="1" s="1"/>
  <c r="AG475" i="1"/>
  <c r="AG503" i="1"/>
  <c r="AH503" i="1" s="1"/>
  <c r="AG413" i="1"/>
  <c r="AG417" i="1"/>
  <c r="AG221" i="1"/>
  <c r="AG349" i="1"/>
  <c r="AG233" i="1"/>
  <c r="AG301" i="1"/>
  <c r="AH301" i="1" s="1"/>
  <c r="AG361" i="1"/>
  <c r="AH361" i="1" s="1"/>
  <c r="AG429" i="1"/>
  <c r="AG489" i="1"/>
  <c r="AG220" i="1"/>
  <c r="AG224" i="1"/>
  <c r="AH224" i="1" s="1"/>
  <c r="AG252" i="1"/>
  <c r="AH252" i="1" s="1"/>
  <c r="AG234" i="1"/>
  <c r="AH234" i="1" s="1"/>
  <c r="AG238" i="1"/>
  <c r="AH238" i="1" s="1"/>
  <c r="AG266" i="1"/>
  <c r="AH266" i="1" s="1"/>
  <c r="AG272" i="1"/>
  <c r="AG276" i="1"/>
  <c r="AG304" i="1"/>
  <c r="AH304" i="1" s="1"/>
  <c r="AG336" i="1"/>
  <c r="AG340" i="1"/>
  <c r="AH340" i="1" s="1"/>
  <c r="AG368" i="1"/>
  <c r="AG400" i="1"/>
  <c r="AG404" i="1"/>
  <c r="AG432" i="1"/>
  <c r="AG464" i="1"/>
  <c r="AH464" i="1" s="1"/>
  <c r="AG468" i="1"/>
  <c r="AG496" i="1"/>
  <c r="AH496" i="1" s="1"/>
  <c r="AG289" i="1"/>
  <c r="AG293" i="1"/>
  <c r="AG245" i="1"/>
  <c r="AH245" i="1" s="1"/>
  <c r="AG249" i="1"/>
  <c r="AG377" i="1"/>
  <c r="AG362" i="1"/>
  <c r="AH362" i="1" s="1"/>
  <c r="AG438" i="1"/>
  <c r="AH438" i="1" s="1"/>
  <c r="AG442" i="1"/>
  <c r="AH442" i="1" s="1"/>
  <c r="AG470" i="1"/>
  <c r="AH470" i="1" s="1"/>
  <c r="AG502" i="1"/>
  <c r="AG255" i="1"/>
  <c r="AG299" i="1"/>
  <c r="AH299" i="1" s="1"/>
  <c r="AG331" i="1"/>
  <c r="AH331" i="1" s="1"/>
  <c r="AG335" i="1"/>
  <c r="AG363" i="1"/>
  <c r="AG395" i="1"/>
  <c r="AH395" i="1" s="1"/>
  <c r="AG399" i="1"/>
  <c r="AG427" i="1"/>
  <c r="AH427" i="1" s="1"/>
  <c r="AG459" i="1"/>
  <c r="AG463" i="1"/>
  <c r="AH463" i="1" s="1"/>
  <c r="AG491" i="1"/>
  <c r="AH491" i="1" s="1"/>
  <c r="AG253" i="1"/>
  <c r="AH253" i="1" s="1"/>
  <c r="AG257" i="1"/>
  <c r="AH257" i="1" s="1"/>
  <c r="AG237" i="1"/>
  <c r="AH237" i="1" s="1"/>
  <c r="AG241" i="1"/>
  <c r="AH241" i="1" s="1"/>
  <c r="AG365" i="1"/>
  <c r="AG369" i="1"/>
  <c r="AG493" i="1"/>
  <c r="AG497" i="1"/>
  <c r="AG210" i="1"/>
  <c r="AH210" i="1" s="1"/>
  <c r="AG270" i="1"/>
  <c r="AG274" i="1"/>
  <c r="AG308" i="1"/>
  <c r="AG312" i="1"/>
  <c r="AG372" i="1"/>
  <c r="AH372" i="1" s="1"/>
  <c r="AG376" i="1"/>
  <c r="AG436" i="1"/>
  <c r="AG440" i="1"/>
  <c r="AG500" i="1"/>
  <c r="AG504" i="1"/>
  <c r="AH504" i="1" s="1"/>
  <c r="AG305" i="1"/>
  <c r="AH305" i="1" s="1"/>
  <c r="AG309" i="1"/>
  <c r="AH309" i="1" s="1"/>
  <c r="AG433" i="1"/>
  <c r="AG437" i="1"/>
  <c r="AG265" i="1"/>
  <c r="AH265" i="1" s="1"/>
  <c r="AG393" i="1"/>
  <c r="AH393" i="1" s="1"/>
  <c r="AG314" i="1"/>
  <c r="AG318" i="1"/>
  <c r="AH318" i="1" s="1"/>
  <c r="AG346" i="1"/>
  <c r="AG378" i="1"/>
  <c r="AH378" i="1" s="1"/>
  <c r="AG382" i="1"/>
  <c r="AH382" i="1" s="1"/>
  <c r="AG410" i="1"/>
  <c r="AG446" i="1"/>
  <c r="AH446" i="1" s="1"/>
  <c r="AG474" i="1"/>
  <c r="AH474" i="1" s="1"/>
  <c r="AG490" i="1"/>
  <c r="AH490" i="1" s="1"/>
  <c r="AG494" i="1"/>
  <c r="AH494" i="1" s="1"/>
  <c r="AG223" i="1"/>
  <c r="AH223" i="1" s="1"/>
  <c r="AG259" i="1"/>
  <c r="AH259" i="1" s="1"/>
  <c r="AG287" i="1"/>
  <c r="AH287" i="1" s="1"/>
  <c r="AG319" i="1"/>
  <c r="AG323" i="1"/>
  <c r="AH323" i="1" s="1"/>
  <c r="AG351" i="1"/>
  <c r="AG383" i="1"/>
  <c r="AG387" i="1"/>
  <c r="AG431" i="1"/>
  <c r="AG467" i="1"/>
  <c r="AH467" i="1" s="1"/>
  <c r="AG495" i="1"/>
  <c r="AH495" i="1" s="1"/>
  <c r="AG281" i="1"/>
  <c r="AG285" i="1"/>
  <c r="AH285" i="1" s="1"/>
  <c r="AG381" i="1"/>
  <c r="AH381" i="1" s="1"/>
  <c r="AG385" i="1"/>
  <c r="AG397" i="1"/>
  <c r="AH397" i="1" s="1"/>
  <c r="AG457" i="1"/>
  <c r="AG212" i="1"/>
  <c r="AH212" i="1" s="1"/>
  <c r="AG216" i="1"/>
  <c r="AH216" i="1" s="1"/>
  <c r="AG228" i="1"/>
  <c r="AH228" i="1" s="1"/>
  <c r="AG244" i="1"/>
  <c r="AH244" i="1" s="1"/>
  <c r="AG248" i="1"/>
  <c r="AH248" i="1" s="1"/>
  <c r="AG226" i="1"/>
  <c r="AG230" i="1"/>
  <c r="AG242" i="1"/>
  <c r="AH242" i="1" s="1"/>
  <c r="AG258" i="1"/>
  <c r="AH258" i="1" s="1"/>
  <c r="AG262" i="1"/>
  <c r="AG264" i="1"/>
  <c r="AG268" i="1"/>
  <c r="AH268" i="1" s="1"/>
  <c r="AG280" i="1"/>
  <c r="AG296" i="1"/>
  <c r="AG300" i="1"/>
  <c r="AG328" i="1"/>
  <c r="AH328" i="1" s="1"/>
  <c r="AG332" i="1"/>
  <c r="AH332" i="1" s="1"/>
  <c r="AG344" i="1"/>
  <c r="AH344" i="1" s="1"/>
  <c r="AG360" i="1"/>
  <c r="AG364" i="1"/>
  <c r="AH364" i="1" s="1"/>
  <c r="AG392" i="1"/>
  <c r="AG396" i="1"/>
  <c r="AH396" i="1" s="1"/>
  <c r="AG408" i="1"/>
  <c r="AH408" i="1" s="1"/>
  <c r="AG424" i="1"/>
  <c r="AG428" i="1"/>
  <c r="AH428" i="1" s="1"/>
  <c r="AG456" i="1"/>
  <c r="AH456" i="1" s="1"/>
  <c r="AG460" i="1"/>
  <c r="AG472" i="1"/>
  <c r="AG488" i="1"/>
  <c r="AH488" i="1" s="1"/>
  <c r="AG492" i="1"/>
  <c r="AH492" i="1" s="1"/>
  <c r="AG261" i="1"/>
  <c r="AG325" i="1"/>
  <c r="AH325" i="1" s="1"/>
  <c r="AG389" i="1"/>
  <c r="AG217" i="1"/>
  <c r="AH217" i="1" s="1"/>
  <c r="AG277" i="1"/>
  <c r="AH277" i="1" s="1"/>
  <c r="AG345" i="1"/>
  <c r="AH345" i="1" s="1"/>
  <c r="AG405" i="1"/>
  <c r="AG409" i="1"/>
  <c r="AG473" i="1"/>
  <c r="AG286" i="1"/>
  <c r="AG302" i="1"/>
  <c r="AH302" i="1" s="1"/>
  <c r="AG306" i="1"/>
  <c r="AG334" i="1"/>
  <c r="AH334" i="1" s="1"/>
  <c r="AG338" i="1"/>
  <c r="AG350" i="1"/>
  <c r="AG366" i="1"/>
  <c r="AG370" i="1"/>
  <c r="AG398" i="1"/>
  <c r="AG402" i="1"/>
  <c r="AG414" i="1"/>
  <c r="AG430" i="1"/>
  <c r="AG434" i="1"/>
  <c r="AH434" i="1" s="1"/>
  <c r="AG462" i="1"/>
  <c r="AH462" i="1" s="1"/>
  <c r="AG466" i="1"/>
  <c r="AH466" i="1" s="1"/>
  <c r="AG478" i="1"/>
  <c r="AH478" i="1" s="1"/>
  <c r="AG498" i="1"/>
  <c r="AH498" i="1" s="1"/>
  <c r="AG227" i="1"/>
  <c r="AH227" i="1" s="1"/>
  <c r="AG231" i="1"/>
  <c r="AG243" i="1"/>
  <c r="AH243" i="1" s="1"/>
  <c r="AG263" i="1"/>
  <c r="AG291" i="1"/>
  <c r="AG295" i="1"/>
  <c r="AH295" i="1" s="1"/>
  <c r="AG307" i="1"/>
  <c r="AH307" i="1" s="1"/>
  <c r="AG327" i="1"/>
  <c r="AH327" i="1" s="1"/>
  <c r="AG355" i="1"/>
  <c r="AG359" i="1"/>
  <c r="AH359" i="1" s="1"/>
  <c r="AG371" i="1"/>
  <c r="AH371" i="1" s="1"/>
  <c r="AG391" i="1"/>
  <c r="AH391" i="1" s="1"/>
  <c r="AG419" i="1"/>
  <c r="AH419" i="1" s="1"/>
  <c r="AG423" i="1"/>
  <c r="AG435" i="1"/>
  <c r="AH435" i="1" s="1"/>
  <c r="AG451" i="1"/>
  <c r="AH451" i="1" s="1"/>
  <c r="AG455" i="1"/>
  <c r="AH455" i="1" s="1"/>
  <c r="AG483" i="1"/>
  <c r="AH483" i="1" s="1"/>
  <c r="AG487" i="1"/>
  <c r="AH487" i="1" s="1"/>
  <c r="AG499" i="1"/>
  <c r="AG477" i="1"/>
  <c r="AG481" i="1"/>
  <c r="AG317" i="1"/>
  <c r="AH317" i="1" s="1"/>
  <c r="AG505" i="1"/>
  <c r="AG321" i="1"/>
  <c r="AG353" i="1"/>
  <c r="AG273" i="1"/>
  <c r="AH273" i="1" s="1"/>
  <c r="AG333" i="1"/>
  <c r="AH333" i="1" s="1"/>
  <c r="AG337" i="1"/>
  <c r="AG401" i="1"/>
  <c r="AH401" i="1" s="1"/>
  <c r="AG461" i="1"/>
  <c r="AG465" i="1"/>
  <c r="D10" i="14"/>
  <c r="E10" i="14"/>
  <c r="H10" i="14"/>
  <c r="I10" i="14"/>
  <c r="J10" i="14"/>
  <c r="K10" i="14"/>
  <c r="L10" i="14"/>
  <c r="M10" i="14"/>
  <c r="N10" i="14"/>
  <c r="O10" i="14"/>
  <c r="O9" i="14" l="1"/>
  <c r="N9" i="14"/>
  <c r="M9" i="14"/>
  <c r="L9" i="14"/>
  <c r="K9" i="14"/>
  <c r="J9" i="14"/>
  <c r="I9" i="14"/>
  <c r="H9" i="14"/>
  <c r="G9" i="14"/>
  <c r="E9" i="14"/>
  <c r="D9" i="14"/>
  <c r="O8" i="14"/>
  <c r="N8" i="14"/>
  <c r="M8" i="14"/>
  <c r="L8" i="14"/>
  <c r="K8" i="14"/>
  <c r="J8" i="14"/>
  <c r="I8" i="14"/>
  <c r="H8" i="14"/>
  <c r="G8" i="14"/>
  <c r="E8" i="14"/>
  <c r="D8" i="14"/>
  <c r="O5" i="14"/>
  <c r="N5" i="14"/>
  <c r="M5" i="14"/>
  <c r="L5" i="14"/>
  <c r="K5" i="14"/>
  <c r="J5" i="14"/>
  <c r="I5" i="14"/>
  <c r="H5" i="14"/>
  <c r="G5" i="14"/>
  <c r="E5" i="14"/>
  <c r="O7" i="14"/>
  <c r="N7" i="14"/>
  <c r="M7" i="14"/>
  <c r="L7" i="14"/>
  <c r="K7" i="14"/>
  <c r="J7" i="14"/>
  <c r="I7" i="14"/>
  <c r="H7" i="14"/>
  <c r="E7" i="14"/>
  <c r="D7" i="14"/>
  <c r="O6" i="14"/>
  <c r="N6" i="14"/>
  <c r="M6" i="14"/>
  <c r="L6" i="14"/>
  <c r="K6" i="14"/>
  <c r="J6" i="14"/>
  <c r="I6" i="14"/>
  <c r="H6" i="14"/>
  <c r="G6" i="14"/>
  <c r="E6" i="14"/>
  <c r="D6" i="14"/>
  <c r="W6" i="1" l="1"/>
  <c r="Z6" i="1"/>
  <c r="X6" i="1"/>
  <c r="U6" i="1"/>
  <c r="T6" i="1"/>
  <c r="Q6" i="1" l="1"/>
  <c r="R6" i="1" s="1"/>
  <c r="Q205" i="1"/>
  <c r="R205" i="1" s="1"/>
  <c r="Q201" i="1"/>
  <c r="R201" i="1" s="1"/>
  <c r="Q197" i="1"/>
  <c r="R197" i="1" s="1"/>
  <c r="Q193" i="1"/>
  <c r="R193" i="1" s="1"/>
  <c r="Q189" i="1"/>
  <c r="R189" i="1" s="1"/>
  <c r="Q185" i="1"/>
  <c r="R185" i="1" s="1"/>
  <c r="Q181" i="1"/>
  <c r="R181" i="1" s="1"/>
  <c r="Q177" i="1"/>
  <c r="R177" i="1" s="1"/>
  <c r="Q173" i="1"/>
  <c r="R173" i="1" s="1"/>
  <c r="Q169" i="1"/>
  <c r="R169" i="1" s="1"/>
  <c r="Q165" i="1"/>
  <c r="R165" i="1" s="1"/>
  <c r="Q161" i="1"/>
  <c r="R161" i="1" s="1"/>
  <c r="Q157" i="1"/>
  <c r="R157" i="1" s="1"/>
  <c r="Q153" i="1"/>
  <c r="R153" i="1" s="1"/>
  <c r="Q149" i="1"/>
  <c r="R149" i="1" s="1"/>
  <c r="Q145" i="1"/>
  <c r="R145" i="1" s="1"/>
  <c r="Q141" i="1"/>
  <c r="R141" i="1" s="1"/>
  <c r="Q137" i="1"/>
  <c r="R137" i="1" s="1"/>
  <c r="Q133" i="1"/>
  <c r="R133" i="1" s="1"/>
  <c r="Q129" i="1"/>
  <c r="R129" i="1" s="1"/>
  <c r="Q125" i="1"/>
  <c r="R125" i="1" s="1"/>
  <c r="Q121" i="1"/>
  <c r="R121" i="1" s="1"/>
  <c r="Q117" i="1"/>
  <c r="R117" i="1" s="1"/>
  <c r="Q113" i="1"/>
  <c r="R113" i="1" s="1"/>
  <c r="Q109" i="1"/>
  <c r="R109" i="1" s="1"/>
  <c r="Q105" i="1"/>
  <c r="R105" i="1" s="1"/>
  <c r="Q101" i="1"/>
  <c r="R101" i="1" s="1"/>
  <c r="Q97" i="1"/>
  <c r="R97" i="1" s="1"/>
  <c r="Q93" i="1"/>
  <c r="R93" i="1" s="1"/>
  <c r="Q89" i="1"/>
  <c r="R89" i="1" s="1"/>
  <c r="Q85" i="1"/>
  <c r="R85" i="1" s="1"/>
  <c r="Q81" i="1"/>
  <c r="R81" i="1" s="1"/>
  <c r="Q77" i="1"/>
  <c r="R77" i="1" s="1"/>
  <c r="Q73" i="1"/>
  <c r="R73" i="1" s="1"/>
  <c r="Q69" i="1"/>
  <c r="R69" i="1" s="1"/>
  <c r="Q65" i="1"/>
  <c r="R65" i="1" s="1"/>
  <c r="Q61" i="1"/>
  <c r="R61" i="1" s="1"/>
  <c r="Q57" i="1"/>
  <c r="R57" i="1" s="1"/>
  <c r="Q53" i="1"/>
  <c r="R53" i="1" s="1"/>
  <c r="Q49" i="1"/>
  <c r="R49" i="1" s="1"/>
  <c r="Q45" i="1"/>
  <c r="R45" i="1" s="1"/>
  <c r="Q41" i="1"/>
  <c r="R41" i="1" s="1"/>
  <c r="Q37" i="1"/>
  <c r="R37" i="1" s="1"/>
  <c r="Q33" i="1"/>
  <c r="R33" i="1" s="1"/>
  <c r="Q29" i="1"/>
  <c r="R29" i="1" s="1"/>
  <c r="Q25" i="1"/>
  <c r="R25" i="1" s="1"/>
  <c r="Q21" i="1"/>
  <c r="R21" i="1" s="1"/>
  <c r="Q17" i="1"/>
  <c r="R17" i="1" s="1"/>
  <c r="Q13" i="1"/>
  <c r="R13" i="1" s="1"/>
  <c r="Q9" i="1"/>
  <c r="R9" i="1" s="1"/>
  <c r="Q204" i="1"/>
  <c r="R204" i="1" s="1"/>
  <c r="Q200" i="1"/>
  <c r="R200" i="1" s="1"/>
  <c r="Q196" i="1"/>
  <c r="R196" i="1" s="1"/>
  <c r="Q192" i="1"/>
  <c r="R192" i="1" s="1"/>
  <c r="Q188" i="1"/>
  <c r="R188" i="1" s="1"/>
  <c r="Q184" i="1"/>
  <c r="R184" i="1" s="1"/>
  <c r="Q180" i="1"/>
  <c r="R180" i="1" s="1"/>
  <c r="Q176" i="1"/>
  <c r="R176" i="1" s="1"/>
  <c r="Q172" i="1"/>
  <c r="R172" i="1" s="1"/>
  <c r="Q168" i="1"/>
  <c r="R168" i="1" s="1"/>
  <c r="Q164" i="1"/>
  <c r="R164" i="1" s="1"/>
  <c r="Q160" i="1"/>
  <c r="R160" i="1" s="1"/>
  <c r="Q156" i="1"/>
  <c r="R156" i="1" s="1"/>
  <c r="Q152" i="1"/>
  <c r="R152" i="1" s="1"/>
  <c r="Q148" i="1"/>
  <c r="R148" i="1" s="1"/>
  <c r="Q144" i="1"/>
  <c r="R144" i="1" s="1"/>
  <c r="Q140" i="1"/>
  <c r="R140" i="1" s="1"/>
  <c r="Q136" i="1"/>
  <c r="R136" i="1" s="1"/>
  <c r="Q132" i="1"/>
  <c r="R132" i="1" s="1"/>
  <c r="Q128" i="1"/>
  <c r="R128" i="1" s="1"/>
  <c r="Q124" i="1"/>
  <c r="R124" i="1" s="1"/>
  <c r="Q120" i="1"/>
  <c r="R120" i="1" s="1"/>
  <c r="Q116" i="1"/>
  <c r="R116" i="1" s="1"/>
  <c r="Q112" i="1"/>
  <c r="R112" i="1" s="1"/>
  <c r="Q108" i="1"/>
  <c r="R108" i="1" s="1"/>
  <c r="Q104" i="1"/>
  <c r="R104" i="1" s="1"/>
  <c r="Q100" i="1"/>
  <c r="R100" i="1" s="1"/>
  <c r="Q96" i="1"/>
  <c r="R96" i="1" s="1"/>
  <c r="Q92" i="1"/>
  <c r="R92" i="1" s="1"/>
  <c r="Q88" i="1"/>
  <c r="R88" i="1" s="1"/>
  <c r="Q84" i="1"/>
  <c r="R84" i="1" s="1"/>
  <c r="Q80" i="1"/>
  <c r="R80" i="1" s="1"/>
  <c r="Q76" i="1"/>
  <c r="R76" i="1" s="1"/>
  <c r="Q72" i="1"/>
  <c r="R72" i="1" s="1"/>
  <c r="Q68" i="1"/>
  <c r="R68" i="1" s="1"/>
  <c r="Q64" i="1"/>
  <c r="R64" i="1" s="1"/>
  <c r="Q60" i="1"/>
  <c r="R60" i="1" s="1"/>
  <c r="Q56" i="1"/>
  <c r="R56" i="1" s="1"/>
  <c r="Q52" i="1"/>
  <c r="R52" i="1" s="1"/>
  <c r="Q48" i="1"/>
  <c r="R48" i="1" s="1"/>
  <c r="Q44" i="1"/>
  <c r="R44" i="1" s="1"/>
  <c r="Q40" i="1"/>
  <c r="R40" i="1" s="1"/>
  <c r="Q36" i="1"/>
  <c r="R36" i="1" s="1"/>
  <c r="Q32" i="1"/>
  <c r="R32" i="1" s="1"/>
  <c r="Q28" i="1"/>
  <c r="R28" i="1" s="1"/>
  <c r="Q24" i="1"/>
  <c r="R24" i="1" s="1"/>
  <c r="Q20" i="1"/>
  <c r="R20" i="1" s="1"/>
  <c r="Q16" i="1"/>
  <c r="R16" i="1" s="1"/>
  <c r="Q12" i="1"/>
  <c r="R12" i="1" s="1"/>
  <c r="Q202" i="1"/>
  <c r="R202" i="1" s="1"/>
  <c r="Q198" i="1"/>
  <c r="R198" i="1" s="1"/>
  <c r="Q194" i="1"/>
  <c r="R194" i="1" s="1"/>
  <c r="Q190" i="1"/>
  <c r="R190" i="1" s="1"/>
  <c r="Q186" i="1"/>
  <c r="R186" i="1" s="1"/>
  <c r="Q182" i="1"/>
  <c r="R182" i="1" s="1"/>
  <c r="Q178" i="1"/>
  <c r="R178" i="1" s="1"/>
  <c r="Q174" i="1"/>
  <c r="R174" i="1" s="1"/>
  <c r="Q170" i="1"/>
  <c r="R170" i="1" s="1"/>
  <c r="Q166" i="1"/>
  <c r="R166" i="1" s="1"/>
  <c r="Q162" i="1"/>
  <c r="R162" i="1" s="1"/>
  <c r="Q158" i="1"/>
  <c r="R158" i="1" s="1"/>
  <c r="Q154" i="1"/>
  <c r="R154" i="1" s="1"/>
  <c r="Q150" i="1"/>
  <c r="R150" i="1" s="1"/>
  <c r="Q146" i="1"/>
  <c r="R146" i="1" s="1"/>
  <c r="Q142" i="1"/>
  <c r="R142" i="1" s="1"/>
  <c r="Q138" i="1"/>
  <c r="R138" i="1" s="1"/>
  <c r="Q134" i="1"/>
  <c r="R134" i="1" s="1"/>
  <c r="Q130" i="1"/>
  <c r="R130" i="1" s="1"/>
  <c r="Q126" i="1"/>
  <c r="R126" i="1" s="1"/>
  <c r="Q122" i="1"/>
  <c r="R122" i="1" s="1"/>
  <c r="Q118" i="1"/>
  <c r="R118" i="1" s="1"/>
  <c r="Q114" i="1"/>
  <c r="R114" i="1" s="1"/>
  <c r="Q110" i="1"/>
  <c r="R110" i="1" s="1"/>
  <c r="Q106" i="1"/>
  <c r="R106" i="1" s="1"/>
  <c r="Q102" i="1"/>
  <c r="R102" i="1" s="1"/>
  <c r="Q98" i="1"/>
  <c r="R98" i="1" s="1"/>
  <c r="Q94" i="1"/>
  <c r="R94" i="1" s="1"/>
  <c r="Q90" i="1"/>
  <c r="R90" i="1" s="1"/>
  <c r="Q86" i="1"/>
  <c r="R86" i="1" s="1"/>
  <c r="Q82" i="1"/>
  <c r="R82" i="1" s="1"/>
  <c r="Q78" i="1"/>
  <c r="R78" i="1" s="1"/>
  <c r="Q74" i="1"/>
  <c r="R74" i="1" s="1"/>
  <c r="Q70" i="1"/>
  <c r="R70" i="1" s="1"/>
  <c r="Q66" i="1"/>
  <c r="R66" i="1" s="1"/>
  <c r="Q62" i="1"/>
  <c r="R62" i="1" s="1"/>
  <c r="Q58" i="1"/>
  <c r="R58" i="1" s="1"/>
  <c r="Q54" i="1"/>
  <c r="R54" i="1" s="1"/>
  <c r="Q50" i="1"/>
  <c r="R50" i="1" s="1"/>
  <c r="Q46" i="1"/>
  <c r="R46" i="1" s="1"/>
  <c r="Q42" i="1"/>
  <c r="R42" i="1" s="1"/>
  <c r="Q38" i="1"/>
  <c r="R38" i="1" s="1"/>
  <c r="Q34" i="1"/>
  <c r="R34" i="1" s="1"/>
  <c r="Q30" i="1"/>
  <c r="R30" i="1" s="1"/>
  <c r="Q26" i="1"/>
  <c r="R26" i="1" s="1"/>
  <c r="Q22" i="1"/>
  <c r="R22" i="1" s="1"/>
  <c r="Q18" i="1"/>
  <c r="R18" i="1" s="1"/>
  <c r="Q14" i="1"/>
  <c r="R14" i="1" s="1"/>
  <c r="Q10" i="1"/>
  <c r="R10" i="1" s="1"/>
  <c r="Q203" i="1"/>
  <c r="R203" i="1" s="1"/>
  <c r="Q199" i="1"/>
  <c r="R199" i="1" s="1"/>
  <c r="Q195" i="1"/>
  <c r="R195" i="1" s="1"/>
  <c r="Q191" i="1"/>
  <c r="R191" i="1" s="1"/>
  <c r="Q187" i="1"/>
  <c r="R187" i="1" s="1"/>
  <c r="Q183" i="1"/>
  <c r="R183" i="1" s="1"/>
  <c r="Q179" i="1"/>
  <c r="R179" i="1" s="1"/>
  <c r="Q175" i="1"/>
  <c r="R175" i="1" s="1"/>
  <c r="Q171" i="1"/>
  <c r="R171" i="1" s="1"/>
  <c r="Q167" i="1"/>
  <c r="R167" i="1" s="1"/>
  <c r="Q163" i="1"/>
  <c r="R163" i="1" s="1"/>
  <c r="Q159" i="1"/>
  <c r="R159" i="1" s="1"/>
  <c r="Q155" i="1"/>
  <c r="R155" i="1" s="1"/>
  <c r="Q151" i="1"/>
  <c r="R151" i="1" s="1"/>
  <c r="Q147" i="1"/>
  <c r="R147" i="1" s="1"/>
  <c r="Q143" i="1"/>
  <c r="R143" i="1" s="1"/>
  <c r="Q139" i="1"/>
  <c r="R139" i="1" s="1"/>
  <c r="Q135" i="1"/>
  <c r="R135" i="1" s="1"/>
  <c r="Q131" i="1"/>
  <c r="R131" i="1" s="1"/>
  <c r="Q127" i="1"/>
  <c r="R127" i="1" s="1"/>
  <c r="Q123" i="1"/>
  <c r="R123" i="1" s="1"/>
  <c r="Q119" i="1"/>
  <c r="R119" i="1" s="1"/>
  <c r="Q115" i="1"/>
  <c r="R115" i="1" s="1"/>
  <c r="Q111" i="1"/>
  <c r="R111" i="1" s="1"/>
  <c r="Q107" i="1"/>
  <c r="R107" i="1" s="1"/>
  <c r="Q103" i="1"/>
  <c r="R103" i="1" s="1"/>
  <c r="Q99" i="1"/>
  <c r="R99" i="1" s="1"/>
  <c r="Q95" i="1"/>
  <c r="R95" i="1" s="1"/>
  <c r="Q91" i="1"/>
  <c r="R91" i="1" s="1"/>
  <c r="Q87" i="1"/>
  <c r="R87" i="1" s="1"/>
  <c r="Q83" i="1"/>
  <c r="R83" i="1" s="1"/>
  <c r="Q79" i="1"/>
  <c r="R79" i="1" s="1"/>
  <c r="Q75" i="1"/>
  <c r="R75" i="1" s="1"/>
  <c r="Q71" i="1"/>
  <c r="R71" i="1" s="1"/>
  <c r="Q67" i="1"/>
  <c r="R67" i="1" s="1"/>
  <c r="Q63" i="1"/>
  <c r="R63" i="1" s="1"/>
  <c r="Q59" i="1"/>
  <c r="R59" i="1" s="1"/>
  <c r="Q55" i="1"/>
  <c r="R55" i="1" s="1"/>
  <c r="Q51" i="1"/>
  <c r="R51" i="1" s="1"/>
  <c r="Q47" i="1"/>
  <c r="R47" i="1" s="1"/>
  <c r="Q43" i="1"/>
  <c r="R43" i="1" s="1"/>
  <c r="Q39" i="1"/>
  <c r="R39" i="1" s="1"/>
  <c r="Q35" i="1"/>
  <c r="R35" i="1" s="1"/>
  <c r="Q31" i="1"/>
  <c r="R31" i="1" s="1"/>
  <c r="Q27" i="1"/>
  <c r="R27" i="1" s="1"/>
  <c r="Q23" i="1"/>
  <c r="R23" i="1" s="1"/>
  <c r="Q19" i="1"/>
  <c r="R19" i="1" s="1"/>
  <c r="Q15" i="1"/>
  <c r="R15" i="1" s="1"/>
  <c r="Q11" i="1"/>
  <c r="R11" i="1" s="1"/>
  <c r="N13" i="10" l="1"/>
  <c r="H13" i="10"/>
  <c r="Q13" i="10"/>
  <c r="K13" i="10"/>
  <c r="E13" i="10"/>
  <c r="Q9" i="10"/>
  <c r="E9" i="10"/>
  <c r="K9" i="10"/>
  <c r="H9" i="10"/>
  <c r="N9" i="10"/>
  <c r="AG27" i="1"/>
  <c r="AH27" i="1" s="1"/>
  <c r="AG55" i="1"/>
  <c r="AH55" i="1" s="1"/>
  <c r="AG91" i="1"/>
  <c r="AH91" i="1" s="1"/>
  <c r="AG119" i="1"/>
  <c r="AH119" i="1" s="1"/>
  <c r="AG155" i="1"/>
  <c r="AH155" i="1" s="1"/>
  <c r="AG183" i="1"/>
  <c r="AH183" i="1" s="1"/>
  <c r="AG26" i="1"/>
  <c r="AG90" i="1"/>
  <c r="AG118" i="1"/>
  <c r="AG182" i="1"/>
  <c r="AH182" i="1" s="1"/>
  <c r="AG72" i="1"/>
  <c r="AH72" i="1" s="1"/>
  <c r="AG100" i="1"/>
  <c r="AH100" i="1" s="1"/>
  <c r="AG164" i="1"/>
  <c r="AH164" i="1" s="1"/>
  <c r="AG25" i="1"/>
  <c r="AH25" i="1" s="1"/>
  <c r="AG61" i="1"/>
  <c r="AH61" i="1" s="1"/>
  <c r="AG89" i="1"/>
  <c r="AH89" i="1" s="1"/>
  <c r="AG153" i="1"/>
  <c r="AH153" i="1" s="1"/>
  <c r="AG11" i="1"/>
  <c r="AH11" i="1" s="1"/>
  <c r="AG47" i="1"/>
  <c r="AG207" i="1"/>
  <c r="AG30" i="1"/>
  <c r="AH30" i="1" s="1"/>
  <c r="AG58" i="1"/>
  <c r="AH58" i="1" s="1"/>
  <c r="AG94" i="1"/>
  <c r="AH94" i="1" s="1"/>
  <c r="AG122" i="1"/>
  <c r="AH122" i="1" s="1"/>
  <c r="AG154" i="1"/>
  <c r="AH154" i="1" s="1"/>
  <c r="AG158" i="1"/>
  <c r="AG186" i="1"/>
  <c r="AH186" i="1" s="1"/>
  <c r="AG40" i="1"/>
  <c r="AH40" i="1" s="1"/>
  <c r="AG76" i="1"/>
  <c r="AH76" i="1" s="1"/>
  <c r="AG104" i="1"/>
  <c r="AH104" i="1" s="1"/>
  <c r="AG136" i="1"/>
  <c r="AH136" i="1" s="1"/>
  <c r="AG140" i="1"/>
  <c r="AH140" i="1" s="1"/>
  <c r="AG168" i="1"/>
  <c r="AH168" i="1" s="1"/>
  <c r="AG200" i="1"/>
  <c r="AH200" i="1" s="1"/>
  <c r="AG204" i="1"/>
  <c r="AG45" i="1"/>
  <c r="AG93" i="1"/>
  <c r="AG125" i="1"/>
  <c r="AH125" i="1" s="1"/>
  <c r="AG157" i="1"/>
  <c r="AH157" i="1" s="1"/>
  <c r="AG189" i="1"/>
  <c r="AG15" i="1"/>
  <c r="AH15" i="1" s="1"/>
  <c r="AG19" i="1"/>
  <c r="AH19" i="1" s="1"/>
  <c r="AG23" i="1"/>
  <c r="AH23" i="1" s="1"/>
  <c r="AG35" i="1"/>
  <c r="AH35" i="1" s="1"/>
  <c r="AG39" i="1"/>
  <c r="AH39" i="1" s="1"/>
  <c r="AG67" i="1"/>
  <c r="AH67" i="1" s="1"/>
  <c r="AG71" i="1"/>
  <c r="AH71" i="1" s="1"/>
  <c r="AG87" i="1"/>
  <c r="AG99" i="1"/>
  <c r="AH99" i="1" s="1"/>
  <c r="AG131" i="1"/>
  <c r="AH131" i="1" s="1"/>
  <c r="AG135" i="1"/>
  <c r="AH135" i="1" s="1"/>
  <c r="AG151" i="1"/>
  <c r="AH151" i="1" s="1"/>
  <c r="AG163" i="1"/>
  <c r="AH163" i="1" s="1"/>
  <c r="AG195" i="1"/>
  <c r="AH195" i="1" s="1"/>
  <c r="AG199" i="1"/>
  <c r="AH199" i="1" s="1"/>
  <c r="AG22" i="1"/>
  <c r="AG50" i="1"/>
  <c r="AH50" i="1" s="1"/>
  <c r="AG54" i="1"/>
  <c r="AH54" i="1" s="1"/>
  <c r="AG82" i="1"/>
  <c r="AH82" i="1" s="1"/>
  <c r="AG86" i="1"/>
  <c r="AH86" i="1" s="1"/>
  <c r="AG150" i="1"/>
  <c r="AH150" i="1" s="1"/>
  <c r="AG178" i="1"/>
  <c r="AH178" i="1" s="1"/>
  <c r="AG32" i="1"/>
  <c r="AH32" i="1" s="1"/>
  <c r="AG36" i="1"/>
  <c r="AH36" i="1" s="1"/>
  <c r="AG64" i="1"/>
  <c r="AH64" i="1" s="1"/>
  <c r="AG68" i="1"/>
  <c r="AH68" i="1" s="1"/>
  <c r="AG132" i="1"/>
  <c r="AG196" i="1"/>
  <c r="AH196" i="1" s="1"/>
  <c r="AG41" i="1"/>
  <c r="AG53" i="1"/>
  <c r="AH53" i="1" s="1"/>
  <c r="AG57" i="1"/>
  <c r="AG85" i="1"/>
  <c r="AH85" i="1" s="1"/>
  <c r="AG105" i="1"/>
  <c r="AG121" i="1"/>
  <c r="AH121" i="1" s="1"/>
  <c r="AG169" i="1"/>
  <c r="AH169" i="1" s="1"/>
  <c r="AG181" i="1"/>
  <c r="AG185" i="1"/>
  <c r="AG43" i="1"/>
  <c r="AH43" i="1" s="1"/>
  <c r="AG75" i="1"/>
  <c r="AG103" i="1"/>
  <c r="AG107" i="1"/>
  <c r="AG139" i="1"/>
  <c r="AH139" i="1" s="1"/>
  <c r="AG167" i="1"/>
  <c r="AH167" i="1" s="1"/>
  <c r="AG171" i="1"/>
  <c r="AG203" i="1"/>
  <c r="AH203" i="1" s="1"/>
  <c r="AG38" i="1"/>
  <c r="AH38" i="1" s="1"/>
  <c r="AG70" i="1"/>
  <c r="AH70" i="1" s="1"/>
  <c r="AG74" i="1"/>
  <c r="AH74" i="1" s="1"/>
  <c r="AG102" i="1"/>
  <c r="AH102" i="1" s="1"/>
  <c r="AG134" i="1"/>
  <c r="AH134" i="1" s="1"/>
  <c r="AG138" i="1"/>
  <c r="AG166" i="1"/>
  <c r="AH166" i="1" s="1"/>
  <c r="AG198" i="1"/>
  <c r="AH198" i="1" s="1"/>
  <c r="AG202" i="1"/>
  <c r="AH202" i="1" s="1"/>
  <c r="AG20" i="1"/>
  <c r="AH20" i="1" s="1"/>
  <c r="AG24" i="1"/>
  <c r="AH24" i="1" s="1"/>
  <c r="AG52" i="1"/>
  <c r="AH52" i="1" s="1"/>
  <c r="AG56" i="1"/>
  <c r="AH56" i="1" s="1"/>
  <c r="AG84" i="1"/>
  <c r="AH84" i="1" s="1"/>
  <c r="AG116" i="1"/>
  <c r="AH116" i="1" s="1"/>
  <c r="AG120" i="1"/>
  <c r="AG148" i="1"/>
  <c r="AH148" i="1" s="1"/>
  <c r="AG152" i="1"/>
  <c r="AG180" i="1"/>
  <c r="AH180" i="1" s="1"/>
  <c r="AG184" i="1"/>
  <c r="AH184" i="1" s="1"/>
  <c r="AG13" i="1"/>
  <c r="AG73" i="1"/>
  <c r="AG109" i="1"/>
  <c r="AH109" i="1" s="1"/>
  <c r="AG137" i="1"/>
  <c r="AH137" i="1" s="1"/>
  <c r="AG173" i="1"/>
  <c r="AH173" i="1" s="1"/>
  <c r="AG201" i="1"/>
  <c r="AH201" i="1" s="1"/>
  <c r="AG205" i="1"/>
  <c r="AG59" i="1"/>
  <c r="AH59" i="1" s="1"/>
  <c r="AG123" i="1"/>
  <c r="AH123" i="1" s="1"/>
  <c r="AG127" i="1"/>
  <c r="AH127" i="1" s="1"/>
  <c r="AG187" i="1"/>
  <c r="AH187" i="1" s="1"/>
  <c r="AG191" i="1"/>
  <c r="AG42" i="1"/>
  <c r="AH42" i="1" s="1"/>
  <c r="AG106" i="1"/>
  <c r="AG110" i="1"/>
  <c r="AH110" i="1" s="1"/>
  <c r="AG170" i="1"/>
  <c r="AH170" i="1" s="1"/>
  <c r="AG174" i="1"/>
  <c r="AH174" i="1" s="1"/>
  <c r="AG206" i="1"/>
  <c r="AG88" i="1"/>
  <c r="AH88" i="1" s="1"/>
  <c r="AG156" i="1"/>
  <c r="AH156" i="1" s="1"/>
  <c r="AG29" i="1"/>
  <c r="AG33" i="1"/>
  <c r="AH33" i="1" s="1"/>
  <c r="AG77" i="1"/>
  <c r="AG81" i="1"/>
  <c r="AH81" i="1" s="1"/>
  <c r="AG113" i="1"/>
  <c r="AG141" i="1"/>
  <c r="AG145" i="1"/>
  <c r="AH145" i="1" s="1"/>
  <c r="AG177" i="1"/>
  <c r="AH177" i="1" s="1"/>
  <c r="AG209" i="1"/>
  <c r="AH209" i="1" s="1"/>
  <c r="AG51" i="1"/>
  <c r="AG63" i="1"/>
  <c r="AH63" i="1" s="1"/>
  <c r="AG79" i="1"/>
  <c r="AH79" i="1" s="1"/>
  <c r="AG83" i="1"/>
  <c r="AH83" i="1" s="1"/>
  <c r="AG95" i="1"/>
  <c r="AH95" i="1" s="1"/>
  <c r="AG111" i="1"/>
  <c r="AH111" i="1" s="1"/>
  <c r="AG115" i="1"/>
  <c r="AG143" i="1"/>
  <c r="AH143" i="1" s="1"/>
  <c r="AG147" i="1"/>
  <c r="AH147" i="1" s="1"/>
  <c r="AG159" i="1"/>
  <c r="AH159" i="1" s="1"/>
  <c r="AG175" i="1"/>
  <c r="AH175" i="1" s="1"/>
  <c r="AG179" i="1"/>
  <c r="AH179" i="1" s="1"/>
  <c r="AG14" i="1"/>
  <c r="AH14" i="1" s="1"/>
  <c r="AG18" i="1"/>
  <c r="AH18" i="1" s="1"/>
  <c r="AG46" i="1"/>
  <c r="AH46" i="1" s="1"/>
  <c r="AG62" i="1"/>
  <c r="AH62" i="1" s="1"/>
  <c r="AG66" i="1"/>
  <c r="AH66" i="1" s="1"/>
  <c r="AG78" i="1"/>
  <c r="AH78" i="1" s="1"/>
  <c r="AG98" i="1"/>
  <c r="AG114" i="1"/>
  <c r="AG126" i="1"/>
  <c r="AG130" i="1"/>
  <c r="AH130" i="1" s="1"/>
  <c r="AG142" i="1"/>
  <c r="AG146" i="1"/>
  <c r="AH146" i="1" s="1"/>
  <c r="AG162" i="1"/>
  <c r="AH162" i="1" s="1"/>
  <c r="AG190" i="1"/>
  <c r="AH190" i="1" s="1"/>
  <c r="AG194" i="1"/>
  <c r="AH194" i="1" s="1"/>
  <c r="AG16" i="1"/>
  <c r="AH16" i="1" s="1"/>
  <c r="AG12" i="1"/>
  <c r="AG28" i="1"/>
  <c r="AH28" i="1" s="1"/>
  <c r="AG44" i="1"/>
  <c r="AH44" i="1" s="1"/>
  <c r="AG48" i="1"/>
  <c r="AH48" i="1" s="1"/>
  <c r="AG60" i="1"/>
  <c r="AH60" i="1" s="1"/>
  <c r="AG80" i="1"/>
  <c r="AH80" i="1" s="1"/>
  <c r="AG92" i="1"/>
  <c r="AG96" i="1"/>
  <c r="AG108" i="1"/>
  <c r="AG112" i="1"/>
  <c r="AG124" i="1"/>
  <c r="AH124" i="1" s="1"/>
  <c r="AG128" i="1"/>
  <c r="AG144" i="1"/>
  <c r="AH144" i="1" s="1"/>
  <c r="AG160" i="1"/>
  <c r="AH160" i="1" s="1"/>
  <c r="AG172" i="1"/>
  <c r="AH172" i="1" s="1"/>
  <c r="AG176" i="1"/>
  <c r="AG188" i="1"/>
  <c r="AH188" i="1" s="1"/>
  <c r="AG192" i="1"/>
  <c r="AH192" i="1" s="1"/>
  <c r="AG208" i="1"/>
  <c r="AG17" i="1"/>
  <c r="AG21" i="1"/>
  <c r="AH21" i="1" s="1"/>
  <c r="AG37" i="1"/>
  <c r="AH37" i="1" s="1"/>
  <c r="AG65" i="1"/>
  <c r="AH65" i="1" s="1"/>
  <c r="AG69" i="1"/>
  <c r="AG97" i="1"/>
  <c r="AG101" i="1"/>
  <c r="AH101" i="1" s="1"/>
  <c r="AG117" i="1"/>
  <c r="AH117" i="1" s="1"/>
  <c r="AG129" i="1"/>
  <c r="AH129" i="1" s="1"/>
  <c r="AG133" i="1"/>
  <c r="AH133" i="1" s="1"/>
  <c r="AG149" i="1"/>
  <c r="AH149" i="1" s="1"/>
  <c r="AG161" i="1"/>
  <c r="AG165" i="1"/>
  <c r="AH165" i="1" s="1"/>
  <c r="AG193" i="1"/>
  <c r="AH193" i="1" s="1"/>
  <c r="AG197" i="1"/>
  <c r="AH197" i="1" s="1"/>
  <c r="AG10" i="1"/>
  <c r="AH10" i="1" s="1"/>
  <c r="AG6" i="1"/>
  <c r="AG31" i="1"/>
  <c r="P9" i="10"/>
  <c r="G9" i="10"/>
  <c r="J9" i="10"/>
  <c r="M9" i="10"/>
  <c r="D9" i="10"/>
  <c r="P13" i="10"/>
  <c r="J13" i="10"/>
  <c r="D13" i="10"/>
  <c r="M13" i="10"/>
  <c r="G13" i="10"/>
  <c r="AG7" i="1"/>
  <c r="AH7" i="1" s="1"/>
  <c r="AG9" i="1"/>
  <c r="AH9" i="1" s="1"/>
  <c r="AG8" i="1"/>
  <c r="K5" i="10"/>
  <c r="E5" i="10"/>
  <c r="Q5" i="10"/>
  <c r="N5" i="10"/>
  <c r="H5" i="10"/>
  <c r="D5" i="10"/>
  <c r="J5" i="10"/>
  <c r="P9" i="14"/>
  <c r="AG34" i="1"/>
  <c r="AH34" i="1" s="1"/>
  <c r="P10" i="14"/>
  <c r="P8" i="14"/>
  <c r="P5" i="14"/>
  <c r="P7" i="14"/>
  <c r="P6" i="14"/>
  <c r="G14" i="10" l="1"/>
  <c r="P14" i="10"/>
  <c r="D14" i="10"/>
  <c r="AH6" i="1"/>
  <c r="AH370" i="1"/>
  <c r="AH313" i="1"/>
  <c r="AH365" i="1"/>
  <c r="AH347" i="1"/>
  <c r="AH452" i="1"/>
  <c r="AH283" i="1"/>
  <c r="AH413" i="1"/>
  <c r="AH338" i="1"/>
  <c r="AH385" i="1"/>
  <c r="AH337" i="1"/>
  <c r="AH297" i="1"/>
  <c r="AH429" i="1"/>
  <c r="AH390" i="1"/>
  <c r="AH389" i="1"/>
  <c r="AH430" i="1"/>
  <c r="AH349" i="1"/>
  <c r="O7" i="10"/>
  <c r="F7" i="10"/>
  <c r="AH47" i="1"/>
  <c r="L7" i="10"/>
  <c r="I7" i="10"/>
  <c r="R7" i="10"/>
  <c r="N17" i="10"/>
  <c r="E17" i="10"/>
  <c r="D17" i="10"/>
  <c r="H17" i="10"/>
  <c r="K17" i="10"/>
  <c r="J17" i="10"/>
  <c r="Q17" i="10"/>
  <c r="O9" i="10"/>
  <c r="R9" i="10"/>
  <c r="AH8" i="1"/>
  <c r="L9" i="10"/>
  <c r="T9" i="10"/>
  <c r="K10" i="10" s="1"/>
  <c r="AH158" i="1"/>
  <c r="T13" i="10"/>
  <c r="H14" i="10" s="1"/>
  <c r="S13" i="10"/>
  <c r="J14" i="10" s="1"/>
  <c r="AH12" i="1"/>
  <c r="AH369" i="1"/>
  <c r="AH45" i="1"/>
  <c r="AH360" i="1"/>
  <c r="AH320" i="1"/>
  <c r="AH29" i="1"/>
  <c r="S9" i="10"/>
  <c r="J10" i="10" s="1"/>
  <c r="F9" i="10"/>
  <c r="AH489" i="1"/>
  <c r="AH479" i="1"/>
  <c r="AH96" i="1"/>
  <c r="AH26" i="1"/>
  <c r="AH22" i="1"/>
  <c r="AH17" i="1"/>
  <c r="AH41" i="1"/>
  <c r="AH93" i="1"/>
  <c r="P5" i="10"/>
  <c r="AH112" i="1"/>
  <c r="AH31" i="1"/>
  <c r="AH90" i="1"/>
  <c r="AH97" i="1"/>
  <c r="AH108" i="1"/>
  <c r="AH13" i="1"/>
  <c r="M5" i="10"/>
  <c r="J19" i="6"/>
  <c r="AG49" i="1"/>
  <c r="G5" i="10"/>
  <c r="AH453" i="1"/>
  <c r="AH432" i="1"/>
  <c r="AH291" i="1"/>
  <c r="AH379" i="1"/>
  <c r="AH445" i="1"/>
  <c r="AH249" i="1"/>
  <c r="AH461" i="1"/>
  <c r="AH280" i="1"/>
  <c r="AH300" i="1"/>
  <c r="AH306" i="1"/>
  <c r="AH404" i="1"/>
  <c r="AH375" i="1"/>
  <c r="AH472" i="1"/>
  <c r="AH314" i="1"/>
  <c r="AH480" i="1"/>
  <c r="AH339" i="1"/>
  <c r="AH459" i="1"/>
  <c r="AH214" i="1"/>
  <c r="AH176" i="1"/>
  <c r="AH115" i="1"/>
  <c r="AH205" i="1"/>
  <c r="AH120" i="1"/>
  <c r="AH75" i="1"/>
  <c r="AH126" i="1"/>
  <c r="AH77" i="1"/>
  <c r="AH106" i="1"/>
  <c r="AH87" i="1"/>
  <c r="T5" i="10"/>
  <c r="Q6" i="10" s="1"/>
  <c r="Q14" i="10" l="1"/>
  <c r="E14" i="10"/>
  <c r="K14" i="10"/>
  <c r="P17" i="10"/>
  <c r="P10" i="10"/>
  <c r="G10" i="10"/>
  <c r="E10" i="10"/>
  <c r="K6" i="10"/>
  <c r="M10" i="10"/>
  <c r="N14" i="10"/>
  <c r="D10" i="10"/>
  <c r="M14" i="10"/>
  <c r="H6" i="10"/>
  <c r="G17" i="10"/>
  <c r="Q10" i="10"/>
  <c r="N6" i="10"/>
  <c r="E6" i="10"/>
  <c r="H10" i="10"/>
  <c r="N10" i="10"/>
  <c r="U7" i="10"/>
  <c r="I8" i="10" s="1"/>
  <c r="AH346" i="1"/>
  <c r="AH278" i="1"/>
  <c r="AH321" i="1"/>
  <c r="AH270" i="1"/>
  <c r="AH431" i="1"/>
  <c r="AH502" i="1"/>
  <c r="AH261" i="1"/>
  <c r="AH353" i="1"/>
  <c r="AH469" i="1"/>
  <c r="AH335" i="1"/>
  <c r="AH394" i="1"/>
  <c r="AH311" i="1"/>
  <c r="AH473" i="1"/>
  <c r="AH392" i="1"/>
  <c r="AH421" i="1"/>
  <c r="AH142" i="1"/>
  <c r="AH505" i="1"/>
  <c r="AH276" i="1"/>
  <c r="AH230" i="1"/>
  <c r="AH423" i="1"/>
  <c r="AH484" i="1"/>
  <c r="AH440" i="1"/>
  <c r="AH501" i="1"/>
  <c r="AH229" i="1"/>
  <c r="AH281" i="1"/>
  <c r="AH351" i="1"/>
  <c r="AH468" i="1"/>
  <c r="AH436" i="1"/>
  <c r="AH357" i="1"/>
  <c r="AH355" i="1"/>
  <c r="AH363" i="1"/>
  <c r="AH191" i="1"/>
  <c r="AH236" i="1"/>
  <c r="AH475" i="1"/>
  <c r="AH312" i="1"/>
  <c r="AH426" i="1"/>
  <c r="AH288" i="1"/>
  <c r="AH274" i="1"/>
  <c r="AH405" i="1"/>
  <c r="AH220" i="1"/>
  <c r="AH399" i="1"/>
  <c r="AH356" i="1"/>
  <c r="AH402" i="1"/>
  <c r="AH414" i="1"/>
  <c r="AH398" i="1"/>
  <c r="AH233" i="1"/>
  <c r="AH410" i="1"/>
  <c r="AH231" i="1"/>
  <c r="F17" i="10"/>
  <c r="O5" i="10"/>
  <c r="M17" i="10"/>
  <c r="AH98" i="1"/>
  <c r="AH138" i="1"/>
  <c r="AH105" i="1"/>
  <c r="AH114" i="1"/>
  <c r="T17" i="10"/>
  <c r="Q18" i="10" s="1"/>
  <c r="AH181" i="1"/>
  <c r="AH171" i="1"/>
  <c r="L17" i="10"/>
  <c r="AH113" i="1"/>
  <c r="AH141" i="1"/>
  <c r="AH118" i="1"/>
  <c r="AH207" i="1"/>
  <c r="S5" i="10"/>
  <c r="P6" i="10" s="1"/>
  <c r="I5" i="10"/>
  <c r="R5" i="10"/>
  <c r="AH73" i="1"/>
  <c r="AH264" i="1"/>
  <c r="AH383" i="1"/>
  <c r="AH437" i="1"/>
  <c r="AH49" i="1"/>
  <c r="AH500" i="1"/>
  <c r="AH255" i="1"/>
  <c r="AH457" i="1"/>
  <c r="AH221" i="1"/>
  <c r="AH449" i="1"/>
  <c r="AH387" i="1"/>
  <c r="AH493" i="1"/>
  <c r="AH272" i="1"/>
  <c r="AH326" i="1"/>
  <c r="AH218" i="1"/>
  <c r="AH400" i="1"/>
  <c r="AH499" i="1"/>
  <c r="AH376" i="1"/>
  <c r="AH69" i="1"/>
  <c r="AH477" i="1"/>
  <c r="AH465" i="1"/>
  <c r="AH497" i="1"/>
  <c r="AH411" i="1"/>
  <c r="AH189" i="1"/>
  <c r="AH51" i="1"/>
  <c r="AH161" i="1"/>
  <c r="AH289" i="1"/>
  <c r="AH409" i="1"/>
  <c r="AH262" i="1"/>
  <c r="AH286" i="1"/>
  <c r="AH185" i="1"/>
  <c r="AH208" i="1"/>
  <c r="AH433" i="1"/>
  <c r="AH417" i="1"/>
  <c r="AH377" i="1"/>
  <c r="AH368" i="1"/>
  <c r="AH226" i="1"/>
  <c r="AH424" i="1"/>
  <c r="AH384" i="1"/>
  <c r="AH269" i="1"/>
  <c r="AH92" i="1"/>
  <c r="AH152" i="1"/>
  <c r="AH57" i="1"/>
  <c r="AH204" i="1"/>
  <c r="AH481" i="1"/>
  <c r="AH373" i="1"/>
  <c r="AH350" i="1"/>
  <c r="AH460" i="1"/>
  <c r="AH454" i="1"/>
  <c r="AH336" i="1"/>
  <c r="AH263" i="1"/>
  <c r="AH128" i="1"/>
  <c r="AH329" i="1"/>
  <c r="AH348" i="1"/>
  <c r="AH319" i="1"/>
  <c r="AH293" i="1"/>
  <c r="AH366" i="1"/>
  <c r="AH107" i="1"/>
  <c r="AH103" i="1"/>
  <c r="AH308" i="1"/>
  <c r="AH206" i="1"/>
  <c r="AH132" i="1"/>
  <c r="AH296" i="1"/>
  <c r="R17" i="10"/>
  <c r="F8" i="10" l="1"/>
  <c r="L8" i="10"/>
  <c r="O8" i="10"/>
  <c r="O17" i="10"/>
  <c r="M18" i="10"/>
  <c r="R8" i="10"/>
  <c r="N18" i="10"/>
  <c r="H18" i="10"/>
  <c r="K18" i="10"/>
  <c r="E18" i="10"/>
  <c r="D6" i="10"/>
  <c r="J6" i="10"/>
  <c r="G6" i="10"/>
  <c r="M6" i="10"/>
  <c r="B15" i="7"/>
  <c r="S17" i="10"/>
  <c r="G18" i="10" s="1"/>
  <c r="I37" i="7"/>
  <c r="I27" i="7"/>
  <c r="J51" i="7"/>
  <c r="M128" i="7"/>
  <c r="M170" i="7"/>
  <c r="K149" i="7"/>
  <c r="J147" i="7"/>
  <c r="M233" i="7"/>
  <c r="M297" i="7"/>
  <c r="M190" i="7"/>
  <c r="H255" i="7"/>
  <c r="G25" i="7"/>
  <c r="G277" i="7"/>
  <c r="M191" i="7"/>
  <c r="J212" i="7"/>
  <c r="J257" i="7"/>
  <c r="K225" i="7"/>
  <c r="K255" i="7"/>
  <c r="F38" i="7"/>
  <c r="E35" i="7"/>
  <c r="E181" i="7"/>
  <c r="E309" i="7"/>
  <c r="D117" i="7"/>
  <c r="C131" i="7"/>
  <c r="B146" i="7"/>
  <c r="E94" i="7"/>
  <c r="F225" i="7"/>
  <c r="D206" i="7"/>
  <c r="C220" i="7"/>
  <c r="E288" i="7"/>
  <c r="D75" i="7"/>
  <c r="C89" i="7"/>
  <c r="B104" i="7"/>
  <c r="F122" i="7"/>
  <c r="D256" i="7"/>
  <c r="C270" i="7"/>
  <c r="B241" i="7"/>
  <c r="E174" i="7"/>
  <c r="B292" i="7"/>
  <c r="C258" i="7"/>
  <c r="D156" i="7"/>
  <c r="J23" i="7"/>
  <c r="N31" i="7"/>
  <c r="I180" i="7"/>
  <c r="G167" i="7"/>
  <c r="I299" i="7"/>
  <c r="L256" i="7"/>
  <c r="G280" i="7"/>
  <c r="N194" i="7"/>
  <c r="K262" i="7"/>
  <c r="F24" i="7"/>
  <c r="E167" i="7"/>
  <c r="F75" i="7"/>
  <c r="D210" i="7"/>
  <c r="C224" i="7"/>
  <c r="C161" i="7"/>
  <c r="D72" i="7"/>
  <c r="B277" i="7"/>
  <c r="D247" i="7"/>
  <c r="B25" i="7"/>
  <c r="D159" i="7"/>
  <c r="K154" i="7"/>
  <c r="J176" i="7"/>
  <c r="I103" i="7"/>
  <c r="C115" i="7"/>
  <c r="D107" i="7"/>
  <c r="C302" i="7"/>
  <c r="C53" i="7"/>
  <c r="J44" i="7"/>
  <c r="J142" i="7"/>
  <c r="H187" i="7"/>
  <c r="I271" i="7"/>
  <c r="L228" i="7"/>
  <c r="G224" i="7"/>
  <c r="J310" i="7"/>
  <c r="J299" i="7"/>
  <c r="E127" i="7"/>
  <c r="D265" i="7"/>
  <c r="C23" i="7"/>
  <c r="B38" i="7"/>
  <c r="E22" i="7"/>
  <c r="F299" i="7"/>
  <c r="D98" i="7"/>
  <c r="C112" i="7"/>
  <c r="B127" i="7"/>
  <c r="E180" i="7"/>
  <c r="B298" i="7"/>
  <c r="D40" i="7"/>
  <c r="B69" i="7"/>
  <c r="F160" i="7"/>
  <c r="D31" i="7"/>
  <c r="H151" i="7"/>
  <c r="L200" i="7"/>
  <c r="J236" i="7"/>
  <c r="K303" i="7"/>
  <c r="J163" i="7"/>
  <c r="E80" i="7"/>
  <c r="D185" i="7"/>
  <c r="J221" i="7"/>
  <c r="F259" i="7"/>
  <c r="E55" i="7"/>
  <c r="B112" i="7"/>
  <c r="J74" i="7"/>
  <c r="M174" i="7"/>
  <c r="G156" i="7"/>
  <c r="N182" i="7"/>
  <c r="K205" i="7"/>
  <c r="J201" i="7"/>
  <c r="E67" i="7"/>
  <c r="D197" i="7"/>
  <c r="K253" i="7"/>
  <c r="F265" i="7"/>
  <c r="E71" i="7"/>
  <c r="B198" i="7"/>
  <c r="B16" i="7"/>
  <c r="I139" i="7"/>
  <c r="I55" i="7"/>
  <c r="J80" i="7"/>
  <c r="J40" i="7"/>
  <c r="M32" i="7"/>
  <c r="B223" i="7"/>
  <c r="F112" i="7"/>
  <c r="B251" i="7"/>
  <c r="D276" i="7"/>
  <c r="F132" i="7"/>
  <c r="B312" i="7"/>
  <c r="E210" i="7"/>
  <c r="C314" i="7"/>
  <c r="B45" i="7"/>
  <c r="C286" i="7"/>
  <c r="D272" i="7"/>
  <c r="F130" i="7"/>
  <c r="B120" i="7"/>
  <c r="C105" i="7"/>
  <c r="D91" i="7"/>
  <c r="E168" i="7"/>
  <c r="B115" i="7"/>
  <c r="C228" i="7"/>
  <c r="D214" i="7"/>
  <c r="F229" i="7"/>
  <c r="F99" i="7"/>
  <c r="B154" i="7"/>
  <c r="C139" i="7"/>
  <c r="D125" i="7"/>
  <c r="E313" i="7"/>
  <c r="E185" i="7"/>
  <c r="E40" i="7"/>
  <c r="F42" i="7"/>
  <c r="K266" i="7"/>
  <c r="J231" i="7"/>
  <c r="J265" i="7"/>
  <c r="J218" i="7"/>
  <c r="N195" i="7"/>
  <c r="G281" i="7"/>
  <c r="N71" i="7"/>
  <c r="H257" i="7"/>
  <c r="H193" i="7"/>
  <c r="M299" i="7"/>
  <c r="M235" i="7"/>
  <c r="G152" i="7"/>
  <c r="L151" i="7"/>
  <c r="M172" i="7"/>
  <c r="G43" i="7"/>
  <c r="I82" i="7"/>
  <c r="H99" i="7"/>
  <c r="G66" i="7"/>
  <c r="L27" i="7"/>
  <c r="C50" i="7"/>
  <c r="F268" i="7"/>
  <c r="K269" i="7"/>
  <c r="B279" i="7"/>
  <c r="F152" i="7"/>
  <c r="B180" i="7"/>
  <c r="D151" i="7"/>
  <c r="F57" i="7"/>
  <c r="B181" i="7"/>
  <c r="C166" i="7"/>
  <c r="D152" i="7"/>
  <c r="E58" i="7"/>
  <c r="E236" i="7"/>
  <c r="B183" i="7"/>
  <c r="C168" i="7"/>
  <c r="D154" i="7"/>
  <c r="F199" i="7"/>
  <c r="F59" i="7"/>
  <c r="B94" i="7"/>
  <c r="C79" i="7"/>
  <c r="D65" i="7"/>
  <c r="E283" i="7"/>
  <c r="E155" i="7"/>
  <c r="G144" i="7"/>
  <c r="I87" i="7"/>
  <c r="K206" i="7"/>
  <c r="J165" i="7"/>
  <c r="N294" i="7"/>
  <c r="G139" i="7"/>
  <c r="G252" i="7"/>
  <c r="L306" i="7"/>
  <c r="L242" i="7"/>
  <c r="N165" i="7"/>
  <c r="I285" i="7"/>
  <c r="I221" i="7"/>
  <c r="M96" i="7"/>
  <c r="K128" i="7"/>
  <c r="I158" i="7"/>
  <c r="M138" i="7"/>
  <c r="N53" i="7"/>
  <c r="H79" i="7"/>
  <c r="J39" i="7"/>
  <c r="I32" i="7"/>
  <c r="K308" i="7"/>
  <c r="K227" i="7"/>
  <c r="J232" i="7"/>
  <c r="K163" i="7"/>
  <c r="N313" i="7"/>
  <c r="N249" i="7"/>
  <c r="J180" i="7"/>
  <c r="G271" i="7"/>
  <c r="G207" i="7"/>
  <c r="H284" i="7"/>
  <c r="H252" i="7"/>
  <c r="H220" i="7"/>
  <c r="N184" i="7"/>
  <c r="I91" i="7"/>
  <c r="M294" i="7"/>
  <c r="M262" i="7"/>
  <c r="M230" i="7"/>
  <c r="M198" i="7"/>
  <c r="H138" i="7"/>
  <c r="L178" i="7"/>
  <c r="K145" i="7"/>
  <c r="M72" i="7"/>
  <c r="M167" i="7"/>
  <c r="L125" i="7"/>
  <c r="I148" i="7"/>
  <c r="I116" i="7"/>
  <c r="I74" i="7"/>
  <c r="N128" i="7"/>
  <c r="J92" i="7"/>
  <c r="G102" i="7"/>
  <c r="K59" i="7"/>
  <c r="M57" i="7"/>
  <c r="L17" i="7"/>
  <c r="M108" i="7"/>
  <c r="N304" i="7"/>
  <c r="N240" i="7"/>
  <c r="J162" i="7"/>
  <c r="G262" i="7"/>
  <c r="G198" i="7"/>
  <c r="L311" i="7"/>
  <c r="L279" i="7"/>
  <c r="L247" i="7"/>
  <c r="L215" i="7"/>
  <c r="N175" i="7"/>
  <c r="N141" i="7"/>
  <c r="I306" i="7"/>
  <c r="I274" i="7"/>
  <c r="I242" i="7"/>
  <c r="I210" i="7"/>
  <c r="G165" i="7"/>
  <c r="H190" i="7"/>
  <c r="H158" i="7"/>
  <c r="I105" i="7"/>
  <c r="I179" i="7"/>
  <c r="J146" i="7"/>
  <c r="N74" i="7"/>
  <c r="M127" i="7"/>
  <c r="N90" i="7"/>
  <c r="J140" i="7"/>
  <c r="M107" i="7"/>
  <c r="G46" i="7"/>
  <c r="G75" i="7"/>
  <c r="L74" i="7"/>
  <c r="H41" i="7"/>
  <c r="J76" i="7"/>
  <c r="K98" i="7"/>
  <c r="K66" i="7"/>
  <c r="H77" i="7"/>
  <c r="I43" i="7"/>
  <c r="I44" i="7"/>
  <c r="M87" i="7"/>
  <c r="M144" i="7"/>
  <c r="M178" i="7"/>
  <c r="L157" i="7"/>
  <c r="G164" i="7"/>
  <c r="M241" i="7"/>
  <c r="M305" i="7"/>
  <c r="H199" i="7"/>
  <c r="H263" i="7"/>
  <c r="H131" i="7"/>
  <c r="G293" i="7"/>
  <c r="N207" i="7"/>
  <c r="J234" i="7"/>
  <c r="K286" i="7"/>
  <c r="K252" i="7"/>
  <c r="K298" i="7"/>
  <c r="K231" i="7"/>
  <c r="E133" i="7"/>
  <c r="E261" i="7"/>
  <c r="D21" i="7"/>
  <c r="D277" i="7"/>
  <c r="C35" i="7"/>
  <c r="C291" i="7"/>
  <c r="B50" i="7"/>
  <c r="E30" i="7"/>
  <c r="F113" i="7"/>
  <c r="F241" i="7"/>
  <c r="D238" i="7"/>
  <c r="C252" i="7"/>
  <c r="E192" i="7"/>
  <c r="B310" i="7"/>
  <c r="F282" i="7"/>
  <c r="D64" i="7"/>
  <c r="C78" i="7"/>
  <c r="B93" i="7"/>
  <c r="E306" i="7"/>
  <c r="F180" i="7"/>
  <c r="E31" i="7"/>
  <c r="B172" i="7"/>
  <c r="G60" i="7"/>
  <c r="L97" i="7"/>
  <c r="K58" i="7"/>
  <c r="I195" i="7"/>
  <c r="L272" i="7"/>
  <c r="G312" i="7"/>
  <c r="N226" i="7"/>
  <c r="F56" i="7"/>
  <c r="E199" i="7"/>
  <c r="F115" i="7"/>
  <c r="D274" i="7"/>
  <c r="C288" i="7"/>
  <c r="D200" i="7"/>
  <c r="F252" i="7"/>
  <c r="G124" i="7"/>
  <c r="G205" i="7"/>
  <c r="N247" i="7"/>
  <c r="J202" i="7"/>
  <c r="J16" i="7"/>
  <c r="C307" i="7"/>
  <c r="E41" i="7"/>
  <c r="D126" i="7"/>
  <c r="B187" i="7"/>
  <c r="F63" i="7"/>
  <c r="B225" i="7"/>
  <c r="B260" i="7"/>
  <c r="C58" i="7"/>
  <c r="G30" i="7"/>
  <c r="I168" i="7"/>
  <c r="H140" i="7"/>
  <c r="I295" i="7"/>
  <c r="L252" i="7"/>
  <c r="G272" i="7"/>
  <c r="J182" i="7"/>
  <c r="K246" i="7"/>
  <c r="F32" i="7"/>
  <c r="E175" i="7"/>
  <c r="E86" i="7"/>
  <c r="D194" i="7"/>
  <c r="C208" i="7"/>
  <c r="K311" i="7"/>
  <c r="E276" i="7"/>
  <c r="C65" i="7"/>
  <c r="B80" i="7"/>
  <c r="C246" i="7"/>
  <c r="D311" i="7"/>
  <c r="F312" i="7"/>
  <c r="D271" i="7"/>
  <c r="I156" i="7"/>
  <c r="I291" i="7"/>
  <c r="G264" i="7"/>
  <c r="E97" i="7"/>
  <c r="D178" i="7"/>
  <c r="K226" i="7"/>
  <c r="F47" i="7"/>
  <c r="B165" i="7"/>
  <c r="B148" i="7"/>
  <c r="G133" i="7"/>
  <c r="L65" i="7"/>
  <c r="L123" i="7"/>
  <c r="L177" i="7"/>
  <c r="M277" i="7"/>
  <c r="G221" i="7"/>
  <c r="J295" i="7"/>
  <c r="E105" i="7"/>
  <c r="D190" i="7"/>
  <c r="K290" i="7"/>
  <c r="C57" i="7"/>
  <c r="E106" i="7"/>
  <c r="B189" i="7"/>
  <c r="B196" i="7"/>
  <c r="F272" i="7"/>
  <c r="N72" i="7"/>
  <c r="I90" i="7"/>
  <c r="H107" i="7"/>
  <c r="G74" i="7"/>
  <c r="L39" i="7"/>
  <c r="C93" i="7"/>
  <c r="J301" i="7"/>
  <c r="C98" i="7"/>
  <c r="F292" i="7"/>
  <c r="D47" i="7"/>
  <c r="F200" i="7"/>
  <c r="B212" i="7"/>
  <c r="D199" i="7"/>
  <c r="F89" i="7"/>
  <c r="B201" i="7"/>
  <c r="C190" i="7"/>
  <c r="D176" i="7"/>
  <c r="E74" i="7"/>
  <c r="B24" i="7"/>
  <c r="E248" i="7"/>
  <c r="B195" i="7"/>
  <c r="C180" i="7"/>
  <c r="D166" i="7"/>
  <c r="F269" i="7"/>
  <c r="F141" i="7"/>
  <c r="J275" i="7"/>
  <c r="C219" i="7"/>
  <c r="D205" i="7"/>
  <c r="E225" i="7"/>
  <c r="F93" i="7"/>
  <c r="F82" i="7"/>
  <c r="J217" i="7"/>
  <c r="J303" i="7"/>
  <c r="J270" i="7"/>
  <c r="G33" i="7"/>
  <c r="N235" i="7"/>
  <c r="G193" i="7"/>
  <c r="H277" i="7"/>
  <c r="H213" i="7"/>
  <c r="N28" i="7"/>
  <c r="M255" i="7"/>
  <c r="K191" i="7"/>
  <c r="L171" i="7"/>
  <c r="N34" i="7"/>
  <c r="L111" i="7"/>
  <c r="N108" i="7"/>
  <c r="N121" i="7"/>
  <c r="G93" i="7"/>
  <c r="J45" i="7"/>
  <c r="M36" i="7"/>
  <c r="D95" i="7"/>
  <c r="B303" i="7"/>
  <c r="F192" i="7"/>
  <c r="B291" i="7"/>
  <c r="F172" i="7"/>
  <c r="E290" i="7"/>
  <c r="B85" i="7"/>
  <c r="C70" i="7"/>
  <c r="D56" i="7"/>
  <c r="F278" i="7"/>
  <c r="B306" i="7"/>
  <c r="E188" i="7"/>
  <c r="B135" i="7"/>
  <c r="C120" i="7"/>
  <c r="D106" i="7"/>
  <c r="F303" i="7"/>
  <c r="F175" i="7"/>
  <c r="F27" i="7"/>
  <c r="B46" i="7"/>
  <c r="C287" i="7"/>
  <c r="C31" i="7"/>
  <c r="D273" i="7"/>
  <c r="D17" i="7"/>
  <c r="E259" i="7"/>
  <c r="E131" i="7"/>
  <c r="K220" i="7"/>
  <c r="K309" i="7"/>
  <c r="K219" i="7"/>
  <c r="N270" i="7"/>
  <c r="G228" i="7"/>
  <c r="L294" i="7"/>
  <c r="L230" i="7"/>
  <c r="G138" i="7"/>
  <c r="I273" i="7"/>
  <c r="I209" i="7"/>
  <c r="G163" i="7"/>
  <c r="H189" i="7"/>
  <c r="H157" i="7"/>
  <c r="I178" i="7"/>
  <c r="N70" i="7"/>
  <c r="L89" i="7"/>
  <c r="J106" i="7"/>
  <c r="K73" i="7"/>
  <c r="H39" i="7"/>
  <c r="J159" i="7"/>
  <c r="J281" i="7"/>
  <c r="J272" i="7"/>
  <c r="K217" i="7"/>
  <c r="N269" i="7"/>
  <c r="N205" i="7"/>
  <c r="G291" i="7"/>
  <c r="G227" i="7"/>
  <c r="H123" i="7"/>
  <c r="H294" i="7"/>
  <c r="H262" i="7"/>
  <c r="H230" i="7"/>
  <c r="H198" i="7"/>
  <c r="G136" i="7"/>
  <c r="M304" i="7"/>
  <c r="M272" i="7"/>
  <c r="M240" i="7"/>
  <c r="M208" i="7"/>
  <c r="G162" i="7"/>
  <c r="L188" i="7"/>
  <c r="L156" i="7"/>
  <c r="I101" i="7"/>
  <c r="M177" i="7"/>
  <c r="J144" i="7"/>
  <c r="N68" i="7"/>
  <c r="I126" i="7"/>
  <c r="N88" i="7"/>
  <c r="N138" i="7"/>
  <c r="M105" i="7"/>
  <c r="G38" i="7"/>
  <c r="G73" i="7"/>
  <c r="L72" i="7"/>
  <c r="L37" i="7"/>
  <c r="K199" i="7"/>
  <c r="N260" i="7"/>
  <c r="N196" i="7"/>
  <c r="G282" i="7"/>
  <c r="G218" i="7"/>
  <c r="J79" i="7"/>
  <c r="L289" i="7"/>
  <c r="L257" i="7"/>
  <c r="L225" i="7"/>
  <c r="L193" i="7"/>
  <c r="G118" i="7"/>
  <c r="I300" i="7"/>
  <c r="I268" i="7"/>
  <c r="I236" i="7"/>
  <c r="I220" i="7"/>
  <c r="G185" i="7"/>
  <c r="J91" i="7"/>
  <c r="H168" i="7"/>
  <c r="K126" i="7"/>
  <c r="I189" i="7"/>
  <c r="I157" i="7"/>
  <c r="M102" i="7"/>
  <c r="M137" i="7"/>
  <c r="I104" i="7"/>
  <c r="I51" i="7"/>
  <c r="J118" i="7"/>
  <c r="J77" i="7"/>
  <c r="G88" i="7"/>
  <c r="J36" i="7"/>
  <c r="K20" i="7"/>
  <c r="I30" i="7"/>
  <c r="K108" i="7"/>
  <c r="K76" i="7"/>
  <c r="J34" i="7"/>
  <c r="M53" i="7"/>
  <c r="L46" i="7"/>
  <c r="M47" i="7"/>
  <c r="K34" i="7"/>
  <c r="H36" i="7"/>
  <c r="H20" i="7"/>
  <c r="I21" i="7"/>
  <c r="I17" i="10"/>
  <c r="I17" i="7"/>
  <c r="I25" i="7"/>
  <c r="I33" i="7"/>
  <c r="I41" i="7"/>
  <c r="I49" i="7"/>
  <c r="H24" i="7"/>
  <c r="H32" i="7"/>
  <c r="H40" i="7"/>
  <c r="H48" i="7"/>
  <c r="H56" i="7"/>
  <c r="K26" i="7"/>
  <c r="K42" i="7"/>
  <c r="M55" i="7"/>
  <c r="M19" i="7"/>
  <c r="M27" i="7"/>
  <c r="M35" i="7"/>
  <c r="M43" i="7"/>
  <c r="L18" i="7"/>
  <c r="L26" i="7"/>
  <c r="L34" i="7"/>
  <c r="L42" i="7"/>
  <c r="L50" i="7"/>
  <c r="L58" i="7"/>
  <c r="K31" i="7"/>
  <c r="K47" i="7"/>
  <c r="G59" i="7"/>
  <c r="H67" i="7"/>
  <c r="H75" i="7"/>
  <c r="J26" i="7"/>
  <c r="J42" i="7"/>
  <c r="K55" i="7"/>
  <c r="K64" i="7"/>
  <c r="K72" i="7"/>
  <c r="K80" i="7"/>
  <c r="K88" i="7"/>
  <c r="K96" i="7"/>
  <c r="K104" i="7"/>
  <c r="G26" i="7"/>
  <c r="J55" i="7"/>
  <c r="J72" i="7"/>
  <c r="I22" i="7"/>
  <c r="I38" i="7"/>
  <c r="H21" i="7"/>
  <c r="H37" i="7"/>
  <c r="H53" i="7"/>
  <c r="K36" i="7"/>
  <c r="L61" i="7"/>
  <c r="H72" i="7"/>
  <c r="J25" i="7"/>
  <c r="J47" i="7"/>
  <c r="K61" i="7"/>
  <c r="G72" i="7"/>
  <c r="G83" i="7"/>
  <c r="K93" i="7"/>
  <c r="G104" i="7"/>
  <c r="G36" i="7"/>
  <c r="J66" i="7"/>
  <c r="M83" i="7"/>
  <c r="J94" i="7"/>
  <c r="H105" i="7"/>
  <c r="J114" i="7"/>
  <c r="J122" i="7"/>
  <c r="J130" i="7"/>
  <c r="J138" i="7"/>
  <c r="N35" i="7"/>
  <c r="I61" i="7"/>
  <c r="I77" i="7"/>
  <c r="I88" i="7"/>
  <c r="N98" i="7"/>
  <c r="L109" i="7"/>
  <c r="M117" i="7"/>
  <c r="M125" i="7"/>
  <c r="M133" i="7"/>
  <c r="M141" i="7"/>
  <c r="M149" i="7"/>
  <c r="N66" i="7"/>
  <c r="H92" i="7"/>
  <c r="L112" i="7"/>
  <c r="L128" i="7"/>
  <c r="L143" i="7"/>
  <c r="I153" i="7"/>
  <c r="I161" i="7"/>
  <c r="I169" i="7"/>
  <c r="I177" i="7"/>
  <c r="I185" i="7"/>
  <c r="N38" i="7"/>
  <c r="L78" i="7"/>
  <c r="N99" i="7"/>
  <c r="K118" i="7"/>
  <c r="K134" i="7"/>
  <c r="K147" i="7"/>
  <c r="H156" i="7"/>
  <c r="H164" i="7"/>
  <c r="H172" i="7"/>
  <c r="H180" i="7"/>
  <c r="H188" i="7"/>
  <c r="N65" i="7"/>
  <c r="H112" i="7"/>
  <c r="J143" i="7"/>
  <c r="G161" i="7"/>
  <c r="G177" i="7"/>
  <c r="I192" i="7"/>
  <c r="I200" i="7"/>
  <c r="I208" i="7"/>
  <c r="I216" i="7"/>
  <c r="I224" i="7"/>
  <c r="I232" i="7"/>
  <c r="I240" i="7"/>
  <c r="I248" i="7"/>
  <c r="I256" i="7"/>
  <c r="I264" i="7"/>
  <c r="I272" i="7"/>
  <c r="I280" i="7"/>
  <c r="I288" i="7"/>
  <c r="I296" i="7"/>
  <c r="I304" i="7"/>
  <c r="I312" i="7"/>
  <c r="N36" i="7"/>
  <c r="I99" i="7"/>
  <c r="G134" i="7"/>
  <c r="N155" i="7"/>
  <c r="N171" i="7"/>
  <c r="N187" i="7"/>
  <c r="L197" i="7"/>
  <c r="L205" i="7"/>
  <c r="L213" i="7"/>
  <c r="L221" i="7"/>
  <c r="L229" i="7"/>
  <c r="L237" i="7"/>
  <c r="L245" i="7"/>
  <c r="L253" i="7"/>
  <c r="L261" i="7"/>
  <c r="L269" i="7"/>
  <c r="L277" i="7"/>
  <c r="L285" i="7"/>
  <c r="L293" i="7"/>
  <c r="L301" i="7"/>
  <c r="L309" i="7"/>
  <c r="H119" i="7"/>
  <c r="K164" i="7"/>
  <c r="G194" i="7"/>
  <c r="G210" i="7"/>
  <c r="G226" i="7"/>
  <c r="G242" i="7"/>
  <c r="G258" i="7"/>
  <c r="G274" i="7"/>
  <c r="G290" i="7"/>
  <c r="G306" i="7"/>
  <c r="I95" i="7"/>
  <c r="J154" i="7"/>
  <c r="J186" i="7"/>
  <c r="N204" i="7"/>
  <c r="N220" i="7"/>
  <c r="N236" i="7"/>
  <c r="N252" i="7"/>
  <c r="N268" i="7"/>
  <c r="N284" i="7"/>
  <c r="N300" i="7"/>
  <c r="N59" i="7"/>
  <c r="K175" i="7"/>
  <c r="K215" i="7"/>
  <c r="M30" i="7"/>
  <c r="M46" i="7"/>
  <c r="L29" i="7"/>
  <c r="L45" i="7"/>
  <c r="K21" i="7"/>
  <c r="J52" i="7"/>
  <c r="L67" i="7"/>
  <c r="H78" i="7"/>
  <c r="J37" i="7"/>
  <c r="I56" i="7"/>
  <c r="K67" i="7"/>
  <c r="G78" i="7"/>
  <c r="G89" i="7"/>
  <c r="K99" i="7"/>
  <c r="G110" i="7"/>
  <c r="M56" i="7"/>
  <c r="J78" i="7"/>
  <c r="M89" i="7"/>
  <c r="J100" i="7"/>
  <c r="N110" i="7"/>
  <c r="N118" i="7"/>
  <c r="N126" i="7"/>
  <c r="N134" i="7"/>
  <c r="N21" i="7"/>
  <c r="K52" i="7"/>
  <c r="I70" i="7"/>
  <c r="L83" i="7"/>
  <c r="I94" i="7"/>
  <c r="N104" i="7"/>
  <c r="I114" i="7"/>
  <c r="I122" i="7"/>
  <c r="I130" i="7"/>
  <c r="I138" i="7"/>
  <c r="I146" i="7"/>
  <c r="M50" i="7"/>
  <c r="M82" i="7"/>
  <c r="H104" i="7"/>
  <c r="L121" i="7"/>
  <c r="L137" i="7"/>
  <c r="L149" i="7"/>
  <c r="M157" i="7"/>
  <c r="M165" i="7"/>
  <c r="M173" i="7"/>
  <c r="M181" i="7"/>
  <c r="M189" i="7"/>
  <c r="M64" i="7"/>
  <c r="L90" i="7"/>
  <c r="K111" i="7"/>
  <c r="K127" i="7"/>
  <c r="N142" i="7"/>
  <c r="L152" i="7"/>
  <c r="L160" i="7"/>
  <c r="L168" i="7"/>
  <c r="L176" i="7"/>
  <c r="L184" i="7"/>
  <c r="G21" i="7"/>
  <c r="H94" i="7"/>
  <c r="H130" i="7"/>
  <c r="G154" i="7"/>
  <c r="G170" i="7"/>
  <c r="G186" i="7"/>
  <c r="M196" i="7"/>
  <c r="M204" i="7"/>
  <c r="M212" i="7"/>
  <c r="M220" i="7"/>
  <c r="M228" i="7"/>
  <c r="M236" i="7"/>
  <c r="M244" i="7"/>
  <c r="M252" i="7"/>
  <c r="M260" i="7"/>
  <c r="M268" i="7"/>
  <c r="M276" i="7"/>
  <c r="M284" i="7"/>
  <c r="M292" i="7"/>
  <c r="M300" i="7"/>
  <c r="M308" i="7"/>
  <c r="L80" i="7"/>
  <c r="G120" i="7"/>
  <c r="K148" i="7"/>
  <c r="N164" i="7"/>
  <c r="N180" i="7"/>
  <c r="H194" i="7"/>
  <c r="H202" i="7"/>
  <c r="H210" i="7"/>
  <c r="H218" i="7"/>
  <c r="H226" i="7"/>
  <c r="H234" i="7"/>
  <c r="H242" i="7"/>
  <c r="H250" i="7"/>
  <c r="H258" i="7"/>
  <c r="H266" i="7"/>
  <c r="H274" i="7"/>
  <c r="H282" i="7"/>
  <c r="H290" i="7"/>
  <c r="H298" i="7"/>
  <c r="H306" i="7"/>
  <c r="H314" i="7"/>
  <c r="M84" i="7"/>
  <c r="K150" i="7"/>
  <c r="K182" i="7"/>
  <c r="G203" i="7"/>
  <c r="G219" i="7"/>
  <c r="G235" i="7"/>
  <c r="G251" i="7"/>
  <c r="G267" i="7"/>
  <c r="G283" i="7"/>
  <c r="G299" i="7"/>
  <c r="N40" i="7"/>
  <c r="G135" i="7"/>
  <c r="J172" i="7"/>
  <c r="N197" i="7"/>
  <c r="N213" i="7"/>
  <c r="N229" i="7"/>
  <c r="N245" i="7"/>
  <c r="N261" i="7"/>
  <c r="N277" i="7"/>
  <c r="N293" i="7"/>
  <c r="N309" i="7"/>
  <c r="L146" i="7"/>
  <c r="K201" i="7"/>
  <c r="G113" i="7"/>
  <c r="J192" i="7"/>
  <c r="J224" i="7"/>
  <c r="J256" i="7"/>
  <c r="J288" i="7"/>
  <c r="G49" i="7"/>
  <c r="K214" i="7"/>
  <c r="K259" i="7"/>
  <c r="K302" i="7"/>
  <c r="J207" i="7"/>
  <c r="J255" i="7"/>
  <c r="K297" i="7"/>
  <c r="I24" i="7"/>
  <c r="H23" i="7"/>
  <c r="H55" i="7"/>
  <c r="L62" i="7"/>
  <c r="J28" i="7"/>
  <c r="G63" i="7"/>
  <c r="G84" i="7"/>
  <c r="K105" i="7"/>
  <c r="J69" i="7"/>
  <c r="M95" i="7"/>
  <c r="J115" i="7"/>
  <c r="J131" i="7"/>
  <c r="N39" i="7"/>
  <c r="N78" i="7"/>
  <c r="I100" i="7"/>
  <c r="M118" i="7"/>
  <c r="M134" i="7"/>
  <c r="G23" i="7"/>
  <c r="M94" i="7"/>
  <c r="L130" i="7"/>
  <c r="I154" i="7"/>
  <c r="I170" i="7"/>
  <c r="I186" i="7"/>
  <c r="I81" i="7"/>
  <c r="K120" i="7"/>
  <c r="N148" i="7"/>
  <c r="H165" i="7"/>
  <c r="H181" i="7"/>
  <c r="N73" i="7"/>
  <c r="G146" i="7"/>
  <c r="G179" i="7"/>
  <c r="I201" i="7"/>
  <c r="I217" i="7"/>
  <c r="I233" i="7"/>
  <c r="I249" i="7"/>
  <c r="I265" i="7"/>
  <c r="I281" i="7"/>
  <c r="I297" i="7"/>
  <c r="I313" i="7"/>
  <c r="L104" i="7"/>
  <c r="N157" i="7"/>
  <c r="N189" i="7"/>
  <c r="L206" i="7"/>
  <c r="L222" i="7"/>
  <c r="L238" i="7"/>
  <c r="L254" i="7"/>
  <c r="L270" i="7"/>
  <c r="L286" i="7"/>
  <c r="L302" i="7"/>
  <c r="K168" i="7"/>
  <c r="G212" i="7"/>
  <c r="G244" i="7"/>
  <c r="G276" i="7"/>
  <c r="G308" i="7"/>
  <c r="N105" i="7"/>
  <c r="J190" i="7"/>
  <c r="N222" i="7"/>
  <c r="N254" i="7"/>
  <c r="N286" i="7"/>
  <c r="K183" i="7"/>
  <c r="G137" i="7"/>
  <c r="J210" i="7"/>
  <c r="J252" i="7"/>
  <c r="J294" i="7"/>
  <c r="K181" i="7"/>
  <c r="K254" i="7"/>
  <c r="K310" i="7"/>
  <c r="J219" i="7"/>
  <c r="J279" i="7"/>
  <c r="K250" i="7"/>
  <c r="G117" i="7"/>
  <c r="J267" i="7"/>
  <c r="F36" i="7"/>
  <c r="F68" i="7"/>
  <c r="F100" i="7"/>
  <c r="K306" i="7"/>
  <c r="E32" i="7"/>
  <c r="E75" i="7"/>
  <c r="E115" i="7"/>
  <c r="E147" i="7"/>
  <c r="E179" i="7"/>
  <c r="E211" i="7"/>
  <c r="E243" i="7"/>
  <c r="E275" i="7"/>
  <c r="E307" i="7"/>
  <c r="D49" i="7"/>
  <c r="D113" i="7"/>
  <c r="D177" i="7"/>
  <c r="D241" i="7"/>
  <c r="D305" i="7"/>
  <c r="C63" i="7"/>
  <c r="C127" i="7"/>
  <c r="C191" i="7"/>
  <c r="C255" i="7"/>
  <c r="B78" i="7"/>
  <c r="B142" i="7"/>
  <c r="J187" i="7"/>
  <c r="E49" i="7"/>
  <c r="F91" i="7"/>
  <c r="F127" i="7"/>
  <c r="F159" i="7"/>
  <c r="F191" i="7"/>
  <c r="F223" i="7"/>
  <c r="F255" i="7"/>
  <c r="F287" i="7"/>
  <c r="D74" i="7"/>
  <c r="D138" i="7"/>
  <c r="D202" i="7"/>
  <c r="D266" i="7"/>
  <c r="C24" i="7"/>
  <c r="C88" i="7"/>
  <c r="C152" i="7"/>
  <c r="C216" i="7"/>
  <c r="C280" i="7"/>
  <c r="B39" i="7"/>
  <c r="B103" i="7"/>
  <c r="B167" i="7"/>
  <c r="E87" i="7"/>
  <c r="E156" i="7"/>
  <c r="E220" i="7"/>
  <c r="E284" i="7"/>
  <c r="D67" i="7"/>
  <c r="D195" i="7"/>
  <c r="C81" i="7"/>
  <c r="C209" i="7"/>
  <c r="B96" i="7"/>
  <c r="B210" i="7"/>
  <c r="B274" i="7"/>
  <c r="L15" i="7"/>
  <c r="E37" i="7"/>
  <c r="F118" i="7"/>
  <c r="F182" i="7"/>
  <c r="F246" i="7"/>
  <c r="F310" i="7"/>
  <c r="D120" i="7"/>
  <c r="D248" i="7"/>
  <c r="C134" i="7"/>
  <c r="C262" i="7"/>
  <c r="B21" i="7"/>
  <c r="B149" i="7"/>
  <c r="B237" i="7"/>
  <c r="B301" i="7"/>
  <c r="K16" i="7"/>
  <c r="E166" i="7"/>
  <c r="E294" i="7"/>
  <c r="D87" i="7"/>
  <c r="C101" i="7"/>
  <c r="B116" i="7"/>
  <c r="B284" i="7"/>
  <c r="J197" i="7"/>
  <c r="E82" i="7"/>
  <c r="D204" i="7"/>
  <c r="C202" i="7"/>
  <c r="B215" i="7"/>
  <c r="E162" i="7"/>
  <c r="B264" i="7"/>
  <c r="F108" i="7"/>
  <c r="F236" i="7"/>
  <c r="D228" i="7"/>
  <c r="C242" i="7"/>
  <c r="B227" i="7"/>
  <c r="E50" i="7"/>
  <c r="D124" i="7"/>
  <c r="C154" i="7"/>
  <c r="B153" i="7"/>
  <c r="E170" i="7"/>
  <c r="B304" i="7"/>
  <c r="M20" i="7"/>
  <c r="L19" i="7"/>
  <c r="L51" i="7"/>
  <c r="H60" i="7"/>
  <c r="J24" i="7"/>
  <c r="G61" i="7"/>
  <c r="G82" i="7"/>
  <c r="K103" i="7"/>
  <c r="J65" i="7"/>
  <c r="M93" i="7"/>
  <c r="N113" i="7"/>
  <c r="N129" i="7"/>
  <c r="N33" i="7"/>
  <c r="I76" i="7"/>
  <c r="I98" i="7"/>
  <c r="I117" i="7"/>
  <c r="I133" i="7"/>
  <c r="I149" i="7"/>
  <c r="M90" i="7"/>
  <c r="L127" i="7"/>
  <c r="M152" i="7"/>
  <c r="M168" i="7"/>
  <c r="M184" i="7"/>
  <c r="M76" i="7"/>
  <c r="K117" i="7"/>
  <c r="N146" i="7"/>
  <c r="L163" i="7"/>
  <c r="L179" i="7"/>
  <c r="N61" i="7"/>
  <c r="G142" i="7"/>
  <c r="G176" i="7"/>
  <c r="M199" i="7"/>
  <c r="M215" i="7"/>
  <c r="M231" i="7"/>
  <c r="M247" i="7"/>
  <c r="M263" i="7"/>
  <c r="M279" i="7"/>
  <c r="M295" i="7"/>
  <c r="M311" i="7"/>
  <c r="L96" i="7"/>
  <c r="N154" i="7"/>
  <c r="N186" i="7"/>
  <c r="H205" i="7"/>
  <c r="H221" i="7"/>
  <c r="H237" i="7"/>
  <c r="H253" i="7"/>
  <c r="H269" i="7"/>
  <c r="H285" i="7"/>
  <c r="H301" i="7"/>
  <c r="K162" i="7"/>
  <c r="G209" i="7"/>
  <c r="G241" i="7"/>
  <c r="G273" i="7"/>
  <c r="G305" i="7"/>
  <c r="N89" i="7"/>
  <c r="J184" i="7"/>
  <c r="N219" i="7"/>
  <c r="N251" i="7"/>
  <c r="N283" i="7"/>
  <c r="K171" i="7"/>
  <c r="G129" i="7"/>
  <c r="J206" i="7"/>
  <c r="J250" i="7"/>
  <c r="J292" i="7"/>
  <c r="K165" i="7"/>
  <c r="K251" i="7"/>
  <c r="K307" i="7"/>
  <c r="J215" i="7"/>
  <c r="K273" i="7"/>
  <c r="J245" i="7"/>
  <c r="M75" i="7"/>
  <c r="K261" i="7"/>
  <c r="F34" i="7"/>
  <c r="F66" i="7"/>
  <c r="F98" i="7"/>
  <c r="K295" i="7"/>
  <c r="F29" i="7"/>
  <c r="E72" i="7"/>
  <c r="E113" i="7"/>
  <c r="E145" i="7"/>
  <c r="E177" i="7"/>
  <c r="E209" i="7"/>
  <c r="E241" i="7"/>
  <c r="E273" i="7"/>
  <c r="E305" i="7"/>
  <c r="D45" i="7"/>
  <c r="D109" i="7"/>
  <c r="D173" i="7"/>
  <c r="D237" i="7"/>
  <c r="D301" i="7"/>
  <c r="C59" i="7"/>
  <c r="C123" i="7"/>
  <c r="C187" i="7"/>
  <c r="C251" i="7"/>
  <c r="B74" i="7"/>
  <c r="B138" i="7"/>
  <c r="J155" i="7"/>
  <c r="E46" i="7"/>
  <c r="E89" i="7"/>
  <c r="F125" i="7"/>
  <c r="F157" i="7"/>
  <c r="F189" i="7"/>
  <c r="F221" i="7"/>
  <c r="F253" i="7"/>
  <c r="F285" i="7"/>
  <c r="D70" i="7"/>
  <c r="D134" i="7"/>
  <c r="D198" i="7"/>
  <c r="D262" i="7"/>
  <c r="C20" i="7"/>
  <c r="C84" i="7"/>
  <c r="C148" i="7"/>
  <c r="C212" i="7"/>
  <c r="C276" i="7"/>
  <c r="B35" i="7"/>
  <c r="B99" i="7"/>
  <c r="B163" i="7"/>
  <c r="F81" i="7"/>
  <c r="E152" i="7"/>
  <c r="E216" i="7"/>
  <c r="E280" i="7"/>
  <c r="D59" i="7"/>
  <c r="D187" i="7"/>
  <c r="C73" i="7"/>
  <c r="C201" i="7"/>
  <c r="B88" i="7"/>
  <c r="B206" i="7"/>
  <c r="B270" i="7"/>
  <c r="H15" i="7"/>
  <c r="F31" i="7"/>
  <c r="F114" i="7"/>
  <c r="F178" i="7"/>
  <c r="F242" i="7"/>
  <c r="F306" i="7"/>
  <c r="D112" i="7"/>
  <c r="D240" i="7"/>
  <c r="C126" i="7"/>
  <c r="C254" i="7"/>
  <c r="B141" i="7"/>
  <c r="B233" i="7"/>
  <c r="B297" i="7"/>
  <c r="E158" i="7"/>
  <c r="E286" i="7"/>
  <c r="D71" i="7"/>
  <c r="C85" i="7"/>
  <c r="B100" i="7"/>
  <c r="B276" i="7"/>
  <c r="N15" i="7"/>
  <c r="E61" i="7"/>
  <c r="D172" i="7"/>
  <c r="C170" i="7"/>
  <c r="B199" i="7"/>
  <c r="E154" i="7"/>
  <c r="D303" i="7"/>
  <c r="C301" i="7"/>
  <c r="B248" i="7"/>
  <c r="E98" i="7"/>
  <c r="F228" i="7"/>
  <c r="D212" i="7"/>
  <c r="C226" i="7"/>
  <c r="B219" i="7"/>
  <c r="E29" i="7"/>
  <c r="F304" i="7"/>
  <c r="D108" i="7"/>
  <c r="C122" i="7"/>
  <c r="B121" i="7"/>
  <c r="E146" i="7"/>
  <c r="B288" i="7"/>
  <c r="M24" i="7"/>
  <c r="L23" i="7"/>
  <c r="L55" i="7"/>
  <c r="L63" i="7"/>
  <c r="J29" i="7"/>
  <c r="K63" i="7"/>
  <c r="G85" i="7"/>
  <c r="G106" i="7"/>
  <c r="J70" i="7"/>
  <c r="J96" i="7"/>
  <c r="N115" i="7"/>
  <c r="N131" i="7"/>
  <c r="N41" i="7"/>
  <c r="L79" i="7"/>
  <c r="N100" i="7"/>
  <c r="I119" i="7"/>
  <c r="I135" i="7"/>
  <c r="G27" i="7"/>
  <c r="H96" i="7"/>
  <c r="C285" i="7"/>
  <c r="D284" i="7"/>
  <c r="C237" i="7"/>
  <c r="E16" i="7"/>
  <c r="C181" i="7"/>
  <c r="F234" i="7"/>
  <c r="C16" i="7"/>
  <c r="B262" i="7"/>
  <c r="C313" i="7"/>
  <c r="D299" i="7"/>
  <c r="E144" i="7"/>
  <c r="B91" i="7"/>
  <c r="C76" i="7"/>
  <c r="D94" i="7"/>
  <c r="F297" i="7"/>
  <c r="F169" i="7"/>
  <c r="F19" i="7"/>
  <c r="B34" i="7"/>
  <c r="C275" i="7"/>
  <c r="C19" i="7"/>
  <c r="D261" i="7"/>
  <c r="E237" i="7"/>
  <c r="E109" i="7"/>
  <c r="F94" i="7"/>
  <c r="K293" i="7"/>
  <c r="G125" i="7"/>
  <c r="K210" i="7"/>
  <c r="J169" i="7"/>
  <c r="N295" i="7"/>
  <c r="K142" i="7"/>
  <c r="G269" i="7"/>
  <c r="J95" i="7"/>
  <c r="H259" i="7"/>
  <c r="H203" i="7"/>
  <c r="M309" i="7"/>
  <c r="M253" i="7"/>
  <c r="M221" i="7"/>
  <c r="G172" i="7"/>
  <c r="G37" i="7"/>
  <c r="L161" i="7"/>
  <c r="K113" i="7"/>
  <c r="M182" i="7"/>
  <c r="M150" i="7"/>
  <c r="G39" i="7"/>
  <c r="L81" i="7"/>
  <c r="J98" i="7"/>
  <c r="K65" i="7"/>
  <c r="H27" i="7"/>
  <c r="B208" i="7"/>
  <c r="E202" i="7"/>
  <c r="C218" i="7"/>
  <c r="D268" i="7"/>
  <c r="C133" i="7"/>
  <c r="E310" i="7"/>
  <c r="B309" i="7"/>
  <c r="F190" i="7"/>
  <c r="B218" i="7"/>
  <c r="C225" i="7"/>
  <c r="D211" i="7"/>
  <c r="F97" i="7"/>
  <c r="B79" i="7"/>
  <c r="C64" i="7"/>
  <c r="D306" i="7"/>
  <c r="D50" i="7"/>
  <c r="F275" i="7"/>
  <c r="F163" i="7"/>
  <c r="B22" i="7"/>
  <c r="C263" i="7"/>
  <c r="D249" i="7"/>
  <c r="E247" i="7"/>
  <c r="E119" i="7"/>
  <c r="F104" i="7"/>
  <c r="K277" i="7"/>
  <c r="K313" i="7"/>
  <c r="J278" i="7"/>
  <c r="H125" i="7"/>
  <c r="N242" i="7"/>
  <c r="G200" i="7"/>
  <c r="L280" i="7"/>
  <c r="L216" i="7"/>
  <c r="M69" i="7"/>
  <c r="I251" i="7"/>
  <c r="G183" i="7"/>
  <c r="H167" i="7"/>
  <c r="I188" i="7"/>
  <c r="M148" i="7"/>
  <c r="B272" i="7"/>
  <c r="D287" i="7"/>
  <c r="E130" i="7"/>
  <c r="C90" i="7"/>
  <c r="F288" i="7"/>
  <c r="F220" i="7"/>
  <c r="C269" i="7"/>
  <c r="B169" i="7"/>
  <c r="D140" i="7"/>
  <c r="F39" i="7"/>
  <c r="B84" i="7"/>
  <c r="C69" i="7"/>
  <c r="D55" i="7"/>
  <c r="E278" i="7"/>
  <c r="B293" i="7"/>
  <c r="B133" i="7"/>
  <c r="C118" i="7"/>
  <c r="D104" i="7"/>
  <c r="F302" i="7"/>
  <c r="F174" i="7"/>
  <c r="E26" i="7"/>
  <c r="B202" i="7"/>
  <c r="C193" i="7"/>
  <c r="D179" i="7"/>
  <c r="E212" i="7"/>
  <c r="E76" i="7"/>
  <c r="B159" i="7"/>
  <c r="B31" i="7"/>
  <c r="C272" i="7"/>
  <c r="C144" i="7"/>
  <c r="D258" i="7"/>
  <c r="D130" i="7"/>
  <c r="F251" i="7"/>
  <c r="F187" i="7"/>
  <c r="F123" i="7"/>
  <c r="F43" i="7"/>
  <c r="N97" i="7"/>
  <c r="B70" i="7"/>
  <c r="C311" i="7"/>
  <c r="C183" i="7"/>
  <c r="C55" i="7"/>
  <c r="D297" i="7"/>
  <c r="D169" i="7"/>
  <c r="D41" i="7"/>
  <c r="E271" i="7"/>
  <c r="E207" i="7"/>
  <c r="E143" i="7"/>
  <c r="F69" i="7"/>
  <c r="J285" i="7"/>
  <c r="F64" i="7"/>
  <c r="J271" i="7"/>
  <c r="J305" i="7"/>
  <c r="K157" i="7"/>
  <c r="J246" i="7"/>
  <c r="G121" i="7"/>
  <c r="N282" i="7"/>
  <c r="N218" i="7"/>
  <c r="L84" i="7"/>
  <c r="G304" i="7"/>
  <c r="G240" i="7"/>
  <c r="K160" i="7"/>
  <c r="L300" i="7"/>
  <c r="L268" i="7"/>
  <c r="L236" i="7"/>
  <c r="L204" i="7"/>
  <c r="N153" i="7"/>
  <c r="I311" i="7"/>
  <c r="I279" i="7"/>
  <c r="I247" i="7"/>
  <c r="I215" i="7"/>
  <c r="G175" i="7"/>
  <c r="J57" i="7"/>
  <c r="H163" i="7"/>
  <c r="K116" i="7"/>
  <c r="I184" i="7"/>
  <c r="I152" i="7"/>
  <c r="N62" i="7"/>
  <c r="N86" i="7"/>
  <c r="M103" i="7"/>
  <c r="G71" i="7"/>
  <c r="H35" i="7"/>
  <c r="F144" i="7"/>
  <c r="B267" i="7"/>
  <c r="D308" i="7"/>
  <c r="F148" i="7"/>
  <c r="E242" i="7"/>
  <c r="C106" i="7"/>
  <c r="C309" i="7"/>
  <c r="F202" i="7"/>
  <c r="B230" i="7"/>
  <c r="C249" i="7"/>
  <c r="D235" i="7"/>
  <c r="E112" i="7"/>
  <c r="B59" i="7"/>
  <c r="C300" i="7"/>
  <c r="C44" i="7"/>
  <c r="D286" i="7"/>
  <c r="F249" i="7"/>
  <c r="F121" i="7"/>
  <c r="B194" i="7"/>
  <c r="C179" i="7"/>
  <c r="D165" i="7"/>
  <c r="E221" i="7"/>
  <c r="I23" i="7"/>
  <c r="I31" i="7"/>
  <c r="I39" i="7"/>
  <c r="I47" i="7"/>
  <c r="H22" i="7"/>
  <c r="H30" i="7"/>
  <c r="H38" i="7"/>
  <c r="H46" i="7"/>
  <c r="H54" i="7"/>
  <c r="K22" i="7"/>
  <c r="K38" i="7"/>
  <c r="G53" i="7"/>
  <c r="M17" i="7"/>
  <c r="M25" i="7"/>
  <c r="M33" i="7"/>
  <c r="M41" i="7"/>
  <c r="M49" i="7"/>
  <c r="L24" i="7"/>
  <c r="L32" i="7"/>
  <c r="L40" i="7"/>
  <c r="L48" i="7"/>
  <c r="L56" i="7"/>
  <c r="K27" i="7"/>
  <c r="K43" i="7"/>
  <c r="J56" i="7"/>
  <c r="H65" i="7"/>
  <c r="H73" i="7"/>
  <c r="J22" i="7"/>
  <c r="J38" i="7"/>
  <c r="N52" i="7"/>
  <c r="K62" i="7"/>
  <c r="K70" i="7"/>
  <c r="K78" i="7"/>
  <c r="K86" i="7"/>
  <c r="K94" i="7"/>
  <c r="K102" i="7"/>
  <c r="G18" i="7"/>
  <c r="G50" i="7"/>
  <c r="J68" i="7"/>
  <c r="I18" i="7"/>
  <c r="I34" i="7"/>
  <c r="H17" i="7"/>
  <c r="H33" i="7"/>
  <c r="H49" i="7"/>
  <c r="K28" i="7"/>
  <c r="G57" i="7"/>
  <c r="L69" i="7"/>
  <c r="J20" i="7"/>
  <c r="J41" i="7"/>
  <c r="N58" i="7"/>
  <c r="K69" i="7"/>
  <c r="G80" i="7"/>
  <c r="G91" i="7"/>
  <c r="K101" i="7"/>
  <c r="G24" i="7"/>
  <c r="J61" i="7"/>
  <c r="H81" i="7"/>
  <c r="M91" i="7"/>
  <c r="J102" i="7"/>
  <c r="J112" i="7"/>
  <c r="J120" i="7"/>
  <c r="J128" i="7"/>
  <c r="J136" i="7"/>
  <c r="N27" i="7"/>
  <c r="K56" i="7"/>
  <c r="I73" i="7"/>
  <c r="L85" i="7"/>
  <c r="I96" i="7"/>
  <c r="N106" i="7"/>
  <c r="M115" i="7"/>
  <c r="M123" i="7"/>
  <c r="M131" i="7"/>
  <c r="M139" i="7"/>
  <c r="M147" i="7"/>
  <c r="M58" i="7"/>
  <c r="M86" i="7"/>
  <c r="H108" i="7"/>
  <c r="L124" i="7"/>
  <c r="L140" i="7"/>
  <c r="I151" i="7"/>
  <c r="I159" i="7"/>
  <c r="I167" i="7"/>
  <c r="I175" i="7"/>
  <c r="I183" i="7"/>
  <c r="N22" i="7"/>
  <c r="M70" i="7"/>
  <c r="L94" i="7"/>
  <c r="K114" i="7"/>
  <c r="K130" i="7"/>
  <c r="N144" i="7"/>
  <c r="H154" i="7"/>
  <c r="H162" i="7"/>
  <c r="H170" i="7"/>
  <c r="H178" i="7"/>
  <c r="H186" i="7"/>
  <c r="G45" i="7"/>
  <c r="H102" i="7"/>
  <c r="H136" i="7"/>
  <c r="G157" i="7"/>
  <c r="G173" i="7"/>
  <c r="G189" i="7"/>
  <c r="I198" i="7"/>
  <c r="I206" i="7"/>
  <c r="I214" i="7"/>
  <c r="I222" i="7"/>
  <c r="I230" i="7"/>
  <c r="I238" i="7"/>
  <c r="I246" i="7"/>
  <c r="I254" i="7"/>
  <c r="I262" i="7"/>
  <c r="I270" i="7"/>
  <c r="I278" i="7"/>
  <c r="I286" i="7"/>
  <c r="I294" i="7"/>
  <c r="I302" i="7"/>
  <c r="I310" i="7"/>
  <c r="L88" i="7"/>
  <c r="G126" i="7"/>
  <c r="N151" i="7"/>
  <c r="N167" i="7"/>
  <c r="N183" i="7"/>
  <c r="L195" i="7"/>
  <c r="L203" i="7"/>
  <c r="L211" i="7"/>
  <c r="L219" i="7"/>
  <c r="L227" i="7"/>
  <c r="L235" i="7"/>
  <c r="L243" i="7"/>
  <c r="L251" i="7"/>
  <c r="L259" i="7"/>
  <c r="L267" i="7"/>
  <c r="L275" i="7"/>
  <c r="L283" i="7"/>
  <c r="L291" i="7"/>
  <c r="L299" i="7"/>
  <c r="L307" i="7"/>
  <c r="M100" i="7"/>
  <c r="K156" i="7"/>
  <c r="K188" i="7"/>
  <c r="G206" i="7"/>
  <c r="G222" i="7"/>
  <c r="G238" i="7"/>
  <c r="G254" i="7"/>
  <c r="G270" i="7"/>
  <c r="G286" i="7"/>
  <c r="G302" i="7"/>
  <c r="M71" i="7"/>
  <c r="H145" i="7"/>
  <c r="J178" i="7"/>
  <c r="N200" i="7"/>
  <c r="N216" i="7"/>
  <c r="N232" i="7"/>
  <c r="N248" i="7"/>
  <c r="N264" i="7"/>
  <c r="N280" i="7"/>
  <c r="N296" i="7"/>
  <c r="N312" i="7"/>
  <c r="K159" i="7"/>
  <c r="K207" i="7"/>
  <c r="M26" i="7"/>
  <c r="M42" i="7"/>
  <c r="L25" i="7"/>
  <c r="L41" i="7"/>
  <c r="L57" i="7"/>
  <c r="K45" i="7"/>
  <c r="L64" i="7"/>
  <c r="L75" i="7"/>
  <c r="J32" i="7"/>
  <c r="I52" i="7"/>
  <c r="G65" i="7"/>
  <c r="K75" i="7"/>
  <c r="G86" i="7"/>
  <c r="G97" i="7"/>
  <c r="K107" i="7"/>
  <c r="G48" i="7"/>
  <c r="J73" i="7"/>
  <c r="H87" i="7"/>
  <c r="M97" i="7"/>
  <c r="J108" i="7"/>
  <c r="N116" i="7"/>
  <c r="N124" i="7"/>
  <c r="N132" i="7"/>
  <c r="N140" i="7"/>
  <c r="N45" i="7"/>
  <c r="I66" i="7"/>
  <c r="N80" i="7"/>
  <c r="L91" i="7"/>
  <c r="I102" i="7"/>
  <c r="I112" i="7"/>
  <c r="I120" i="7"/>
  <c r="I128" i="7"/>
  <c r="I136" i="7"/>
  <c r="I144" i="7"/>
  <c r="G35" i="7"/>
  <c r="N76" i="7"/>
  <c r="M98" i="7"/>
  <c r="L117" i="7"/>
  <c r="L133" i="7"/>
  <c r="G147" i="7"/>
  <c r="M155" i="7"/>
  <c r="M163" i="7"/>
  <c r="M171" i="7"/>
  <c r="M179" i="7"/>
  <c r="M187" i="7"/>
  <c r="N55" i="7"/>
  <c r="I85" i="7"/>
  <c r="L106" i="7"/>
  <c r="K123" i="7"/>
  <c r="K139" i="7"/>
  <c r="L150" i="7"/>
  <c r="L158" i="7"/>
  <c r="L166" i="7"/>
  <c r="L174" i="7"/>
  <c r="L182" i="7"/>
  <c r="L190" i="7"/>
  <c r="J83" i="7"/>
  <c r="H122" i="7"/>
  <c r="G150" i="7"/>
  <c r="G166" i="7"/>
  <c r="G182" i="7"/>
  <c r="M194" i="7"/>
  <c r="M202" i="7"/>
  <c r="M210" i="7"/>
  <c r="M218" i="7"/>
  <c r="M226" i="7"/>
  <c r="M234" i="7"/>
  <c r="M242" i="7"/>
  <c r="M250" i="7"/>
  <c r="M258" i="7"/>
  <c r="M266" i="7"/>
  <c r="M274" i="7"/>
  <c r="M282" i="7"/>
  <c r="M290" i="7"/>
  <c r="M298" i="7"/>
  <c r="M306" i="7"/>
  <c r="M314" i="7"/>
  <c r="M65" i="7"/>
  <c r="G112" i="7"/>
  <c r="H143" i="7"/>
  <c r="N160" i="7"/>
  <c r="N176" i="7"/>
  <c r="G192" i="7"/>
  <c r="H200" i="7"/>
  <c r="H208" i="7"/>
  <c r="H216" i="7"/>
  <c r="H224" i="7"/>
  <c r="H232" i="7"/>
  <c r="H240" i="7"/>
  <c r="H248" i="7"/>
  <c r="H256" i="7"/>
  <c r="H264" i="7"/>
  <c r="H272" i="7"/>
  <c r="H280" i="7"/>
  <c r="H288" i="7"/>
  <c r="H296" i="7"/>
  <c r="H304" i="7"/>
  <c r="H312" i="7"/>
  <c r="M54" i="7"/>
  <c r="H139" i="7"/>
  <c r="K174" i="7"/>
  <c r="G199" i="7"/>
  <c r="G215" i="7"/>
  <c r="G231" i="7"/>
  <c r="G247" i="7"/>
  <c r="G263" i="7"/>
  <c r="G279" i="7"/>
  <c r="G295" i="7"/>
  <c r="G311" i="7"/>
  <c r="G119" i="7"/>
  <c r="J164" i="7"/>
  <c r="N193" i="7"/>
  <c r="N209" i="7"/>
  <c r="N225" i="7"/>
  <c r="N241" i="7"/>
  <c r="N257" i="7"/>
  <c r="N273" i="7"/>
  <c r="N289" i="7"/>
  <c r="N305" i="7"/>
  <c r="H117" i="7"/>
  <c r="K193" i="7"/>
  <c r="M67" i="7"/>
  <c r="J177" i="7"/>
  <c r="J216" i="7"/>
  <c r="J248" i="7"/>
  <c r="J280" i="7"/>
  <c r="J312" i="7"/>
  <c r="K198" i="7"/>
  <c r="J249" i="7"/>
  <c r="K291" i="7"/>
  <c r="G191" i="7"/>
  <c r="K244" i="7"/>
  <c r="J287" i="7"/>
  <c r="N67" i="7"/>
  <c r="I48" i="7"/>
  <c r="H47" i="7"/>
  <c r="J54" i="7"/>
  <c r="J17" i="7"/>
  <c r="N56" i="7"/>
  <c r="G79" i="7"/>
  <c r="G100" i="7"/>
  <c r="G58" i="7"/>
  <c r="J90" i="7"/>
  <c r="J111" i="7"/>
  <c r="J127" i="7"/>
  <c r="N23" i="7"/>
  <c r="I71" i="7"/>
  <c r="N94" i="7"/>
  <c r="M114" i="7"/>
  <c r="M130" i="7"/>
  <c r="M146" i="7"/>
  <c r="H84" i="7"/>
  <c r="L122" i="7"/>
  <c r="I150" i="7"/>
  <c r="I166" i="7"/>
  <c r="I182" i="7"/>
  <c r="M66" i="7"/>
  <c r="K112" i="7"/>
  <c r="K143" i="7"/>
  <c r="H161" i="7"/>
  <c r="H177" i="7"/>
  <c r="G29" i="7"/>
  <c r="H132" i="7"/>
  <c r="G171" i="7"/>
  <c r="I197" i="7"/>
  <c r="I213" i="7"/>
  <c r="I229" i="7"/>
  <c r="I245" i="7"/>
  <c r="I261" i="7"/>
  <c r="I277" i="7"/>
  <c r="I293" i="7"/>
  <c r="I309" i="7"/>
  <c r="I83" i="7"/>
  <c r="N149" i="7"/>
  <c r="N181" i="7"/>
  <c r="L202" i="7"/>
  <c r="L218" i="7"/>
  <c r="L234" i="7"/>
  <c r="L250" i="7"/>
  <c r="L266" i="7"/>
  <c r="L282" i="7"/>
  <c r="L298" i="7"/>
  <c r="L314" i="7"/>
  <c r="K152" i="7"/>
  <c r="G204" i="7"/>
  <c r="G236" i="7"/>
  <c r="G268" i="7"/>
  <c r="G300" i="7"/>
  <c r="K54" i="7"/>
  <c r="J174" i="7"/>
  <c r="N214" i="7"/>
  <c r="N246" i="7"/>
  <c r="N278" i="7"/>
  <c r="N310" i="7"/>
  <c r="K151" i="7"/>
  <c r="L92" i="7"/>
  <c r="J198" i="7"/>
  <c r="J242" i="7"/>
  <c r="J284" i="7"/>
  <c r="H121" i="7"/>
  <c r="J241" i="7"/>
  <c r="J297" i="7"/>
  <c r="J199" i="7"/>
  <c r="J263" i="7"/>
  <c r="J229" i="7"/>
  <c r="K314" i="7"/>
  <c r="K245" i="7"/>
  <c r="F28" i="7"/>
  <c r="F60" i="7"/>
  <c r="F92" i="7"/>
  <c r="K263" i="7"/>
  <c r="F21" i="7"/>
  <c r="E64" i="7"/>
  <c r="E107" i="7"/>
  <c r="E139" i="7"/>
  <c r="E171" i="7"/>
  <c r="E203" i="7"/>
  <c r="E235" i="7"/>
  <c r="E267" i="7"/>
  <c r="E299" i="7"/>
  <c r="D33" i="7"/>
  <c r="D97" i="7"/>
  <c r="D161" i="7"/>
  <c r="D225" i="7"/>
  <c r="D289" i="7"/>
  <c r="C47" i="7"/>
  <c r="C111" i="7"/>
  <c r="C175" i="7"/>
  <c r="C239" i="7"/>
  <c r="C303" i="7"/>
  <c r="B62" i="7"/>
  <c r="B126" i="7"/>
  <c r="B190" i="7"/>
  <c r="E38" i="7"/>
  <c r="E81" i="7"/>
  <c r="F119" i="7"/>
  <c r="F151" i="7"/>
  <c r="F183" i="7"/>
  <c r="F215" i="7"/>
  <c r="F247" i="7"/>
  <c r="F279" i="7"/>
  <c r="F311" i="7"/>
  <c r="D58" i="7"/>
  <c r="D122" i="7"/>
  <c r="D186" i="7"/>
  <c r="D250" i="7"/>
  <c r="D314" i="7"/>
  <c r="C72" i="7"/>
  <c r="C136" i="7"/>
  <c r="C200" i="7"/>
  <c r="C264" i="7"/>
  <c r="B23" i="7"/>
  <c r="B87" i="7"/>
  <c r="B151" i="7"/>
  <c r="J269" i="7"/>
  <c r="F65" i="7"/>
  <c r="E140" i="7"/>
  <c r="E204" i="7"/>
  <c r="E268" i="7"/>
  <c r="D35" i="7"/>
  <c r="D163" i="7"/>
  <c r="D291" i="7"/>
  <c r="C49" i="7"/>
  <c r="C177" i="7"/>
  <c r="C305" i="7"/>
  <c r="B64" i="7"/>
  <c r="B192" i="7"/>
  <c r="B258" i="7"/>
  <c r="L16" i="7"/>
  <c r="E101" i="7"/>
  <c r="F166" i="7"/>
  <c r="F230" i="7"/>
  <c r="F294" i="7"/>
  <c r="D88" i="7"/>
  <c r="D216" i="7"/>
  <c r="C102" i="7"/>
  <c r="C230" i="7"/>
  <c r="B117" i="7"/>
  <c r="B221" i="7"/>
  <c r="B285" i="7"/>
  <c r="J237" i="7"/>
  <c r="E134" i="7"/>
  <c r="E262" i="7"/>
  <c r="D23" i="7"/>
  <c r="D279" i="7"/>
  <c r="C37" i="7"/>
  <c r="C293" i="7"/>
  <c r="B52" i="7"/>
  <c r="B252" i="7"/>
  <c r="F280" i="7"/>
  <c r="D60" i="7"/>
  <c r="C74" i="7"/>
  <c r="B105" i="7"/>
  <c r="F105" i="7"/>
  <c r="D207" i="7"/>
  <c r="C205" i="7"/>
  <c r="B200" i="7"/>
  <c r="E66" i="7"/>
  <c r="F204" i="7"/>
  <c r="D164" i="7"/>
  <c r="C178" i="7"/>
  <c r="B193" i="7"/>
  <c r="F256" i="7"/>
  <c r="C26" i="7"/>
  <c r="B41" i="7"/>
  <c r="E95" i="7"/>
  <c r="D223" i="7"/>
  <c r="C253" i="7"/>
  <c r="B240" i="7"/>
  <c r="M44" i="7"/>
  <c r="L43" i="7"/>
  <c r="K49" i="7"/>
  <c r="L76" i="7"/>
  <c r="I54" i="7"/>
  <c r="G77" i="7"/>
  <c r="G98" i="7"/>
  <c r="M52" i="7"/>
  <c r="J88" i="7"/>
  <c r="M109" i="7"/>
  <c r="N125" i="7"/>
  <c r="N17" i="7"/>
  <c r="I68" i="7"/>
  <c r="N92" i="7"/>
  <c r="I113" i="7"/>
  <c r="I129" i="7"/>
  <c r="I145" i="7"/>
  <c r="H80" i="7"/>
  <c r="L119" i="7"/>
  <c r="J148" i="7"/>
  <c r="M164" i="7"/>
  <c r="M180" i="7"/>
  <c r="M60" i="7"/>
  <c r="I109" i="7"/>
  <c r="K141" i="7"/>
  <c r="L159" i="7"/>
  <c r="L175" i="7"/>
  <c r="L191" i="7"/>
  <c r="H126" i="7"/>
  <c r="G168" i="7"/>
  <c r="M195" i="7"/>
  <c r="M211" i="7"/>
  <c r="M227" i="7"/>
  <c r="M243" i="7"/>
  <c r="M259" i="7"/>
  <c r="M275" i="7"/>
  <c r="M291" i="7"/>
  <c r="M307" i="7"/>
  <c r="M73" i="7"/>
  <c r="N145" i="7"/>
  <c r="N178" i="7"/>
  <c r="H201" i="7"/>
  <c r="H217" i="7"/>
  <c r="H233" i="7"/>
  <c r="H249" i="7"/>
  <c r="H265" i="7"/>
  <c r="H281" i="7"/>
  <c r="H297" i="7"/>
  <c r="H313" i="7"/>
  <c r="J145" i="7"/>
  <c r="G201" i="7"/>
  <c r="G233" i="7"/>
  <c r="G265" i="7"/>
  <c r="G297" i="7"/>
  <c r="J168" i="7"/>
  <c r="N211" i="7"/>
  <c r="N243" i="7"/>
  <c r="N275" i="7"/>
  <c r="N307" i="7"/>
  <c r="H133" i="7"/>
  <c r="N81" i="7"/>
  <c r="J196" i="7"/>
  <c r="J238" i="7"/>
  <c r="J282" i="7"/>
  <c r="J103" i="7"/>
  <c r="K235" i="7"/>
  <c r="K294" i="7"/>
  <c r="J195" i="7"/>
  <c r="K260" i="7"/>
  <c r="K223" i="7"/>
  <c r="J309" i="7"/>
  <c r="K240" i="7"/>
  <c r="F26" i="7"/>
  <c r="F58" i="7"/>
  <c r="F90" i="7"/>
  <c r="J253" i="7"/>
  <c r="E19" i="7"/>
  <c r="F61" i="7"/>
  <c r="E104" i="7"/>
  <c r="E137" i="7"/>
  <c r="E169" i="7"/>
  <c r="E201" i="7"/>
  <c r="E233" i="7"/>
  <c r="E265" i="7"/>
  <c r="E297" i="7"/>
  <c r="D29" i="7"/>
  <c r="D93" i="7"/>
  <c r="D157" i="7"/>
  <c r="D221" i="7"/>
  <c r="D285" i="7"/>
  <c r="C43" i="7"/>
  <c r="C107" i="7"/>
  <c r="C171" i="7"/>
  <c r="C235" i="7"/>
  <c r="C299" i="7"/>
  <c r="B58" i="7"/>
  <c r="B122" i="7"/>
  <c r="B186" i="7"/>
  <c r="F35" i="7"/>
  <c r="E78" i="7"/>
  <c r="F117" i="7"/>
  <c r="F149" i="7"/>
  <c r="F181" i="7"/>
  <c r="F213" i="7"/>
  <c r="F245" i="7"/>
  <c r="F277" i="7"/>
  <c r="F309" i="7"/>
  <c r="D54" i="7"/>
  <c r="D118" i="7"/>
  <c r="D182" i="7"/>
  <c r="D246" i="7"/>
  <c r="D310" i="7"/>
  <c r="C68" i="7"/>
  <c r="C132" i="7"/>
  <c r="C196" i="7"/>
  <c r="C260" i="7"/>
  <c r="B19" i="7"/>
  <c r="B83" i="7"/>
  <c r="B147" i="7"/>
  <c r="K247" i="7"/>
  <c r="E60" i="7"/>
  <c r="E136" i="7"/>
  <c r="E200" i="7"/>
  <c r="E264" i="7"/>
  <c r="D27" i="7"/>
  <c r="D155" i="7"/>
  <c r="D283" i="7"/>
  <c r="C41" i="7"/>
  <c r="C169" i="7"/>
  <c r="C297" i="7"/>
  <c r="B56" i="7"/>
  <c r="B184" i="7"/>
  <c r="B254" i="7"/>
  <c r="F95" i="7"/>
  <c r="F162" i="7"/>
  <c r="F226" i="7"/>
  <c r="F290" i="7"/>
  <c r="D80" i="7"/>
  <c r="D208" i="7"/>
  <c r="C94" i="7"/>
  <c r="C222" i="7"/>
  <c r="B109" i="7"/>
  <c r="B217" i="7"/>
  <c r="B281" i="7"/>
  <c r="K169" i="7"/>
  <c r="E126" i="7"/>
  <c r="E254" i="7"/>
  <c r="D263" i="7"/>
  <c r="C21" i="7"/>
  <c r="C277" i="7"/>
  <c r="B36" i="7"/>
  <c r="B244" i="7"/>
  <c r="F264" i="7"/>
  <c r="D28" i="7"/>
  <c r="C42" i="7"/>
  <c r="B57" i="7"/>
  <c r="E84" i="7"/>
  <c r="D175" i="7"/>
  <c r="C173" i="7"/>
  <c r="B188" i="7"/>
  <c r="F55" i="7"/>
  <c r="F196" i="7"/>
  <c r="D148" i="7"/>
  <c r="C162" i="7"/>
  <c r="B177" i="7"/>
  <c r="F240" i="7"/>
  <c r="F73" i="7"/>
  <c r="D191" i="7"/>
  <c r="C221" i="7"/>
  <c r="B224" i="7"/>
  <c r="M48" i="7"/>
  <c r="L47" i="7"/>
  <c r="G55" i="7"/>
  <c r="J19" i="7"/>
  <c r="K57" i="7"/>
  <c r="K79" i="7"/>
  <c r="G101" i="7"/>
  <c r="J59" i="7"/>
  <c r="H91" i="7"/>
  <c r="N111" i="7"/>
  <c r="N127" i="7"/>
  <c r="N25" i="7"/>
  <c r="I72" i="7"/>
  <c r="L95" i="7"/>
  <c r="I115" i="7"/>
  <c r="I131" i="7"/>
  <c r="I147" i="7"/>
  <c r="J85" i="7"/>
  <c r="B256" i="7"/>
  <c r="E114" i="7"/>
  <c r="C298" i="7"/>
  <c r="B203" i="7"/>
  <c r="D180" i="7"/>
  <c r="E77" i="7"/>
  <c r="B216" i="7"/>
  <c r="E122" i="7"/>
  <c r="E18" i="7"/>
  <c r="B61" i="7"/>
  <c r="C110" i="7"/>
  <c r="D96" i="7"/>
  <c r="F298" i="7"/>
  <c r="E21" i="7"/>
  <c r="E208" i="7"/>
  <c r="B155" i="7"/>
  <c r="C140" i="7"/>
  <c r="D158" i="7"/>
  <c r="F201" i="7"/>
  <c r="E62" i="7"/>
  <c r="B98" i="7"/>
  <c r="C83" i="7"/>
  <c r="D69" i="7"/>
  <c r="E269" i="7"/>
  <c r="E141" i="7"/>
  <c r="K274" i="7"/>
  <c r="K161" i="7"/>
  <c r="J239" i="7"/>
  <c r="J273" i="7"/>
  <c r="J222" i="7"/>
  <c r="N199" i="7"/>
  <c r="G301" i="7"/>
  <c r="K186" i="7"/>
  <c r="H275" i="7"/>
  <c r="H211" i="7"/>
  <c r="N85" i="7"/>
  <c r="M269" i="7"/>
  <c r="M229" i="7"/>
  <c r="G188" i="7"/>
  <c r="J99" i="7"/>
  <c r="L169" i="7"/>
  <c r="K129" i="7"/>
  <c r="N18" i="7"/>
  <c r="M158" i="7"/>
  <c r="H100" i="7"/>
  <c r="N102" i="7"/>
  <c r="J117" i="7"/>
  <c r="G87" i="7"/>
  <c r="H59" i="7"/>
  <c r="B207" i="7"/>
  <c r="E93" i="7"/>
  <c r="B161" i="7"/>
  <c r="D132" i="7"/>
  <c r="E45" i="7"/>
  <c r="B296" i="7"/>
  <c r="E194" i="7"/>
  <c r="C282" i="7"/>
  <c r="B37" i="7"/>
  <c r="C22" i="7"/>
  <c r="F254" i="7"/>
  <c r="J171" i="7"/>
  <c r="B282" i="7"/>
  <c r="E164" i="7"/>
  <c r="B143" i="7"/>
  <c r="C128" i="7"/>
  <c r="D114" i="7"/>
  <c r="F307" i="7"/>
  <c r="F195" i="7"/>
  <c r="E54" i="7"/>
  <c r="B86" i="7"/>
  <c r="C71" i="7"/>
  <c r="D313" i="7"/>
  <c r="D57" i="7"/>
  <c r="E279" i="7"/>
  <c r="E151" i="7"/>
  <c r="H82" i="7"/>
  <c r="N48" i="7"/>
  <c r="N274" i="7"/>
  <c r="G232" i="7"/>
  <c r="L296" i="7"/>
  <c r="L232" i="7"/>
  <c r="K144" i="7"/>
  <c r="I275" i="7"/>
  <c r="I203" i="7"/>
  <c r="H183" i="7"/>
  <c r="L86" i="7"/>
  <c r="L134" i="7"/>
  <c r="C45" i="7"/>
  <c r="E266" i="7"/>
  <c r="G17" i="7"/>
  <c r="B97" i="7"/>
  <c r="C82" i="7"/>
  <c r="D68" i="7"/>
  <c r="F284" i="7"/>
  <c r="B28" i="7"/>
  <c r="B311" i="7"/>
  <c r="F184" i="7"/>
  <c r="B204" i="7"/>
  <c r="C197" i="7"/>
  <c r="D183" i="7"/>
  <c r="E79" i="7"/>
  <c r="B197" i="7"/>
  <c r="C182" i="7"/>
  <c r="D168" i="7"/>
  <c r="F206" i="7"/>
  <c r="E69" i="7"/>
  <c r="B234" i="7"/>
  <c r="C257" i="7"/>
  <c r="D243" i="7"/>
  <c r="E244" i="7"/>
  <c r="E116" i="7"/>
  <c r="B191" i="7"/>
  <c r="B63" i="7"/>
  <c r="C304" i="7"/>
  <c r="C176" i="7"/>
  <c r="C48" i="7"/>
  <c r="D290" i="7"/>
  <c r="D162" i="7"/>
  <c r="D34" i="7"/>
  <c r="F267" i="7"/>
  <c r="F203" i="7"/>
  <c r="F139" i="7"/>
  <c r="E65" i="7"/>
  <c r="K264" i="7"/>
  <c r="B102" i="7"/>
  <c r="C215" i="7"/>
  <c r="C87" i="7"/>
  <c r="D201" i="7"/>
  <c r="D73" i="7"/>
  <c r="E287" i="7"/>
  <c r="E223" i="7"/>
  <c r="E159" i="7"/>
  <c r="E91" i="7"/>
  <c r="F80" i="7"/>
  <c r="N16" i="7"/>
  <c r="J209" i="7"/>
  <c r="K177" i="7"/>
  <c r="K300" i="7"/>
  <c r="G141" i="7"/>
  <c r="K218" i="7"/>
  <c r="J268" i="7"/>
  <c r="J173" i="7"/>
  <c r="N298" i="7"/>
  <c r="N234" i="7"/>
  <c r="J150" i="7"/>
  <c r="G256" i="7"/>
  <c r="N191" i="7"/>
  <c r="L308" i="7"/>
  <c r="L276" i="7"/>
  <c r="L244" i="7"/>
  <c r="L212" i="7"/>
  <c r="N169" i="7"/>
  <c r="N20" i="7"/>
  <c r="I287" i="7"/>
  <c r="I255" i="7"/>
  <c r="I223" i="7"/>
  <c r="N190" i="7"/>
  <c r="J107" i="7"/>
  <c r="H171" i="7"/>
  <c r="K132" i="7"/>
  <c r="N30" i="7"/>
  <c r="I160" i="7"/>
  <c r="L110" i="7"/>
  <c r="I108" i="7"/>
  <c r="J121" i="7"/>
  <c r="G92" i="7"/>
  <c r="K32" i="7"/>
  <c r="B44" i="7"/>
  <c r="C66" i="7"/>
  <c r="F276" i="7"/>
  <c r="K312" i="7"/>
  <c r="B137" i="7"/>
  <c r="B68" i="7"/>
  <c r="D39" i="7"/>
  <c r="B125" i="7"/>
  <c r="C46" i="7"/>
  <c r="D32" i="7"/>
  <c r="F266" i="7"/>
  <c r="J259" i="7"/>
  <c r="B294" i="7"/>
  <c r="E176" i="7"/>
  <c r="B123" i="7"/>
  <c r="C108" i="7"/>
  <c r="D62" i="7"/>
  <c r="F281" i="7"/>
  <c r="F153" i="7"/>
  <c r="C243" i="7"/>
  <c r="D229" i="7"/>
  <c r="E253" i="7"/>
  <c r="E125" i="7"/>
  <c r="K153" i="7"/>
  <c r="J251" i="7"/>
  <c r="K268" i="7"/>
  <c r="K299" i="7"/>
  <c r="J244" i="7"/>
  <c r="N215" i="7"/>
  <c r="G285" i="7"/>
  <c r="H251" i="7"/>
  <c r="N166" i="7"/>
  <c r="M285" i="7"/>
  <c r="B243" i="7"/>
  <c r="D260" i="7"/>
  <c r="F124" i="7"/>
  <c r="B156" i="7"/>
  <c r="E63" i="7"/>
  <c r="C261" i="7"/>
  <c r="F222" i="7"/>
  <c r="B250" i="7"/>
  <c r="C289" i="7"/>
  <c r="K48" i="7"/>
  <c r="K97" i="7"/>
  <c r="J125" i="7"/>
  <c r="M112" i="7"/>
  <c r="L115" i="7"/>
  <c r="M162" i="7"/>
  <c r="K50" i="7"/>
  <c r="K137" i="7"/>
  <c r="L173" i="7"/>
  <c r="H118" i="7"/>
  <c r="M193" i="7"/>
  <c r="M225" i="7"/>
  <c r="M257" i="7"/>
  <c r="M289" i="7"/>
  <c r="I57" i="7"/>
  <c r="N174" i="7"/>
  <c r="H215" i="7"/>
  <c r="H247" i="7"/>
  <c r="H279" i="7"/>
  <c r="H311" i="7"/>
  <c r="G197" i="7"/>
  <c r="G261" i="7"/>
  <c r="J160" i="7"/>
  <c r="N239" i="7"/>
  <c r="N303" i="7"/>
  <c r="H98" i="7"/>
  <c r="J189" i="7"/>
  <c r="J276" i="7"/>
  <c r="K230" i="7"/>
  <c r="J175" i="7"/>
  <c r="J311" i="7"/>
  <c r="K208" i="7"/>
  <c r="K229" i="7"/>
  <c r="F22" i="7"/>
  <c r="F86" i="7"/>
  <c r="H16" i="7"/>
  <c r="E99" i="7"/>
  <c r="E165" i="7"/>
  <c r="E229" i="7"/>
  <c r="E293" i="7"/>
  <c r="D85" i="7"/>
  <c r="D213" i="7"/>
  <c r="C99" i="7"/>
  <c r="C227" i="7"/>
  <c r="B114" i="7"/>
  <c r="K296" i="7"/>
  <c r="E73" i="7"/>
  <c r="F145" i="7"/>
  <c r="F209" i="7"/>
  <c r="F273" i="7"/>
  <c r="D46" i="7"/>
  <c r="D174" i="7"/>
  <c r="D302" i="7"/>
  <c r="C60" i="7"/>
  <c r="C188" i="7"/>
  <c r="B75" i="7"/>
  <c r="K196" i="7"/>
  <c r="E128" i="7"/>
  <c r="E256" i="7"/>
  <c r="D267" i="7"/>
  <c r="C25" i="7"/>
  <c r="C281" i="7"/>
  <c r="B40" i="7"/>
  <c r="B246" i="7"/>
  <c r="E85" i="7"/>
  <c r="F218" i="7"/>
  <c r="D192" i="7"/>
  <c r="C206" i="7"/>
  <c r="B209" i="7"/>
  <c r="E110" i="7"/>
  <c r="D231" i="7"/>
  <c r="C245" i="7"/>
  <c r="B228" i="7"/>
  <c r="F232" i="7"/>
  <c r="F41" i="7"/>
  <c r="D111" i="7"/>
  <c r="B124" i="7"/>
  <c r="E34" i="7"/>
  <c r="F308" i="7"/>
  <c r="D116" i="7"/>
  <c r="C130" i="7"/>
  <c r="B145" i="7"/>
  <c r="E314" i="7"/>
  <c r="C157" i="7"/>
  <c r="L59" i="7"/>
  <c r="G103" i="7"/>
  <c r="J129" i="7"/>
  <c r="M132" i="7"/>
  <c r="I164" i="7"/>
  <c r="K140" i="7"/>
  <c r="H124" i="7"/>
  <c r="I227" i="7"/>
  <c r="I283" i="7"/>
  <c r="N161" i="7"/>
  <c r="L240" i="7"/>
  <c r="L304" i="7"/>
  <c r="G248" i="7"/>
  <c r="G123" i="7"/>
  <c r="N290" i="7"/>
  <c r="J153" i="7"/>
  <c r="K194" i="7"/>
  <c r="K242" i="7"/>
  <c r="E135" i="7"/>
  <c r="E263" i="7"/>
  <c r="D25" i="7"/>
  <c r="D281" i="7"/>
  <c r="C39" i="7"/>
  <c r="C295" i="7"/>
  <c r="B54" i="7"/>
  <c r="E33" i="7"/>
  <c r="F179" i="7"/>
  <c r="D146" i="7"/>
  <c r="C160" i="7"/>
  <c r="B175" i="7"/>
  <c r="E260" i="7"/>
  <c r="D19" i="7"/>
  <c r="C33" i="7"/>
  <c r="B176" i="7"/>
  <c r="E90" i="7"/>
  <c r="C86" i="7"/>
  <c r="B213" i="7"/>
  <c r="B236" i="7"/>
  <c r="E52" i="7"/>
  <c r="M301" i="7"/>
  <c r="H219" i="7"/>
  <c r="H299" i="7"/>
  <c r="M63" i="7"/>
  <c r="N311" i="7"/>
  <c r="K155" i="7"/>
  <c r="J149" i="7"/>
  <c r="J203" i="7"/>
  <c r="K234" i="7"/>
  <c r="F78" i="7"/>
  <c r="F45" i="7"/>
  <c r="E285" i="7"/>
  <c r="D37" i="7"/>
  <c r="C51" i="7"/>
  <c r="B66" i="7"/>
  <c r="F185" i="7"/>
  <c r="C174" i="7"/>
  <c r="D295" i="7"/>
  <c r="F168" i="7"/>
  <c r="E15" i="7"/>
  <c r="E250" i="7"/>
  <c r="L70" i="7"/>
  <c r="J137" i="7"/>
  <c r="L126" i="7"/>
  <c r="M74" i="7"/>
  <c r="H179" i="7"/>
  <c r="I199" i="7"/>
  <c r="I263" i="7"/>
  <c r="N93" i="7"/>
  <c r="L220" i="7"/>
  <c r="L284" i="7"/>
  <c r="G208" i="7"/>
  <c r="N250" i="7"/>
  <c r="K167" i="7"/>
  <c r="J290" i="7"/>
  <c r="K256" i="7"/>
  <c r="F96" i="7"/>
  <c r="E111" i="7"/>
  <c r="E239" i="7"/>
  <c r="D233" i="7"/>
  <c r="C247" i="7"/>
  <c r="F155" i="7"/>
  <c r="F283" i="7"/>
  <c r="D66" i="7"/>
  <c r="C80" i="7"/>
  <c r="B95" i="7"/>
  <c r="E148" i="7"/>
  <c r="D307" i="7"/>
  <c r="B266" i="7"/>
  <c r="D15" i="7"/>
  <c r="F238" i="7"/>
  <c r="F15" i="7"/>
  <c r="C138" i="7"/>
  <c r="E138" i="7"/>
  <c r="B232" i="7"/>
  <c r="F87" i="7"/>
  <c r="D196" i="7"/>
  <c r="B211" i="7"/>
  <c r="B89" i="7"/>
  <c r="K124" i="7"/>
  <c r="I219" i="7"/>
  <c r="N177" i="7"/>
  <c r="L312" i="7"/>
  <c r="N306" i="7"/>
  <c r="J194" i="7"/>
  <c r="J183" i="7"/>
  <c r="K216" i="7"/>
  <c r="F37" i="7"/>
  <c r="E311" i="7"/>
  <c r="D121" i="7"/>
  <c r="C135" i="7"/>
  <c r="B150" i="7"/>
  <c r="F227" i="7"/>
  <c r="C150" i="7"/>
  <c r="D119" i="7"/>
  <c r="F120" i="7"/>
  <c r="F188" i="7"/>
  <c r="B307" i="7"/>
  <c r="G108" i="7"/>
  <c r="M120" i="7"/>
  <c r="M166" i="7"/>
  <c r="H144" i="7"/>
  <c r="H134" i="7"/>
  <c r="M237" i="7"/>
  <c r="N150" i="7"/>
  <c r="H291" i="7"/>
  <c r="N231" i="7"/>
  <c r="J277" i="7"/>
  <c r="E24" i="7"/>
  <c r="E301" i="7"/>
  <c r="D133" i="7"/>
  <c r="C147" i="7"/>
  <c r="B162" i="7"/>
  <c r="F233" i="7"/>
  <c r="D43" i="7"/>
  <c r="B72" i="7"/>
  <c r="C238" i="7"/>
  <c r="D167" i="7"/>
  <c r="F296" i="7"/>
  <c r="F212" i="7"/>
  <c r="B255" i="7"/>
  <c r="B17" i="7"/>
  <c r="I143" i="7"/>
  <c r="I111" i="7"/>
  <c r="I64" i="7"/>
  <c r="N123" i="7"/>
  <c r="M85" i="7"/>
  <c r="K95" i="7"/>
  <c r="N50" i="7"/>
  <c r="K41" i="7"/>
  <c r="M40" i="7"/>
  <c r="B108" i="7"/>
  <c r="D63" i="7"/>
  <c r="B287" i="7"/>
  <c r="F176" i="7"/>
  <c r="K248" i="7"/>
  <c r="B283" i="7"/>
  <c r="F164" i="7"/>
  <c r="C61" i="7"/>
  <c r="E274" i="7"/>
  <c r="E222" i="7"/>
  <c r="C15" i="7"/>
  <c r="B265" i="7"/>
  <c r="B77" i="7"/>
  <c r="C62" i="7"/>
  <c r="D304" i="7"/>
  <c r="D48" i="7"/>
  <c r="F274" i="7"/>
  <c r="F146" i="7"/>
  <c r="K301" i="7"/>
  <c r="B302" i="7"/>
  <c r="B152" i="7"/>
  <c r="C137" i="7"/>
  <c r="D123" i="7"/>
  <c r="E312" i="7"/>
  <c r="E184" i="7"/>
  <c r="E39" i="7"/>
  <c r="B131" i="7"/>
  <c r="C244" i="7"/>
  <c r="C116" i="7"/>
  <c r="D230" i="7"/>
  <c r="D102" i="7"/>
  <c r="F301" i="7"/>
  <c r="F237" i="7"/>
  <c r="F173" i="7"/>
  <c r="F109" i="7"/>
  <c r="E25" i="7"/>
  <c r="B170" i="7"/>
  <c r="B42" i="7"/>
  <c r="C283" i="7"/>
  <c r="C155" i="7"/>
  <c r="C27" i="7"/>
  <c r="D269" i="7"/>
  <c r="D141" i="7"/>
  <c r="E257" i="7"/>
  <c r="E193" i="7"/>
  <c r="E129" i="7"/>
  <c r="E51" i="7"/>
  <c r="K204" i="7"/>
  <c r="F50" i="7"/>
  <c r="K304" i="7"/>
  <c r="K287" i="7"/>
  <c r="J247" i="7"/>
  <c r="K278" i="7"/>
  <c r="J314" i="7"/>
  <c r="J228" i="7"/>
  <c r="K213" i="7"/>
  <c r="N267" i="7"/>
  <c r="N203" i="7"/>
  <c r="G289" i="7"/>
  <c r="G225" i="7"/>
  <c r="H115" i="7"/>
  <c r="H293" i="7"/>
  <c r="H261" i="7"/>
  <c r="H229" i="7"/>
  <c r="H197" i="7"/>
  <c r="G132" i="7"/>
  <c r="M303" i="7"/>
  <c r="M271" i="7"/>
  <c r="M239" i="7"/>
  <c r="M207" i="7"/>
  <c r="G160" i="7"/>
  <c r="L187" i="7"/>
  <c r="L155" i="7"/>
  <c r="L98" i="7"/>
  <c r="M176" i="7"/>
  <c r="G143" i="7"/>
  <c r="N64" i="7"/>
  <c r="I125" i="7"/>
  <c r="L87" i="7"/>
  <c r="N137" i="7"/>
  <c r="J104" i="7"/>
  <c r="G32" i="7"/>
  <c r="K71" i="7"/>
  <c r="L71" i="7"/>
  <c r="L35" i="7"/>
  <c r="C125" i="7"/>
  <c r="E298" i="7"/>
  <c r="B129" i="7"/>
  <c r="C114" i="7"/>
  <c r="D100" i="7"/>
  <c r="F300" i="7"/>
  <c r="F23" i="7"/>
  <c r="B92" i="7"/>
  <c r="D79" i="7"/>
  <c r="E20" i="7"/>
  <c r="F216" i="7"/>
  <c r="B220" i="7"/>
  <c r="C229" i="7"/>
  <c r="D215" i="7"/>
  <c r="E100" i="7"/>
  <c r="B205" i="7"/>
  <c r="C198" i="7"/>
  <c r="D184" i="7"/>
  <c r="F214" i="7"/>
  <c r="F79" i="7"/>
  <c r="B242" i="7"/>
  <c r="B32" i="7"/>
  <c r="C273" i="7"/>
  <c r="C17" i="7"/>
  <c r="D259" i="7"/>
  <c r="E252" i="7"/>
  <c r="E124" i="7"/>
  <c r="H129" i="7"/>
  <c r="B71" i="7"/>
  <c r="C312" i="7"/>
  <c r="C184" i="7"/>
  <c r="C56" i="7"/>
  <c r="D298" i="7"/>
  <c r="D170" i="7"/>
  <c r="D42" i="7"/>
  <c r="F271" i="7"/>
  <c r="F207" i="7"/>
  <c r="F143" i="7"/>
  <c r="E70" i="7"/>
  <c r="K285" i="7"/>
  <c r="B110" i="7"/>
  <c r="C223" i="7"/>
  <c r="C95" i="7"/>
  <c r="D209" i="7"/>
  <c r="D81" i="7"/>
  <c r="E291" i="7"/>
  <c r="E227" i="7"/>
  <c r="E163" i="7"/>
  <c r="E96" i="7"/>
  <c r="F84" i="7"/>
  <c r="F20" i="7"/>
  <c r="K224" i="7"/>
  <c r="K200" i="7"/>
  <c r="K305" i="7"/>
  <c r="J167" i="7"/>
  <c r="J225" i="7"/>
  <c r="J274" i="7"/>
  <c r="J185" i="7"/>
  <c r="J87" i="7"/>
  <c r="N302" i="7"/>
  <c r="N238" i="7"/>
  <c r="J158" i="7"/>
  <c r="G260" i="7"/>
  <c r="G196" i="7"/>
  <c r="L310" i="7"/>
  <c r="L278" i="7"/>
  <c r="L246" i="7"/>
  <c r="L214" i="7"/>
  <c r="N173" i="7"/>
  <c r="N51" i="7"/>
  <c r="I289" i="7"/>
  <c r="I257" i="7"/>
  <c r="I225" i="7"/>
  <c r="I193" i="7"/>
  <c r="H116" i="7"/>
  <c r="H173" i="7"/>
  <c r="K136" i="7"/>
  <c r="N46" i="7"/>
  <c r="I162" i="7"/>
  <c r="L114" i="7"/>
  <c r="M142" i="7"/>
  <c r="M110" i="7"/>
  <c r="I63" i="7"/>
  <c r="J123" i="7"/>
  <c r="H85" i="7"/>
  <c r="G95" i="7"/>
  <c r="J49" i="7"/>
  <c r="K40" i="7"/>
  <c r="I40" i="7"/>
  <c r="K233" i="7"/>
  <c r="K238" i="7"/>
  <c r="J304" i="7"/>
  <c r="J240" i="7"/>
  <c r="J161" i="7"/>
  <c r="K179" i="7"/>
  <c r="N285" i="7"/>
  <c r="N253" i="7"/>
  <c r="N221" i="7"/>
  <c r="J188" i="7"/>
  <c r="L100" i="7"/>
  <c r="G307" i="7"/>
  <c r="G275" i="7"/>
  <c r="G243" i="7"/>
  <c r="G211" i="7"/>
  <c r="K166" i="7"/>
  <c r="H302" i="7"/>
  <c r="H286" i="7"/>
  <c r="H270" i="7"/>
  <c r="H254" i="7"/>
  <c r="H238" i="7"/>
  <c r="H222" i="7"/>
  <c r="H206" i="7"/>
  <c r="N188" i="7"/>
  <c r="N156" i="7"/>
  <c r="N101" i="7"/>
  <c r="M312" i="7"/>
  <c r="M296" i="7"/>
  <c r="M280" i="7"/>
  <c r="M264" i="7"/>
  <c r="M248" i="7"/>
  <c r="M232" i="7"/>
  <c r="M216" i="7"/>
  <c r="M200" i="7"/>
  <c r="G178" i="7"/>
  <c r="L144" i="7"/>
  <c r="N69" i="7"/>
  <c r="L180" i="7"/>
  <c r="L164" i="7"/>
  <c r="H148" i="7"/>
  <c r="K119" i="7"/>
  <c r="N79" i="7"/>
  <c r="M185" i="7"/>
  <c r="M169" i="7"/>
  <c r="M153" i="7"/>
  <c r="L129" i="7"/>
  <c r="J93" i="7"/>
  <c r="G19" i="7"/>
  <c r="I134" i="7"/>
  <c r="I118" i="7"/>
  <c r="L99" i="7"/>
  <c r="I78" i="7"/>
  <c r="N37" i="7"/>
  <c r="N130" i="7"/>
  <c r="N114" i="7"/>
  <c r="H95" i="7"/>
  <c r="J67" i="7"/>
  <c r="G105" i="7"/>
  <c r="K83" i="7"/>
  <c r="G62" i="7"/>
  <c r="J27" i="7"/>
  <c r="H62" i="7"/>
  <c r="L53" i="7"/>
  <c r="L21" i="7"/>
  <c r="M22" i="7"/>
  <c r="H141" i="7"/>
  <c r="N308" i="7"/>
  <c r="N276" i="7"/>
  <c r="N244" i="7"/>
  <c r="N212" i="7"/>
  <c r="J170" i="7"/>
  <c r="N24" i="7"/>
  <c r="G298" i="7"/>
  <c r="G266" i="7"/>
  <c r="G234" i="7"/>
  <c r="G202" i="7"/>
  <c r="G148" i="7"/>
  <c r="L313" i="7"/>
  <c r="L297" i="7"/>
  <c r="L281" i="7"/>
  <c r="L265" i="7"/>
  <c r="L249" i="7"/>
  <c r="L233" i="7"/>
  <c r="L217" i="7"/>
  <c r="L201" i="7"/>
  <c r="N179" i="7"/>
  <c r="H147" i="7"/>
  <c r="M77" i="7"/>
  <c r="I308" i="7"/>
  <c r="I292" i="7"/>
  <c r="I276" i="7"/>
  <c r="I260" i="7"/>
  <c r="I244" i="7"/>
  <c r="I228" i="7"/>
  <c r="I212" i="7"/>
  <c r="I196" i="7"/>
  <c r="G169" i="7"/>
  <c r="H128" i="7"/>
  <c r="H192" i="7"/>
  <c r="H176" i="7"/>
  <c r="H160" i="7"/>
  <c r="H142" i="7"/>
  <c r="K110" i="7"/>
  <c r="M62" i="7"/>
  <c r="I181" i="7"/>
  <c r="I165" i="7"/>
  <c r="G149" i="7"/>
  <c r="L120" i="7"/>
  <c r="J81" i="7"/>
  <c r="M145" i="7"/>
  <c r="M129" i="7"/>
  <c r="M113" i="7"/>
  <c r="L93" i="7"/>
  <c r="I69" i="7"/>
  <c r="N19" i="7"/>
  <c r="J126" i="7"/>
  <c r="J110" i="7"/>
  <c r="H89" i="7"/>
  <c r="G54" i="7"/>
  <c r="G99" i="7"/>
  <c r="K77" i="7"/>
  <c r="N54" i="7"/>
  <c r="L77" i="7"/>
  <c r="M51" i="7"/>
  <c r="H45" i="7"/>
  <c r="I46" i="7"/>
  <c r="M79" i="7"/>
  <c r="G42" i="7"/>
  <c r="K100" i="7"/>
  <c r="K84" i="7"/>
  <c r="K68" i="7"/>
  <c r="I50" i="7"/>
  <c r="J18" i="7"/>
  <c r="H63" i="7"/>
  <c r="K39" i="7"/>
  <c r="L54" i="7"/>
  <c r="L38" i="7"/>
  <c r="L22" i="7"/>
  <c r="M39" i="7"/>
  <c r="M23" i="7"/>
  <c r="J50" i="7"/>
  <c r="K18" i="7"/>
  <c r="H44" i="7"/>
  <c r="H28" i="7"/>
  <c r="I45" i="7"/>
  <c r="I29" i="7"/>
  <c r="H76" i="7"/>
  <c r="J141" i="7"/>
  <c r="L131" i="7"/>
  <c r="L82" i="7"/>
  <c r="L181" i="7"/>
  <c r="M201" i="7"/>
  <c r="M265" i="7"/>
  <c r="I107" i="7"/>
  <c r="H223" i="7"/>
  <c r="H287" i="7"/>
  <c r="G213" i="7"/>
  <c r="N255" i="7"/>
  <c r="K187" i="7"/>
  <c r="J298" i="7"/>
  <c r="K272" i="7"/>
  <c r="F102" i="7"/>
  <c r="E117" i="7"/>
  <c r="E245" i="7"/>
  <c r="D245" i="7"/>
  <c r="C259" i="7"/>
  <c r="B18" i="7"/>
  <c r="F161" i="7"/>
  <c r="F289" i="7"/>
  <c r="D78" i="7"/>
  <c r="C92" i="7"/>
  <c r="B107" i="7"/>
  <c r="E160" i="7"/>
  <c r="B278" i="7"/>
  <c r="N32" i="7"/>
  <c r="F250" i="7"/>
  <c r="B29" i="7"/>
  <c r="C234" i="7"/>
  <c r="E178" i="7"/>
  <c r="B280" i="7"/>
  <c r="F116" i="7"/>
  <c r="D244" i="7"/>
  <c r="B235" i="7"/>
  <c r="F71" i="7"/>
  <c r="B185" i="7"/>
  <c r="I20" i="7"/>
  <c r="J63" i="7"/>
  <c r="J89" i="7"/>
  <c r="H159" i="7"/>
  <c r="I243" i="7"/>
  <c r="L192" i="7"/>
  <c r="N63" i="7"/>
  <c r="J214" i="7"/>
  <c r="K228" i="7"/>
  <c r="J261" i="7"/>
  <c r="M16" i="7"/>
  <c r="E295" i="7"/>
  <c r="D89" i="7"/>
  <c r="C103" i="7"/>
  <c r="B118" i="7"/>
  <c r="F211" i="7"/>
  <c r="D147" i="7"/>
  <c r="B314" i="7"/>
  <c r="F158" i="7"/>
  <c r="C214" i="7"/>
  <c r="E36" i="7"/>
  <c r="D143" i="7"/>
  <c r="C18" i="7"/>
  <c r="H235" i="7"/>
  <c r="K243" i="7"/>
  <c r="E88" i="7"/>
  <c r="D101" i="7"/>
  <c r="B130" i="7"/>
  <c r="F217" i="7"/>
  <c r="E28" i="7"/>
  <c r="B136" i="7"/>
  <c r="K279" i="7"/>
  <c r="D92" i="7"/>
  <c r="D52" i="7"/>
  <c r="I59" i="7"/>
  <c r="I97" i="7"/>
  <c r="I207" i="7"/>
  <c r="G130" i="7"/>
  <c r="L292" i="7"/>
  <c r="N266" i="7"/>
  <c r="K211" i="7"/>
  <c r="K185" i="7"/>
  <c r="E255" i="7"/>
  <c r="C279" i="7"/>
  <c r="F171" i="7"/>
  <c r="K280" i="7"/>
  <c r="F270" i="7"/>
  <c r="C54" i="7"/>
  <c r="E258" i="7"/>
  <c r="F156" i="7"/>
  <c r="B275" i="7"/>
  <c r="B271" i="7"/>
  <c r="I75" i="7"/>
  <c r="I235" i="7"/>
  <c r="L142" i="7"/>
  <c r="K257" i="7"/>
  <c r="C199" i="7"/>
  <c r="D83" i="7"/>
  <c r="C278" i="7"/>
  <c r="I28" i="7"/>
  <c r="M136" i="7"/>
  <c r="L153" i="7"/>
  <c r="M245" i="7"/>
  <c r="H307" i="7"/>
  <c r="N263" i="7"/>
  <c r="C211" i="7"/>
  <c r="D30" i="7"/>
  <c r="B27" i="7"/>
  <c r="D171" i="7"/>
  <c r="D239" i="7"/>
  <c r="M106" i="7"/>
  <c r="I106" i="7"/>
  <c r="N119" i="7"/>
  <c r="G90" i="7"/>
  <c r="K25" i="7"/>
  <c r="D220" i="7"/>
  <c r="C290" i="7"/>
  <c r="B308" i="7"/>
  <c r="E190" i="7"/>
  <c r="B249" i="7"/>
  <c r="C30" i="7"/>
  <c r="F258" i="7"/>
  <c r="J213" i="7"/>
  <c r="B286" i="7"/>
  <c r="E296" i="7"/>
  <c r="F17" i="7"/>
  <c r="C100" i="7"/>
  <c r="D86" i="7"/>
  <c r="F293" i="7"/>
  <c r="F165" i="7"/>
  <c r="I16" i="7"/>
  <c r="B26" i="7"/>
  <c r="C267" i="7"/>
  <c r="D253" i="7"/>
  <c r="E249" i="7"/>
  <c r="E121" i="7"/>
  <c r="F106" i="7"/>
  <c r="J283" i="7"/>
  <c r="J302" i="7"/>
  <c r="K197" i="7"/>
  <c r="N259" i="7"/>
  <c r="G217" i="7"/>
  <c r="H289" i="7"/>
  <c r="H225" i="7"/>
  <c r="G116" i="7"/>
  <c r="M267" i="7"/>
  <c r="M203" i="7"/>
  <c r="L183" i="7"/>
  <c r="N87" i="7"/>
  <c r="L135" i="7"/>
  <c r="I121" i="7"/>
  <c r="N133" i="7"/>
  <c r="G109" i="7"/>
  <c r="H66" i="7"/>
  <c r="E234" i="7"/>
  <c r="C266" i="7"/>
  <c r="B65" i="7"/>
  <c r="D36" i="7"/>
  <c r="C165" i="7"/>
  <c r="F198" i="7"/>
  <c r="B226" i="7"/>
  <c r="C241" i="7"/>
  <c r="D227" i="7"/>
  <c r="E108" i="7"/>
  <c r="B55" i="7"/>
  <c r="C296" i="7"/>
  <c r="C40" i="7"/>
  <c r="D282" i="7"/>
  <c r="D26" i="7"/>
  <c r="F263" i="7"/>
  <c r="F135" i="7"/>
  <c r="J243" i="7"/>
  <c r="C207" i="7"/>
  <c r="D193" i="7"/>
  <c r="E219" i="7"/>
  <c r="F85" i="7"/>
  <c r="F76" i="7"/>
  <c r="J193" i="7"/>
  <c r="K292" i="7"/>
  <c r="J262" i="7"/>
  <c r="N230" i="7"/>
  <c r="K184" i="7"/>
  <c r="L274" i="7"/>
  <c r="L210" i="7"/>
  <c r="I253" i="7"/>
  <c r="G187" i="7"/>
  <c r="H169" i="7"/>
  <c r="I190" i="7"/>
  <c r="J105" i="7"/>
  <c r="L105" i="7"/>
  <c r="J119" i="7"/>
  <c r="K89" i="7"/>
  <c r="K24" i="7"/>
  <c r="J223" i="7"/>
  <c r="J313" i="7"/>
  <c r="J296" i="7"/>
  <c r="N143" i="7"/>
  <c r="N281" i="7"/>
  <c r="N217" i="7"/>
  <c r="I79" i="7"/>
  <c r="G303" i="7"/>
  <c r="G239" i="7"/>
  <c r="K158" i="7"/>
  <c r="H300" i="7"/>
  <c r="H268" i="7"/>
  <c r="H236" i="7"/>
  <c r="H204" i="7"/>
  <c r="N152" i="7"/>
  <c r="M310" i="7"/>
  <c r="M278" i="7"/>
  <c r="M246" i="7"/>
  <c r="M214" i="7"/>
  <c r="G174" i="7"/>
  <c r="G52" i="7"/>
  <c r="L162" i="7"/>
  <c r="K115" i="7"/>
  <c r="M183" i="7"/>
  <c r="M151" i="7"/>
  <c r="H88" i="7"/>
  <c r="I132" i="7"/>
  <c r="N96" i="7"/>
  <c r="N29" i="7"/>
  <c r="N112" i="7"/>
  <c r="J62" i="7"/>
  <c r="G81" i="7"/>
  <c r="J21" i="7"/>
  <c r="L49" i="7"/>
  <c r="M18" i="7"/>
  <c r="N272" i="7"/>
  <c r="N208" i="7"/>
  <c r="G294" i="7"/>
  <c r="G230" i="7"/>
  <c r="H135" i="7"/>
  <c r="L295" i="7"/>
  <c r="L263" i="7"/>
  <c r="L231" i="7"/>
  <c r="L199" i="7"/>
  <c r="M61" i="7"/>
  <c r="I290" i="7"/>
  <c r="I258" i="7"/>
  <c r="I226" i="7"/>
  <c r="I194" i="7"/>
  <c r="H120" i="7"/>
  <c r="H174" i="7"/>
  <c r="K138" i="7"/>
  <c r="I53" i="7"/>
  <c r="I163" i="7"/>
  <c r="L116" i="7"/>
  <c r="M143" i="7"/>
  <c r="M111" i="7"/>
  <c r="I65" i="7"/>
  <c r="J124" i="7"/>
  <c r="J86" i="7"/>
  <c r="G96" i="7"/>
  <c r="K51" i="7"/>
  <c r="K44" i="7"/>
  <c r="I42" i="7"/>
  <c r="G34" i="7"/>
  <c r="K82" i="7"/>
  <c r="J46" i="7"/>
  <c r="H61" i="7"/>
  <c r="K35" i="7"/>
  <c r="L52" i="7"/>
  <c r="L36" i="7"/>
  <c r="L20" i="7"/>
  <c r="M37" i="7"/>
  <c r="M21" i="7"/>
  <c r="K46" i="7"/>
  <c r="H58" i="7"/>
  <c r="H42" i="7"/>
  <c r="H26" i="7"/>
  <c r="K53" i="7"/>
  <c r="I67" i="7"/>
  <c r="L145" i="7"/>
  <c r="N103" i="7"/>
  <c r="L189" i="7"/>
  <c r="M209" i="7"/>
  <c r="M273" i="7"/>
  <c r="G140" i="7"/>
  <c r="H231" i="7"/>
  <c r="H295" i="7"/>
  <c r="G229" i="7"/>
  <c r="N271" i="7"/>
  <c r="K221" i="7"/>
  <c r="F54" i="7"/>
  <c r="E56" i="7"/>
  <c r="E197" i="7"/>
  <c r="D149" i="7"/>
  <c r="C163" i="7"/>
  <c r="B178" i="7"/>
  <c r="F177" i="7"/>
  <c r="F305" i="7"/>
  <c r="D110" i="7"/>
  <c r="C124" i="7"/>
  <c r="B139" i="7"/>
  <c r="F49" i="7"/>
  <c r="D139" i="7"/>
  <c r="C153" i="7"/>
  <c r="B168" i="7"/>
  <c r="F154" i="7"/>
  <c r="B273" i="7"/>
  <c r="K15" i="7"/>
  <c r="E238" i="7"/>
  <c r="C109" i="7"/>
  <c r="B299" i="7"/>
  <c r="F208" i="7"/>
  <c r="D127" i="7"/>
  <c r="H19" i="7"/>
  <c r="H93" i="7"/>
  <c r="L118" i="7"/>
  <c r="H175" i="7"/>
  <c r="I259" i="7"/>
  <c r="L208" i="7"/>
  <c r="K176" i="7"/>
  <c r="J258" i="7"/>
  <c r="K284" i="7"/>
  <c r="E59" i="7"/>
  <c r="D153" i="7"/>
  <c r="C167" i="7"/>
  <c r="B182" i="7"/>
  <c r="F243" i="7"/>
  <c r="D18" i="7"/>
  <c r="C32" i="7"/>
  <c r="B47" i="7"/>
  <c r="E132" i="7"/>
  <c r="D275" i="7"/>
  <c r="F286" i="7"/>
  <c r="E182" i="7"/>
  <c r="C141" i="7"/>
  <c r="C274" i="7"/>
  <c r="M205" i="7"/>
  <c r="H267" i="7"/>
  <c r="E157" i="7"/>
  <c r="D293" i="7"/>
  <c r="F313" i="7"/>
  <c r="C172" i="7"/>
  <c r="E240" i="7"/>
  <c r="D160" i="7"/>
  <c r="E142" i="7"/>
  <c r="M124" i="7"/>
  <c r="H146" i="7"/>
  <c r="I231" i="7"/>
  <c r="N185" i="7"/>
  <c r="N314" i="7"/>
  <c r="J204" i="7"/>
  <c r="J211" i="7"/>
  <c r="K239" i="7"/>
  <c r="E27" i="7"/>
  <c r="E303" i="7"/>
  <c r="D105" i="7"/>
  <c r="C119" i="7"/>
  <c r="B134" i="7"/>
  <c r="F219" i="7"/>
  <c r="D51" i="7"/>
  <c r="F110" i="7"/>
  <c r="D232" i="7"/>
  <c r="B229" i="7"/>
  <c r="E150" i="7"/>
  <c r="B268" i="7"/>
  <c r="C210" i="7"/>
  <c r="D76" i="7"/>
  <c r="H86" i="7"/>
  <c r="L248" i="7"/>
  <c r="J166" i="7"/>
  <c r="J233" i="7"/>
  <c r="F40" i="7"/>
  <c r="E183" i="7"/>
  <c r="C192" i="7"/>
  <c r="E228" i="7"/>
  <c r="D136" i="7"/>
  <c r="B247" i="7"/>
  <c r="J133" i="7"/>
  <c r="M68" i="7"/>
  <c r="M197" i="7"/>
  <c r="H227" i="7"/>
  <c r="J266" i="7"/>
  <c r="F30" i="7"/>
  <c r="E173" i="7"/>
  <c r="C204" i="7"/>
  <c r="E272" i="7"/>
  <c r="D224" i="7"/>
  <c r="E68" i="7"/>
  <c r="B295" i="7"/>
  <c r="I127" i="7"/>
  <c r="N139" i="7"/>
  <c r="G44" i="7"/>
  <c r="H74" i="7"/>
  <c r="E282" i="7"/>
  <c r="B113" i="7"/>
  <c r="D84" i="7"/>
  <c r="G16" i="7"/>
  <c r="B60" i="7"/>
  <c r="C213" i="7"/>
  <c r="F210" i="7"/>
  <c r="B238" i="7"/>
  <c r="C265" i="7"/>
  <c r="D251" i="7"/>
  <c r="E120" i="7"/>
  <c r="B67" i="7"/>
  <c r="C308" i="7"/>
  <c r="C52" i="7"/>
  <c r="D294" i="7"/>
  <c r="D38" i="7"/>
  <c r="F205" i="7"/>
  <c r="F67" i="7"/>
  <c r="B106" i="7"/>
  <c r="C91" i="7"/>
  <c r="D77" i="7"/>
  <c r="E289" i="7"/>
  <c r="E161" i="7"/>
  <c r="F18" i="7"/>
  <c r="K192" i="7"/>
  <c r="J151" i="7"/>
  <c r="K222" i="7"/>
  <c r="J181" i="7"/>
  <c r="N299" i="7"/>
  <c r="J152" i="7"/>
  <c r="G257" i="7"/>
  <c r="H309" i="7"/>
  <c r="H245" i="7"/>
  <c r="N170" i="7"/>
  <c r="M287" i="7"/>
  <c r="M223" i="7"/>
  <c r="H110" i="7"/>
  <c r="K133" i="7"/>
  <c r="M160" i="7"/>
  <c r="I141" i="7"/>
  <c r="I60" i="7"/>
  <c r="H83" i="7"/>
  <c r="K33" i="7"/>
  <c r="B140" i="7"/>
  <c r="J291" i="7"/>
  <c r="C77" i="7"/>
  <c r="E230" i="7"/>
  <c r="G15" i="7"/>
  <c r="B269" i="7"/>
  <c r="D312" i="7"/>
  <c r="F150" i="7"/>
  <c r="B160" i="7"/>
  <c r="C145" i="7"/>
  <c r="D131" i="7"/>
  <c r="E44" i="7"/>
  <c r="C248" i="7"/>
  <c r="D234" i="7"/>
  <c r="F239" i="7"/>
  <c r="F111" i="7"/>
  <c r="B174" i="7"/>
  <c r="C159" i="7"/>
  <c r="D145" i="7"/>
  <c r="E195" i="7"/>
  <c r="F53" i="7"/>
  <c r="F52" i="7"/>
  <c r="J293" i="7"/>
  <c r="K249" i="7"/>
  <c r="K283" i="7"/>
  <c r="J230" i="7"/>
  <c r="N206" i="7"/>
  <c r="G292" i="7"/>
  <c r="H127" i="7"/>
  <c r="L262" i="7"/>
  <c r="L198" i="7"/>
  <c r="I305" i="7"/>
  <c r="I241" i="7"/>
  <c r="L102" i="7"/>
  <c r="G145" i="7"/>
  <c r="M126" i="7"/>
  <c r="J139" i="7"/>
  <c r="G40" i="7"/>
  <c r="L73" i="7"/>
  <c r="K276" i="7"/>
  <c r="K173" i="7"/>
  <c r="J208" i="7"/>
  <c r="N75" i="7"/>
  <c r="N301" i="7"/>
  <c r="N237" i="7"/>
  <c r="J156" i="7"/>
  <c r="G259" i="7"/>
  <c r="G195" i="7"/>
  <c r="H310" i="7"/>
  <c r="H278" i="7"/>
  <c r="H246" i="7"/>
  <c r="H214" i="7"/>
  <c r="N172" i="7"/>
  <c r="N44" i="7"/>
  <c r="M288" i="7"/>
  <c r="M256" i="7"/>
  <c r="M224" i="7"/>
  <c r="M192" i="7"/>
  <c r="H114" i="7"/>
  <c r="L172" i="7"/>
  <c r="K135" i="7"/>
  <c r="N42" i="7"/>
  <c r="M161" i="7"/>
  <c r="L113" i="7"/>
  <c r="I142" i="7"/>
  <c r="I110" i="7"/>
  <c r="I62" i="7"/>
  <c r="N122" i="7"/>
  <c r="J84" i="7"/>
  <c r="G94" i="7"/>
  <c r="J48" i="7"/>
  <c r="K37" i="7"/>
  <c r="M38" i="7"/>
  <c r="N292" i="7"/>
  <c r="N228" i="7"/>
  <c r="G131" i="7"/>
  <c r="G314" i="7"/>
  <c r="G250" i="7"/>
  <c r="K180" i="7"/>
  <c r="L305" i="7"/>
  <c r="L273" i="7"/>
  <c r="L241" i="7"/>
  <c r="L209" i="7"/>
  <c r="N163" i="7"/>
  <c r="I284" i="7"/>
  <c r="I252" i="7"/>
  <c r="I204" i="7"/>
  <c r="G153" i="7"/>
  <c r="H184" i="7"/>
  <c r="H152" i="7"/>
  <c r="I89" i="7"/>
  <c r="I173" i="7"/>
  <c r="L136" i="7"/>
  <c r="G47" i="7"/>
  <c r="M121" i="7"/>
  <c r="N82" i="7"/>
  <c r="J134" i="7"/>
  <c r="M99" i="7"/>
  <c r="K109" i="7"/>
  <c r="G67" i="7"/>
  <c r="L66" i="7"/>
  <c r="H29" i="7"/>
  <c r="J64" i="7"/>
  <c r="K92" i="7"/>
  <c r="K60" i="7"/>
  <c r="H71" i="7"/>
  <c r="K23" i="7"/>
  <c r="L30" i="7"/>
  <c r="M31" i="7"/>
  <c r="L60" i="7"/>
  <c r="H52" i="7"/>
  <c r="H43" i="7"/>
  <c r="G76" i="7"/>
  <c r="H109" i="7"/>
  <c r="I92" i="7"/>
  <c r="M78" i="7"/>
  <c r="M154" i="7"/>
  <c r="M186" i="7"/>
  <c r="K121" i="7"/>
  <c r="L165" i="7"/>
  <c r="N77" i="7"/>
  <c r="G180" i="7"/>
  <c r="M217" i="7"/>
  <c r="M249" i="7"/>
  <c r="M281" i="7"/>
  <c r="M313" i="7"/>
  <c r="N158" i="7"/>
  <c r="H207" i="7"/>
  <c r="H239" i="7"/>
  <c r="H271" i="7"/>
  <c r="H303" i="7"/>
  <c r="K170" i="7"/>
  <c r="G245" i="7"/>
  <c r="G309" i="7"/>
  <c r="G111" i="7"/>
  <c r="N223" i="7"/>
  <c r="N287" i="7"/>
  <c r="H149" i="7"/>
  <c r="J254" i="7"/>
  <c r="K189" i="7"/>
  <c r="K281" i="7"/>
  <c r="K146" i="7"/>
  <c r="F70" i="7"/>
  <c r="F77" i="7"/>
  <c r="E149" i="7"/>
  <c r="E213" i="7"/>
  <c r="E277" i="7"/>
  <c r="D53" i="7"/>
  <c r="D181" i="7"/>
  <c r="D309" i="7"/>
  <c r="C67" i="7"/>
  <c r="C195" i="7"/>
  <c r="B82" i="7"/>
  <c r="J205" i="7"/>
  <c r="F51" i="7"/>
  <c r="F129" i="7"/>
  <c r="F193" i="7"/>
  <c r="F257" i="7"/>
  <c r="D142" i="7"/>
  <c r="D270" i="7"/>
  <c r="C28" i="7"/>
  <c r="C156" i="7"/>
  <c r="C284" i="7"/>
  <c r="B43" i="7"/>
  <c r="B171" i="7"/>
  <c r="E92" i="7"/>
  <c r="E224" i="7"/>
  <c r="D203" i="7"/>
  <c r="C217" i="7"/>
  <c r="B214" i="7"/>
  <c r="E42" i="7"/>
  <c r="F186" i="7"/>
  <c r="F314" i="7"/>
  <c r="D128" i="7"/>
  <c r="C142" i="7"/>
  <c r="B157" i="7"/>
  <c r="B305" i="7"/>
  <c r="F25" i="7"/>
  <c r="E302" i="7"/>
  <c r="D103" i="7"/>
  <c r="C117" i="7"/>
  <c r="B132" i="7"/>
  <c r="F103" i="7"/>
  <c r="D236" i="7"/>
  <c r="B231" i="7"/>
  <c r="J15" i="7"/>
  <c r="F244" i="7"/>
  <c r="C186" i="7"/>
  <c r="E186" i="7"/>
  <c r="H51" i="7"/>
  <c r="K81" i="7"/>
  <c r="J113" i="7"/>
  <c r="M116" i="7"/>
  <c r="L147" i="7"/>
  <c r="N107" i="7"/>
  <c r="H191" i="7"/>
  <c r="I211" i="7"/>
  <c r="I267" i="7"/>
  <c r="G114" i="7"/>
  <c r="L224" i="7"/>
  <c r="L288" i="7"/>
  <c r="G216" i="7"/>
  <c r="N258" i="7"/>
  <c r="K195" i="7"/>
  <c r="J300" i="7"/>
  <c r="J235" i="7"/>
  <c r="F88" i="7"/>
  <c r="F101" i="7"/>
  <c r="E231" i="7"/>
  <c r="D217" i="7"/>
  <c r="C231" i="7"/>
  <c r="J307" i="7"/>
  <c r="F147" i="7"/>
  <c r="F291" i="7"/>
  <c r="D82" i="7"/>
  <c r="C96" i="7"/>
  <c r="B111" i="7"/>
  <c r="E196" i="7"/>
  <c r="B48" i="7"/>
  <c r="B101" i="7"/>
  <c r="E246" i="7"/>
  <c r="B20" i="7"/>
  <c r="F248" i="7"/>
  <c r="B33" i="7"/>
  <c r="F224" i="7"/>
  <c r="M261" i="7"/>
  <c r="H195" i="7"/>
  <c r="H283" i="7"/>
  <c r="G237" i="7"/>
  <c r="N279" i="7"/>
  <c r="J286" i="7"/>
  <c r="F46" i="7"/>
  <c r="E189" i="7"/>
  <c r="F83" i="7"/>
  <c r="D222" i="7"/>
  <c r="C236" i="7"/>
  <c r="E304" i="7"/>
  <c r="C121" i="7"/>
  <c r="F138" i="7"/>
  <c r="D288" i="7"/>
  <c r="B289" i="7"/>
  <c r="E270" i="7"/>
  <c r="B81" i="7"/>
  <c r="B73" i="7"/>
  <c r="I36" i="7"/>
  <c r="J82" i="7"/>
  <c r="M140" i="7"/>
  <c r="I176" i="7"/>
  <c r="H155" i="7"/>
  <c r="G159" i="7"/>
  <c r="I239" i="7"/>
  <c r="I303" i="7"/>
  <c r="L196" i="7"/>
  <c r="L260" i="7"/>
  <c r="H111" i="7"/>
  <c r="G288" i="7"/>
  <c r="N202" i="7"/>
  <c r="J226" i="7"/>
  <c r="K275" i="7"/>
  <c r="K241" i="7"/>
  <c r="K282" i="7"/>
  <c r="F48" i="7"/>
  <c r="E48" i="7"/>
  <c r="E191" i="7"/>
  <c r="D137" i="7"/>
  <c r="C151" i="7"/>
  <c r="B166" i="7"/>
  <c r="F107" i="7"/>
  <c r="F235" i="7"/>
  <c r="D226" i="7"/>
  <c r="C240" i="7"/>
  <c r="F33" i="7"/>
  <c r="E308" i="7"/>
  <c r="D115" i="7"/>
  <c r="C129" i="7"/>
  <c r="B144" i="7"/>
  <c r="F142" i="7"/>
  <c r="D296" i="7"/>
  <c r="C310" i="7"/>
  <c r="B261" i="7"/>
  <c r="D16" i="7"/>
  <c r="E214" i="7"/>
  <c r="K258" i="7"/>
  <c r="C29" i="7"/>
  <c r="M15" i="7"/>
  <c r="B76" i="7"/>
  <c r="I172" i="7"/>
  <c r="G151" i="7"/>
  <c r="I307" i="7"/>
  <c r="L264" i="7"/>
  <c r="G296" i="7"/>
  <c r="N210" i="7"/>
  <c r="J289" i="7"/>
  <c r="F72" i="7"/>
  <c r="E215" i="7"/>
  <c r="F131" i="7"/>
  <c r="D242" i="7"/>
  <c r="C256" i="7"/>
  <c r="E292" i="7"/>
  <c r="C97" i="7"/>
  <c r="F126" i="7"/>
  <c r="D264" i="7"/>
  <c r="B245" i="7"/>
  <c r="E118" i="7"/>
  <c r="B300" i="7"/>
  <c r="C146" i="7"/>
  <c r="D188" i="7"/>
  <c r="C189" i="7"/>
  <c r="J33" i="7"/>
  <c r="N47" i="7"/>
  <c r="L139" i="7"/>
  <c r="I93" i="7"/>
  <c r="L185" i="7"/>
  <c r="M213" i="7"/>
  <c r="M293" i="7"/>
  <c r="H243" i="7"/>
  <c r="G253" i="7"/>
  <c r="J308" i="7"/>
  <c r="F62" i="7"/>
  <c r="E205" i="7"/>
  <c r="F137" i="7"/>
  <c r="D254" i="7"/>
  <c r="C268" i="7"/>
  <c r="C185" i="7"/>
  <c r="F170" i="7"/>
  <c r="B257" i="7"/>
  <c r="E206" i="7"/>
  <c r="K212" i="7"/>
  <c r="C194" i="7"/>
  <c r="D44" i="7"/>
  <c r="D255" i="7"/>
  <c r="G56" i="7"/>
  <c r="I123" i="7"/>
  <c r="N84" i="7"/>
  <c r="N135" i="7"/>
  <c r="M101" i="7"/>
  <c r="G22" i="7"/>
  <c r="G69" i="7"/>
  <c r="L68" i="7"/>
  <c r="L31" i="7"/>
  <c r="E218" i="7"/>
  <c r="C250" i="7"/>
  <c r="B49" i="7"/>
  <c r="C34" i="7"/>
  <c r="D20" i="7"/>
  <c r="F260" i="7"/>
  <c r="J227" i="7"/>
  <c r="B263" i="7"/>
  <c r="D300" i="7"/>
  <c r="F136" i="7"/>
  <c r="B164" i="7"/>
  <c r="C149" i="7"/>
  <c r="D135" i="7"/>
  <c r="E47" i="7"/>
  <c r="B313" i="7"/>
  <c r="B173" i="7"/>
  <c r="C158" i="7"/>
  <c r="D144" i="7"/>
  <c r="F194" i="7"/>
  <c r="E53" i="7"/>
  <c r="B222" i="7"/>
  <c r="C233" i="7"/>
  <c r="D219" i="7"/>
  <c r="E232" i="7"/>
  <c r="E103" i="7"/>
  <c r="B179" i="7"/>
  <c r="B51" i="7"/>
  <c r="C292" i="7"/>
  <c r="C164" i="7"/>
  <c r="C36" i="7"/>
  <c r="D278" i="7"/>
  <c r="D150" i="7"/>
  <c r="D22" i="7"/>
  <c r="F261" i="7"/>
  <c r="F197" i="7"/>
  <c r="F133" i="7"/>
  <c r="E57" i="7"/>
  <c r="K232" i="7"/>
  <c r="B90" i="7"/>
  <c r="C203" i="7"/>
  <c r="C75" i="7"/>
  <c r="D189" i="7"/>
  <c r="D61" i="7"/>
  <c r="E281" i="7"/>
  <c r="E217" i="7"/>
  <c r="E153" i="7"/>
  <c r="E83" i="7"/>
  <c r="F74" i="7"/>
  <c r="J179" i="7"/>
  <c r="H113" i="7"/>
  <c r="K289" i="7"/>
  <c r="M59" i="7"/>
  <c r="K202" i="7"/>
  <c r="J260" i="7"/>
  <c r="J157" i="7"/>
  <c r="N291" i="7"/>
  <c r="N227" i="7"/>
  <c r="G127" i="7"/>
  <c r="G313" i="7"/>
  <c r="G249" i="7"/>
  <c r="K178" i="7"/>
  <c r="H305" i="7"/>
  <c r="H273" i="7"/>
  <c r="H241" i="7"/>
  <c r="H209" i="7"/>
  <c r="N162" i="7"/>
  <c r="M283" i="7"/>
  <c r="M251" i="7"/>
  <c r="M219" i="7"/>
  <c r="G184" i="7"/>
  <c r="M88" i="7"/>
  <c r="L167" i="7"/>
  <c r="K125" i="7"/>
  <c r="M188" i="7"/>
  <c r="M156" i="7"/>
  <c r="J101" i="7"/>
  <c r="I137" i="7"/>
  <c r="L103" i="7"/>
  <c r="N49" i="7"/>
  <c r="N117" i="7"/>
  <c r="J75" i="7"/>
  <c r="K87" i="7"/>
  <c r="J35" i="7"/>
  <c r="K17" i="7"/>
  <c r="M28" i="7"/>
  <c r="B239" i="7"/>
  <c r="D252" i="7"/>
  <c r="F128" i="7"/>
  <c r="F16" i="7"/>
  <c r="B259" i="7"/>
  <c r="C306" i="7"/>
  <c r="D292" i="7"/>
  <c r="F140" i="7"/>
  <c r="E226" i="7"/>
  <c r="I15" i="7"/>
  <c r="E198" i="7"/>
  <c r="B253" i="7"/>
  <c r="B53" i="7"/>
  <c r="C294" i="7"/>
  <c r="C38" i="7"/>
  <c r="D280" i="7"/>
  <c r="D24" i="7"/>
  <c r="F262" i="7"/>
  <c r="F134" i="7"/>
  <c r="K237" i="7"/>
  <c r="B290" i="7"/>
  <c r="B128" i="7"/>
  <c r="C113" i="7"/>
  <c r="D99" i="7"/>
  <c r="E300" i="7"/>
  <c r="E172" i="7"/>
  <c r="E23" i="7"/>
  <c r="B119" i="7"/>
  <c r="C232" i="7"/>
  <c r="C104" i="7"/>
  <c r="D218" i="7"/>
  <c r="D90" i="7"/>
  <c r="F295" i="7"/>
  <c r="F231" i="7"/>
  <c r="F167" i="7"/>
  <c r="E102" i="7"/>
  <c r="E17" i="7"/>
  <c r="B158" i="7"/>
  <c r="B30" i="7"/>
  <c r="C271" i="7"/>
  <c r="C143" i="7"/>
  <c r="D257" i="7"/>
  <c r="D129" i="7"/>
  <c r="E251" i="7"/>
  <c r="E187" i="7"/>
  <c r="E123" i="7"/>
  <c r="E43" i="7"/>
  <c r="M92" i="7"/>
  <c r="F44" i="7"/>
  <c r="K288" i="7"/>
  <c r="K271" i="7"/>
  <c r="K236" i="7"/>
  <c r="K267" i="7"/>
  <c r="J306" i="7"/>
  <c r="J220" i="7"/>
  <c r="K203" i="7"/>
  <c r="N262" i="7"/>
  <c r="N198" i="7"/>
  <c r="G284" i="7"/>
  <c r="G220" i="7"/>
  <c r="H90" i="7"/>
  <c r="L290" i="7"/>
  <c r="L258" i="7"/>
  <c r="L226" i="7"/>
  <c r="L194" i="7"/>
  <c r="G122" i="7"/>
  <c r="I301" i="7"/>
  <c r="I269" i="7"/>
  <c r="I237" i="7"/>
  <c r="I205" i="7"/>
  <c r="G155" i="7"/>
  <c r="H185" i="7"/>
  <c r="H153" i="7"/>
  <c r="N91" i="7"/>
  <c r="I174" i="7"/>
  <c r="L138" i="7"/>
  <c r="J53" i="7"/>
  <c r="M122" i="7"/>
  <c r="I84" i="7"/>
  <c r="J135" i="7"/>
  <c r="H101" i="7"/>
  <c r="G20" i="7"/>
  <c r="G68" i="7"/>
  <c r="H68" i="7"/>
  <c r="H31" i="7"/>
  <c r="K265" i="7"/>
  <c r="L108" i="7"/>
  <c r="K270" i="7"/>
  <c r="H137" i="7"/>
  <c r="J264" i="7"/>
  <c r="J200" i="7"/>
  <c r="K209" i="7"/>
  <c r="N297" i="7"/>
  <c r="N265" i="7"/>
  <c r="N233" i="7"/>
  <c r="N201" i="7"/>
  <c r="N147" i="7"/>
  <c r="G287" i="7"/>
  <c r="G255" i="7"/>
  <c r="G223" i="7"/>
  <c r="K190" i="7"/>
  <c r="H106" i="7"/>
  <c r="H308" i="7"/>
  <c r="H292" i="7"/>
  <c r="H276" i="7"/>
  <c r="H260" i="7"/>
  <c r="H244" i="7"/>
  <c r="H228" i="7"/>
  <c r="H212" i="7"/>
  <c r="H196" i="7"/>
  <c r="N168" i="7"/>
  <c r="G128" i="7"/>
  <c r="M302" i="7"/>
  <c r="M286" i="7"/>
  <c r="M270" i="7"/>
  <c r="M254" i="7"/>
  <c r="M238" i="7"/>
  <c r="M222" i="7"/>
  <c r="M206" i="7"/>
  <c r="G190" i="7"/>
  <c r="G158" i="7"/>
  <c r="M104" i="7"/>
  <c r="L186" i="7"/>
  <c r="L170" i="7"/>
  <c r="L154" i="7"/>
  <c r="K131" i="7"/>
  <c r="N95" i="7"/>
  <c r="N26" i="7"/>
  <c r="M175" i="7"/>
  <c r="M159" i="7"/>
  <c r="L141" i="7"/>
  <c r="J109" i="7"/>
  <c r="N60" i="7"/>
  <c r="I140" i="7"/>
  <c r="I124" i="7"/>
  <c r="L107" i="7"/>
  <c r="I86" i="7"/>
  <c r="N57" i="7"/>
  <c r="N136" i="7"/>
  <c r="N120" i="7"/>
  <c r="H103" i="7"/>
  <c r="M81" i="7"/>
  <c r="G28" i="7"/>
  <c r="K91" i="7"/>
  <c r="G70" i="7"/>
  <c r="J43" i="7"/>
  <c r="H70" i="7"/>
  <c r="K29" i="7"/>
  <c r="L33" i="7"/>
  <c r="M34" i="7"/>
  <c r="I191" i="7"/>
  <c r="N288" i="7"/>
  <c r="N256" i="7"/>
  <c r="N224" i="7"/>
  <c r="N192" i="7"/>
  <c r="G115" i="7"/>
  <c r="G310" i="7"/>
  <c r="G278" i="7"/>
  <c r="G246" i="7"/>
  <c r="G214" i="7"/>
  <c r="K172" i="7"/>
  <c r="G41" i="7"/>
  <c r="L303" i="7"/>
  <c r="L287" i="7"/>
  <c r="L271" i="7"/>
  <c r="L255" i="7"/>
  <c r="L239" i="7"/>
  <c r="L223" i="7"/>
  <c r="L207" i="7"/>
  <c r="J191" i="7"/>
  <c r="N159" i="7"/>
  <c r="N109" i="7"/>
  <c r="I314" i="7"/>
  <c r="I298" i="7"/>
  <c r="I282" i="7"/>
  <c r="I266" i="7"/>
  <c r="I250" i="7"/>
  <c r="I234" i="7"/>
  <c r="I218" i="7"/>
  <c r="I202" i="7"/>
  <c r="G181" i="7"/>
  <c r="L148" i="7"/>
  <c r="M80" i="7"/>
  <c r="H182" i="7"/>
  <c r="H166" i="7"/>
  <c r="H150" i="7"/>
  <c r="K122" i="7"/>
  <c r="N83" i="7"/>
  <c r="I187" i="7"/>
  <c r="I171" i="7"/>
  <c r="I155" i="7"/>
  <c r="L132" i="7"/>
  <c r="J97" i="7"/>
  <c r="G31" i="7"/>
  <c r="M135" i="7"/>
  <c r="M119" i="7"/>
  <c r="L101" i="7"/>
  <c r="I80" i="7"/>
  <c r="N43" i="7"/>
  <c r="J132" i="7"/>
  <c r="J116" i="7"/>
  <c r="H97" i="7"/>
  <c r="J71" i="7"/>
  <c r="G107" i="7"/>
  <c r="K85" i="7"/>
  <c r="G64" i="7"/>
  <c r="J31" i="7"/>
  <c r="H64" i="7"/>
  <c r="H57" i="7"/>
  <c r="H25" i="7"/>
  <c r="I26" i="7"/>
  <c r="J60" i="7"/>
  <c r="K106" i="7"/>
  <c r="K90" i="7"/>
  <c r="K74" i="7"/>
  <c r="I58" i="7"/>
  <c r="J30" i="7"/>
  <c r="H69" i="7"/>
  <c r="G51" i="7"/>
  <c r="K19" i="7"/>
  <c r="L44" i="7"/>
  <c r="L28" i="7"/>
  <c r="M45" i="7"/>
  <c r="M29" i="7"/>
  <c r="J58" i="7"/>
  <c r="K30" i="7"/>
  <c r="H50" i="7"/>
  <c r="H34" i="7"/>
  <c r="H18" i="7"/>
  <c r="I35" i="7"/>
  <c r="I19" i="7"/>
  <c r="I9" i="10"/>
  <c r="I13" i="10"/>
  <c r="R13" i="10"/>
  <c r="O13" i="10"/>
  <c r="F13" i="10"/>
  <c r="L13" i="10"/>
  <c r="P18" i="10" l="1"/>
  <c r="U9" i="10"/>
  <c r="I10" i="10"/>
  <c r="U17" i="10"/>
  <c r="I18" i="10"/>
  <c r="D18" i="10"/>
  <c r="J18" i="10"/>
  <c r="O18" i="10"/>
  <c r="U13" i="10"/>
  <c r="O14" i="10" s="1"/>
  <c r="L14" i="10" l="1"/>
  <c r="R10" i="10"/>
  <c r="O10" i="10"/>
  <c r="F10" i="10"/>
  <c r="L10" i="10"/>
  <c r="R14" i="10"/>
  <c r="F14" i="10"/>
  <c r="R18" i="10"/>
  <c r="F18" i="10"/>
  <c r="L18" i="10"/>
  <c r="I14" i="10"/>
  <c r="F5" i="10"/>
  <c r="L5" i="10" l="1"/>
  <c r="U5" i="10" l="1"/>
  <c r="L6" i="10" s="1"/>
  <c r="I6" i="10" l="1"/>
  <c r="R6" i="10"/>
  <c r="O6" i="10"/>
  <c r="F6" i="10"/>
</calcChain>
</file>

<file path=xl/comments1.xml><?xml version="1.0" encoding="utf-8"?>
<comments xmlns="http://schemas.openxmlformats.org/spreadsheetml/2006/main">
  <authors>
    <author>作成者</author>
  </authors>
  <commentList>
    <comment ref="Q3" authorId="0" shapeId="0">
      <text>
        <r>
          <rPr>
            <b/>
            <sz val="11"/>
            <color indexed="81"/>
            <rFont val="ＭＳ Ｐゴシック"/>
            <family val="3"/>
            <charset val="128"/>
          </rPr>
          <t>入力規則から選んで下さい。</t>
        </r>
      </text>
    </comment>
    <comment ref="S3" authorId="0" shapeId="0">
      <text>
        <r>
          <rPr>
            <b/>
            <sz val="11"/>
            <color indexed="81"/>
            <rFont val="ＭＳ Ｐゴシック"/>
            <family val="3"/>
            <charset val="128"/>
          </rPr>
          <t>入力規則から選んで下さい。</t>
        </r>
      </text>
    </comment>
    <comment ref="L7" authorId="0" shapeId="0">
      <text>
        <r>
          <rPr>
            <b/>
            <sz val="12"/>
            <color indexed="81"/>
            <rFont val="ＭＳ Ｐゴシック"/>
            <family val="3"/>
            <charset val="128"/>
          </rPr>
          <t>入力シートから反映されますので、入力しないでください。</t>
        </r>
      </text>
    </comment>
    <comment ref="L8" authorId="0" shapeId="0">
      <text>
        <r>
          <rPr>
            <b/>
            <sz val="12"/>
            <color indexed="81"/>
            <rFont val="ＭＳ Ｐゴシック"/>
            <family val="3"/>
            <charset val="128"/>
          </rPr>
          <t>入力シートから反映されますので、入力しないでください。</t>
        </r>
      </text>
    </comment>
    <comment ref="J19" authorId="0" shapeId="0">
      <text>
        <r>
          <rPr>
            <b/>
            <sz val="12"/>
            <color indexed="81"/>
            <rFont val="ＭＳ Ｐゴシック"/>
            <family val="3"/>
            <charset val="128"/>
          </rPr>
          <t>入力シートから反映されますので、入力しないでください。</t>
        </r>
      </text>
    </comment>
  </commentList>
</comments>
</file>

<file path=xl/comments2.xml><?xml version="1.0" encoding="utf-8"?>
<comments xmlns="http://schemas.openxmlformats.org/spreadsheetml/2006/main">
  <authors>
    <author>作成者</author>
  </authors>
  <commentList>
    <comment ref="K4" authorId="0" shapeId="0">
      <text>
        <r>
          <rPr>
            <b/>
            <sz val="12"/>
            <color indexed="81"/>
            <rFont val="ＭＳ Ｐゴシック"/>
            <family val="3"/>
            <charset val="128"/>
          </rPr>
          <t>入力規則から選んで下さい。</t>
        </r>
      </text>
    </comment>
    <comment ref="M4" authorId="0" shapeId="0">
      <text>
        <r>
          <rPr>
            <b/>
            <sz val="12"/>
            <color indexed="81"/>
            <rFont val="ＭＳ Ｐゴシック"/>
            <family val="3"/>
            <charset val="128"/>
          </rPr>
          <t>入力規則から選んで下さい。</t>
        </r>
      </text>
    </comment>
    <comment ref="I8" authorId="0" shapeId="0">
      <text>
        <r>
          <rPr>
            <b/>
            <sz val="12"/>
            <color indexed="81"/>
            <rFont val="ＭＳ Ｐゴシック"/>
            <family val="3"/>
            <charset val="128"/>
          </rPr>
          <t>入力シートから反映されますので、入力しないでください。</t>
        </r>
      </text>
    </comment>
    <comment ref="I9" authorId="0" shapeId="0">
      <text>
        <r>
          <rPr>
            <b/>
            <sz val="12"/>
            <color indexed="81"/>
            <rFont val="ＭＳ Ｐゴシック"/>
            <family val="3"/>
            <charset val="128"/>
          </rPr>
          <t>入力シートから反映されますので、入力しないでください。</t>
        </r>
      </text>
    </comment>
  </commentList>
</comments>
</file>

<file path=xl/sharedStrings.xml><?xml version="1.0" encoding="utf-8"?>
<sst xmlns="http://schemas.openxmlformats.org/spreadsheetml/2006/main" count="2394" uniqueCount="1192">
  <si>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</si>
  <si>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</si>
  <si>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</si>
  <si>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</si>
  <si>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</si>
  <si>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</si>
  <si>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</si>
  <si>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</si>
  <si>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</si>
  <si>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</si>
  <si>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</si>
  <si>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</si>
  <si>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</si>
  <si>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</si>
  <si>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</si>
  <si>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</si>
  <si>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</si>
  <si>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</si>
  <si>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</si>
  <si>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</si>
  <si>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</si>
  <si>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</si>
  <si>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</si>
  <si>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</si>
  <si>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</si>
  <si>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</si>
  <si>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</si>
  <si>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</si>
  <si>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</si>
  <si>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</si>
  <si>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</si>
  <si>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</si>
  <si>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</si>
  <si>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</si>
  <si>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</si>
  <si>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</si>
  <si>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</si>
  <si>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</si>
  <si>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</si>
  <si>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</si>
  <si>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</si>
  <si>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</si>
  <si>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</si>
  <si>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</si>
  <si>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</si>
  <si>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</si>
  <si>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</si>
  <si>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</si>
  <si>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</si>
  <si>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</si>
  <si>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</si>
  <si>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</si>
  <si>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</si>
  <si>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</si>
  <si>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</si>
  <si>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</si>
  <si>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</si>
  <si>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</si>
  <si>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</si>
  <si>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</si>
  <si>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</si>
  <si>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</si>
  <si>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</si>
  <si>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</si>
  <si>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</si>
  <si>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</si>
  <si>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</si>
  <si>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</si>
  <si>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</si>
  <si>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</si>
  <si>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</si>
  <si>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</si>
  <si>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小計</t>
    <rPh sb="0" eb="2">
      <t>ショウケイ</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</si>
  <si>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</si>
  <si>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</si>
  <si>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</si>
  <si>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</si>
  <si>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</si>
  <si>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</si>
  <si>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</si>
  <si>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</si>
  <si>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</si>
  <si>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</si>
  <si>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</si>
  <si>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</si>
  <si>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</si>
  <si>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</si>
  <si>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月</t>
    <rPh sb="0" eb="1">
      <t>ガツ</t>
    </rPh>
    <phoneticPr fontId="1"/>
  </si>
  <si>
    <t>持久走</t>
    <rPh sb="0" eb="3">
      <t>ジキュウソウ</t>
    </rPh>
    <phoneticPr fontId="2"/>
  </si>
  <si>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</si>
  <si>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</si>
  <si>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</si>
  <si>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</si>
  <si>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</si>
  <si>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</si>
  <si>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</si>
  <si>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</si>
  <si>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</si>
  <si>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</si>
  <si>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持久走</t>
    <rPh sb="0" eb="2">
      <t>ジキュウ</t>
    </rPh>
    <rPh sb="2" eb="3">
      <t>ソウ</t>
    </rPh>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</si>
  <si>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</si>
  <si>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</si>
  <si>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</si>
  <si>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</si>
  <si>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</si>
  <si>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</si>
  <si>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</si>
  <si>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</si>
  <si>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</si>
  <si>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</si>
  <si>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</si>
  <si>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</si>
  <si>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上体</t>
    <rPh sb="0" eb="2">
      <t>ジョウタイ</t>
    </rPh>
    <phoneticPr fontId="2"/>
  </si>
  <si>
    <t>長座</t>
    <rPh sb="0" eb="2">
      <t>チョウザ</t>
    </rPh>
    <phoneticPr fontId="2"/>
  </si>
  <si>
    <t>反復</t>
    <rPh sb="0" eb="2">
      <t>ハンプク</t>
    </rPh>
    <phoneticPr fontId="2"/>
  </si>
  <si>
    <t>立ち幅</t>
    <rPh sb="0" eb="1">
      <t>タ</t>
    </rPh>
    <rPh sb="2" eb="3">
      <t>ハバ</t>
    </rPh>
    <phoneticPr fontId="2"/>
  </si>
  <si>
    <t>女子</t>
    <rPh sb="0" eb="2">
      <t>ジョシ</t>
    </rPh>
    <phoneticPr fontId="2"/>
  </si>
  <si>
    <t>得点</t>
    <rPh sb="0" eb="2">
      <t>トクテン</t>
    </rPh>
    <phoneticPr fontId="1"/>
  </si>
  <si>
    <t>持久走</t>
    <rPh sb="0" eb="3">
      <t>ジキュウソウ</t>
    </rPh>
    <phoneticPr fontId="1"/>
  </si>
  <si>
    <t>(％)</t>
    <phoneticPr fontId="1"/>
  </si>
  <si>
    <t>シャトル</t>
  </si>
  <si>
    <t>５０ｍ</t>
  </si>
  <si>
    <t>ハンド</t>
  </si>
  <si>
    <t>組</t>
    <phoneticPr fontId="1"/>
  </si>
  <si>
    <t>50ｍ</t>
    <phoneticPr fontId="1"/>
  </si>
  <si>
    <t>判定</t>
    <phoneticPr fontId="1"/>
  </si>
  <si>
    <t>段階</t>
    <rPh sb="0" eb="2">
      <t>ダンカイ</t>
    </rPh>
    <phoneticPr fontId="1"/>
  </si>
  <si>
    <t>A</t>
    <phoneticPr fontId="1"/>
  </si>
  <si>
    <t>B</t>
    <phoneticPr fontId="1"/>
  </si>
  <si>
    <t>C</t>
    <phoneticPr fontId="1"/>
  </si>
  <si>
    <t>D</t>
    <phoneticPr fontId="1"/>
  </si>
  <si>
    <t>E</t>
    <phoneticPr fontId="1"/>
  </si>
  <si>
    <t>男</t>
    <rPh sb="0" eb="1">
      <t>オトコ</t>
    </rPh>
    <phoneticPr fontId="1"/>
  </si>
  <si>
    <t>赤城太郎</t>
    <rPh sb="0" eb="2">
      <t>アカギ</t>
    </rPh>
    <rPh sb="2" eb="4">
      <t>タロウ</t>
    </rPh>
    <phoneticPr fontId="1"/>
  </si>
  <si>
    <t>秒換算</t>
    <rPh sb="0" eb="1">
      <t>ビョウ</t>
    </rPh>
    <rPh sb="1" eb="3">
      <t>カンサン</t>
    </rPh>
    <phoneticPr fontId="1"/>
  </si>
  <si>
    <t>記録</t>
    <rPh sb="0" eb="2">
      <t>キロク</t>
    </rPh>
    <phoneticPr fontId="1"/>
  </si>
  <si>
    <t>→</t>
    <phoneticPr fontId="1"/>
  </si>
  <si>
    <t>3分台</t>
    <rPh sb="1" eb="3">
      <t>フンダイ</t>
    </rPh>
    <phoneticPr fontId="1"/>
  </si>
  <si>
    <t>4分台</t>
    <rPh sb="1" eb="3">
      <t>フンダイ</t>
    </rPh>
    <phoneticPr fontId="1"/>
  </si>
  <si>
    <t>5分台</t>
    <rPh sb="1" eb="3">
      <t>フンダイ</t>
    </rPh>
    <phoneticPr fontId="1"/>
  </si>
  <si>
    <t>6分台</t>
    <rPh sb="1" eb="3">
      <t>フンダイ</t>
    </rPh>
    <phoneticPr fontId="1"/>
  </si>
  <si>
    <t>7分台</t>
    <rPh sb="1" eb="3">
      <t>フンダイ</t>
    </rPh>
    <phoneticPr fontId="1"/>
  </si>
  <si>
    <t>8分台</t>
    <rPh sb="1" eb="3">
      <t>フンダイ</t>
    </rPh>
    <phoneticPr fontId="1"/>
  </si>
  <si>
    <t>3分0秒</t>
    <rPh sb="1" eb="2">
      <t>フン</t>
    </rPh>
    <rPh sb="3" eb="4">
      <t>ビョウ</t>
    </rPh>
    <phoneticPr fontId="1"/>
  </si>
  <si>
    <t>3分1秒</t>
    <rPh sb="1" eb="2">
      <t>フン</t>
    </rPh>
    <rPh sb="3" eb="4">
      <t>ビョウ</t>
    </rPh>
    <phoneticPr fontId="1"/>
  </si>
  <si>
    <t>3分2秒</t>
    <rPh sb="1" eb="2">
      <t>フン</t>
    </rPh>
    <rPh sb="3" eb="4">
      <t>ビョウ</t>
    </rPh>
    <phoneticPr fontId="1"/>
  </si>
  <si>
    <t>3分3秒</t>
    <rPh sb="1" eb="2">
      <t>フン</t>
    </rPh>
    <rPh sb="3" eb="4">
      <t>ビョウ</t>
    </rPh>
    <phoneticPr fontId="1"/>
  </si>
  <si>
    <t>3分4秒</t>
    <rPh sb="1" eb="2">
      <t>フン</t>
    </rPh>
    <rPh sb="3" eb="4">
      <t>ビョウ</t>
    </rPh>
    <phoneticPr fontId="1"/>
  </si>
  <si>
    <t>3分5秒</t>
    <rPh sb="1" eb="2">
      <t>フン</t>
    </rPh>
    <rPh sb="3" eb="4">
      <t>ビョウ</t>
    </rPh>
    <phoneticPr fontId="1"/>
  </si>
  <si>
    <t>3分6秒</t>
    <rPh sb="1" eb="2">
      <t>フン</t>
    </rPh>
    <rPh sb="3" eb="4">
      <t>ビョウ</t>
    </rPh>
    <phoneticPr fontId="1"/>
  </si>
  <si>
    <t>3分7秒</t>
    <rPh sb="1" eb="2">
      <t>フン</t>
    </rPh>
    <rPh sb="3" eb="4">
      <t>ビョウ</t>
    </rPh>
    <phoneticPr fontId="1"/>
  </si>
  <si>
    <t>3分8秒</t>
    <rPh sb="1" eb="2">
      <t>フン</t>
    </rPh>
    <rPh sb="3" eb="4">
      <t>ビョウ</t>
    </rPh>
    <phoneticPr fontId="1"/>
  </si>
  <si>
    <t>3分9秒</t>
    <rPh sb="1" eb="2">
      <t>フン</t>
    </rPh>
    <rPh sb="3" eb="4">
      <t>ビョウ</t>
    </rPh>
    <phoneticPr fontId="1"/>
  </si>
  <si>
    <t>3分10秒</t>
    <rPh sb="1" eb="2">
      <t>フン</t>
    </rPh>
    <rPh sb="4" eb="5">
      <t>ビョウ</t>
    </rPh>
    <phoneticPr fontId="1"/>
  </si>
  <si>
    <t>3分11秒</t>
    <rPh sb="1" eb="2">
      <t>フン</t>
    </rPh>
    <rPh sb="4" eb="5">
      <t>ビョウ</t>
    </rPh>
    <phoneticPr fontId="1"/>
  </si>
  <si>
    <t>3分12秒</t>
    <rPh sb="1" eb="2">
      <t>フン</t>
    </rPh>
    <rPh sb="4" eb="5">
      <t>ビョウ</t>
    </rPh>
    <phoneticPr fontId="1"/>
  </si>
  <si>
    <t>3分13秒</t>
    <rPh sb="1" eb="2">
      <t>フン</t>
    </rPh>
    <rPh sb="4" eb="5">
      <t>ビョウ</t>
    </rPh>
    <phoneticPr fontId="1"/>
  </si>
  <si>
    <t>3分14秒</t>
    <rPh sb="1" eb="2">
      <t>フン</t>
    </rPh>
    <rPh sb="4" eb="5">
      <t>ビョウ</t>
    </rPh>
    <phoneticPr fontId="1"/>
  </si>
  <si>
    <t>3分15秒</t>
    <rPh sb="1" eb="2">
      <t>フン</t>
    </rPh>
    <rPh sb="4" eb="5">
      <t>ビョウ</t>
    </rPh>
    <phoneticPr fontId="1"/>
  </si>
  <si>
    <t>3分16秒</t>
    <rPh sb="1" eb="2">
      <t>フン</t>
    </rPh>
    <rPh sb="4" eb="5">
      <t>ビョウ</t>
    </rPh>
    <phoneticPr fontId="1"/>
  </si>
  <si>
    <t>3分17秒</t>
    <rPh sb="1" eb="2">
      <t>フン</t>
    </rPh>
    <rPh sb="4" eb="5">
      <t>ビョウ</t>
    </rPh>
    <phoneticPr fontId="1"/>
  </si>
  <si>
    <t>3分18秒</t>
    <rPh sb="1" eb="2">
      <t>フン</t>
    </rPh>
    <rPh sb="4" eb="5">
      <t>ビョウ</t>
    </rPh>
    <phoneticPr fontId="1"/>
  </si>
  <si>
    <t>3分19秒</t>
    <rPh sb="1" eb="2">
      <t>フン</t>
    </rPh>
    <rPh sb="4" eb="5">
      <t>ビョウ</t>
    </rPh>
    <phoneticPr fontId="1"/>
  </si>
  <si>
    <t>3分20秒</t>
    <rPh sb="1" eb="2">
      <t>フン</t>
    </rPh>
    <rPh sb="4" eb="5">
      <t>ビョウ</t>
    </rPh>
    <phoneticPr fontId="1"/>
  </si>
  <si>
    <t>3分21秒</t>
    <rPh sb="1" eb="2">
      <t>フン</t>
    </rPh>
    <rPh sb="4" eb="5">
      <t>ビョウ</t>
    </rPh>
    <phoneticPr fontId="1"/>
  </si>
  <si>
    <t>3分22秒</t>
    <rPh sb="1" eb="2">
      <t>フン</t>
    </rPh>
    <rPh sb="4" eb="5">
      <t>ビョウ</t>
    </rPh>
    <phoneticPr fontId="1"/>
  </si>
  <si>
    <t>3分23秒</t>
    <rPh sb="1" eb="2">
      <t>フン</t>
    </rPh>
    <rPh sb="4" eb="5">
      <t>ビョウ</t>
    </rPh>
    <phoneticPr fontId="1"/>
  </si>
  <si>
    <t>3分24秒</t>
    <rPh sb="1" eb="2">
      <t>フン</t>
    </rPh>
    <rPh sb="4" eb="5">
      <t>ビョウ</t>
    </rPh>
    <phoneticPr fontId="1"/>
  </si>
  <si>
    <t>3分25秒</t>
    <rPh sb="1" eb="2">
      <t>フン</t>
    </rPh>
    <rPh sb="4" eb="5">
      <t>ビョウ</t>
    </rPh>
    <phoneticPr fontId="1"/>
  </si>
  <si>
    <t>3分26秒</t>
    <rPh sb="1" eb="2">
      <t>フン</t>
    </rPh>
    <rPh sb="4" eb="5">
      <t>ビョウ</t>
    </rPh>
    <phoneticPr fontId="1"/>
  </si>
  <si>
    <t>3分27秒</t>
    <rPh sb="1" eb="2">
      <t>フン</t>
    </rPh>
    <rPh sb="4" eb="5">
      <t>ビョウ</t>
    </rPh>
    <phoneticPr fontId="1"/>
  </si>
  <si>
    <t>3分28秒</t>
    <rPh sb="1" eb="2">
      <t>フン</t>
    </rPh>
    <rPh sb="4" eb="5">
      <t>ビョウ</t>
    </rPh>
    <phoneticPr fontId="1"/>
  </si>
  <si>
    <t>3分29秒</t>
    <rPh sb="1" eb="2">
      <t>フン</t>
    </rPh>
    <rPh sb="4" eb="5">
      <t>ビョウ</t>
    </rPh>
    <phoneticPr fontId="1"/>
  </si>
  <si>
    <t>3分30秒</t>
    <rPh sb="1" eb="2">
      <t>フン</t>
    </rPh>
    <rPh sb="4" eb="5">
      <t>ビョウ</t>
    </rPh>
    <phoneticPr fontId="1"/>
  </si>
  <si>
    <t>3分31秒</t>
    <rPh sb="1" eb="2">
      <t>フン</t>
    </rPh>
    <rPh sb="4" eb="5">
      <t>ビョウ</t>
    </rPh>
    <phoneticPr fontId="1"/>
  </si>
  <si>
    <t>3分32秒</t>
    <rPh sb="1" eb="2">
      <t>フン</t>
    </rPh>
    <rPh sb="4" eb="5">
      <t>ビョウ</t>
    </rPh>
    <phoneticPr fontId="1"/>
  </si>
  <si>
    <t>3分33秒</t>
    <rPh sb="1" eb="2">
      <t>フン</t>
    </rPh>
    <rPh sb="4" eb="5">
      <t>ビョウ</t>
    </rPh>
    <phoneticPr fontId="1"/>
  </si>
  <si>
    <t>3分34秒</t>
    <rPh sb="1" eb="2">
      <t>フン</t>
    </rPh>
    <rPh sb="4" eb="5">
      <t>ビョウ</t>
    </rPh>
    <phoneticPr fontId="1"/>
  </si>
  <si>
    <t>3分35秒</t>
    <rPh sb="1" eb="2">
      <t>フン</t>
    </rPh>
    <rPh sb="4" eb="5">
      <t>ビョウ</t>
    </rPh>
    <phoneticPr fontId="1"/>
  </si>
  <si>
    <t>3分36秒</t>
    <rPh sb="1" eb="2">
      <t>フン</t>
    </rPh>
    <rPh sb="4" eb="5">
      <t>ビョウ</t>
    </rPh>
    <phoneticPr fontId="1"/>
  </si>
  <si>
    <t>3分37秒</t>
    <rPh sb="1" eb="2">
      <t>フン</t>
    </rPh>
    <rPh sb="4" eb="5">
      <t>ビョウ</t>
    </rPh>
    <phoneticPr fontId="1"/>
  </si>
  <si>
    <t>3分38秒</t>
    <rPh sb="1" eb="2">
      <t>フン</t>
    </rPh>
    <rPh sb="4" eb="5">
      <t>ビョウ</t>
    </rPh>
    <phoneticPr fontId="1"/>
  </si>
  <si>
    <t>3分39秒</t>
    <rPh sb="1" eb="2">
      <t>フン</t>
    </rPh>
    <rPh sb="4" eb="5">
      <t>ビョウ</t>
    </rPh>
    <phoneticPr fontId="1"/>
  </si>
  <si>
    <t>3分40秒</t>
    <rPh sb="1" eb="2">
      <t>フン</t>
    </rPh>
    <rPh sb="4" eb="5">
      <t>ビョウ</t>
    </rPh>
    <phoneticPr fontId="1"/>
  </si>
  <si>
    <t>3分41秒</t>
    <rPh sb="1" eb="2">
      <t>フン</t>
    </rPh>
    <rPh sb="4" eb="5">
      <t>ビョウ</t>
    </rPh>
    <phoneticPr fontId="1"/>
  </si>
  <si>
    <t>3分42秒</t>
    <rPh sb="1" eb="2">
      <t>フン</t>
    </rPh>
    <rPh sb="4" eb="5">
      <t>ビョウ</t>
    </rPh>
    <phoneticPr fontId="1"/>
  </si>
  <si>
    <t>3分43秒</t>
    <rPh sb="1" eb="2">
      <t>フン</t>
    </rPh>
    <rPh sb="4" eb="5">
      <t>ビョウ</t>
    </rPh>
    <phoneticPr fontId="1"/>
  </si>
  <si>
    <t>3分44秒</t>
    <rPh sb="1" eb="2">
      <t>フン</t>
    </rPh>
    <rPh sb="4" eb="5">
      <t>ビョウ</t>
    </rPh>
    <phoneticPr fontId="1"/>
  </si>
  <si>
    <t>3分45秒</t>
    <rPh sb="1" eb="2">
      <t>フン</t>
    </rPh>
    <rPh sb="4" eb="5">
      <t>ビョウ</t>
    </rPh>
    <phoneticPr fontId="1"/>
  </si>
  <si>
    <t>3分46秒</t>
    <rPh sb="1" eb="2">
      <t>フン</t>
    </rPh>
    <rPh sb="4" eb="5">
      <t>ビョウ</t>
    </rPh>
    <phoneticPr fontId="1"/>
  </si>
  <si>
    <t>3分47秒</t>
    <rPh sb="1" eb="2">
      <t>フン</t>
    </rPh>
    <rPh sb="4" eb="5">
      <t>ビョウ</t>
    </rPh>
    <phoneticPr fontId="1"/>
  </si>
  <si>
    <t>3分48秒</t>
    <rPh sb="1" eb="2">
      <t>フン</t>
    </rPh>
    <rPh sb="4" eb="5">
      <t>ビョウ</t>
    </rPh>
    <phoneticPr fontId="1"/>
  </si>
  <si>
    <t>3分49秒</t>
    <rPh sb="1" eb="2">
      <t>フン</t>
    </rPh>
    <rPh sb="4" eb="5">
      <t>ビョウ</t>
    </rPh>
    <phoneticPr fontId="1"/>
  </si>
  <si>
    <t>3分50秒</t>
    <rPh sb="1" eb="2">
      <t>フン</t>
    </rPh>
    <rPh sb="4" eb="5">
      <t>ビョウ</t>
    </rPh>
    <phoneticPr fontId="1"/>
  </si>
  <si>
    <t>3分51秒</t>
    <rPh sb="1" eb="2">
      <t>フン</t>
    </rPh>
    <rPh sb="4" eb="5">
      <t>ビョウ</t>
    </rPh>
    <phoneticPr fontId="1"/>
  </si>
  <si>
    <t>3分52秒</t>
    <rPh sb="1" eb="2">
      <t>フン</t>
    </rPh>
    <rPh sb="4" eb="5">
      <t>ビョウ</t>
    </rPh>
    <phoneticPr fontId="1"/>
  </si>
  <si>
    <t>3分53秒</t>
    <rPh sb="1" eb="2">
      <t>フン</t>
    </rPh>
    <rPh sb="4" eb="5">
      <t>ビョウ</t>
    </rPh>
    <phoneticPr fontId="1"/>
  </si>
  <si>
    <t>3分54秒</t>
    <rPh sb="1" eb="2">
      <t>フン</t>
    </rPh>
    <rPh sb="4" eb="5">
      <t>ビョウ</t>
    </rPh>
    <phoneticPr fontId="1"/>
  </si>
  <si>
    <t>3分55秒</t>
    <rPh sb="1" eb="2">
      <t>フン</t>
    </rPh>
    <rPh sb="4" eb="5">
      <t>ビョウ</t>
    </rPh>
    <phoneticPr fontId="1"/>
  </si>
  <si>
    <t>3分56秒</t>
    <rPh sb="1" eb="2">
      <t>フン</t>
    </rPh>
    <rPh sb="4" eb="5">
      <t>ビョウ</t>
    </rPh>
    <phoneticPr fontId="1"/>
  </si>
  <si>
    <t>3分57秒</t>
    <rPh sb="1" eb="2">
      <t>フン</t>
    </rPh>
    <rPh sb="4" eb="5">
      <t>ビョウ</t>
    </rPh>
    <phoneticPr fontId="1"/>
  </si>
  <si>
    <t>3分58秒</t>
    <rPh sb="1" eb="2">
      <t>フン</t>
    </rPh>
    <rPh sb="4" eb="5">
      <t>ビョウ</t>
    </rPh>
    <phoneticPr fontId="1"/>
  </si>
  <si>
    <t>3分59秒</t>
    <rPh sb="1" eb="2">
      <t>フン</t>
    </rPh>
    <rPh sb="4" eb="5">
      <t>ビョウ</t>
    </rPh>
    <phoneticPr fontId="1"/>
  </si>
  <si>
    <t>9分台</t>
    <rPh sb="1" eb="3">
      <t>フンダイ</t>
    </rPh>
    <phoneticPr fontId="1"/>
  </si>
  <si>
    <t>4分0秒</t>
    <rPh sb="1" eb="2">
      <t>フン</t>
    </rPh>
    <rPh sb="3" eb="4">
      <t>ビョウ</t>
    </rPh>
    <phoneticPr fontId="1"/>
  </si>
  <si>
    <t>4分1秒</t>
    <rPh sb="1" eb="2">
      <t>フン</t>
    </rPh>
    <rPh sb="3" eb="4">
      <t>ビョウ</t>
    </rPh>
    <phoneticPr fontId="1"/>
  </si>
  <si>
    <t>4分2秒</t>
    <rPh sb="1" eb="2">
      <t>フン</t>
    </rPh>
    <rPh sb="3" eb="4">
      <t>ビョウ</t>
    </rPh>
    <phoneticPr fontId="1"/>
  </si>
  <si>
    <t>4分3秒</t>
    <rPh sb="1" eb="2">
      <t>フン</t>
    </rPh>
    <rPh sb="3" eb="4">
      <t>ビョウ</t>
    </rPh>
    <phoneticPr fontId="1"/>
  </si>
  <si>
    <t>4分4秒</t>
    <rPh sb="1" eb="2">
      <t>フン</t>
    </rPh>
    <rPh sb="3" eb="4">
      <t>ビョウ</t>
    </rPh>
    <phoneticPr fontId="1"/>
  </si>
  <si>
    <t>4分5秒</t>
    <rPh sb="1" eb="2">
      <t>フン</t>
    </rPh>
    <rPh sb="3" eb="4">
      <t>ビョウ</t>
    </rPh>
    <phoneticPr fontId="1"/>
  </si>
  <si>
    <t>4分6秒</t>
    <rPh sb="1" eb="2">
      <t>フン</t>
    </rPh>
    <rPh sb="3" eb="4">
      <t>ビョウ</t>
    </rPh>
    <phoneticPr fontId="1"/>
  </si>
  <si>
    <t>4分7秒</t>
    <rPh sb="1" eb="2">
      <t>フン</t>
    </rPh>
    <rPh sb="3" eb="4">
      <t>ビョウ</t>
    </rPh>
    <phoneticPr fontId="1"/>
  </si>
  <si>
    <t>4分8秒</t>
    <rPh sb="1" eb="2">
      <t>フン</t>
    </rPh>
    <rPh sb="3" eb="4">
      <t>ビョウ</t>
    </rPh>
    <phoneticPr fontId="1"/>
  </si>
  <si>
    <t>4分9秒</t>
    <rPh sb="1" eb="2">
      <t>フン</t>
    </rPh>
    <rPh sb="3" eb="4">
      <t>ビョウ</t>
    </rPh>
    <phoneticPr fontId="1"/>
  </si>
  <si>
    <t>4分10秒</t>
    <rPh sb="1" eb="2">
      <t>フン</t>
    </rPh>
    <rPh sb="4" eb="5">
      <t>ビョウ</t>
    </rPh>
    <phoneticPr fontId="1"/>
  </si>
  <si>
    <t>4分11秒</t>
    <rPh sb="1" eb="2">
      <t>フン</t>
    </rPh>
    <rPh sb="4" eb="5">
      <t>ビョウ</t>
    </rPh>
    <phoneticPr fontId="1"/>
  </si>
  <si>
    <t>4分12秒</t>
    <rPh sb="1" eb="2">
      <t>フン</t>
    </rPh>
    <rPh sb="4" eb="5">
      <t>ビョウ</t>
    </rPh>
    <phoneticPr fontId="1"/>
  </si>
  <si>
    <t>4分13秒</t>
    <rPh sb="1" eb="2">
      <t>フン</t>
    </rPh>
    <rPh sb="4" eb="5">
      <t>ビョウ</t>
    </rPh>
    <phoneticPr fontId="1"/>
  </si>
  <si>
    <t>4分14秒</t>
    <rPh sb="1" eb="2">
      <t>フン</t>
    </rPh>
    <rPh sb="4" eb="5">
      <t>ビョウ</t>
    </rPh>
    <phoneticPr fontId="1"/>
  </si>
  <si>
    <t>4分15秒</t>
    <rPh sb="1" eb="2">
      <t>フン</t>
    </rPh>
    <rPh sb="4" eb="5">
      <t>ビョウ</t>
    </rPh>
    <phoneticPr fontId="1"/>
  </si>
  <si>
    <t>4分16秒</t>
    <rPh sb="1" eb="2">
      <t>フン</t>
    </rPh>
    <rPh sb="4" eb="5">
      <t>ビョウ</t>
    </rPh>
    <phoneticPr fontId="1"/>
  </si>
  <si>
    <t>4分17秒</t>
    <rPh sb="1" eb="2">
      <t>フン</t>
    </rPh>
    <rPh sb="4" eb="5">
      <t>ビョウ</t>
    </rPh>
    <phoneticPr fontId="1"/>
  </si>
  <si>
    <t>4分18秒</t>
    <rPh sb="1" eb="2">
      <t>フン</t>
    </rPh>
    <rPh sb="4" eb="5">
      <t>ビョウ</t>
    </rPh>
    <phoneticPr fontId="1"/>
  </si>
  <si>
    <t>4分19秒</t>
    <rPh sb="1" eb="2">
      <t>フン</t>
    </rPh>
    <rPh sb="4" eb="5">
      <t>ビョウ</t>
    </rPh>
    <phoneticPr fontId="1"/>
  </si>
  <si>
    <t>4分20秒</t>
    <rPh sb="1" eb="2">
      <t>フン</t>
    </rPh>
    <rPh sb="4" eb="5">
      <t>ビョウ</t>
    </rPh>
    <phoneticPr fontId="1"/>
  </si>
  <si>
    <t>4分21秒</t>
    <rPh sb="1" eb="2">
      <t>フン</t>
    </rPh>
    <rPh sb="4" eb="5">
      <t>ビョウ</t>
    </rPh>
    <phoneticPr fontId="1"/>
  </si>
  <si>
    <t>4分22秒</t>
    <rPh sb="1" eb="2">
      <t>フン</t>
    </rPh>
    <rPh sb="4" eb="5">
      <t>ビョウ</t>
    </rPh>
    <phoneticPr fontId="1"/>
  </si>
  <si>
    <t>4分23秒</t>
    <rPh sb="1" eb="2">
      <t>フン</t>
    </rPh>
    <rPh sb="4" eb="5">
      <t>ビョウ</t>
    </rPh>
    <phoneticPr fontId="1"/>
  </si>
  <si>
    <t>4分24秒</t>
    <rPh sb="1" eb="2">
      <t>フン</t>
    </rPh>
    <rPh sb="4" eb="5">
      <t>ビョウ</t>
    </rPh>
    <phoneticPr fontId="1"/>
  </si>
  <si>
    <t>4分25秒</t>
    <rPh sb="1" eb="2">
      <t>フン</t>
    </rPh>
    <rPh sb="4" eb="5">
      <t>ビョウ</t>
    </rPh>
    <phoneticPr fontId="1"/>
  </si>
  <si>
    <t>4分26秒</t>
    <rPh sb="1" eb="2">
      <t>フン</t>
    </rPh>
    <rPh sb="4" eb="5">
      <t>ビョウ</t>
    </rPh>
    <phoneticPr fontId="1"/>
  </si>
  <si>
    <t>4分27秒</t>
    <rPh sb="1" eb="2">
      <t>フン</t>
    </rPh>
    <rPh sb="4" eb="5">
      <t>ビョウ</t>
    </rPh>
    <phoneticPr fontId="1"/>
  </si>
  <si>
    <t>4分28秒</t>
    <rPh sb="1" eb="2">
      <t>フン</t>
    </rPh>
    <rPh sb="4" eb="5">
      <t>ビョウ</t>
    </rPh>
    <phoneticPr fontId="1"/>
  </si>
  <si>
    <t>4分29秒</t>
    <rPh sb="1" eb="2">
      <t>フン</t>
    </rPh>
    <rPh sb="4" eb="5">
      <t>ビョウ</t>
    </rPh>
    <phoneticPr fontId="1"/>
  </si>
  <si>
    <t>4分30秒</t>
    <rPh sb="1" eb="2">
      <t>フン</t>
    </rPh>
    <rPh sb="4" eb="5">
      <t>ビョウ</t>
    </rPh>
    <phoneticPr fontId="1"/>
  </si>
  <si>
    <t>4分31秒</t>
    <rPh sb="1" eb="2">
      <t>フン</t>
    </rPh>
    <rPh sb="4" eb="5">
      <t>ビョウ</t>
    </rPh>
    <phoneticPr fontId="1"/>
  </si>
  <si>
    <t>4分32秒</t>
    <rPh sb="1" eb="2">
      <t>フン</t>
    </rPh>
    <rPh sb="4" eb="5">
      <t>ビョウ</t>
    </rPh>
    <phoneticPr fontId="1"/>
  </si>
  <si>
    <t>4分33秒</t>
    <rPh sb="1" eb="2">
      <t>フン</t>
    </rPh>
    <rPh sb="4" eb="5">
      <t>ビョウ</t>
    </rPh>
    <phoneticPr fontId="1"/>
  </si>
  <si>
    <t>4分34秒</t>
    <rPh sb="1" eb="2">
      <t>フン</t>
    </rPh>
    <rPh sb="4" eb="5">
      <t>ビョウ</t>
    </rPh>
    <phoneticPr fontId="1"/>
  </si>
  <si>
    <t>4分35秒</t>
    <rPh sb="1" eb="2">
      <t>フン</t>
    </rPh>
    <rPh sb="4" eb="5">
      <t>ビョウ</t>
    </rPh>
    <phoneticPr fontId="1"/>
  </si>
  <si>
    <t>4分36秒</t>
    <rPh sb="1" eb="2">
      <t>フン</t>
    </rPh>
    <rPh sb="4" eb="5">
      <t>ビョウ</t>
    </rPh>
    <phoneticPr fontId="1"/>
  </si>
  <si>
    <t>4分37秒</t>
    <rPh sb="1" eb="2">
      <t>フン</t>
    </rPh>
    <rPh sb="4" eb="5">
      <t>ビョウ</t>
    </rPh>
    <phoneticPr fontId="1"/>
  </si>
  <si>
    <t>4分38秒</t>
    <rPh sb="1" eb="2">
      <t>フン</t>
    </rPh>
    <rPh sb="4" eb="5">
      <t>ビョウ</t>
    </rPh>
    <phoneticPr fontId="1"/>
  </si>
  <si>
    <t>4分39秒</t>
    <rPh sb="1" eb="2">
      <t>フン</t>
    </rPh>
    <rPh sb="4" eb="5">
      <t>ビョウ</t>
    </rPh>
    <phoneticPr fontId="1"/>
  </si>
  <si>
    <t>4分40秒</t>
    <rPh sb="1" eb="2">
      <t>フン</t>
    </rPh>
    <rPh sb="4" eb="5">
      <t>ビョウ</t>
    </rPh>
    <phoneticPr fontId="1"/>
  </si>
  <si>
    <t>4分41秒</t>
    <rPh sb="1" eb="2">
      <t>フン</t>
    </rPh>
    <rPh sb="4" eb="5">
      <t>ビョウ</t>
    </rPh>
    <phoneticPr fontId="1"/>
  </si>
  <si>
    <t>4分42秒</t>
    <rPh sb="1" eb="2">
      <t>フン</t>
    </rPh>
    <rPh sb="4" eb="5">
      <t>ビョウ</t>
    </rPh>
    <phoneticPr fontId="1"/>
  </si>
  <si>
    <t>4分43秒</t>
    <rPh sb="1" eb="2">
      <t>フン</t>
    </rPh>
    <rPh sb="4" eb="5">
      <t>ビョウ</t>
    </rPh>
    <phoneticPr fontId="1"/>
  </si>
  <si>
    <t>4分44秒</t>
    <rPh sb="1" eb="2">
      <t>フン</t>
    </rPh>
    <rPh sb="4" eb="5">
      <t>ビョウ</t>
    </rPh>
    <phoneticPr fontId="1"/>
  </si>
  <si>
    <t>4分45秒</t>
    <rPh sb="1" eb="2">
      <t>フン</t>
    </rPh>
    <rPh sb="4" eb="5">
      <t>ビョウ</t>
    </rPh>
    <phoneticPr fontId="1"/>
  </si>
  <si>
    <t>4分46秒</t>
    <rPh sb="1" eb="2">
      <t>フン</t>
    </rPh>
    <rPh sb="4" eb="5">
      <t>ビョウ</t>
    </rPh>
    <phoneticPr fontId="1"/>
  </si>
  <si>
    <t>4分47秒</t>
    <rPh sb="1" eb="2">
      <t>フン</t>
    </rPh>
    <rPh sb="4" eb="5">
      <t>ビョウ</t>
    </rPh>
    <phoneticPr fontId="1"/>
  </si>
  <si>
    <t>4分48秒</t>
    <rPh sb="1" eb="2">
      <t>フン</t>
    </rPh>
    <rPh sb="4" eb="5">
      <t>ビョウ</t>
    </rPh>
    <phoneticPr fontId="1"/>
  </si>
  <si>
    <t>4分49秒</t>
    <rPh sb="1" eb="2">
      <t>フン</t>
    </rPh>
    <rPh sb="4" eb="5">
      <t>ビョウ</t>
    </rPh>
    <phoneticPr fontId="1"/>
  </si>
  <si>
    <t>4分50秒</t>
    <rPh sb="1" eb="2">
      <t>フン</t>
    </rPh>
    <rPh sb="4" eb="5">
      <t>ビョウ</t>
    </rPh>
    <phoneticPr fontId="1"/>
  </si>
  <si>
    <t>4分51秒</t>
    <rPh sb="1" eb="2">
      <t>フン</t>
    </rPh>
    <rPh sb="4" eb="5">
      <t>ビョウ</t>
    </rPh>
    <phoneticPr fontId="1"/>
  </si>
  <si>
    <t>4分52秒</t>
    <rPh sb="1" eb="2">
      <t>フン</t>
    </rPh>
    <rPh sb="4" eb="5">
      <t>ビョウ</t>
    </rPh>
    <phoneticPr fontId="1"/>
  </si>
  <si>
    <t>4分53秒</t>
    <rPh sb="1" eb="2">
      <t>フン</t>
    </rPh>
    <rPh sb="4" eb="5">
      <t>ビョウ</t>
    </rPh>
    <phoneticPr fontId="1"/>
  </si>
  <si>
    <t>4分54秒</t>
    <rPh sb="1" eb="2">
      <t>フン</t>
    </rPh>
    <rPh sb="4" eb="5">
      <t>ビョウ</t>
    </rPh>
    <phoneticPr fontId="1"/>
  </si>
  <si>
    <t>4分55秒</t>
    <rPh sb="1" eb="2">
      <t>フン</t>
    </rPh>
    <rPh sb="4" eb="5">
      <t>ビョウ</t>
    </rPh>
    <phoneticPr fontId="1"/>
  </si>
  <si>
    <t>4分56秒</t>
    <rPh sb="1" eb="2">
      <t>フン</t>
    </rPh>
    <rPh sb="4" eb="5">
      <t>ビョウ</t>
    </rPh>
    <phoneticPr fontId="1"/>
  </si>
  <si>
    <t>4分57秒</t>
    <rPh sb="1" eb="2">
      <t>フン</t>
    </rPh>
    <rPh sb="4" eb="5">
      <t>ビョウ</t>
    </rPh>
    <phoneticPr fontId="1"/>
  </si>
  <si>
    <t>4分58秒</t>
    <rPh sb="1" eb="2">
      <t>フン</t>
    </rPh>
    <rPh sb="4" eb="5">
      <t>ビョウ</t>
    </rPh>
    <phoneticPr fontId="1"/>
  </si>
  <si>
    <t>4分59秒</t>
    <rPh sb="1" eb="2">
      <t>フン</t>
    </rPh>
    <rPh sb="4" eb="5">
      <t>ビョウ</t>
    </rPh>
    <phoneticPr fontId="1"/>
  </si>
  <si>
    <t>5分0秒</t>
    <rPh sb="1" eb="2">
      <t>フン</t>
    </rPh>
    <rPh sb="3" eb="4">
      <t>ビョウ</t>
    </rPh>
    <phoneticPr fontId="1"/>
  </si>
  <si>
    <t>5分1秒</t>
    <rPh sb="1" eb="2">
      <t>フン</t>
    </rPh>
    <rPh sb="3" eb="4">
      <t>ビョウ</t>
    </rPh>
    <phoneticPr fontId="1"/>
  </si>
  <si>
    <t>5分2秒</t>
    <rPh sb="1" eb="2">
      <t>フン</t>
    </rPh>
    <rPh sb="3" eb="4">
      <t>ビョウ</t>
    </rPh>
    <phoneticPr fontId="1"/>
  </si>
  <si>
    <t>5分3秒</t>
    <rPh sb="1" eb="2">
      <t>フン</t>
    </rPh>
    <rPh sb="3" eb="4">
      <t>ビョウ</t>
    </rPh>
    <phoneticPr fontId="1"/>
  </si>
  <si>
    <t>5分4秒</t>
    <rPh sb="1" eb="2">
      <t>フン</t>
    </rPh>
    <rPh sb="3" eb="4">
      <t>ビョウ</t>
    </rPh>
    <phoneticPr fontId="1"/>
  </si>
  <si>
    <t>5分5秒</t>
    <rPh sb="1" eb="2">
      <t>フン</t>
    </rPh>
    <rPh sb="3" eb="4">
      <t>ビョウ</t>
    </rPh>
    <phoneticPr fontId="1"/>
  </si>
  <si>
    <t>5分6秒</t>
    <rPh sb="1" eb="2">
      <t>フン</t>
    </rPh>
    <rPh sb="3" eb="4">
      <t>ビョウ</t>
    </rPh>
    <phoneticPr fontId="1"/>
  </si>
  <si>
    <t>5分7秒</t>
    <rPh sb="1" eb="2">
      <t>フン</t>
    </rPh>
    <rPh sb="3" eb="4">
      <t>ビョウ</t>
    </rPh>
    <phoneticPr fontId="1"/>
  </si>
  <si>
    <t>5分8秒</t>
    <rPh sb="1" eb="2">
      <t>フン</t>
    </rPh>
    <rPh sb="3" eb="4">
      <t>ビョウ</t>
    </rPh>
    <phoneticPr fontId="1"/>
  </si>
  <si>
    <t>5分9秒</t>
    <rPh sb="1" eb="2">
      <t>フン</t>
    </rPh>
    <rPh sb="3" eb="4">
      <t>ビョウ</t>
    </rPh>
    <phoneticPr fontId="1"/>
  </si>
  <si>
    <t>5分10秒</t>
    <rPh sb="1" eb="2">
      <t>フン</t>
    </rPh>
    <rPh sb="4" eb="5">
      <t>ビョウ</t>
    </rPh>
    <phoneticPr fontId="1"/>
  </si>
  <si>
    <t>5分11秒</t>
    <rPh sb="1" eb="2">
      <t>フン</t>
    </rPh>
    <rPh sb="4" eb="5">
      <t>ビョウ</t>
    </rPh>
    <phoneticPr fontId="1"/>
  </si>
  <si>
    <t>5分12秒</t>
    <rPh sb="1" eb="2">
      <t>フン</t>
    </rPh>
    <rPh sb="4" eb="5">
      <t>ビョウ</t>
    </rPh>
    <phoneticPr fontId="1"/>
  </si>
  <si>
    <t>5分13秒</t>
    <rPh sb="1" eb="2">
      <t>フン</t>
    </rPh>
    <rPh sb="4" eb="5">
      <t>ビョウ</t>
    </rPh>
    <phoneticPr fontId="1"/>
  </si>
  <si>
    <t>5分14秒</t>
    <rPh sb="1" eb="2">
      <t>フン</t>
    </rPh>
    <rPh sb="4" eb="5">
      <t>ビョウ</t>
    </rPh>
    <phoneticPr fontId="1"/>
  </si>
  <si>
    <t>5分15秒</t>
    <rPh sb="1" eb="2">
      <t>フン</t>
    </rPh>
    <rPh sb="4" eb="5">
      <t>ビョウ</t>
    </rPh>
    <phoneticPr fontId="1"/>
  </si>
  <si>
    <t>5分16秒</t>
    <rPh sb="1" eb="2">
      <t>フン</t>
    </rPh>
    <rPh sb="4" eb="5">
      <t>ビョウ</t>
    </rPh>
    <phoneticPr fontId="1"/>
  </si>
  <si>
    <t>5分17秒</t>
    <rPh sb="1" eb="2">
      <t>フン</t>
    </rPh>
    <rPh sb="4" eb="5">
      <t>ビョウ</t>
    </rPh>
    <phoneticPr fontId="1"/>
  </si>
  <si>
    <t>5分18秒</t>
    <rPh sb="1" eb="2">
      <t>フン</t>
    </rPh>
    <rPh sb="4" eb="5">
      <t>ビョウ</t>
    </rPh>
    <phoneticPr fontId="1"/>
  </si>
  <si>
    <t>5分19秒</t>
    <rPh sb="1" eb="2">
      <t>フン</t>
    </rPh>
    <rPh sb="4" eb="5">
      <t>ビョウ</t>
    </rPh>
    <phoneticPr fontId="1"/>
  </si>
  <si>
    <t>5分20秒</t>
    <rPh sb="1" eb="2">
      <t>フン</t>
    </rPh>
    <rPh sb="4" eb="5">
      <t>ビョウ</t>
    </rPh>
    <phoneticPr fontId="1"/>
  </si>
  <si>
    <t>5分21秒</t>
    <rPh sb="1" eb="2">
      <t>フン</t>
    </rPh>
    <rPh sb="4" eb="5">
      <t>ビョウ</t>
    </rPh>
    <phoneticPr fontId="1"/>
  </si>
  <si>
    <t>5分22秒</t>
    <rPh sb="1" eb="2">
      <t>フン</t>
    </rPh>
    <rPh sb="4" eb="5">
      <t>ビョウ</t>
    </rPh>
    <phoneticPr fontId="1"/>
  </si>
  <si>
    <t>5分23秒</t>
    <rPh sb="1" eb="2">
      <t>フン</t>
    </rPh>
    <rPh sb="4" eb="5">
      <t>ビョウ</t>
    </rPh>
    <phoneticPr fontId="1"/>
  </si>
  <si>
    <t>5分24秒</t>
    <rPh sb="1" eb="2">
      <t>フン</t>
    </rPh>
    <rPh sb="4" eb="5">
      <t>ビョウ</t>
    </rPh>
    <phoneticPr fontId="1"/>
  </si>
  <si>
    <t>5分25秒</t>
    <rPh sb="1" eb="2">
      <t>フン</t>
    </rPh>
    <rPh sb="4" eb="5">
      <t>ビョウ</t>
    </rPh>
    <phoneticPr fontId="1"/>
  </si>
  <si>
    <t>5分26秒</t>
    <rPh sb="1" eb="2">
      <t>フン</t>
    </rPh>
    <rPh sb="4" eb="5">
      <t>ビョウ</t>
    </rPh>
    <phoneticPr fontId="1"/>
  </si>
  <si>
    <t>5分27秒</t>
    <rPh sb="1" eb="2">
      <t>フン</t>
    </rPh>
    <rPh sb="4" eb="5">
      <t>ビョウ</t>
    </rPh>
    <phoneticPr fontId="1"/>
  </si>
  <si>
    <t>5分28秒</t>
    <rPh sb="1" eb="2">
      <t>フン</t>
    </rPh>
    <rPh sb="4" eb="5">
      <t>ビョウ</t>
    </rPh>
    <phoneticPr fontId="1"/>
  </si>
  <si>
    <t>5分29秒</t>
    <rPh sb="1" eb="2">
      <t>フン</t>
    </rPh>
    <rPh sb="4" eb="5">
      <t>ビョウ</t>
    </rPh>
    <phoneticPr fontId="1"/>
  </si>
  <si>
    <t>5分30秒</t>
    <rPh sb="1" eb="2">
      <t>フン</t>
    </rPh>
    <rPh sb="4" eb="5">
      <t>ビョウ</t>
    </rPh>
    <phoneticPr fontId="1"/>
  </si>
  <si>
    <t>5分31秒</t>
    <rPh sb="1" eb="2">
      <t>フン</t>
    </rPh>
    <rPh sb="4" eb="5">
      <t>ビョウ</t>
    </rPh>
    <phoneticPr fontId="1"/>
  </si>
  <si>
    <t>5分32秒</t>
    <rPh sb="1" eb="2">
      <t>フン</t>
    </rPh>
    <rPh sb="4" eb="5">
      <t>ビョウ</t>
    </rPh>
    <phoneticPr fontId="1"/>
  </si>
  <si>
    <t>5分33秒</t>
    <rPh sb="1" eb="2">
      <t>フン</t>
    </rPh>
    <rPh sb="4" eb="5">
      <t>ビョウ</t>
    </rPh>
    <phoneticPr fontId="1"/>
  </si>
  <si>
    <t>5分34秒</t>
    <rPh sb="1" eb="2">
      <t>フン</t>
    </rPh>
    <rPh sb="4" eb="5">
      <t>ビョウ</t>
    </rPh>
    <phoneticPr fontId="1"/>
  </si>
  <si>
    <t>5分35秒</t>
    <rPh sb="1" eb="2">
      <t>フン</t>
    </rPh>
    <rPh sb="4" eb="5">
      <t>ビョウ</t>
    </rPh>
    <phoneticPr fontId="1"/>
  </si>
  <si>
    <t>5分36秒</t>
    <rPh sb="1" eb="2">
      <t>フン</t>
    </rPh>
    <rPh sb="4" eb="5">
      <t>ビョウ</t>
    </rPh>
    <phoneticPr fontId="1"/>
  </si>
  <si>
    <t>5分37秒</t>
    <rPh sb="1" eb="2">
      <t>フン</t>
    </rPh>
    <rPh sb="4" eb="5">
      <t>ビョウ</t>
    </rPh>
    <phoneticPr fontId="1"/>
  </si>
  <si>
    <t>5分38秒</t>
    <rPh sb="1" eb="2">
      <t>フン</t>
    </rPh>
    <rPh sb="4" eb="5">
      <t>ビョウ</t>
    </rPh>
    <phoneticPr fontId="1"/>
  </si>
  <si>
    <t>5分39秒</t>
    <rPh sb="1" eb="2">
      <t>フン</t>
    </rPh>
    <rPh sb="4" eb="5">
      <t>ビョウ</t>
    </rPh>
    <phoneticPr fontId="1"/>
  </si>
  <si>
    <t>5分40秒</t>
    <rPh sb="1" eb="2">
      <t>フン</t>
    </rPh>
    <rPh sb="4" eb="5">
      <t>ビョウ</t>
    </rPh>
    <phoneticPr fontId="1"/>
  </si>
  <si>
    <t>5分41秒</t>
    <rPh sb="1" eb="2">
      <t>フン</t>
    </rPh>
    <rPh sb="4" eb="5">
      <t>ビョウ</t>
    </rPh>
    <phoneticPr fontId="1"/>
  </si>
  <si>
    <t>5分42秒</t>
    <rPh sb="1" eb="2">
      <t>フン</t>
    </rPh>
    <rPh sb="4" eb="5">
      <t>ビョウ</t>
    </rPh>
    <phoneticPr fontId="1"/>
  </si>
  <si>
    <t>5分43秒</t>
    <rPh sb="1" eb="2">
      <t>フン</t>
    </rPh>
    <rPh sb="4" eb="5">
      <t>ビョウ</t>
    </rPh>
    <phoneticPr fontId="1"/>
  </si>
  <si>
    <t>5分44秒</t>
    <rPh sb="1" eb="2">
      <t>フン</t>
    </rPh>
    <rPh sb="4" eb="5">
      <t>ビョウ</t>
    </rPh>
    <phoneticPr fontId="1"/>
  </si>
  <si>
    <t>5分45秒</t>
    <rPh sb="1" eb="2">
      <t>フン</t>
    </rPh>
    <rPh sb="4" eb="5">
      <t>ビョウ</t>
    </rPh>
    <phoneticPr fontId="1"/>
  </si>
  <si>
    <t>5分46秒</t>
    <rPh sb="1" eb="2">
      <t>フン</t>
    </rPh>
    <rPh sb="4" eb="5">
      <t>ビョウ</t>
    </rPh>
    <phoneticPr fontId="1"/>
  </si>
  <si>
    <t>5分47秒</t>
    <rPh sb="1" eb="2">
      <t>フン</t>
    </rPh>
    <rPh sb="4" eb="5">
      <t>ビョウ</t>
    </rPh>
    <phoneticPr fontId="1"/>
  </si>
  <si>
    <t>5分48秒</t>
    <rPh sb="1" eb="2">
      <t>フン</t>
    </rPh>
    <rPh sb="4" eb="5">
      <t>ビョウ</t>
    </rPh>
    <phoneticPr fontId="1"/>
  </si>
  <si>
    <t>5分49秒</t>
    <rPh sb="1" eb="2">
      <t>フン</t>
    </rPh>
    <rPh sb="4" eb="5">
      <t>ビョウ</t>
    </rPh>
    <phoneticPr fontId="1"/>
  </si>
  <si>
    <t>5分50秒</t>
    <rPh sb="1" eb="2">
      <t>フン</t>
    </rPh>
    <rPh sb="4" eb="5">
      <t>ビョウ</t>
    </rPh>
    <phoneticPr fontId="1"/>
  </si>
  <si>
    <t>5分51秒</t>
    <rPh sb="1" eb="2">
      <t>フン</t>
    </rPh>
    <rPh sb="4" eb="5">
      <t>ビョウ</t>
    </rPh>
    <phoneticPr fontId="1"/>
  </si>
  <si>
    <t>5分52秒</t>
    <rPh sb="1" eb="2">
      <t>フン</t>
    </rPh>
    <rPh sb="4" eb="5">
      <t>ビョウ</t>
    </rPh>
    <phoneticPr fontId="1"/>
  </si>
  <si>
    <t>5分53秒</t>
    <rPh sb="1" eb="2">
      <t>フン</t>
    </rPh>
    <rPh sb="4" eb="5">
      <t>ビョウ</t>
    </rPh>
    <phoneticPr fontId="1"/>
  </si>
  <si>
    <t>5分54秒</t>
    <rPh sb="1" eb="2">
      <t>フン</t>
    </rPh>
    <rPh sb="4" eb="5">
      <t>ビョウ</t>
    </rPh>
    <phoneticPr fontId="1"/>
  </si>
  <si>
    <t>5分55秒</t>
    <rPh sb="1" eb="2">
      <t>フン</t>
    </rPh>
    <rPh sb="4" eb="5">
      <t>ビョウ</t>
    </rPh>
    <phoneticPr fontId="1"/>
  </si>
  <si>
    <t>5分56秒</t>
    <rPh sb="1" eb="2">
      <t>フン</t>
    </rPh>
    <rPh sb="4" eb="5">
      <t>ビョウ</t>
    </rPh>
    <phoneticPr fontId="1"/>
  </si>
  <si>
    <t>5分57秒</t>
    <rPh sb="1" eb="2">
      <t>フン</t>
    </rPh>
    <rPh sb="4" eb="5">
      <t>ビョウ</t>
    </rPh>
    <phoneticPr fontId="1"/>
  </si>
  <si>
    <t>5分58秒</t>
    <rPh sb="1" eb="2">
      <t>フン</t>
    </rPh>
    <rPh sb="4" eb="5">
      <t>ビョウ</t>
    </rPh>
    <phoneticPr fontId="1"/>
  </si>
  <si>
    <t>5分59秒</t>
    <rPh sb="1" eb="2">
      <t>フン</t>
    </rPh>
    <rPh sb="4" eb="5">
      <t>ビョウ</t>
    </rPh>
    <phoneticPr fontId="1"/>
  </si>
  <si>
    <t>6分0秒</t>
    <rPh sb="1" eb="2">
      <t>フン</t>
    </rPh>
    <rPh sb="3" eb="4">
      <t>ビョウ</t>
    </rPh>
    <phoneticPr fontId="1"/>
  </si>
  <si>
    <t>6分1秒</t>
    <rPh sb="1" eb="2">
      <t>フン</t>
    </rPh>
    <rPh sb="3" eb="4">
      <t>ビョウ</t>
    </rPh>
    <phoneticPr fontId="1"/>
  </si>
  <si>
    <t>6分2秒</t>
    <rPh sb="1" eb="2">
      <t>フン</t>
    </rPh>
    <rPh sb="3" eb="4">
      <t>ビョウ</t>
    </rPh>
    <phoneticPr fontId="1"/>
  </si>
  <si>
    <t>6分3秒</t>
    <rPh sb="1" eb="2">
      <t>フン</t>
    </rPh>
    <rPh sb="3" eb="4">
      <t>ビョウ</t>
    </rPh>
    <phoneticPr fontId="1"/>
  </si>
  <si>
    <t>6分4秒</t>
    <rPh sb="1" eb="2">
      <t>フン</t>
    </rPh>
    <rPh sb="3" eb="4">
      <t>ビョウ</t>
    </rPh>
    <phoneticPr fontId="1"/>
  </si>
  <si>
    <t>6分5秒</t>
    <rPh sb="1" eb="2">
      <t>フン</t>
    </rPh>
    <rPh sb="3" eb="4">
      <t>ビョウ</t>
    </rPh>
    <phoneticPr fontId="1"/>
  </si>
  <si>
    <t>6分6秒</t>
    <rPh sb="1" eb="2">
      <t>フン</t>
    </rPh>
    <rPh sb="3" eb="4">
      <t>ビョウ</t>
    </rPh>
    <phoneticPr fontId="1"/>
  </si>
  <si>
    <t>6分7秒</t>
    <rPh sb="1" eb="2">
      <t>フン</t>
    </rPh>
    <rPh sb="3" eb="4">
      <t>ビョウ</t>
    </rPh>
    <phoneticPr fontId="1"/>
  </si>
  <si>
    <t>6分8秒</t>
    <rPh sb="1" eb="2">
      <t>フン</t>
    </rPh>
    <rPh sb="3" eb="4">
      <t>ビョウ</t>
    </rPh>
    <phoneticPr fontId="1"/>
  </si>
  <si>
    <t>6分9秒</t>
    <rPh sb="1" eb="2">
      <t>フン</t>
    </rPh>
    <rPh sb="3" eb="4">
      <t>ビョウ</t>
    </rPh>
    <phoneticPr fontId="1"/>
  </si>
  <si>
    <t>6分10秒</t>
    <rPh sb="1" eb="2">
      <t>フン</t>
    </rPh>
    <rPh sb="4" eb="5">
      <t>ビョウ</t>
    </rPh>
    <phoneticPr fontId="1"/>
  </si>
  <si>
    <t>6分11秒</t>
    <rPh sb="1" eb="2">
      <t>フン</t>
    </rPh>
    <rPh sb="4" eb="5">
      <t>ビョウ</t>
    </rPh>
    <phoneticPr fontId="1"/>
  </si>
  <si>
    <t>6分12秒</t>
    <rPh sb="1" eb="2">
      <t>フン</t>
    </rPh>
    <rPh sb="4" eb="5">
      <t>ビョウ</t>
    </rPh>
    <phoneticPr fontId="1"/>
  </si>
  <si>
    <t>6分13秒</t>
    <rPh sb="1" eb="2">
      <t>フン</t>
    </rPh>
    <rPh sb="4" eb="5">
      <t>ビョウ</t>
    </rPh>
    <phoneticPr fontId="1"/>
  </si>
  <si>
    <t>6分14秒</t>
    <rPh sb="1" eb="2">
      <t>フン</t>
    </rPh>
    <rPh sb="4" eb="5">
      <t>ビョウ</t>
    </rPh>
    <phoneticPr fontId="1"/>
  </si>
  <si>
    <t>6分15秒</t>
    <rPh sb="1" eb="2">
      <t>フン</t>
    </rPh>
    <rPh sb="4" eb="5">
      <t>ビョウ</t>
    </rPh>
    <phoneticPr fontId="1"/>
  </si>
  <si>
    <t>6分16秒</t>
    <rPh sb="1" eb="2">
      <t>フン</t>
    </rPh>
    <rPh sb="4" eb="5">
      <t>ビョウ</t>
    </rPh>
    <phoneticPr fontId="1"/>
  </si>
  <si>
    <t>6分17秒</t>
    <rPh sb="1" eb="2">
      <t>フン</t>
    </rPh>
    <rPh sb="4" eb="5">
      <t>ビョウ</t>
    </rPh>
    <phoneticPr fontId="1"/>
  </si>
  <si>
    <t>6分18秒</t>
    <rPh sb="1" eb="2">
      <t>フン</t>
    </rPh>
    <rPh sb="4" eb="5">
      <t>ビョウ</t>
    </rPh>
    <phoneticPr fontId="1"/>
  </si>
  <si>
    <t>6分19秒</t>
    <rPh sb="1" eb="2">
      <t>フン</t>
    </rPh>
    <rPh sb="4" eb="5">
      <t>ビョウ</t>
    </rPh>
    <phoneticPr fontId="1"/>
  </si>
  <si>
    <t>6分20秒</t>
    <rPh sb="1" eb="2">
      <t>フン</t>
    </rPh>
    <rPh sb="4" eb="5">
      <t>ビョウ</t>
    </rPh>
    <phoneticPr fontId="1"/>
  </si>
  <si>
    <t>6分21秒</t>
    <rPh sb="1" eb="2">
      <t>フン</t>
    </rPh>
    <rPh sb="4" eb="5">
      <t>ビョウ</t>
    </rPh>
    <phoneticPr fontId="1"/>
  </si>
  <si>
    <t>6分22秒</t>
    <rPh sb="1" eb="2">
      <t>フン</t>
    </rPh>
    <rPh sb="4" eb="5">
      <t>ビョウ</t>
    </rPh>
    <phoneticPr fontId="1"/>
  </si>
  <si>
    <t>6分23秒</t>
    <rPh sb="1" eb="2">
      <t>フン</t>
    </rPh>
    <rPh sb="4" eb="5">
      <t>ビョウ</t>
    </rPh>
    <phoneticPr fontId="1"/>
  </si>
  <si>
    <t>6分24秒</t>
    <rPh sb="1" eb="2">
      <t>フン</t>
    </rPh>
    <rPh sb="4" eb="5">
      <t>ビョウ</t>
    </rPh>
    <phoneticPr fontId="1"/>
  </si>
  <si>
    <t>6分25秒</t>
    <rPh sb="1" eb="2">
      <t>フン</t>
    </rPh>
    <rPh sb="4" eb="5">
      <t>ビョウ</t>
    </rPh>
    <phoneticPr fontId="1"/>
  </si>
  <si>
    <t>6分26秒</t>
    <rPh sb="1" eb="2">
      <t>フン</t>
    </rPh>
    <rPh sb="4" eb="5">
      <t>ビョウ</t>
    </rPh>
    <phoneticPr fontId="1"/>
  </si>
  <si>
    <t>6分27秒</t>
    <rPh sb="1" eb="2">
      <t>フン</t>
    </rPh>
    <rPh sb="4" eb="5">
      <t>ビョウ</t>
    </rPh>
    <phoneticPr fontId="1"/>
  </si>
  <si>
    <t>6分28秒</t>
    <rPh sb="1" eb="2">
      <t>フン</t>
    </rPh>
    <rPh sb="4" eb="5">
      <t>ビョウ</t>
    </rPh>
    <phoneticPr fontId="1"/>
  </si>
  <si>
    <t>6分29秒</t>
    <rPh sb="1" eb="2">
      <t>フン</t>
    </rPh>
    <rPh sb="4" eb="5">
      <t>ビョウ</t>
    </rPh>
    <phoneticPr fontId="1"/>
  </si>
  <si>
    <t>6分30秒</t>
    <rPh sb="1" eb="2">
      <t>フン</t>
    </rPh>
    <rPh sb="4" eb="5">
      <t>ビョウ</t>
    </rPh>
    <phoneticPr fontId="1"/>
  </si>
  <si>
    <t>6分31秒</t>
    <rPh sb="1" eb="2">
      <t>フン</t>
    </rPh>
    <rPh sb="4" eb="5">
      <t>ビョウ</t>
    </rPh>
    <phoneticPr fontId="1"/>
  </si>
  <si>
    <t>6分32秒</t>
    <rPh sb="1" eb="2">
      <t>フン</t>
    </rPh>
    <rPh sb="4" eb="5">
      <t>ビョウ</t>
    </rPh>
    <phoneticPr fontId="1"/>
  </si>
  <si>
    <t>6分33秒</t>
    <rPh sb="1" eb="2">
      <t>フン</t>
    </rPh>
    <rPh sb="4" eb="5">
      <t>ビョウ</t>
    </rPh>
    <phoneticPr fontId="1"/>
  </si>
  <si>
    <t>6分34秒</t>
    <rPh sb="1" eb="2">
      <t>フン</t>
    </rPh>
    <rPh sb="4" eb="5">
      <t>ビョウ</t>
    </rPh>
    <phoneticPr fontId="1"/>
  </si>
  <si>
    <t>6分35秒</t>
    <rPh sb="1" eb="2">
      <t>フン</t>
    </rPh>
    <rPh sb="4" eb="5">
      <t>ビョウ</t>
    </rPh>
    <phoneticPr fontId="1"/>
  </si>
  <si>
    <t>6分36秒</t>
    <rPh sb="1" eb="2">
      <t>フン</t>
    </rPh>
    <rPh sb="4" eb="5">
      <t>ビョウ</t>
    </rPh>
    <phoneticPr fontId="1"/>
  </si>
  <si>
    <t>6分37秒</t>
    <rPh sb="1" eb="2">
      <t>フン</t>
    </rPh>
    <rPh sb="4" eb="5">
      <t>ビョウ</t>
    </rPh>
    <phoneticPr fontId="1"/>
  </si>
  <si>
    <t>6分38秒</t>
    <rPh sb="1" eb="2">
      <t>フン</t>
    </rPh>
    <rPh sb="4" eb="5">
      <t>ビョウ</t>
    </rPh>
    <phoneticPr fontId="1"/>
  </si>
  <si>
    <t>6分39秒</t>
    <rPh sb="1" eb="2">
      <t>フン</t>
    </rPh>
    <rPh sb="4" eb="5">
      <t>ビョウ</t>
    </rPh>
    <phoneticPr fontId="1"/>
  </si>
  <si>
    <t>6分40秒</t>
    <rPh sb="1" eb="2">
      <t>フン</t>
    </rPh>
    <rPh sb="4" eb="5">
      <t>ビョウ</t>
    </rPh>
    <phoneticPr fontId="1"/>
  </si>
  <si>
    <t>6分41秒</t>
    <rPh sb="1" eb="2">
      <t>フン</t>
    </rPh>
    <rPh sb="4" eb="5">
      <t>ビョウ</t>
    </rPh>
    <phoneticPr fontId="1"/>
  </si>
  <si>
    <t>6分42秒</t>
    <rPh sb="1" eb="2">
      <t>フン</t>
    </rPh>
    <rPh sb="4" eb="5">
      <t>ビョウ</t>
    </rPh>
    <phoneticPr fontId="1"/>
  </si>
  <si>
    <t>6分43秒</t>
    <rPh sb="1" eb="2">
      <t>フン</t>
    </rPh>
    <rPh sb="4" eb="5">
      <t>ビョウ</t>
    </rPh>
    <phoneticPr fontId="1"/>
  </si>
  <si>
    <t>6分44秒</t>
    <rPh sb="1" eb="2">
      <t>フン</t>
    </rPh>
    <rPh sb="4" eb="5">
      <t>ビョウ</t>
    </rPh>
    <phoneticPr fontId="1"/>
  </si>
  <si>
    <t>6分45秒</t>
    <rPh sb="1" eb="2">
      <t>フン</t>
    </rPh>
    <rPh sb="4" eb="5">
      <t>ビョウ</t>
    </rPh>
    <phoneticPr fontId="1"/>
  </si>
  <si>
    <t>6分46秒</t>
    <rPh sb="1" eb="2">
      <t>フン</t>
    </rPh>
    <rPh sb="4" eb="5">
      <t>ビョウ</t>
    </rPh>
    <phoneticPr fontId="1"/>
  </si>
  <si>
    <t>6分47秒</t>
    <rPh sb="1" eb="2">
      <t>フン</t>
    </rPh>
    <rPh sb="4" eb="5">
      <t>ビョウ</t>
    </rPh>
    <phoneticPr fontId="1"/>
  </si>
  <si>
    <t>6分48秒</t>
    <rPh sb="1" eb="2">
      <t>フン</t>
    </rPh>
    <rPh sb="4" eb="5">
      <t>ビョウ</t>
    </rPh>
    <phoneticPr fontId="1"/>
  </si>
  <si>
    <t>6分49秒</t>
    <rPh sb="1" eb="2">
      <t>フン</t>
    </rPh>
    <rPh sb="4" eb="5">
      <t>ビョウ</t>
    </rPh>
    <phoneticPr fontId="1"/>
  </si>
  <si>
    <t>6分50秒</t>
    <rPh sb="1" eb="2">
      <t>フン</t>
    </rPh>
    <rPh sb="4" eb="5">
      <t>ビョウ</t>
    </rPh>
    <phoneticPr fontId="1"/>
  </si>
  <si>
    <t>6分51秒</t>
    <rPh sb="1" eb="2">
      <t>フン</t>
    </rPh>
    <rPh sb="4" eb="5">
      <t>ビョウ</t>
    </rPh>
    <phoneticPr fontId="1"/>
  </si>
  <si>
    <t>6分52秒</t>
    <rPh sb="1" eb="2">
      <t>フン</t>
    </rPh>
    <rPh sb="4" eb="5">
      <t>ビョウ</t>
    </rPh>
    <phoneticPr fontId="1"/>
  </si>
  <si>
    <t>6分53秒</t>
    <rPh sb="1" eb="2">
      <t>フン</t>
    </rPh>
    <rPh sb="4" eb="5">
      <t>ビョウ</t>
    </rPh>
    <phoneticPr fontId="1"/>
  </si>
  <si>
    <t>6分54秒</t>
    <rPh sb="1" eb="2">
      <t>フン</t>
    </rPh>
    <rPh sb="4" eb="5">
      <t>ビョウ</t>
    </rPh>
    <phoneticPr fontId="1"/>
  </si>
  <si>
    <t>6分55秒</t>
    <rPh sb="1" eb="2">
      <t>フン</t>
    </rPh>
    <rPh sb="4" eb="5">
      <t>ビョウ</t>
    </rPh>
    <phoneticPr fontId="1"/>
  </si>
  <si>
    <t>6分56秒</t>
    <rPh sb="1" eb="2">
      <t>フン</t>
    </rPh>
    <rPh sb="4" eb="5">
      <t>ビョウ</t>
    </rPh>
    <phoneticPr fontId="1"/>
  </si>
  <si>
    <t>6分57秒</t>
    <rPh sb="1" eb="2">
      <t>フン</t>
    </rPh>
    <rPh sb="4" eb="5">
      <t>ビョウ</t>
    </rPh>
    <phoneticPr fontId="1"/>
  </si>
  <si>
    <t>6分58秒</t>
    <rPh sb="1" eb="2">
      <t>フン</t>
    </rPh>
    <rPh sb="4" eb="5">
      <t>ビョウ</t>
    </rPh>
    <phoneticPr fontId="1"/>
  </si>
  <si>
    <t>6分59秒</t>
    <rPh sb="1" eb="2">
      <t>フン</t>
    </rPh>
    <rPh sb="4" eb="5">
      <t>ビョウ</t>
    </rPh>
    <phoneticPr fontId="1"/>
  </si>
  <si>
    <t>7分0秒</t>
    <rPh sb="1" eb="2">
      <t>フン</t>
    </rPh>
    <rPh sb="3" eb="4">
      <t>ビョウ</t>
    </rPh>
    <phoneticPr fontId="1"/>
  </si>
  <si>
    <t>7分1秒</t>
    <rPh sb="1" eb="2">
      <t>フン</t>
    </rPh>
    <rPh sb="3" eb="4">
      <t>ビョウ</t>
    </rPh>
    <phoneticPr fontId="1"/>
  </si>
  <si>
    <t>7分2秒</t>
    <rPh sb="1" eb="2">
      <t>フン</t>
    </rPh>
    <rPh sb="3" eb="4">
      <t>ビョウ</t>
    </rPh>
    <phoneticPr fontId="1"/>
  </si>
  <si>
    <t>7分3秒</t>
    <rPh sb="1" eb="2">
      <t>フン</t>
    </rPh>
    <rPh sb="3" eb="4">
      <t>ビョウ</t>
    </rPh>
    <phoneticPr fontId="1"/>
  </si>
  <si>
    <t>7分4秒</t>
    <rPh sb="1" eb="2">
      <t>フン</t>
    </rPh>
    <rPh sb="3" eb="4">
      <t>ビョウ</t>
    </rPh>
    <phoneticPr fontId="1"/>
  </si>
  <si>
    <t>7分5秒</t>
    <rPh sb="1" eb="2">
      <t>フン</t>
    </rPh>
    <rPh sb="3" eb="4">
      <t>ビョウ</t>
    </rPh>
    <phoneticPr fontId="1"/>
  </si>
  <si>
    <t>7分6秒</t>
    <rPh sb="1" eb="2">
      <t>フン</t>
    </rPh>
    <rPh sb="3" eb="4">
      <t>ビョウ</t>
    </rPh>
    <phoneticPr fontId="1"/>
  </si>
  <si>
    <t>7分7秒</t>
    <rPh sb="1" eb="2">
      <t>フン</t>
    </rPh>
    <rPh sb="3" eb="4">
      <t>ビョウ</t>
    </rPh>
    <phoneticPr fontId="1"/>
  </si>
  <si>
    <t>7分8秒</t>
    <rPh sb="1" eb="2">
      <t>フン</t>
    </rPh>
    <rPh sb="3" eb="4">
      <t>ビョウ</t>
    </rPh>
    <phoneticPr fontId="1"/>
  </si>
  <si>
    <t>7分9秒</t>
    <rPh sb="1" eb="2">
      <t>フン</t>
    </rPh>
    <rPh sb="3" eb="4">
      <t>ビョウ</t>
    </rPh>
    <phoneticPr fontId="1"/>
  </si>
  <si>
    <t>7分10秒</t>
    <rPh sb="1" eb="2">
      <t>フン</t>
    </rPh>
    <rPh sb="4" eb="5">
      <t>ビョウ</t>
    </rPh>
    <phoneticPr fontId="1"/>
  </si>
  <si>
    <t>7分11秒</t>
    <rPh sb="1" eb="2">
      <t>フン</t>
    </rPh>
    <rPh sb="4" eb="5">
      <t>ビョウ</t>
    </rPh>
    <phoneticPr fontId="1"/>
  </si>
  <si>
    <t>7分12秒</t>
    <rPh sb="1" eb="2">
      <t>フン</t>
    </rPh>
    <rPh sb="4" eb="5">
      <t>ビョウ</t>
    </rPh>
    <phoneticPr fontId="1"/>
  </si>
  <si>
    <t>7分13秒</t>
    <rPh sb="1" eb="2">
      <t>フン</t>
    </rPh>
    <rPh sb="4" eb="5">
      <t>ビョウ</t>
    </rPh>
    <phoneticPr fontId="1"/>
  </si>
  <si>
    <t>7分14秒</t>
    <rPh sb="1" eb="2">
      <t>フン</t>
    </rPh>
    <rPh sb="4" eb="5">
      <t>ビョウ</t>
    </rPh>
    <phoneticPr fontId="1"/>
  </si>
  <si>
    <t>7分15秒</t>
    <rPh sb="1" eb="2">
      <t>フン</t>
    </rPh>
    <rPh sb="4" eb="5">
      <t>ビョウ</t>
    </rPh>
    <phoneticPr fontId="1"/>
  </si>
  <si>
    <t>7分16秒</t>
    <rPh sb="1" eb="2">
      <t>フン</t>
    </rPh>
    <rPh sb="4" eb="5">
      <t>ビョウ</t>
    </rPh>
    <phoneticPr fontId="1"/>
  </si>
  <si>
    <t>7分17秒</t>
    <rPh sb="1" eb="2">
      <t>フン</t>
    </rPh>
    <rPh sb="4" eb="5">
      <t>ビョウ</t>
    </rPh>
    <phoneticPr fontId="1"/>
  </si>
  <si>
    <t>7分18秒</t>
    <rPh sb="1" eb="2">
      <t>フン</t>
    </rPh>
    <rPh sb="4" eb="5">
      <t>ビョウ</t>
    </rPh>
    <phoneticPr fontId="1"/>
  </si>
  <si>
    <t>7分19秒</t>
    <rPh sb="1" eb="2">
      <t>フン</t>
    </rPh>
    <rPh sb="4" eb="5">
      <t>ビョウ</t>
    </rPh>
    <phoneticPr fontId="1"/>
  </si>
  <si>
    <t>7分20秒</t>
    <rPh sb="1" eb="2">
      <t>フン</t>
    </rPh>
    <rPh sb="4" eb="5">
      <t>ビョウ</t>
    </rPh>
    <phoneticPr fontId="1"/>
  </si>
  <si>
    <t>7分21秒</t>
    <rPh sb="1" eb="2">
      <t>フン</t>
    </rPh>
    <rPh sb="4" eb="5">
      <t>ビョウ</t>
    </rPh>
    <phoneticPr fontId="1"/>
  </si>
  <si>
    <t>7分22秒</t>
    <rPh sb="1" eb="2">
      <t>フン</t>
    </rPh>
    <rPh sb="4" eb="5">
      <t>ビョウ</t>
    </rPh>
    <phoneticPr fontId="1"/>
  </si>
  <si>
    <t>7分23秒</t>
    <rPh sb="1" eb="2">
      <t>フン</t>
    </rPh>
    <rPh sb="4" eb="5">
      <t>ビョウ</t>
    </rPh>
    <phoneticPr fontId="1"/>
  </si>
  <si>
    <t>7分24秒</t>
    <rPh sb="1" eb="2">
      <t>フン</t>
    </rPh>
    <rPh sb="4" eb="5">
      <t>ビョウ</t>
    </rPh>
    <phoneticPr fontId="1"/>
  </si>
  <si>
    <t>7分25秒</t>
    <rPh sb="1" eb="2">
      <t>フン</t>
    </rPh>
    <rPh sb="4" eb="5">
      <t>ビョウ</t>
    </rPh>
    <phoneticPr fontId="1"/>
  </si>
  <si>
    <t>7分26秒</t>
    <rPh sb="1" eb="2">
      <t>フン</t>
    </rPh>
    <rPh sb="4" eb="5">
      <t>ビョウ</t>
    </rPh>
    <phoneticPr fontId="1"/>
  </si>
  <si>
    <t>7分27秒</t>
    <rPh sb="1" eb="2">
      <t>フン</t>
    </rPh>
    <rPh sb="4" eb="5">
      <t>ビョウ</t>
    </rPh>
    <phoneticPr fontId="1"/>
  </si>
  <si>
    <t>7分28秒</t>
    <rPh sb="1" eb="2">
      <t>フン</t>
    </rPh>
    <rPh sb="4" eb="5">
      <t>ビョウ</t>
    </rPh>
    <phoneticPr fontId="1"/>
  </si>
  <si>
    <t>7分29秒</t>
    <rPh sb="1" eb="2">
      <t>フン</t>
    </rPh>
    <rPh sb="4" eb="5">
      <t>ビョウ</t>
    </rPh>
    <phoneticPr fontId="1"/>
  </si>
  <si>
    <t>7分30秒</t>
    <rPh sb="1" eb="2">
      <t>フン</t>
    </rPh>
    <rPh sb="4" eb="5">
      <t>ビョウ</t>
    </rPh>
    <phoneticPr fontId="1"/>
  </si>
  <si>
    <t>7分31秒</t>
    <rPh sb="1" eb="2">
      <t>フン</t>
    </rPh>
    <rPh sb="4" eb="5">
      <t>ビョウ</t>
    </rPh>
    <phoneticPr fontId="1"/>
  </si>
  <si>
    <t>7分32秒</t>
    <rPh sb="1" eb="2">
      <t>フン</t>
    </rPh>
    <rPh sb="4" eb="5">
      <t>ビョウ</t>
    </rPh>
    <phoneticPr fontId="1"/>
  </si>
  <si>
    <t>7分33秒</t>
    <rPh sb="1" eb="2">
      <t>フン</t>
    </rPh>
    <rPh sb="4" eb="5">
      <t>ビョウ</t>
    </rPh>
    <phoneticPr fontId="1"/>
  </si>
  <si>
    <t>7分34秒</t>
    <rPh sb="1" eb="2">
      <t>フン</t>
    </rPh>
    <rPh sb="4" eb="5">
      <t>ビョウ</t>
    </rPh>
    <phoneticPr fontId="1"/>
  </si>
  <si>
    <t>7分35秒</t>
    <rPh sb="1" eb="2">
      <t>フン</t>
    </rPh>
    <rPh sb="4" eb="5">
      <t>ビョウ</t>
    </rPh>
    <phoneticPr fontId="1"/>
  </si>
  <si>
    <t>7分36秒</t>
    <rPh sb="1" eb="2">
      <t>フン</t>
    </rPh>
    <rPh sb="4" eb="5">
      <t>ビョウ</t>
    </rPh>
    <phoneticPr fontId="1"/>
  </si>
  <si>
    <t>7分37秒</t>
    <rPh sb="1" eb="2">
      <t>フン</t>
    </rPh>
    <rPh sb="4" eb="5">
      <t>ビョウ</t>
    </rPh>
    <phoneticPr fontId="1"/>
  </si>
  <si>
    <t>7分38秒</t>
    <rPh sb="1" eb="2">
      <t>フン</t>
    </rPh>
    <rPh sb="4" eb="5">
      <t>ビョウ</t>
    </rPh>
    <phoneticPr fontId="1"/>
  </si>
  <si>
    <t>7分39秒</t>
    <rPh sb="1" eb="2">
      <t>フン</t>
    </rPh>
    <rPh sb="4" eb="5">
      <t>ビョウ</t>
    </rPh>
    <phoneticPr fontId="1"/>
  </si>
  <si>
    <t>7分40秒</t>
    <rPh sb="1" eb="2">
      <t>フン</t>
    </rPh>
    <rPh sb="4" eb="5">
      <t>ビョウ</t>
    </rPh>
    <phoneticPr fontId="1"/>
  </si>
  <si>
    <t>7分41秒</t>
    <rPh sb="1" eb="2">
      <t>フン</t>
    </rPh>
    <rPh sb="4" eb="5">
      <t>ビョウ</t>
    </rPh>
    <phoneticPr fontId="1"/>
  </si>
  <si>
    <t>7分42秒</t>
    <rPh sb="1" eb="2">
      <t>フン</t>
    </rPh>
    <rPh sb="4" eb="5">
      <t>ビョウ</t>
    </rPh>
    <phoneticPr fontId="1"/>
  </si>
  <si>
    <t>7分43秒</t>
    <rPh sb="1" eb="2">
      <t>フン</t>
    </rPh>
    <rPh sb="4" eb="5">
      <t>ビョウ</t>
    </rPh>
    <phoneticPr fontId="1"/>
  </si>
  <si>
    <t>7分44秒</t>
    <rPh sb="1" eb="2">
      <t>フン</t>
    </rPh>
    <rPh sb="4" eb="5">
      <t>ビョウ</t>
    </rPh>
    <phoneticPr fontId="1"/>
  </si>
  <si>
    <t>7分45秒</t>
    <rPh sb="1" eb="2">
      <t>フン</t>
    </rPh>
    <rPh sb="4" eb="5">
      <t>ビョウ</t>
    </rPh>
    <phoneticPr fontId="1"/>
  </si>
  <si>
    <t>7分46秒</t>
    <rPh sb="1" eb="2">
      <t>フン</t>
    </rPh>
    <rPh sb="4" eb="5">
      <t>ビョウ</t>
    </rPh>
    <phoneticPr fontId="1"/>
  </si>
  <si>
    <t>7分47秒</t>
    <rPh sb="1" eb="2">
      <t>フン</t>
    </rPh>
    <rPh sb="4" eb="5">
      <t>ビョウ</t>
    </rPh>
    <phoneticPr fontId="1"/>
  </si>
  <si>
    <t>7分48秒</t>
    <rPh sb="1" eb="2">
      <t>フン</t>
    </rPh>
    <rPh sb="4" eb="5">
      <t>ビョウ</t>
    </rPh>
    <phoneticPr fontId="1"/>
  </si>
  <si>
    <t>7分49秒</t>
    <rPh sb="1" eb="2">
      <t>フン</t>
    </rPh>
    <rPh sb="4" eb="5">
      <t>ビョウ</t>
    </rPh>
    <phoneticPr fontId="1"/>
  </si>
  <si>
    <t>7分50秒</t>
    <rPh sb="1" eb="2">
      <t>フン</t>
    </rPh>
    <rPh sb="4" eb="5">
      <t>ビョウ</t>
    </rPh>
    <phoneticPr fontId="1"/>
  </si>
  <si>
    <t>7分51秒</t>
    <rPh sb="1" eb="2">
      <t>フン</t>
    </rPh>
    <rPh sb="4" eb="5">
      <t>ビョウ</t>
    </rPh>
    <phoneticPr fontId="1"/>
  </si>
  <si>
    <t>7分52秒</t>
    <rPh sb="1" eb="2">
      <t>フン</t>
    </rPh>
    <rPh sb="4" eb="5">
      <t>ビョウ</t>
    </rPh>
    <phoneticPr fontId="1"/>
  </si>
  <si>
    <t>7分53秒</t>
    <rPh sb="1" eb="2">
      <t>フン</t>
    </rPh>
    <rPh sb="4" eb="5">
      <t>ビョウ</t>
    </rPh>
    <phoneticPr fontId="1"/>
  </si>
  <si>
    <t>7分54秒</t>
    <rPh sb="1" eb="2">
      <t>フン</t>
    </rPh>
    <rPh sb="4" eb="5">
      <t>ビョウ</t>
    </rPh>
    <phoneticPr fontId="1"/>
  </si>
  <si>
    <t>7分55秒</t>
    <rPh sb="1" eb="2">
      <t>フン</t>
    </rPh>
    <rPh sb="4" eb="5">
      <t>ビョウ</t>
    </rPh>
    <phoneticPr fontId="1"/>
  </si>
  <si>
    <t>7分56秒</t>
    <rPh sb="1" eb="2">
      <t>フン</t>
    </rPh>
    <rPh sb="4" eb="5">
      <t>ビョウ</t>
    </rPh>
    <phoneticPr fontId="1"/>
  </si>
  <si>
    <t>7分57秒</t>
    <rPh sb="1" eb="2">
      <t>フン</t>
    </rPh>
    <rPh sb="4" eb="5">
      <t>ビョウ</t>
    </rPh>
    <phoneticPr fontId="1"/>
  </si>
  <si>
    <t>7分58秒</t>
    <rPh sb="1" eb="2">
      <t>フン</t>
    </rPh>
    <rPh sb="4" eb="5">
      <t>ビョウ</t>
    </rPh>
    <phoneticPr fontId="1"/>
  </si>
  <si>
    <t>7分59秒</t>
    <rPh sb="1" eb="2">
      <t>フン</t>
    </rPh>
    <rPh sb="4" eb="5">
      <t>ビョウ</t>
    </rPh>
    <phoneticPr fontId="1"/>
  </si>
  <si>
    <t>8分0秒</t>
    <rPh sb="1" eb="2">
      <t>フン</t>
    </rPh>
    <rPh sb="3" eb="4">
      <t>ビョウ</t>
    </rPh>
    <phoneticPr fontId="1"/>
  </si>
  <si>
    <t>8分1秒</t>
    <rPh sb="1" eb="2">
      <t>フン</t>
    </rPh>
    <rPh sb="3" eb="4">
      <t>ビョウ</t>
    </rPh>
    <phoneticPr fontId="1"/>
  </si>
  <si>
    <t>8分2秒</t>
    <rPh sb="1" eb="2">
      <t>フン</t>
    </rPh>
    <rPh sb="3" eb="4">
      <t>ビョウ</t>
    </rPh>
    <phoneticPr fontId="1"/>
  </si>
  <si>
    <t>8分3秒</t>
    <rPh sb="1" eb="2">
      <t>フン</t>
    </rPh>
    <rPh sb="3" eb="4">
      <t>ビョウ</t>
    </rPh>
    <phoneticPr fontId="1"/>
  </si>
  <si>
    <t>8分4秒</t>
    <rPh sb="1" eb="2">
      <t>フン</t>
    </rPh>
    <rPh sb="3" eb="4">
      <t>ビョウ</t>
    </rPh>
    <phoneticPr fontId="1"/>
  </si>
  <si>
    <t>8分5秒</t>
    <rPh sb="1" eb="2">
      <t>フン</t>
    </rPh>
    <rPh sb="3" eb="4">
      <t>ビョウ</t>
    </rPh>
    <phoneticPr fontId="1"/>
  </si>
  <si>
    <t>8分6秒</t>
    <rPh sb="1" eb="2">
      <t>フン</t>
    </rPh>
    <rPh sb="3" eb="4">
      <t>ビョウ</t>
    </rPh>
    <phoneticPr fontId="1"/>
  </si>
  <si>
    <t>8分7秒</t>
    <rPh sb="1" eb="2">
      <t>フン</t>
    </rPh>
    <rPh sb="3" eb="4">
      <t>ビョウ</t>
    </rPh>
    <phoneticPr fontId="1"/>
  </si>
  <si>
    <t>8分8秒</t>
    <rPh sb="1" eb="2">
      <t>フン</t>
    </rPh>
    <rPh sb="3" eb="4">
      <t>ビョウ</t>
    </rPh>
    <phoneticPr fontId="1"/>
  </si>
  <si>
    <t>8分9秒</t>
    <rPh sb="1" eb="2">
      <t>フン</t>
    </rPh>
    <rPh sb="3" eb="4">
      <t>ビョウ</t>
    </rPh>
    <phoneticPr fontId="1"/>
  </si>
  <si>
    <t>8分10秒</t>
    <rPh sb="1" eb="2">
      <t>フン</t>
    </rPh>
    <rPh sb="4" eb="5">
      <t>ビョウ</t>
    </rPh>
    <phoneticPr fontId="1"/>
  </si>
  <si>
    <t>8分11秒</t>
    <rPh sb="1" eb="2">
      <t>フン</t>
    </rPh>
    <rPh sb="4" eb="5">
      <t>ビョウ</t>
    </rPh>
    <phoneticPr fontId="1"/>
  </si>
  <si>
    <t>8分12秒</t>
    <rPh sb="1" eb="2">
      <t>フン</t>
    </rPh>
    <rPh sb="4" eb="5">
      <t>ビョウ</t>
    </rPh>
    <phoneticPr fontId="1"/>
  </si>
  <si>
    <t>8分13秒</t>
    <rPh sb="1" eb="2">
      <t>フン</t>
    </rPh>
    <rPh sb="4" eb="5">
      <t>ビョウ</t>
    </rPh>
    <phoneticPr fontId="1"/>
  </si>
  <si>
    <t>8分14秒</t>
    <rPh sb="1" eb="2">
      <t>フン</t>
    </rPh>
    <rPh sb="4" eb="5">
      <t>ビョウ</t>
    </rPh>
    <phoneticPr fontId="1"/>
  </si>
  <si>
    <t>8分15秒</t>
    <rPh sb="1" eb="2">
      <t>フン</t>
    </rPh>
    <rPh sb="4" eb="5">
      <t>ビョウ</t>
    </rPh>
    <phoneticPr fontId="1"/>
  </si>
  <si>
    <t>8分16秒</t>
    <rPh sb="1" eb="2">
      <t>フン</t>
    </rPh>
    <rPh sb="4" eb="5">
      <t>ビョウ</t>
    </rPh>
    <phoneticPr fontId="1"/>
  </si>
  <si>
    <t>8分17秒</t>
    <rPh sb="1" eb="2">
      <t>フン</t>
    </rPh>
    <rPh sb="4" eb="5">
      <t>ビョウ</t>
    </rPh>
    <phoneticPr fontId="1"/>
  </si>
  <si>
    <t>8分18秒</t>
    <rPh sb="1" eb="2">
      <t>フン</t>
    </rPh>
    <rPh sb="4" eb="5">
      <t>ビョウ</t>
    </rPh>
    <phoneticPr fontId="1"/>
  </si>
  <si>
    <t>8分19秒</t>
    <rPh sb="1" eb="2">
      <t>フン</t>
    </rPh>
    <rPh sb="4" eb="5">
      <t>ビョウ</t>
    </rPh>
    <phoneticPr fontId="1"/>
  </si>
  <si>
    <t>8分20秒</t>
    <rPh sb="1" eb="2">
      <t>フン</t>
    </rPh>
    <rPh sb="4" eb="5">
      <t>ビョウ</t>
    </rPh>
    <phoneticPr fontId="1"/>
  </si>
  <si>
    <t>8分21秒</t>
    <rPh sb="1" eb="2">
      <t>フン</t>
    </rPh>
    <rPh sb="4" eb="5">
      <t>ビョウ</t>
    </rPh>
    <phoneticPr fontId="1"/>
  </si>
  <si>
    <t>8分22秒</t>
    <rPh sb="1" eb="2">
      <t>フン</t>
    </rPh>
    <rPh sb="4" eb="5">
      <t>ビョウ</t>
    </rPh>
    <phoneticPr fontId="1"/>
  </si>
  <si>
    <t>8分23秒</t>
    <rPh sb="1" eb="2">
      <t>フン</t>
    </rPh>
    <rPh sb="4" eb="5">
      <t>ビョウ</t>
    </rPh>
    <phoneticPr fontId="1"/>
  </si>
  <si>
    <t>8分24秒</t>
    <rPh sb="1" eb="2">
      <t>フン</t>
    </rPh>
    <rPh sb="4" eb="5">
      <t>ビョウ</t>
    </rPh>
    <phoneticPr fontId="1"/>
  </si>
  <si>
    <t>8分25秒</t>
    <rPh sb="1" eb="2">
      <t>フン</t>
    </rPh>
    <rPh sb="4" eb="5">
      <t>ビョウ</t>
    </rPh>
    <phoneticPr fontId="1"/>
  </si>
  <si>
    <t>8分26秒</t>
    <rPh sb="1" eb="2">
      <t>フン</t>
    </rPh>
    <rPh sb="4" eb="5">
      <t>ビョウ</t>
    </rPh>
    <phoneticPr fontId="1"/>
  </si>
  <si>
    <t>8分27秒</t>
    <rPh sb="1" eb="2">
      <t>フン</t>
    </rPh>
    <rPh sb="4" eb="5">
      <t>ビョウ</t>
    </rPh>
    <phoneticPr fontId="1"/>
  </si>
  <si>
    <t>8分28秒</t>
    <rPh sb="1" eb="2">
      <t>フン</t>
    </rPh>
    <rPh sb="4" eb="5">
      <t>ビョウ</t>
    </rPh>
    <phoneticPr fontId="1"/>
  </si>
  <si>
    <t>8分29秒</t>
    <rPh sb="1" eb="2">
      <t>フン</t>
    </rPh>
    <rPh sb="4" eb="5">
      <t>ビョウ</t>
    </rPh>
    <phoneticPr fontId="1"/>
  </si>
  <si>
    <t>8分30秒</t>
    <rPh sb="1" eb="2">
      <t>フン</t>
    </rPh>
    <rPh sb="4" eb="5">
      <t>ビョウ</t>
    </rPh>
    <phoneticPr fontId="1"/>
  </si>
  <si>
    <t>8分31秒</t>
    <rPh sb="1" eb="2">
      <t>フン</t>
    </rPh>
    <rPh sb="4" eb="5">
      <t>ビョウ</t>
    </rPh>
    <phoneticPr fontId="1"/>
  </si>
  <si>
    <t>8分32秒</t>
    <rPh sb="1" eb="2">
      <t>フン</t>
    </rPh>
    <rPh sb="4" eb="5">
      <t>ビョウ</t>
    </rPh>
    <phoneticPr fontId="1"/>
  </si>
  <si>
    <t>8分33秒</t>
    <rPh sb="1" eb="2">
      <t>フン</t>
    </rPh>
    <rPh sb="4" eb="5">
      <t>ビョウ</t>
    </rPh>
    <phoneticPr fontId="1"/>
  </si>
  <si>
    <t>8分34秒</t>
    <rPh sb="1" eb="2">
      <t>フン</t>
    </rPh>
    <rPh sb="4" eb="5">
      <t>ビョウ</t>
    </rPh>
    <phoneticPr fontId="1"/>
  </si>
  <si>
    <t>8分35秒</t>
    <rPh sb="1" eb="2">
      <t>フン</t>
    </rPh>
    <rPh sb="4" eb="5">
      <t>ビョウ</t>
    </rPh>
    <phoneticPr fontId="1"/>
  </si>
  <si>
    <t>8分36秒</t>
    <rPh sb="1" eb="2">
      <t>フン</t>
    </rPh>
    <rPh sb="4" eb="5">
      <t>ビョウ</t>
    </rPh>
    <phoneticPr fontId="1"/>
  </si>
  <si>
    <t>8分37秒</t>
    <rPh sb="1" eb="2">
      <t>フン</t>
    </rPh>
    <rPh sb="4" eb="5">
      <t>ビョウ</t>
    </rPh>
    <phoneticPr fontId="1"/>
  </si>
  <si>
    <t>8分38秒</t>
    <rPh sb="1" eb="2">
      <t>フン</t>
    </rPh>
    <rPh sb="4" eb="5">
      <t>ビョウ</t>
    </rPh>
    <phoneticPr fontId="1"/>
  </si>
  <si>
    <t>8分39秒</t>
    <rPh sb="1" eb="2">
      <t>フン</t>
    </rPh>
    <rPh sb="4" eb="5">
      <t>ビョウ</t>
    </rPh>
    <phoneticPr fontId="1"/>
  </si>
  <si>
    <t>8分40秒</t>
    <rPh sb="1" eb="2">
      <t>フン</t>
    </rPh>
    <rPh sb="4" eb="5">
      <t>ビョウ</t>
    </rPh>
    <phoneticPr fontId="1"/>
  </si>
  <si>
    <t>8分41秒</t>
    <rPh sb="1" eb="2">
      <t>フン</t>
    </rPh>
    <rPh sb="4" eb="5">
      <t>ビョウ</t>
    </rPh>
    <phoneticPr fontId="1"/>
  </si>
  <si>
    <t>8分42秒</t>
    <rPh sb="1" eb="2">
      <t>フン</t>
    </rPh>
    <rPh sb="4" eb="5">
      <t>ビョウ</t>
    </rPh>
    <phoneticPr fontId="1"/>
  </si>
  <si>
    <t>8分43秒</t>
    <rPh sb="1" eb="2">
      <t>フン</t>
    </rPh>
    <rPh sb="4" eb="5">
      <t>ビョウ</t>
    </rPh>
    <phoneticPr fontId="1"/>
  </si>
  <si>
    <t>8分44秒</t>
    <rPh sb="1" eb="2">
      <t>フン</t>
    </rPh>
    <rPh sb="4" eb="5">
      <t>ビョウ</t>
    </rPh>
    <phoneticPr fontId="1"/>
  </si>
  <si>
    <t>8分45秒</t>
    <rPh sb="1" eb="2">
      <t>フン</t>
    </rPh>
    <rPh sb="4" eb="5">
      <t>ビョウ</t>
    </rPh>
    <phoneticPr fontId="1"/>
  </si>
  <si>
    <t>8分46秒</t>
    <rPh sb="1" eb="2">
      <t>フン</t>
    </rPh>
    <rPh sb="4" eb="5">
      <t>ビョウ</t>
    </rPh>
    <phoneticPr fontId="1"/>
  </si>
  <si>
    <t>8分47秒</t>
    <rPh sb="1" eb="2">
      <t>フン</t>
    </rPh>
    <rPh sb="4" eb="5">
      <t>ビョウ</t>
    </rPh>
    <phoneticPr fontId="1"/>
  </si>
  <si>
    <t>8分48秒</t>
    <rPh sb="1" eb="2">
      <t>フン</t>
    </rPh>
    <rPh sb="4" eb="5">
      <t>ビョウ</t>
    </rPh>
    <phoneticPr fontId="1"/>
  </si>
  <si>
    <t>8分49秒</t>
    <rPh sb="1" eb="2">
      <t>フン</t>
    </rPh>
    <rPh sb="4" eb="5">
      <t>ビョウ</t>
    </rPh>
    <phoneticPr fontId="1"/>
  </si>
  <si>
    <t>8分50秒</t>
    <rPh sb="1" eb="2">
      <t>フン</t>
    </rPh>
    <rPh sb="4" eb="5">
      <t>ビョウ</t>
    </rPh>
    <phoneticPr fontId="1"/>
  </si>
  <si>
    <t>8分51秒</t>
    <rPh sb="1" eb="2">
      <t>フン</t>
    </rPh>
    <rPh sb="4" eb="5">
      <t>ビョウ</t>
    </rPh>
    <phoneticPr fontId="1"/>
  </si>
  <si>
    <t>8分52秒</t>
    <rPh sb="1" eb="2">
      <t>フン</t>
    </rPh>
    <rPh sb="4" eb="5">
      <t>ビョウ</t>
    </rPh>
    <phoneticPr fontId="1"/>
  </si>
  <si>
    <t>8分53秒</t>
    <rPh sb="1" eb="2">
      <t>フン</t>
    </rPh>
    <rPh sb="4" eb="5">
      <t>ビョウ</t>
    </rPh>
    <phoneticPr fontId="1"/>
  </si>
  <si>
    <t>8分54秒</t>
    <rPh sb="1" eb="2">
      <t>フン</t>
    </rPh>
    <rPh sb="4" eb="5">
      <t>ビョウ</t>
    </rPh>
    <phoneticPr fontId="1"/>
  </si>
  <si>
    <t>8分55秒</t>
    <rPh sb="1" eb="2">
      <t>フン</t>
    </rPh>
    <rPh sb="4" eb="5">
      <t>ビョウ</t>
    </rPh>
    <phoneticPr fontId="1"/>
  </si>
  <si>
    <t>8分56秒</t>
    <rPh sb="1" eb="2">
      <t>フン</t>
    </rPh>
    <rPh sb="4" eb="5">
      <t>ビョウ</t>
    </rPh>
    <phoneticPr fontId="1"/>
  </si>
  <si>
    <t>8分57秒</t>
    <rPh sb="1" eb="2">
      <t>フン</t>
    </rPh>
    <rPh sb="4" eb="5">
      <t>ビョウ</t>
    </rPh>
    <phoneticPr fontId="1"/>
  </si>
  <si>
    <t>8分58秒</t>
    <rPh sb="1" eb="2">
      <t>フン</t>
    </rPh>
    <rPh sb="4" eb="5">
      <t>ビョウ</t>
    </rPh>
    <phoneticPr fontId="1"/>
  </si>
  <si>
    <t>8分59秒</t>
    <rPh sb="1" eb="2">
      <t>フン</t>
    </rPh>
    <rPh sb="4" eb="5">
      <t>ビョウ</t>
    </rPh>
    <phoneticPr fontId="1"/>
  </si>
  <si>
    <t>9分0秒</t>
    <rPh sb="1" eb="2">
      <t>フン</t>
    </rPh>
    <rPh sb="3" eb="4">
      <t>ビョウ</t>
    </rPh>
    <phoneticPr fontId="1"/>
  </si>
  <si>
    <t>9分1秒</t>
    <rPh sb="1" eb="2">
      <t>フン</t>
    </rPh>
    <rPh sb="3" eb="4">
      <t>ビョウ</t>
    </rPh>
    <phoneticPr fontId="1"/>
  </si>
  <si>
    <t>9分2秒</t>
    <rPh sb="1" eb="2">
      <t>フン</t>
    </rPh>
    <rPh sb="3" eb="4">
      <t>ビョウ</t>
    </rPh>
    <phoneticPr fontId="1"/>
  </si>
  <si>
    <t>9分3秒</t>
    <rPh sb="1" eb="2">
      <t>フン</t>
    </rPh>
    <rPh sb="3" eb="4">
      <t>ビョウ</t>
    </rPh>
    <phoneticPr fontId="1"/>
  </si>
  <si>
    <t>9分4秒</t>
    <rPh sb="1" eb="2">
      <t>フン</t>
    </rPh>
    <rPh sb="3" eb="4">
      <t>ビョウ</t>
    </rPh>
    <phoneticPr fontId="1"/>
  </si>
  <si>
    <t>9分5秒</t>
    <rPh sb="1" eb="2">
      <t>フン</t>
    </rPh>
    <rPh sb="3" eb="4">
      <t>ビョウ</t>
    </rPh>
    <phoneticPr fontId="1"/>
  </si>
  <si>
    <t>9分6秒</t>
    <rPh sb="1" eb="2">
      <t>フン</t>
    </rPh>
    <rPh sb="3" eb="4">
      <t>ビョウ</t>
    </rPh>
    <phoneticPr fontId="1"/>
  </si>
  <si>
    <t>9分7秒</t>
    <rPh sb="1" eb="2">
      <t>フン</t>
    </rPh>
    <rPh sb="3" eb="4">
      <t>ビョウ</t>
    </rPh>
    <phoneticPr fontId="1"/>
  </si>
  <si>
    <t>9分8秒</t>
    <rPh sb="1" eb="2">
      <t>フン</t>
    </rPh>
    <rPh sb="3" eb="4">
      <t>ビョウ</t>
    </rPh>
    <phoneticPr fontId="1"/>
  </si>
  <si>
    <t>9分9秒</t>
    <rPh sb="1" eb="2">
      <t>フン</t>
    </rPh>
    <rPh sb="3" eb="4">
      <t>ビョウ</t>
    </rPh>
    <phoneticPr fontId="1"/>
  </si>
  <si>
    <t>9分10秒</t>
    <rPh sb="1" eb="2">
      <t>フン</t>
    </rPh>
    <rPh sb="4" eb="5">
      <t>ビョウ</t>
    </rPh>
    <phoneticPr fontId="1"/>
  </si>
  <si>
    <t>9分11秒</t>
    <rPh sb="1" eb="2">
      <t>フン</t>
    </rPh>
    <rPh sb="4" eb="5">
      <t>ビョウ</t>
    </rPh>
    <phoneticPr fontId="1"/>
  </si>
  <si>
    <t>9分12秒</t>
    <rPh sb="1" eb="2">
      <t>フン</t>
    </rPh>
    <rPh sb="4" eb="5">
      <t>ビョウ</t>
    </rPh>
    <phoneticPr fontId="1"/>
  </si>
  <si>
    <t>9分13秒</t>
    <rPh sb="1" eb="2">
      <t>フン</t>
    </rPh>
    <rPh sb="4" eb="5">
      <t>ビョウ</t>
    </rPh>
    <phoneticPr fontId="1"/>
  </si>
  <si>
    <t>9分14秒</t>
    <rPh sb="1" eb="2">
      <t>フン</t>
    </rPh>
    <rPh sb="4" eb="5">
      <t>ビョウ</t>
    </rPh>
    <phoneticPr fontId="1"/>
  </si>
  <si>
    <t>9分15秒</t>
    <rPh sb="1" eb="2">
      <t>フン</t>
    </rPh>
    <rPh sb="4" eb="5">
      <t>ビョウ</t>
    </rPh>
    <phoneticPr fontId="1"/>
  </si>
  <si>
    <t>9分16秒</t>
    <rPh sb="1" eb="2">
      <t>フン</t>
    </rPh>
    <rPh sb="4" eb="5">
      <t>ビョウ</t>
    </rPh>
    <phoneticPr fontId="1"/>
  </si>
  <si>
    <t>9分17秒</t>
    <rPh sb="1" eb="2">
      <t>フン</t>
    </rPh>
    <rPh sb="4" eb="5">
      <t>ビョウ</t>
    </rPh>
    <phoneticPr fontId="1"/>
  </si>
  <si>
    <t>9分18秒</t>
    <rPh sb="1" eb="2">
      <t>フン</t>
    </rPh>
    <rPh sb="4" eb="5">
      <t>ビョウ</t>
    </rPh>
    <phoneticPr fontId="1"/>
  </si>
  <si>
    <t>9分19秒</t>
    <rPh sb="1" eb="2">
      <t>フン</t>
    </rPh>
    <rPh sb="4" eb="5">
      <t>ビョウ</t>
    </rPh>
    <phoneticPr fontId="1"/>
  </si>
  <si>
    <t>9分20秒</t>
    <rPh sb="1" eb="2">
      <t>フン</t>
    </rPh>
    <rPh sb="4" eb="5">
      <t>ビョウ</t>
    </rPh>
    <phoneticPr fontId="1"/>
  </si>
  <si>
    <t>9分21秒</t>
    <rPh sb="1" eb="2">
      <t>フン</t>
    </rPh>
    <rPh sb="4" eb="5">
      <t>ビョウ</t>
    </rPh>
    <phoneticPr fontId="1"/>
  </si>
  <si>
    <t>9分22秒</t>
    <rPh sb="1" eb="2">
      <t>フン</t>
    </rPh>
    <rPh sb="4" eb="5">
      <t>ビョウ</t>
    </rPh>
    <phoneticPr fontId="1"/>
  </si>
  <si>
    <t>9分23秒</t>
    <rPh sb="1" eb="2">
      <t>フン</t>
    </rPh>
    <rPh sb="4" eb="5">
      <t>ビョウ</t>
    </rPh>
    <phoneticPr fontId="1"/>
  </si>
  <si>
    <t>9分24秒</t>
    <rPh sb="1" eb="2">
      <t>フン</t>
    </rPh>
    <rPh sb="4" eb="5">
      <t>ビョウ</t>
    </rPh>
    <phoneticPr fontId="1"/>
  </si>
  <si>
    <t>9分25秒</t>
    <rPh sb="1" eb="2">
      <t>フン</t>
    </rPh>
    <rPh sb="4" eb="5">
      <t>ビョウ</t>
    </rPh>
    <phoneticPr fontId="1"/>
  </si>
  <si>
    <t>9分26秒</t>
    <rPh sb="1" eb="2">
      <t>フン</t>
    </rPh>
    <rPh sb="4" eb="5">
      <t>ビョウ</t>
    </rPh>
    <phoneticPr fontId="1"/>
  </si>
  <si>
    <t>9分27秒</t>
    <rPh sb="1" eb="2">
      <t>フン</t>
    </rPh>
    <rPh sb="4" eb="5">
      <t>ビョウ</t>
    </rPh>
    <phoneticPr fontId="1"/>
  </si>
  <si>
    <t>9分28秒</t>
    <rPh sb="1" eb="2">
      <t>フン</t>
    </rPh>
    <rPh sb="4" eb="5">
      <t>ビョウ</t>
    </rPh>
    <phoneticPr fontId="1"/>
  </si>
  <si>
    <t>9分29秒</t>
    <rPh sb="1" eb="2">
      <t>フン</t>
    </rPh>
    <rPh sb="4" eb="5">
      <t>ビョウ</t>
    </rPh>
    <phoneticPr fontId="1"/>
  </si>
  <si>
    <t>9分30秒</t>
    <rPh sb="1" eb="2">
      <t>フン</t>
    </rPh>
    <rPh sb="4" eb="5">
      <t>ビョウ</t>
    </rPh>
    <phoneticPr fontId="1"/>
  </si>
  <si>
    <t>9分31秒</t>
    <rPh sb="1" eb="2">
      <t>フン</t>
    </rPh>
    <rPh sb="4" eb="5">
      <t>ビョウ</t>
    </rPh>
    <phoneticPr fontId="1"/>
  </si>
  <si>
    <t>9分32秒</t>
    <rPh sb="1" eb="2">
      <t>フン</t>
    </rPh>
    <rPh sb="4" eb="5">
      <t>ビョウ</t>
    </rPh>
    <phoneticPr fontId="1"/>
  </si>
  <si>
    <t>9分33秒</t>
    <rPh sb="1" eb="2">
      <t>フン</t>
    </rPh>
    <rPh sb="4" eb="5">
      <t>ビョウ</t>
    </rPh>
    <phoneticPr fontId="1"/>
  </si>
  <si>
    <t>9分34秒</t>
    <rPh sb="1" eb="2">
      <t>フン</t>
    </rPh>
    <rPh sb="4" eb="5">
      <t>ビョウ</t>
    </rPh>
    <phoneticPr fontId="1"/>
  </si>
  <si>
    <t>9分35秒</t>
    <rPh sb="1" eb="2">
      <t>フン</t>
    </rPh>
    <rPh sb="4" eb="5">
      <t>ビョウ</t>
    </rPh>
    <phoneticPr fontId="1"/>
  </si>
  <si>
    <t>9分36秒</t>
    <rPh sb="1" eb="2">
      <t>フン</t>
    </rPh>
    <rPh sb="4" eb="5">
      <t>ビョウ</t>
    </rPh>
    <phoneticPr fontId="1"/>
  </si>
  <si>
    <t>9分37秒</t>
    <rPh sb="1" eb="2">
      <t>フン</t>
    </rPh>
    <rPh sb="4" eb="5">
      <t>ビョウ</t>
    </rPh>
    <phoneticPr fontId="1"/>
  </si>
  <si>
    <t>9分38秒</t>
    <rPh sb="1" eb="2">
      <t>フン</t>
    </rPh>
    <rPh sb="4" eb="5">
      <t>ビョウ</t>
    </rPh>
    <phoneticPr fontId="1"/>
  </si>
  <si>
    <t>9分39秒</t>
    <rPh sb="1" eb="2">
      <t>フン</t>
    </rPh>
    <rPh sb="4" eb="5">
      <t>ビョウ</t>
    </rPh>
    <phoneticPr fontId="1"/>
  </si>
  <si>
    <t>9分40秒</t>
    <rPh sb="1" eb="2">
      <t>フン</t>
    </rPh>
    <rPh sb="4" eb="5">
      <t>ビョウ</t>
    </rPh>
    <phoneticPr fontId="1"/>
  </si>
  <si>
    <t>9分41秒</t>
    <rPh sb="1" eb="2">
      <t>フン</t>
    </rPh>
    <rPh sb="4" eb="5">
      <t>ビョウ</t>
    </rPh>
    <phoneticPr fontId="1"/>
  </si>
  <si>
    <t>9分42秒</t>
    <rPh sb="1" eb="2">
      <t>フン</t>
    </rPh>
    <rPh sb="4" eb="5">
      <t>ビョウ</t>
    </rPh>
    <phoneticPr fontId="1"/>
  </si>
  <si>
    <t>9分43秒</t>
    <rPh sb="1" eb="2">
      <t>フン</t>
    </rPh>
    <rPh sb="4" eb="5">
      <t>ビョウ</t>
    </rPh>
    <phoneticPr fontId="1"/>
  </si>
  <si>
    <t>9分44秒</t>
    <rPh sb="1" eb="2">
      <t>フン</t>
    </rPh>
    <rPh sb="4" eb="5">
      <t>ビョウ</t>
    </rPh>
    <phoneticPr fontId="1"/>
  </si>
  <si>
    <t>9分45秒</t>
    <rPh sb="1" eb="2">
      <t>フン</t>
    </rPh>
    <rPh sb="4" eb="5">
      <t>ビョウ</t>
    </rPh>
    <phoneticPr fontId="1"/>
  </si>
  <si>
    <t>9分46秒</t>
    <rPh sb="1" eb="2">
      <t>フン</t>
    </rPh>
    <rPh sb="4" eb="5">
      <t>ビョウ</t>
    </rPh>
    <phoneticPr fontId="1"/>
  </si>
  <si>
    <t>9分47秒</t>
    <rPh sb="1" eb="2">
      <t>フン</t>
    </rPh>
    <rPh sb="4" eb="5">
      <t>ビョウ</t>
    </rPh>
    <phoneticPr fontId="1"/>
  </si>
  <si>
    <t>9分48秒</t>
    <rPh sb="1" eb="2">
      <t>フン</t>
    </rPh>
    <rPh sb="4" eb="5">
      <t>ビョウ</t>
    </rPh>
    <phoneticPr fontId="1"/>
  </si>
  <si>
    <t>9分49秒</t>
    <rPh sb="1" eb="2">
      <t>フン</t>
    </rPh>
    <rPh sb="4" eb="5">
      <t>ビョウ</t>
    </rPh>
    <phoneticPr fontId="1"/>
  </si>
  <si>
    <t>9分50秒</t>
    <rPh sb="1" eb="2">
      <t>フン</t>
    </rPh>
    <rPh sb="4" eb="5">
      <t>ビョウ</t>
    </rPh>
    <phoneticPr fontId="1"/>
  </si>
  <si>
    <t>9分51秒</t>
    <rPh sb="1" eb="2">
      <t>フン</t>
    </rPh>
    <rPh sb="4" eb="5">
      <t>ビョウ</t>
    </rPh>
    <phoneticPr fontId="1"/>
  </si>
  <si>
    <t>9分52秒</t>
    <rPh sb="1" eb="2">
      <t>フン</t>
    </rPh>
    <rPh sb="4" eb="5">
      <t>ビョウ</t>
    </rPh>
    <phoneticPr fontId="1"/>
  </si>
  <si>
    <t>9分53秒</t>
    <rPh sb="1" eb="2">
      <t>フン</t>
    </rPh>
    <rPh sb="4" eb="5">
      <t>ビョウ</t>
    </rPh>
    <phoneticPr fontId="1"/>
  </si>
  <si>
    <t>9分54秒</t>
    <rPh sb="1" eb="2">
      <t>フン</t>
    </rPh>
    <rPh sb="4" eb="5">
      <t>ビョウ</t>
    </rPh>
    <phoneticPr fontId="1"/>
  </si>
  <si>
    <t>9分55秒</t>
    <rPh sb="1" eb="2">
      <t>フン</t>
    </rPh>
    <rPh sb="4" eb="5">
      <t>ビョウ</t>
    </rPh>
    <phoneticPr fontId="1"/>
  </si>
  <si>
    <t>9分56秒</t>
    <rPh sb="1" eb="2">
      <t>フン</t>
    </rPh>
    <rPh sb="4" eb="5">
      <t>ビョウ</t>
    </rPh>
    <phoneticPr fontId="1"/>
  </si>
  <si>
    <t>9分57秒</t>
    <rPh sb="1" eb="2">
      <t>フン</t>
    </rPh>
    <rPh sb="4" eb="5">
      <t>ビョウ</t>
    </rPh>
    <phoneticPr fontId="1"/>
  </si>
  <si>
    <t>9分58秒</t>
    <rPh sb="1" eb="2">
      <t>フン</t>
    </rPh>
    <rPh sb="4" eb="5">
      <t>ビョウ</t>
    </rPh>
    <phoneticPr fontId="1"/>
  </si>
  <si>
    <t>9分59秒</t>
    <rPh sb="1" eb="2">
      <t>フン</t>
    </rPh>
    <rPh sb="4" eb="5">
      <t>ビョウ</t>
    </rPh>
    <phoneticPr fontId="1"/>
  </si>
  <si>
    <t>10分台</t>
    <rPh sb="2" eb="4">
      <t>フンダイ</t>
    </rPh>
    <phoneticPr fontId="1"/>
  </si>
  <si>
    <t>10分0秒</t>
    <rPh sb="2" eb="3">
      <t>フン</t>
    </rPh>
    <rPh sb="4" eb="5">
      <t>ビョウ</t>
    </rPh>
    <phoneticPr fontId="1"/>
  </si>
  <si>
    <t>10分1秒</t>
    <rPh sb="2" eb="3">
      <t>フン</t>
    </rPh>
    <rPh sb="4" eb="5">
      <t>ビョウ</t>
    </rPh>
    <phoneticPr fontId="1"/>
  </si>
  <si>
    <t>10分2秒</t>
    <rPh sb="2" eb="3">
      <t>フン</t>
    </rPh>
    <rPh sb="4" eb="5">
      <t>ビョウ</t>
    </rPh>
    <phoneticPr fontId="1"/>
  </si>
  <si>
    <t>10分3秒</t>
    <rPh sb="2" eb="3">
      <t>フン</t>
    </rPh>
    <rPh sb="4" eb="5">
      <t>ビョウ</t>
    </rPh>
    <phoneticPr fontId="1"/>
  </si>
  <si>
    <t>10分4秒</t>
    <rPh sb="2" eb="3">
      <t>フン</t>
    </rPh>
    <rPh sb="4" eb="5">
      <t>ビョウ</t>
    </rPh>
    <phoneticPr fontId="1"/>
  </si>
  <si>
    <t>10分5秒</t>
    <rPh sb="2" eb="3">
      <t>フン</t>
    </rPh>
    <rPh sb="4" eb="5">
      <t>ビョウ</t>
    </rPh>
    <phoneticPr fontId="1"/>
  </si>
  <si>
    <t>10分6秒</t>
    <rPh sb="2" eb="3">
      <t>フン</t>
    </rPh>
    <rPh sb="4" eb="5">
      <t>ビョウ</t>
    </rPh>
    <phoneticPr fontId="1"/>
  </si>
  <si>
    <t>10分7秒</t>
    <rPh sb="2" eb="3">
      <t>フン</t>
    </rPh>
    <rPh sb="4" eb="5">
      <t>ビョウ</t>
    </rPh>
    <phoneticPr fontId="1"/>
  </si>
  <si>
    <t>10分8秒</t>
    <rPh sb="2" eb="3">
      <t>フン</t>
    </rPh>
    <rPh sb="4" eb="5">
      <t>ビョウ</t>
    </rPh>
    <phoneticPr fontId="1"/>
  </si>
  <si>
    <t>10分9秒</t>
    <rPh sb="2" eb="3">
      <t>フン</t>
    </rPh>
    <rPh sb="4" eb="5">
      <t>ビョウ</t>
    </rPh>
    <phoneticPr fontId="1"/>
  </si>
  <si>
    <t>10分10秒</t>
    <rPh sb="2" eb="3">
      <t>フン</t>
    </rPh>
    <rPh sb="5" eb="6">
      <t>ビョウ</t>
    </rPh>
    <phoneticPr fontId="1"/>
  </si>
  <si>
    <t>10分11秒</t>
    <rPh sb="2" eb="3">
      <t>フン</t>
    </rPh>
    <rPh sb="5" eb="6">
      <t>ビョウ</t>
    </rPh>
    <phoneticPr fontId="1"/>
  </si>
  <si>
    <t>10分12秒</t>
    <rPh sb="2" eb="3">
      <t>フン</t>
    </rPh>
    <rPh sb="5" eb="6">
      <t>ビョウ</t>
    </rPh>
    <phoneticPr fontId="1"/>
  </si>
  <si>
    <t>10分13秒</t>
    <rPh sb="2" eb="3">
      <t>フン</t>
    </rPh>
    <rPh sb="5" eb="6">
      <t>ビョウ</t>
    </rPh>
    <phoneticPr fontId="1"/>
  </si>
  <si>
    <t>10分14秒</t>
    <rPh sb="2" eb="3">
      <t>フン</t>
    </rPh>
    <rPh sb="5" eb="6">
      <t>ビョウ</t>
    </rPh>
    <phoneticPr fontId="1"/>
  </si>
  <si>
    <t>10分15秒</t>
    <rPh sb="2" eb="3">
      <t>フン</t>
    </rPh>
    <rPh sb="5" eb="6">
      <t>ビョウ</t>
    </rPh>
    <phoneticPr fontId="1"/>
  </si>
  <si>
    <t>10分16秒</t>
    <rPh sb="2" eb="3">
      <t>フン</t>
    </rPh>
    <rPh sb="5" eb="6">
      <t>ビョウ</t>
    </rPh>
    <phoneticPr fontId="1"/>
  </si>
  <si>
    <t>10分17秒</t>
    <rPh sb="2" eb="3">
      <t>フン</t>
    </rPh>
    <rPh sb="5" eb="6">
      <t>ビョウ</t>
    </rPh>
    <phoneticPr fontId="1"/>
  </si>
  <si>
    <t>10分18秒</t>
    <rPh sb="2" eb="3">
      <t>フン</t>
    </rPh>
    <rPh sb="5" eb="6">
      <t>ビョウ</t>
    </rPh>
    <phoneticPr fontId="1"/>
  </si>
  <si>
    <t>10分19秒</t>
    <rPh sb="2" eb="3">
      <t>フン</t>
    </rPh>
    <rPh sb="5" eb="6">
      <t>ビョウ</t>
    </rPh>
    <phoneticPr fontId="1"/>
  </si>
  <si>
    <t>10分20秒</t>
    <rPh sb="2" eb="3">
      <t>フン</t>
    </rPh>
    <rPh sb="5" eb="6">
      <t>ビョウ</t>
    </rPh>
    <phoneticPr fontId="1"/>
  </si>
  <si>
    <t>10分21秒</t>
    <rPh sb="2" eb="3">
      <t>フン</t>
    </rPh>
    <rPh sb="5" eb="6">
      <t>ビョウ</t>
    </rPh>
    <phoneticPr fontId="1"/>
  </si>
  <si>
    <t>10分22秒</t>
    <rPh sb="2" eb="3">
      <t>フン</t>
    </rPh>
    <rPh sb="5" eb="6">
      <t>ビョウ</t>
    </rPh>
    <phoneticPr fontId="1"/>
  </si>
  <si>
    <t>10分23秒</t>
    <rPh sb="2" eb="3">
      <t>フン</t>
    </rPh>
    <rPh sb="5" eb="6">
      <t>ビョウ</t>
    </rPh>
    <phoneticPr fontId="1"/>
  </si>
  <si>
    <t>10分24秒</t>
    <rPh sb="2" eb="3">
      <t>フン</t>
    </rPh>
    <rPh sb="5" eb="6">
      <t>ビョウ</t>
    </rPh>
    <phoneticPr fontId="1"/>
  </si>
  <si>
    <t>10分25秒</t>
    <rPh sb="2" eb="3">
      <t>フン</t>
    </rPh>
    <rPh sb="5" eb="6">
      <t>ビョウ</t>
    </rPh>
    <phoneticPr fontId="1"/>
  </si>
  <si>
    <t>10分26秒</t>
    <rPh sb="2" eb="3">
      <t>フン</t>
    </rPh>
    <rPh sb="5" eb="6">
      <t>ビョウ</t>
    </rPh>
    <phoneticPr fontId="1"/>
  </si>
  <si>
    <t>10分27秒</t>
    <rPh sb="2" eb="3">
      <t>フン</t>
    </rPh>
    <rPh sb="5" eb="6">
      <t>ビョウ</t>
    </rPh>
    <phoneticPr fontId="1"/>
  </si>
  <si>
    <t>10分28秒</t>
    <rPh sb="2" eb="3">
      <t>フン</t>
    </rPh>
    <rPh sb="5" eb="6">
      <t>ビョウ</t>
    </rPh>
    <phoneticPr fontId="1"/>
  </si>
  <si>
    <t>10分29秒</t>
    <rPh sb="2" eb="3">
      <t>フン</t>
    </rPh>
    <rPh sb="5" eb="6">
      <t>ビョウ</t>
    </rPh>
    <phoneticPr fontId="1"/>
  </si>
  <si>
    <t>10分30秒</t>
    <rPh sb="2" eb="3">
      <t>フン</t>
    </rPh>
    <rPh sb="5" eb="6">
      <t>ビョウ</t>
    </rPh>
    <phoneticPr fontId="1"/>
  </si>
  <si>
    <t>10分31秒</t>
    <rPh sb="2" eb="3">
      <t>フン</t>
    </rPh>
    <rPh sb="5" eb="6">
      <t>ビョウ</t>
    </rPh>
    <phoneticPr fontId="1"/>
  </si>
  <si>
    <t>10分32秒</t>
    <rPh sb="2" eb="3">
      <t>フン</t>
    </rPh>
    <rPh sb="5" eb="6">
      <t>ビョウ</t>
    </rPh>
    <phoneticPr fontId="1"/>
  </si>
  <si>
    <t>10分33秒</t>
    <rPh sb="2" eb="3">
      <t>フン</t>
    </rPh>
    <rPh sb="5" eb="6">
      <t>ビョウ</t>
    </rPh>
    <phoneticPr fontId="1"/>
  </si>
  <si>
    <t>10分34秒</t>
    <rPh sb="2" eb="3">
      <t>フン</t>
    </rPh>
    <rPh sb="5" eb="6">
      <t>ビョウ</t>
    </rPh>
    <phoneticPr fontId="1"/>
  </si>
  <si>
    <t>10分35秒</t>
    <rPh sb="2" eb="3">
      <t>フン</t>
    </rPh>
    <rPh sb="5" eb="6">
      <t>ビョウ</t>
    </rPh>
    <phoneticPr fontId="1"/>
  </si>
  <si>
    <t>10分36秒</t>
    <rPh sb="2" eb="3">
      <t>フン</t>
    </rPh>
    <rPh sb="5" eb="6">
      <t>ビョウ</t>
    </rPh>
    <phoneticPr fontId="1"/>
  </si>
  <si>
    <t>10分37秒</t>
    <rPh sb="2" eb="3">
      <t>フン</t>
    </rPh>
    <rPh sb="5" eb="6">
      <t>ビョウ</t>
    </rPh>
    <phoneticPr fontId="1"/>
  </si>
  <si>
    <t>10分38秒</t>
    <rPh sb="2" eb="3">
      <t>フン</t>
    </rPh>
    <rPh sb="5" eb="6">
      <t>ビョウ</t>
    </rPh>
    <phoneticPr fontId="1"/>
  </si>
  <si>
    <t>10分39秒</t>
    <rPh sb="2" eb="3">
      <t>フン</t>
    </rPh>
    <rPh sb="5" eb="6">
      <t>ビョウ</t>
    </rPh>
    <phoneticPr fontId="1"/>
  </si>
  <si>
    <t>10分40秒</t>
    <rPh sb="2" eb="3">
      <t>フン</t>
    </rPh>
    <rPh sb="5" eb="6">
      <t>ビョウ</t>
    </rPh>
    <phoneticPr fontId="1"/>
  </si>
  <si>
    <t>10分41秒</t>
    <rPh sb="2" eb="3">
      <t>フン</t>
    </rPh>
    <rPh sb="5" eb="6">
      <t>ビョウ</t>
    </rPh>
    <phoneticPr fontId="1"/>
  </si>
  <si>
    <t>10分42秒</t>
    <rPh sb="2" eb="3">
      <t>フン</t>
    </rPh>
    <rPh sb="5" eb="6">
      <t>ビョウ</t>
    </rPh>
    <phoneticPr fontId="1"/>
  </si>
  <si>
    <t>10分43秒</t>
    <rPh sb="2" eb="3">
      <t>フン</t>
    </rPh>
    <rPh sb="5" eb="6">
      <t>ビョウ</t>
    </rPh>
    <phoneticPr fontId="1"/>
  </si>
  <si>
    <t>10分44秒</t>
    <rPh sb="2" eb="3">
      <t>フン</t>
    </rPh>
    <rPh sb="5" eb="6">
      <t>ビョウ</t>
    </rPh>
    <phoneticPr fontId="1"/>
  </si>
  <si>
    <t>10分45秒</t>
    <rPh sb="2" eb="3">
      <t>フン</t>
    </rPh>
    <rPh sb="5" eb="6">
      <t>ビョウ</t>
    </rPh>
    <phoneticPr fontId="1"/>
  </si>
  <si>
    <t>10分46秒</t>
    <rPh sb="2" eb="3">
      <t>フン</t>
    </rPh>
    <rPh sb="5" eb="6">
      <t>ビョウ</t>
    </rPh>
    <phoneticPr fontId="1"/>
  </si>
  <si>
    <t>10分47秒</t>
    <rPh sb="2" eb="3">
      <t>フン</t>
    </rPh>
    <rPh sb="5" eb="6">
      <t>ビョウ</t>
    </rPh>
    <phoneticPr fontId="1"/>
  </si>
  <si>
    <t>10分48秒</t>
    <rPh sb="2" eb="3">
      <t>フン</t>
    </rPh>
    <rPh sb="5" eb="6">
      <t>ビョウ</t>
    </rPh>
    <phoneticPr fontId="1"/>
  </si>
  <si>
    <t>10分49秒</t>
    <rPh sb="2" eb="3">
      <t>フン</t>
    </rPh>
    <rPh sb="5" eb="6">
      <t>ビョウ</t>
    </rPh>
    <phoneticPr fontId="1"/>
  </si>
  <si>
    <t>10分50秒</t>
    <rPh sb="2" eb="3">
      <t>フン</t>
    </rPh>
    <rPh sb="5" eb="6">
      <t>ビョウ</t>
    </rPh>
    <phoneticPr fontId="1"/>
  </si>
  <si>
    <t>10分51秒</t>
    <rPh sb="2" eb="3">
      <t>フン</t>
    </rPh>
    <rPh sb="5" eb="6">
      <t>ビョウ</t>
    </rPh>
    <phoneticPr fontId="1"/>
  </si>
  <si>
    <t>10分52秒</t>
    <rPh sb="2" eb="3">
      <t>フン</t>
    </rPh>
    <rPh sb="5" eb="6">
      <t>ビョウ</t>
    </rPh>
    <phoneticPr fontId="1"/>
  </si>
  <si>
    <t>10分53秒</t>
    <rPh sb="2" eb="3">
      <t>フン</t>
    </rPh>
    <rPh sb="5" eb="6">
      <t>ビョウ</t>
    </rPh>
    <phoneticPr fontId="1"/>
  </si>
  <si>
    <t>10分54秒</t>
    <rPh sb="2" eb="3">
      <t>フン</t>
    </rPh>
    <rPh sb="5" eb="6">
      <t>ビョウ</t>
    </rPh>
    <phoneticPr fontId="1"/>
  </si>
  <si>
    <t>10分55秒</t>
    <rPh sb="2" eb="3">
      <t>フン</t>
    </rPh>
    <rPh sb="5" eb="6">
      <t>ビョウ</t>
    </rPh>
    <phoneticPr fontId="1"/>
  </si>
  <si>
    <t>10分56秒</t>
    <rPh sb="2" eb="3">
      <t>フン</t>
    </rPh>
    <rPh sb="5" eb="6">
      <t>ビョウ</t>
    </rPh>
    <phoneticPr fontId="1"/>
  </si>
  <si>
    <t>10分57秒</t>
    <rPh sb="2" eb="3">
      <t>フン</t>
    </rPh>
    <rPh sb="5" eb="6">
      <t>ビョウ</t>
    </rPh>
    <phoneticPr fontId="1"/>
  </si>
  <si>
    <t>10分58秒</t>
    <rPh sb="2" eb="3">
      <t>フン</t>
    </rPh>
    <rPh sb="5" eb="6">
      <t>ビョウ</t>
    </rPh>
    <phoneticPr fontId="1"/>
  </si>
  <si>
    <t>10分59秒</t>
    <rPh sb="2" eb="3">
      <t>フン</t>
    </rPh>
    <rPh sb="5" eb="6">
      <t>ビョウ</t>
    </rPh>
    <phoneticPr fontId="1"/>
  </si>
  <si>
    <t>11分0秒</t>
    <rPh sb="2" eb="3">
      <t>フン</t>
    </rPh>
    <rPh sb="4" eb="5">
      <t>ビョウ</t>
    </rPh>
    <phoneticPr fontId="1"/>
  </si>
  <si>
    <t>11分台</t>
    <rPh sb="2" eb="4">
      <t>フンダイ</t>
    </rPh>
    <phoneticPr fontId="1"/>
  </si>
  <si>
    <t>11分1秒</t>
    <rPh sb="2" eb="3">
      <t>フン</t>
    </rPh>
    <rPh sb="4" eb="5">
      <t>ビョウ</t>
    </rPh>
    <phoneticPr fontId="1"/>
  </si>
  <si>
    <t>11分2秒</t>
    <rPh sb="2" eb="3">
      <t>フン</t>
    </rPh>
    <rPh sb="4" eb="5">
      <t>ビョウ</t>
    </rPh>
    <phoneticPr fontId="1"/>
  </si>
  <si>
    <t>11分3秒</t>
    <rPh sb="2" eb="3">
      <t>フン</t>
    </rPh>
    <rPh sb="4" eb="5">
      <t>ビョウ</t>
    </rPh>
    <phoneticPr fontId="1"/>
  </si>
  <si>
    <t>11分4秒</t>
    <rPh sb="2" eb="3">
      <t>フン</t>
    </rPh>
    <rPh sb="4" eb="5">
      <t>ビョウ</t>
    </rPh>
    <phoneticPr fontId="1"/>
  </si>
  <si>
    <t>11分5秒</t>
    <rPh sb="2" eb="3">
      <t>フン</t>
    </rPh>
    <rPh sb="4" eb="5">
      <t>ビョウ</t>
    </rPh>
    <phoneticPr fontId="1"/>
  </si>
  <si>
    <t>11分6秒</t>
    <rPh sb="2" eb="3">
      <t>フン</t>
    </rPh>
    <rPh sb="4" eb="5">
      <t>ビョウ</t>
    </rPh>
    <phoneticPr fontId="1"/>
  </si>
  <si>
    <t>11分7秒</t>
    <rPh sb="2" eb="3">
      <t>フン</t>
    </rPh>
    <rPh sb="4" eb="5">
      <t>ビョウ</t>
    </rPh>
    <phoneticPr fontId="1"/>
  </si>
  <si>
    <t>11分8秒</t>
    <rPh sb="2" eb="3">
      <t>フン</t>
    </rPh>
    <rPh sb="4" eb="5">
      <t>ビョウ</t>
    </rPh>
    <phoneticPr fontId="1"/>
  </si>
  <si>
    <t>11分9秒</t>
    <rPh sb="2" eb="3">
      <t>フン</t>
    </rPh>
    <rPh sb="4" eb="5">
      <t>ビョウ</t>
    </rPh>
    <phoneticPr fontId="1"/>
  </si>
  <si>
    <t>11分10秒</t>
    <rPh sb="2" eb="3">
      <t>フン</t>
    </rPh>
    <rPh sb="5" eb="6">
      <t>ビョウ</t>
    </rPh>
    <phoneticPr fontId="1"/>
  </si>
  <si>
    <t>11分11秒</t>
    <rPh sb="2" eb="3">
      <t>フン</t>
    </rPh>
    <rPh sb="5" eb="6">
      <t>ビョウ</t>
    </rPh>
    <phoneticPr fontId="1"/>
  </si>
  <si>
    <t>11分12秒</t>
    <rPh sb="2" eb="3">
      <t>フン</t>
    </rPh>
    <rPh sb="5" eb="6">
      <t>ビョウ</t>
    </rPh>
    <phoneticPr fontId="1"/>
  </si>
  <si>
    <t>11分13秒</t>
    <rPh sb="2" eb="3">
      <t>フン</t>
    </rPh>
    <rPh sb="5" eb="6">
      <t>ビョウ</t>
    </rPh>
    <phoneticPr fontId="1"/>
  </si>
  <si>
    <t>11分14秒</t>
    <rPh sb="2" eb="3">
      <t>フン</t>
    </rPh>
    <rPh sb="5" eb="6">
      <t>ビョウ</t>
    </rPh>
    <phoneticPr fontId="1"/>
  </si>
  <si>
    <t>11分15秒</t>
    <rPh sb="2" eb="3">
      <t>フン</t>
    </rPh>
    <rPh sb="5" eb="6">
      <t>ビョウ</t>
    </rPh>
    <phoneticPr fontId="1"/>
  </si>
  <si>
    <t>11分16秒</t>
    <rPh sb="2" eb="3">
      <t>フン</t>
    </rPh>
    <rPh sb="5" eb="6">
      <t>ビョウ</t>
    </rPh>
    <phoneticPr fontId="1"/>
  </si>
  <si>
    <t>11分17秒</t>
    <rPh sb="2" eb="3">
      <t>フン</t>
    </rPh>
    <rPh sb="5" eb="6">
      <t>ビョウ</t>
    </rPh>
    <phoneticPr fontId="1"/>
  </si>
  <si>
    <t>11分18秒</t>
    <rPh sb="2" eb="3">
      <t>フン</t>
    </rPh>
    <rPh sb="5" eb="6">
      <t>ビョウ</t>
    </rPh>
    <phoneticPr fontId="1"/>
  </si>
  <si>
    <t>11分19秒</t>
    <rPh sb="2" eb="3">
      <t>フン</t>
    </rPh>
    <rPh sb="5" eb="6">
      <t>ビョウ</t>
    </rPh>
    <phoneticPr fontId="1"/>
  </si>
  <si>
    <t>11分20秒</t>
    <rPh sb="2" eb="3">
      <t>フン</t>
    </rPh>
    <rPh sb="5" eb="6">
      <t>ビョウ</t>
    </rPh>
    <phoneticPr fontId="1"/>
  </si>
  <si>
    <t>11分21秒</t>
    <rPh sb="2" eb="3">
      <t>フン</t>
    </rPh>
    <rPh sb="5" eb="6">
      <t>ビョウ</t>
    </rPh>
    <phoneticPr fontId="1"/>
  </si>
  <si>
    <t>11分22秒</t>
    <rPh sb="2" eb="3">
      <t>フン</t>
    </rPh>
    <rPh sb="5" eb="6">
      <t>ビョウ</t>
    </rPh>
    <phoneticPr fontId="1"/>
  </si>
  <si>
    <t>11分23秒</t>
    <rPh sb="2" eb="3">
      <t>フン</t>
    </rPh>
    <rPh sb="5" eb="6">
      <t>ビョウ</t>
    </rPh>
    <phoneticPr fontId="1"/>
  </si>
  <si>
    <t>11分24秒</t>
    <rPh sb="2" eb="3">
      <t>フン</t>
    </rPh>
    <rPh sb="5" eb="6">
      <t>ビョウ</t>
    </rPh>
    <phoneticPr fontId="1"/>
  </si>
  <si>
    <t>11分25秒</t>
    <rPh sb="2" eb="3">
      <t>フン</t>
    </rPh>
    <rPh sb="5" eb="6">
      <t>ビョウ</t>
    </rPh>
    <phoneticPr fontId="1"/>
  </si>
  <si>
    <t>11分26秒</t>
    <rPh sb="2" eb="3">
      <t>フン</t>
    </rPh>
    <rPh sb="5" eb="6">
      <t>ビョウ</t>
    </rPh>
    <phoneticPr fontId="1"/>
  </si>
  <si>
    <t>11分27秒</t>
    <rPh sb="2" eb="3">
      <t>フン</t>
    </rPh>
    <rPh sb="5" eb="6">
      <t>ビョウ</t>
    </rPh>
    <phoneticPr fontId="1"/>
  </si>
  <si>
    <t>11分28秒</t>
    <rPh sb="2" eb="3">
      <t>フン</t>
    </rPh>
    <rPh sb="5" eb="6">
      <t>ビョウ</t>
    </rPh>
    <phoneticPr fontId="1"/>
  </si>
  <si>
    <t>11分29秒</t>
    <rPh sb="2" eb="3">
      <t>フン</t>
    </rPh>
    <rPh sb="5" eb="6">
      <t>ビョウ</t>
    </rPh>
    <phoneticPr fontId="1"/>
  </si>
  <si>
    <t>11分30秒</t>
    <rPh sb="2" eb="3">
      <t>フン</t>
    </rPh>
    <rPh sb="5" eb="6">
      <t>ビョウ</t>
    </rPh>
    <phoneticPr fontId="1"/>
  </si>
  <si>
    <t>11分31秒</t>
    <rPh sb="2" eb="3">
      <t>フン</t>
    </rPh>
    <rPh sb="5" eb="6">
      <t>ビョウ</t>
    </rPh>
    <phoneticPr fontId="1"/>
  </si>
  <si>
    <t>11分32秒</t>
    <rPh sb="2" eb="3">
      <t>フン</t>
    </rPh>
    <rPh sb="5" eb="6">
      <t>ビョウ</t>
    </rPh>
    <phoneticPr fontId="1"/>
  </si>
  <si>
    <t>11分33秒</t>
    <rPh sb="2" eb="3">
      <t>フン</t>
    </rPh>
    <rPh sb="5" eb="6">
      <t>ビョウ</t>
    </rPh>
    <phoneticPr fontId="1"/>
  </si>
  <si>
    <t>11分34秒</t>
    <rPh sb="2" eb="3">
      <t>フン</t>
    </rPh>
    <rPh sb="5" eb="6">
      <t>ビョウ</t>
    </rPh>
    <phoneticPr fontId="1"/>
  </si>
  <si>
    <t>11分35秒</t>
    <rPh sb="2" eb="3">
      <t>フン</t>
    </rPh>
    <rPh sb="5" eb="6">
      <t>ビョウ</t>
    </rPh>
    <phoneticPr fontId="1"/>
  </si>
  <si>
    <t>11分36秒</t>
    <rPh sb="2" eb="3">
      <t>フン</t>
    </rPh>
    <rPh sb="5" eb="6">
      <t>ビョウ</t>
    </rPh>
    <phoneticPr fontId="1"/>
  </si>
  <si>
    <t>11分37秒</t>
    <rPh sb="2" eb="3">
      <t>フン</t>
    </rPh>
    <rPh sb="5" eb="6">
      <t>ビョウ</t>
    </rPh>
    <phoneticPr fontId="1"/>
  </si>
  <si>
    <t>11分38秒</t>
    <rPh sb="2" eb="3">
      <t>フン</t>
    </rPh>
    <rPh sb="5" eb="6">
      <t>ビョウ</t>
    </rPh>
    <phoneticPr fontId="1"/>
  </si>
  <si>
    <t>11分39秒</t>
    <rPh sb="2" eb="3">
      <t>フン</t>
    </rPh>
    <rPh sb="5" eb="6">
      <t>ビョウ</t>
    </rPh>
    <phoneticPr fontId="1"/>
  </si>
  <si>
    <t>11分40秒</t>
    <rPh sb="2" eb="3">
      <t>フン</t>
    </rPh>
    <rPh sb="5" eb="6">
      <t>ビョウ</t>
    </rPh>
    <phoneticPr fontId="1"/>
  </si>
  <si>
    <t>11分41秒</t>
    <rPh sb="2" eb="3">
      <t>フン</t>
    </rPh>
    <rPh sb="5" eb="6">
      <t>ビョウ</t>
    </rPh>
    <phoneticPr fontId="1"/>
  </si>
  <si>
    <t>11分42秒</t>
    <rPh sb="2" eb="3">
      <t>フン</t>
    </rPh>
    <rPh sb="5" eb="6">
      <t>ビョウ</t>
    </rPh>
    <phoneticPr fontId="1"/>
  </si>
  <si>
    <t>11分43秒</t>
    <rPh sb="2" eb="3">
      <t>フン</t>
    </rPh>
    <rPh sb="5" eb="6">
      <t>ビョウ</t>
    </rPh>
    <phoneticPr fontId="1"/>
  </si>
  <si>
    <t>11分44秒</t>
    <rPh sb="2" eb="3">
      <t>フン</t>
    </rPh>
    <rPh sb="5" eb="6">
      <t>ビョウ</t>
    </rPh>
    <phoneticPr fontId="1"/>
  </si>
  <si>
    <t>11分45秒</t>
    <rPh sb="2" eb="3">
      <t>フン</t>
    </rPh>
    <rPh sb="5" eb="6">
      <t>ビョウ</t>
    </rPh>
    <phoneticPr fontId="1"/>
  </si>
  <si>
    <t>11分46秒</t>
    <rPh sb="2" eb="3">
      <t>フン</t>
    </rPh>
    <rPh sb="5" eb="6">
      <t>ビョウ</t>
    </rPh>
    <phoneticPr fontId="1"/>
  </si>
  <si>
    <t>11分47秒</t>
    <rPh sb="2" eb="3">
      <t>フン</t>
    </rPh>
    <rPh sb="5" eb="6">
      <t>ビョウ</t>
    </rPh>
    <phoneticPr fontId="1"/>
  </si>
  <si>
    <t>11分48秒</t>
    <rPh sb="2" eb="3">
      <t>フン</t>
    </rPh>
    <rPh sb="5" eb="6">
      <t>ビョウ</t>
    </rPh>
    <phoneticPr fontId="1"/>
  </si>
  <si>
    <t>11分49秒</t>
    <rPh sb="2" eb="3">
      <t>フン</t>
    </rPh>
    <rPh sb="5" eb="6">
      <t>ビョウ</t>
    </rPh>
    <phoneticPr fontId="1"/>
  </si>
  <si>
    <t>11分50秒</t>
    <rPh sb="2" eb="3">
      <t>フン</t>
    </rPh>
    <rPh sb="5" eb="6">
      <t>ビョウ</t>
    </rPh>
    <phoneticPr fontId="1"/>
  </si>
  <si>
    <t>11分51秒</t>
    <rPh sb="2" eb="3">
      <t>フン</t>
    </rPh>
    <rPh sb="5" eb="6">
      <t>ビョウ</t>
    </rPh>
    <phoneticPr fontId="1"/>
  </si>
  <si>
    <t>11分52秒</t>
    <rPh sb="2" eb="3">
      <t>フン</t>
    </rPh>
    <rPh sb="5" eb="6">
      <t>ビョウ</t>
    </rPh>
    <phoneticPr fontId="1"/>
  </si>
  <si>
    <t>11分53秒</t>
    <rPh sb="2" eb="3">
      <t>フン</t>
    </rPh>
    <rPh sb="5" eb="6">
      <t>ビョウ</t>
    </rPh>
    <phoneticPr fontId="1"/>
  </si>
  <si>
    <t>11分54秒</t>
    <rPh sb="2" eb="3">
      <t>フン</t>
    </rPh>
    <rPh sb="5" eb="6">
      <t>ビョウ</t>
    </rPh>
    <phoneticPr fontId="1"/>
  </si>
  <si>
    <t>11分55秒</t>
    <rPh sb="2" eb="3">
      <t>フン</t>
    </rPh>
    <rPh sb="5" eb="6">
      <t>ビョウ</t>
    </rPh>
    <phoneticPr fontId="1"/>
  </si>
  <si>
    <t>11分56秒</t>
    <rPh sb="2" eb="3">
      <t>フン</t>
    </rPh>
    <rPh sb="5" eb="6">
      <t>ビョウ</t>
    </rPh>
    <phoneticPr fontId="1"/>
  </si>
  <si>
    <t>11分57秒</t>
    <rPh sb="2" eb="3">
      <t>フン</t>
    </rPh>
    <rPh sb="5" eb="6">
      <t>ビョウ</t>
    </rPh>
    <phoneticPr fontId="1"/>
  </si>
  <si>
    <t>11分58秒</t>
    <rPh sb="2" eb="3">
      <t>フン</t>
    </rPh>
    <rPh sb="5" eb="6">
      <t>ビョウ</t>
    </rPh>
    <phoneticPr fontId="1"/>
  </si>
  <si>
    <t>11分59秒</t>
    <rPh sb="2" eb="3">
      <t>フン</t>
    </rPh>
    <rPh sb="5" eb="6">
      <t>ビョウ</t>
    </rPh>
    <phoneticPr fontId="1"/>
  </si>
  <si>
    <t>12分台</t>
    <rPh sb="2" eb="4">
      <t>フンダイ</t>
    </rPh>
    <phoneticPr fontId="1"/>
  </si>
  <si>
    <t>13分台</t>
    <rPh sb="2" eb="4">
      <t>フンダイ</t>
    </rPh>
    <phoneticPr fontId="1"/>
  </si>
  <si>
    <t>14分台</t>
    <rPh sb="2" eb="4">
      <t>フンダイ</t>
    </rPh>
    <phoneticPr fontId="1"/>
  </si>
  <si>
    <t>12分0秒</t>
    <rPh sb="2" eb="3">
      <t>フン</t>
    </rPh>
    <rPh sb="4" eb="5">
      <t>ビョウ</t>
    </rPh>
    <phoneticPr fontId="1"/>
  </si>
  <si>
    <t>12分1秒</t>
    <rPh sb="2" eb="3">
      <t>フン</t>
    </rPh>
    <rPh sb="4" eb="5">
      <t>ビョウ</t>
    </rPh>
    <phoneticPr fontId="1"/>
  </si>
  <si>
    <t>12分2秒</t>
    <rPh sb="2" eb="3">
      <t>フン</t>
    </rPh>
    <rPh sb="4" eb="5">
      <t>ビョウ</t>
    </rPh>
    <phoneticPr fontId="1"/>
  </si>
  <si>
    <t>12分3秒</t>
    <rPh sb="2" eb="3">
      <t>フン</t>
    </rPh>
    <rPh sb="4" eb="5">
      <t>ビョウ</t>
    </rPh>
    <phoneticPr fontId="1"/>
  </si>
  <si>
    <t>12分4秒</t>
    <rPh sb="2" eb="3">
      <t>フン</t>
    </rPh>
    <rPh sb="4" eb="5">
      <t>ビョウ</t>
    </rPh>
    <phoneticPr fontId="1"/>
  </si>
  <si>
    <t>12分5秒</t>
    <rPh sb="2" eb="3">
      <t>フン</t>
    </rPh>
    <rPh sb="4" eb="5">
      <t>ビョウ</t>
    </rPh>
    <phoneticPr fontId="1"/>
  </si>
  <si>
    <t>12分6秒</t>
    <rPh sb="2" eb="3">
      <t>フン</t>
    </rPh>
    <rPh sb="4" eb="5">
      <t>ビョウ</t>
    </rPh>
    <phoneticPr fontId="1"/>
  </si>
  <si>
    <t>12分7秒</t>
    <rPh sb="2" eb="3">
      <t>フン</t>
    </rPh>
    <rPh sb="4" eb="5">
      <t>ビョウ</t>
    </rPh>
    <phoneticPr fontId="1"/>
  </si>
  <si>
    <t>12分8秒</t>
    <rPh sb="2" eb="3">
      <t>フン</t>
    </rPh>
    <rPh sb="4" eb="5">
      <t>ビョウ</t>
    </rPh>
    <phoneticPr fontId="1"/>
  </si>
  <si>
    <t>12分9秒</t>
    <rPh sb="2" eb="3">
      <t>フン</t>
    </rPh>
    <rPh sb="4" eb="5">
      <t>ビョウ</t>
    </rPh>
    <phoneticPr fontId="1"/>
  </si>
  <si>
    <t>12分10秒</t>
    <rPh sb="2" eb="3">
      <t>フン</t>
    </rPh>
    <rPh sb="5" eb="6">
      <t>ビョウ</t>
    </rPh>
    <phoneticPr fontId="1"/>
  </si>
  <si>
    <t>12分11秒</t>
    <rPh sb="2" eb="3">
      <t>フン</t>
    </rPh>
    <rPh sb="5" eb="6">
      <t>ビョウ</t>
    </rPh>
    <phoneticPr fontId="1"/>
  </si>
  <si>
    <t>12分12秒</t>
    <rPh sb="2" eb="3">
      <t>フン</t>
    </rPh>
    <rPh sb="5" eb="6">
      <t>ビョウ</t>
    </rPh>
    <phoneticPr fontId="1"/>
  </si>
  <si>
    <t>12分13秒</t>
    <rPh sb="2" eb="3">
      <t>フン</t>
    </rPh>
    <rPh sb="5" eb="6">
      <t>ビョウ</t>
    </rPh>
    <phoneticPr fontId="1"/>
  </si>
  <si>
    <t>12分14秒</t>
    <rPh sb="2" eb="3">
      <t>フン</t>
    </rPh>
    <rPh sb="5" eb="6">
      <t>ビョウ</t>
    </rPh>
    <phoneticPr fontId="1"/>
  </si>
  <si>
    <t>12分15秒</t>
    <rPh sb="2" eb="3">
      <t>フン</t>
    </rPh>
    <rPh sb="5" eb="6">
      <t>ビョウ</t>
    </rPh>
    <phoneticPr fontId="1"/>
  </si>
  <si>
    <t>12分16秒</t>
    <rPh sb="2" eb="3">
      <t>フン</t>
    </rPh>
    <rPh sb="5" eb="6">
      <t>ビョウ</t>
    </rPh>
    <phoneticPr fontId="1"/>
  </si>
  <si>
    <t>12分17秒</t>
    <rPh sb="2" eb="3">
      <t>フン</t>
    </rPh>
    <rPh sb="5" eb="6">
      <t>ビョウ</t>
    </rPh>
    <phoneticPr fontId="1"/>
  </si>
  <si>
    <t>12分18秒</t>
    <rPh sb="2" eb="3">
      <t>フン</t>
    </rPh>
    <rPh sb="5" eb="6">
      <t>ビョウ</t>
    </rPh>
    <phoneticPr fontId="1"/>
  </si>
  <si>
    <t>12分19秒</t>
    <rPh sb="2" eb="3">
      <t>フン</t>
    </rPh>
    <rPh sb="5" eb="6">
      <t>ビョウ</t>
    </rPh>
    <phoneticPr fontId="1"/>
  </si>
  <si>
    <t>12分20秒</t>
    <rPh sb="2" eb="3">
      <t>フン</t>
    </rPh>
    <rPh sb="5" eb="6">
      <t>ビョウ</t>
    </rPh>
    <phoneticPr fontId="1"/>
  </si>
  <si>
    <t>12分21秒</t>
    <rPh sb="2" eb="3">
      <t>フン</t>
    </rPh>
    <rPh sb="5" eb="6">
      <t>ビョウ</t>
    </rPh>
    <phoneticPr fontId="1"/>
  </si>
  <si>
    <t>12分22秒</t>
    <rPh sb="2" eb="3">
      <t>フン</t>
    </rPh>
    <rPh sb="5" eb="6">
      <t>ビョウ</t>
    </rPh>
    <phoneticPr fontId="1"/>
  </si>
  <si>
    <t>12分23秒</t>
    <rPh sb="2" eb="3">
      <t>フン</t>
    </rPh>
    <rPh sb="5" eb="6">
      <t>ビョウ</t>
    </rPh>
    <phoneticPr fontId="1"/>
  </si>
  <si>
    <t>12分24秒</t>
    <rPh sb="2" eb="3">
      <t>フン</t>
    </rPh>
    <rPh sb="5" eb="6">
      <t>ビョウ</t>
    </rPh>
    <phoneticPr fontId="1"/>
  </si>
  <si>
    <t>12分25秒</t>
    <rPh sb="2" eb="3">
      <t>フン</t>
    </rPh>
    <rPh sb="5" eb="6">
      <t>ビョウ</t>
    </rPh>
    <phoneticPr fontId="1"/>
  </si>
  <si>
    <t>12分26秒</t>
    <rPh sb="2" eb="3">
      <t>フン</t>
    </rPh>
    <rPh sb="5" eb="6">
      <t>ビョウ</t>
    </rPh>
    <phoneticPr fontId="1"/>
  </si>
  <si>
    <t>12分27秒</t>
    <rPh sb="2" eb="3">
      <t>フン</t>
    </rPh>
    <rPh sb="5" eb="6">
      <t>ビョウ</t>
    </rPh>
    <phoneticPr fontId="1"/>
  </si>
  <si>
    <t>12分28秒</t>
    <rPh sb="2" eb="3">
      <t>フン</t>
    </rPh>
    <rPh sb="5" eb="6">
      <t>ビョウ</t>
    </rPh>
    <phoneticPr fontId="1"/>
  </si>
  <si>
    <t>12分29秒</t>
    <rPh sb="2" eb="3">
      <t>フン</t>
    </rPh>
    <rPh sb="5" eb="6">
      <t>ビョウ</t>
    </rPh>
    <phoneticPr fontId="1"/>
  </si>
  <si>
    <t>12分30秒</t>
    <rPh sb="2" eb="3">
      <t>フン</t>
    </rPh>
    <rPh sb="5" eb="6">
      <t>ビョウ</t>
    </rPh>
    <phoneticPr fontId="1"/>
  </si>
  <si>
    <t>12分31秒</t>
    <rPh sb="2" eb="3">
      <t>フン</t>
    </rPh>
    <rPh sb="5" eb="6">
      <t>ビョウ</t>
    </rPh>
    <phoneticPr fontId="1"/>
  </si>
  <si>
    <t>12分32秒</t>
    <rPh sb="2" eb="3">
      <t>フン</t>
    </rPh>
    <rPh sb="5" eb="6">
      <t>ビョウ</t>
    </rPh>
    <phoneticPr fontId="1"/>
  </si>
  <si>
    <t>12分33秒</t>
    <rPh sb="2" eb="3">
      <t>フン</t>
    </rPh>
    <rPh sb="5" eb="6">
      <t>ビョウ</t>
    </rPh>
    <phoneticPr fontId="1"/>
  </si>
  <si>
    <t>12分34秒</t>
    <rPh sb="2" eb="3">
      <t>フン</t>
    </rPh>
    <rPh sb="5" eb="6">
      <t>ビョウ</t>
    </rPh>
    <phoneticPr fontId="1"/>
  </si>
  <si>
    <t>12分35秒</t>
    <rPh sb="2" eb="3">
      <t>フン</t>
    </rPh>
    <rPh sb="5" eb="6">
      <t>ビョウ</t>
    </rPh>
    <phoneticPr fontId="1"/>
  </si>
  <si>
    <t>12分36秒</t>
    <rPh sb="2" eb="3">
      <t>フン</t>
    </rPh>
    <rPh sb="5" eb="6">
      <t>ビョウ</t>
    </rPh>
    <phoneticPr fontId="1"/>
  </si>
  <si>
    <t>12分37秒</t>
    <rPh sb="2" eb="3">
      <t>フン</t>
    </rPh>
    <rPh sb="5" eb="6">
      <t>ビョウ</t>
    </rPh>
    <phoneticPr fontId="1"/>
  </si>
  <si>
    <t>12分38秒</t>
    <rPh sb="2" eb="3">
      <t>フン</t>
    </rPh>
    <rPh sb="5" eb="6">
      <t>ビョウ</t>
    </rPh>
    <phoneticPr fontId="1"/>
  </si>
  <si>
    <t>12分39秒</t>
    <rPh sb="2" eb="3">
      <t>フン</t>
    </rPh>
    <rPh sb="5" eb="6">
      <t>ビョウ</t>
    </rPh>
    <phoneticPr fontId="1"/>
  </si>
  <si>
    <t>12分40秒</t>
    <rPh sb="2" eb="3">
      <t>フン</t>
    </rPh>
    <rPh sb="5" eb="6">
      <t>ビョウ</t>
    </rPh>
    <phoneticPr fontId="1"/>
  </si>
  <si>
    <t>12分41秒</t>
    <rPh sb="2" eb="3">
      <t>フン</t>
    </rPh>
    <rPh sb="5" eb="6">
      <t>ビョウ</t>
    </rPh>
    <phoneticPr fontId="1"/>
  </si>
  <si>
    <t>12分42秒</t>
    <rPh sb="2" eb="3">
      <t>フン</t>
    </rPh>
    <rPh sb="5" eb="6">
      <t>ビョウ</t>
    </rPh>
    <phoneticPr fontId="1"/>
  </si>
  <si>
    <t>12分43秒</t>
    <rPh sb="2" eb="3">
      <t>フン</t>
    </rPh>
    <rPh sb="5" eb="6">
      <t>ビョウ</t>
    </rPh>
    <phoneticPr fontId="1"/>
  </si>
  <si>
    <t>12分44秒</t>
    <rPh sb="2" eb="3">
      <t>フン</t>
    </rPh>
    <rPh sb="5" eb="6">
      <t>ビョウ</t>
    </rPh>
    <phoneticPr fontId="1"/>
  </si>
  <si>
    <t>12分45秒</t>
    <rPh sb="2" eb="3">
      <t>フン</t>
    </rPh>
    <rPh sb="5" eb="6">
      <t>ビョウ</t>
    </rPh>
    <phoneticPr fontId="1"/>
  </si>
  <si>
    <t>12分46秒</t>
    <rPh sb="2" eb="3">
      <t>フン</t>
    </rPh>
    <rPh sb="5" eb="6">
      <t>ビョウ</t>
    </rPh>
    <phoneticPr fontId="1"/>
  </si>
  <si>
    <t>12分47秒</t>
    <rPh sb="2" eb="3">
      <t>フン</t>
    </rPh>
    <rPh sb="5" eb="6">
      <t>ビョウ</t>
    </rPh>
    <phoneticPr fontId="1"/>
  </si>
  <si>
    <t>12分48秒</t>
    <rPh sb="2" eb="3">
      <t>フン</t>
    </rPh>
    <rPh sb="5" eb="6">
      <t>ビョウ</t>
    </rPh>
    <phoneticPr fontId="1"/>
  </si>
  <si>
    <t>12分49秒</t>
    <rPh sb="2" eb="3">
      <t>フン</t>
    </rPh>
    <rPh sb="5" eb="6">
      <t>ビョウ</t>
    </rPh>
    <phoneticPr fontId="1"/>
  </si>
  <si>
    <t>12分50秒</t>
    <rPh sb="2" eb="3">
      <t>フン</t>
    </rPh>
    <rPh sb="5" eb="6">
      <t>ビョウ</t>
    </rPh>
    <phoneticPr fontId="1"/>
  </si>
  <si>
    <t>12分51秒</t>
    <rPh sb="2" eb="3">
      <t>フン</t>
    </rPh>
    <rPh sb="5" eb="6">
      <t>ビョウ</t>
    </rPh>
    <phoneticPr fontId="1"/>
  </si>
  <si>
    <t>12分52秒</t>
    <rPh sb="2" eb="3">
      <t>フン</t>
    </rPh>
    <rPh sb="5" eb="6">
      <t>ビョウ</t>
    </rPh>
    <phoneticPr fontId="1"/>
  </si>
  <si>
    <t>12分53秒</t>
    <rPh sb="2" eb="3">
      <t>フン</t>
    </rPh>
    <rPh sb="5" eb="6">
      <t>ビョウ</t>
    </rPh>
    <phoneticPr fontId="1"/>
  </si>
  <si>
    <t>12分54秒</t>
    <rPh sb="2" eb="3">
      <t>フン</t>
    </rPh>
    <rPh sb="5" eb="6">
      <t>ビョウ</t>
    </rPh>
    <phoneticPr fontId="1"/>
  </si>
  <si>
    <t>12分55秒</t>
    <rPh sb="2" eb="3">
      <t>フン</t>
    </rPh>
    <rPh sb="5" eb="6">
      <t>ビョウ</t>
    </rPh>
    <phoneticPr fontId="1"/>
  </si>
  <si>
    <t>12分56秒</t>
    <rPh sb="2" eb="3">
      <t>フン</t>
    </rPh>
    <rPh sb="5" eb="6">
      <t>ビョウ</t>
    </rPh>
    <phoneticPr fontId="1"/>
  </si>
  <si>
    <t>12分57秒</t>
    <rPh sb="2" eb="3">
      <t>フン</t>
    </rPh>
    <rPh sb="5" eb="6">
      <t>ビョウ</t>
    </rPh>
    <phoneticPr fontId="1"/>
  </si>
  <si>
    <t>12分58秒</t>
    <rPh sb="2" eb="3">
      <t>フン</t>
    </rPh>
    <rPh sb="5" eb="6">
      <t>ビョウ</t>
    </rPh>
    <phoneticPr fontId="1"/>
  </si>
  <si>
    <t>12分59秒</t>
    <rPh sb="2" eb="3">
      <t>フン</t>
    </rPh>
    <rPh sb="5" eb="6">
      <t>ビョウ</t>
    </rPh>
    <phoneticPr fontId="1"/>
  </si>
  <si>
    <t>13分0秒</t>
    <rPh sb="2" eb="3">
      <t>フン</t>
    </rPh>
    <rPh sb="4" eb="5">
      <t>ビョウ</t>
    </rPh>
    <phoneticPr fontId="1"/>
  </si>
  <si>
    <t>13分1秒</t>
    <rPh sb="2" eb="3">
      <t>フン</t>
    </rPh>
    <rPh sb="4" eb="5">
      <t>ビョウ</t>
    </rPh>
    <phoneticPr fontId="1"/>
  </si>
  <si>
    <t>13分2秒</t>
    <rPh sb="2" eb="3">
      <t>フン</t>
    </rPh>
    <rPh sb="4" eb="5">
      <t>ビョウ</t>
    </rPh>
    <phoneticPr fontId="1"/>
  </si>
  <si>
    <t>13分3秒</t>
    <rPh sb="2" eb="3">
      <t>フン</t>
    </rPh>
    <rPh sb="4" eb="5">
      <t>ビョウ</t>
    </rPh>
    <phoneticPr fontId="1"/>
  </si>
  <si>
    <t>13分4秒</t>
    <rPh sb="2" eb="3">
      <t>フン</t>
    </rPh>
    <rPh sb="4" eb="5">
      <t>ビョウ</t>
    </rPh>
    <phoneticPr fontId="1"/>
  </si>
  <si>
    <t>13分5秒</t>
    <rPh sb="2" eb="3">
      <t>フン</t>
    </rPh>
    <rPh sb="4" eb="5">
      <t>ビョウ</t>
    </rPh>
    <phoneticPr fontId="1"/>
  </si>
  <si>
    <t>13分6秒</t>
    <rPh sb="2" eb="3">
      <t>フン</t>
    </rPh>
    <rPh sb="4" eb="5">
      <t>ビョウ</t>
    </rPh>
    <phoneticPr fontId="1"/>
  </si>
  <si>
    <t>13分7秒</t>
    <rPh sb="2" eb="3">
      <t>フン</t>
    </rPh>
    <rPh sb="4" eb="5">
      <t>ビョウ</t>
    </rPh>
    <phoneticPr fontId="1"/>
  </si>
  <si>
    <t>13分8秒</t>
    <rPh sb="2" eb="3">
      <t>フン</t>
    </rPh>
    <rPh sb="4" eb="5">
      <t>ビョウ</t>
    </rPh>
    <phoneticPr fontId="1"/>
  </si>
  <si>
    <t>13分9秒</t>
    <rPh sb="2" eb="3">
      <t>フン</t>
    </rPh>
    <rPh sb="4" eb="5">
      <t>ビョウ</t>
    </rPh>
    <phoneticPr fontId="1"/>
  </si>
  <si>
    <t>13分10秒</t>
    <rPh sb="2" eb="3">
      <t>フン</t>
    </rPh>
    <rPh sb="5" eb="6">
      <t>ビョウ</t>
    </rPh>
    <phoneticPr fontId="1"/>
  </si>
  <si>
    <t>13分11秒</t>
    <rPh sb="2" eb="3">
      <t>フン</t>
    </rPh>
    <rPh sb="5" eb="6">
      <t>ビョウ</t>
    </rPh>
    <phoneticPr fontId="1"/>
  </si>
  <si>
    <t>13分12秒</t>
    <rPh sb="2" eb="3">
      <t>フン</t>
    </rPh>
    <rPh sb="5" eb="6">
      <t>ビョウ</t>
    </rPh>
    <phoneticPr fontId="1"/>
  </si>
  <si>
    <t>13分13秒</t>
    <rPh sb="2" eb="3">
      <t>フン</t>
    </rPh>
    <rPh sb="5" eb="6">
      <t>ビョウ</t>
    </rPh>
    <phoneticPr fontId="1"/>
  </si>
  <si>
    <t>13分14秒</t>
    <rPh sb="2" eb="3">
      <t>フン</t>
    </rPh>
    <rPh sb="5" eb="6">
      <t>ビョウ</t>
    </rPh>
    <phoneticPr fontId="1"/>
  </si>
  <si>
    <t>13分15秒</t>
    <rPh sb="2" eb="3">
      <t>フン</t>
    </rPh>
    <rPh sb="5" eb="6">
      <t>ビョウ</t>
    </rPh>
    <phoneticPr fontId="1"/>
  </si>
  <si>
    <t>13分16秒</t>
    <rPh sb="2" eb="3">
      <t>フン</t>
    </rPh>
    <rPh sb="5" eb="6">
      <t>ビョウ</t>
    </rPh>
    <phoneticPr fontId="1"/>
  </si>
  <si>
    <t>13分17秒</t>
    <rPh sb="2" eb="3">
      <t>フン</t>
    </rPh>
    <rPh sb="5" eb="6">
      <t>ビョウ</t>
    </rPh>
    <phoneticPr fontId="1"/>
  </si>
  <si>
    <t>13分18秒</t>
    <rPh sb="2" eb="3">
      <t>フン</t>
    </rPh>
    <rPh sb="5" eb="6">
      <t>ビョウ</t>
    </rPh>
    <phoneticPr fontId="1"/>
  </si>
  <si>
    <t>13分19秒</t>
    <rPh sb="2" eb="3">
      <t>フン</t>
    </rPh>
    <rPh sb="5" eb="6">
      <t>ビョウ</t>
    </rPh>
    <phoneticPr fontId="1"/>
  </si>
  <si>
    <t>13分20秒</t>
    <rPh sb="2" eb="3">
      <t>フン</t>
    </rPh>
    <rPh sb="5" eb="6">
      <t>ビョウ</t>
    </rPh>
    <phoneticPr fontId="1"/>
  </si>
  <si>
    <t>13分21秒</t>
    <rPh sb="2" eb="3">
      <t>フン</t>
    </rPh>
    <rPh sb="5" eb="6">
      <t>ビョウ</t>
    </rPh>
    <phoneticPr fontId="1"/>
  </si>
  <si>
    <t>13分22秒</t>
    <rPh sb="2" eb="3">
      <t>フン</t>
    </rPh>
    <rPh sb="5" eb="6">
      <t>ビョウ</t>
    </rPh>
    <phoneticPr fontId="1"/>
  </si>
  <si>
    <t>13分23秒</t>
    <rPh sb="2" eb="3">
      <t>フン</t>
    </rPh>
    <rPh sb="5" eb="6">
      <t>ビョウ</t>
    </rPh>
    <phoneticPr fontId="1"/>
  </si>
  <si>
    <t>13分24秒</t>
    <rPh sb="2" eb="3">
      <t>フン</t>
    </rPh>
    <rPh sb="5" eb="6">
      <t>ビョウ</t>
    </rPh>
    <phoneticPr fontId="1"/>
  </si>
  <si>
    <t>13分25秒</t>
    <rPh sb="2" eb="3">
      <t>フン</t>
    </rPh>
    <rPh sb="5" eb="6">
      <t>ビョウ</t>
    </rPh>
    <phoneticPr fontId="1"/>
  </si>
  <si>
    <t>13分26秒</t>
    <rPh sb="2" eb="3">
      <t>フン</t>
    </rPh>
    <rPh sb="5" eb="6">
      <t>ビョウ</t>
    </rPh>
    <phoneticPr fontId="1"/>
  </si>
  <si>
    <t>13分27秒</t>
    <rPh sb="2" eb="3">
      <t>フン</t>
    </rPh>
    <rPh sb="5" eb="6">
      <t>ビョウ</t>
    </rPh>
    <phoneticPr fontId="1"/>
  </si>
  <si>
    <t>13分28秒</t>
    <rPh sb="2" eb="3">
      <t>フン</t>
    </rPh>
    <rPh sb="5" eb="6">
      <t>ビョウ</t>
    </rPh>
    <phoneticPr fontId="1"/>
  </si>
  <si>
    <t>13分29秒</t>
    <rPh sb="2" eb="3">
      <t>フン</t>
    </rPh>
    <rPh sb="5" eb="6">
      <t>ビョウ</t>
    </rPh>
    <phoneticPr fontId="1"/>
  </si>
  <si>
    <t>13分30秒</t>
    <rPh sb="2" eb="3">
      <t>フン</t>
    </rPh>
    <rPh sb="5" eb="6">
      <t>ビョウ</t>
    </rPh>
    <phoneticPr fontId="1"/>
  </si>
  <si>
    <t>13分31秒</t>
    <rPh sb="2" eb="3">
      <t>フン</t>
    </rPh>
    <rPh sb="5" eb="6">
      <t>ビョウ</t>
    </rPh>
    <phoneticPr fontId="1"/>
  </si>
  <si>
    <t>13分32秒</t>
    <rPh sb="2" eb="3">
      <t>フン</t>
    </rPh>
    <rPh sb="5" eb="6">
      <t>ビョウ</t>
    </rPh>
    <phoneticPr fontId="1"/>
  </si>
  <si>
    <t>13分33秒</t>
    <rPh sb="2" eb="3">
      <t>フン</t>
    </rPh>
    <rPh sb="5" eb="6">
      <t>ビョウ</t>
    </rPh>
    <phoneticPr fontId="1"/>
  </si>
  <si>
    <t>13分34秒</t>
    <rPh sb="2" eb="3">
      <t>フン</t>
    </rPh>
    <rPh sb="5" eb="6">
      <t>ビョウ</t>
    </rPh>
    <phoneticPr fontId="1"/>
  </si>
  <si>
    <t>13分35秒</t>
    <rPh sb="2" eb="3">
      <t>フン</t>
    </rPh>
    <rPh sb="5" eb="6">
      <t>ビョウ</t>
    </rPh>
    <phoneticPr fontId="1"/>
  </si>
  <si>
    <t>13分36秒</t>
    <rPh sb="2" eb="3">
      <t>フン</t>
    </rPh>
    <rPh sb="5" eb="6">
      <t>ビョウ</t>
    </rPh>
    <phoneticPr fontId="1"/>
  </si>
  <si>
    <t>13分37秒</t>
    <rPh sb="2" eb="3">
      <t>フン</t>
    </rPh>
    <rPh sb="5" eb="6">
      <t>ビョウ</t>
    </rPh>
    <phoneticPr fontId="1"/>
  </si>
  <si>
    <t>13分38秒</t>
    <rPh sb="2" eb="3">
      <t>フン</t>
    </rPh>
    <rPh sb="5" eb="6">
      <t>ビョウ</t>
    </rPh>
    <phoneticPr fontId="1"/>
  </si>
  <si>
    <t>13分39秒</t>
    <rPh sb="2" eb="3">
      <t>フン</t>
    </rPh>
    <rPh sb="5" eb="6">
      <t>ビョウ</t>
    </rPh>
    <phoneticPr fontId="1"/>
  </si>
  <si>
    <t>13分40秒</t>
    <rPh sb="2" eb="3">
      <t>フン</t>
    </rPh>
    <rPh sb="5" eb="6">
      <t>ビョウ</t>
    </rPh>
    <phoneticPr fontId="1"/>
  </si>
  <si>
    <t>13分41秒</t>
    <rPh sb="2" eb="3">
      <t>フン</t>
    </rPh>
    <rPh sb="5" eb="6">
      <t>ビョウ</t>
    </rPh>
    <phoneticPr fontId="1"/>
  </si>
  <si>
    <t>13分42秒</t>
    <rPh sb="2" eb="3">
      <t>フン</t>
    </rPh>
    <rPh sb="5" eb="6">
      <t>ビョウ</t>
    </rPh>
    <phoneticPr fontId="1"/>
  </si>
  <si>
    <t>13分43秒</t>
    <rPh sb="2" eb="3">
      <t>フン</t>
    </rPh>
    <rPh sb="5" eb="6">
      <t>ビョウ</t>
    </rPh>
    <phoneticPr fontId="1"/>
  </si>
  <si>
    <t>13分44秒</t>
    <rPh sb="2" eb="3">
      <t>フン</t>
    </rPh>
    <rPh sb="5" eb="6">
      <t>ビョウ</t>
    </rPh>
    <phoneticPr fontId="1"/>
  </si>
  <si>
    <t>13分45秒</t>
    <rPh sb="2" eb="3">
      <t>フン</t>
    </rPh>
    <rPh sb="5" eb="6">
      <t>ビョウ</t>
    </rPh>
    <phoneticPr fontId="1"/>
  </si>
  <si>
    <t>13分46秒</t>
    <rPh sb="2" eb="3">
      <t>フン</t>
    </rPh>
    <rPh sb="5" eb="6">
      <t>ビョウ</t>
    </rPh>
    <phoneticPr fontId="1"/>
  </si>
  <si>
    <t>13分47秒</t>
    <rPh sb="2" eb="3">
      <t>フン</t>
    </rPh>
    <rPh sb="5" eb="6">
      <t>ビョウ</t>
    </rPh>
    <phoneticPr fontId="1"/>
  </si>
  <si>
    <t>13分48秒</t>
    <rPh sb="2" eb="3">
      <t>フン</t>
    </rPh>
    <rPh sb="5" eb="6">
      <t>ビョウ</t>
    </rPh>
    <phoneticPr fontId="1"/>
  </si>
  <si>
    <t>13分49秒</t>
    <rPh sb="2" eb="3">
      <t>フン</t>
    </rPh>
    <rPh sb="5" eb="6">
      <t>ビョウ</t>
    </rPh>
    <phoneticPr fontId="1"/>
  </si>
  <si>
    <t>13分50秒</t>
    <rPh sb="2" eb="3">
      <t>フン</t>
    </rPh>
    <rPh sb="5" eb="6">
      <t>ビョウ</t>
    </rPh>
    <phoneticPr fontId="1"/>
  </si>
  <si>
    <t>13分51秒</t>
    <rPh sb="2" eb="3">
      <t>フン</t>
    </rPh>
    <rPh sb="5" eb="6">
      <t>ビョウ</t>
    </rPh>
    <phoneticPr fontId="1"/>
  </si>
  <si>
    <t>13分52秒</t>
    <rPh sb="2" eb="3">
      <t>フン</t>
    </rPh>
    <rPh sb="5" eb="6">
      <t>ビョウ</t>
    </rPh>
    <phoneticPr fontId="1"/>
  </si>
  <si>
    <t>13分53秒</t>
    <rPh sb="2" eb="3">
      <t>フン</t>
    </rPh>
    <rPh sb="5" eb="6">
      <t>ビョウ</t>
    </rPh>
    <phoneticPr fontId="1"/>
  </si>
  <si>
    <t>13分54秒</t>
    <rPh sb="2" eb="3">
      <t>フン</t>
    </rPh>
    <rPh sb="5" eb="6">
      <t>ビョウ</t>
    </rPh>
    <phoneticPr fontId="1"/>
  </si>
  <si>
    <t>13分55秒</t>
    <rPh sb="2" eb="3">
      <t>フン</t>
    </rPh>
    <rPh sb="5" eb="6">
      <t>ビョウ</t>
    </rPh>
    <phoneticPr fontId="1"/>
  </si>
  <si>
    <t>13分56秒</t>
    <rPh sb="2" eb="3">
      <t>フン</t>
    </rPh>
    <rPh sb="5" eb="6">
      <t>ビョウ</t>
    </rPh>
    <phoneticPr fontId="1"/>
  </si>
  <si>
    <t>13分57秒</t>
    <rPh sb="2" eb="3">
      <t>フン</t>
    </rPh>
    <rPh sb="5" eb="6">
      <t>ビョウ</t>
    </rPh>
    <phoneticPr fontId="1"/>
  </si>
  <si>
    <t>13分58秒</t>
    <rPh sb="2" eb="3">
      <t>フン</t>
    </rPh>
    <rPh sb="5" eb="6">
      <t>ビョウ</t>
    </rPh>
    <phoneticPr fontId="1"/>
  </si>
  <si>
    <t>13分59秒</t>
    <rPh sb="2" eb="3">
      <t>フン</t>
    </rPh>
    <rPh sb="5" eb="6">
      <t>ビョウ</t>
    </rPh>
    <phoneticPr fontId="1"/>
  </si>
  <si>
    <t>14分0秒</t>
    <rPh sb="2" eb="3">
      <t>フン</t>
    </rPh>
    <rPh sb="4" eb="5">
      <t>ビョウ</t>
    </rPh>
    <phoneticPr fontId="1"/>
  </si>
  <si>
    <t>14分1秒</t>
    <rPh sb="2" eb="3">
      <t>フン</t>
    </rPh>
    <rPh sb="4" eb="5">
      <t>ビョウ</t>
    </rPh>
    <phoneticPr fontId="1"/>
  </si>
  <si>
    <t>14分2秒</t>
    <rPh sb="2" eb="3">
      <t>フン</t>
    </rPh>
    <rPh sb="4" eb="5">
      <t>ビョウ</t>
    </rPh>
    <phoneticPr fontId="1"/>
  </si>
  <si>
    <t>14分3秒</t>
    <rPh sb="2" eb="3">
      <t>フン</t>
    </rPh>
    <rPh sb="4" eb="5">
      <t>ビョウ</t>
    </rPh>
    <phoneticPr fontId="1"/>
  </si>
  <si>
    <t>14分4秒</t>
    <rPh sb="2" eb="3">
      <t>フン</t>
    </rPh>
    <rPh sb="4" eb="5">
      <t>ビョウ</t>
    </rPh>
    <phoneticPr fontId="1"/>
  </si>
  <si>
    <t>14分5秒</t>
    <rPh sb="2" eb="3">
      <t>フン</t>
    </rPh>
    <rPh sb="4" eb="5">
      <t>ビョウ</t>
    </rPh>
    <phoneticPr fontId="1"/>
  </si>
  <si>
    <t>14分6秒</t>
    <rPh sb="2" eb="3">
      <t>フン</t>
    </rPh>
    <rPh sb="4" eb="5">
      <t>ビョウ</t>
    </rPh>
    <phoneticPr fontId="1"/>
  </si>
  <si>
    <t>14分7秒</t>
    <rPh sb="2" eb="3">
      <t>フン</t>
    </rPh>
    <rPh sb="4" eb="5">
      <t>ビョウ</t>
    </rPh>
    <phoneticPr fontId="1"/>
  </si>
  <si>
    <t>14分8秒</t>
    <rPh sb="2" eb="3">
      <t>フン</t>
    </rPh>
    <rPh sb="4" eb="5">
      <t>ビョウ</t>
    </rPh>
    <phoneticPr fontId="1"/>
  </si>
  <si>
    <t>14分9秒</t>
    <rPh sb="2" eb="3">
      <t>フン</t>
    </rPh>
    <rPh sb="4" eb="5">
      <t>ビョウ</t>
    </rPh>
    <phoneticPr fontId="1"/>
  </si>
  <si>
    <t>14分10秒</t>
    <rPh sb="2" eb="3">
      <t>フン</t>
    </rPh>
    <rPh sb="5" eb="6">
      <t>ビョウ</t>
    </rPh>
    <phoneticPr fontId="1"/>
  </si>
  <si>
    <t>14分11秒</t>
    <rPh sb="2" eb="3">
      <t>フン</t>
    </rPh>
    <rPh sb="5" eb="6">
      <t>ビョウ</t>
    </rPh>
    <phoneticPr fontId="1"/>
  </si>
  <si>
    <t>14分12秒</t>
    <rPh sb="2" eb="3">
      <t>フン</t>
    </rPh>
    <rPh sb="5" eb="6">
      <t>ビョウ</t>
    </rPh>
    <phoneticPr fontId="1"/>
  </si>
  <si>
    <t>14分13秒</t>
    <rPh sb="2" eb="3">
      <t>フン</t>
    </rPh>
    <rPh sb="5" eb="6">
      <t>ビョウ</t>
    </rPh>
    <phoneticPr fontId="1"/>
  </si>
  <si>
    <t>14分14秒</t>
    <rPh sb="2" eb="3">
      <t>フン</t>
    </rPh>
    <rPh sb="5" eb="6">
      <t>ビョウ</t>
    </rPh>
    <phoneticPr fontId="1"/>
  </si>
  <si>
    <t>14分15秒</t>
    <rPh sb="2" eb="3">
      <t>フン</t>
    </rPh>
    <rPh sb="5" eb="6">
      <t>ビョウ</t>
    </rPh>
    <phoneticPr fontId="1"/>
  </si>
  <si>
    <t>14分16秒</t>
    <rPh sb="2" eb="3">
      <t>フン</t>
    </rPh>
    <rPh sb="5" eb="6">
      <t>ビョウ</t>
    </rPh>
    <phoneticPr fontId="1"/>
  </si>
  <si>
    <t>14分17秒</t>
    <rPh sb="2" eb="3">
      <t>フン</t>
    </rPh>
    <rPh sb="5" eb="6">
      <t>ビョウ</t>
    </rPh>
    <phoneticPr fontId="1"/>
  </si>
  <si>
    <t>14分18秒</t>
    <rPh sb="2" eb="3">
      <t>フン</t>
    </rPh>
    <rPh sb="5" eb="6">
      <t>ビョウ</t>
    </rPh>
    <phoneticPr fontId="1"/>
  </si>
  <si>
    <t>14分19秒</t>
    <rPh sb="2" eb="3">
      <t>フン</t>
    </rPh>
    <rPh sb="5" eb="6">
      <t>ビョウ</t>
    </rPh>
    <phoneticPr fontId="1"/>
  </si>
  <si>
    <t>14分20秒</t>
    <rPh sb="2" eb="3">
      <t>フン</t>
    </rPh>
    <rPh sb="5" eb="6">
      <t>ビョウ</t>
    </rPh>
    <phoneticPr fontId="1"/>
  </si>
  <si>
    <t>14分21秒</t>
    <rPh sb="2" eb="3">
      <t>フン</t>
    </rPh>
    <rPh sb="5" eb="6">
      <t>ビョウ</t>
    </rPh>
    <phoneticPr fontId="1"/>
  </si>
  <si>
    <t>14分22秒</t>
    <rPh sb="2" eb="3">
      <t>フン</t>
    </rPh>
    <rPh sb="5" eb="6">
      <t>ビョウ</t>
    </rPh>
    <phoneticPr fontId="1"/>
  </si>
  <si>
    <t>14分23秒</t>
    <rPh sb="2" eb="3">
      <t>フン</t>
    </rPh>
    <rPh sb="5" eb="6">
      <t>ビョウ</t>
    </rPh>
    <phoneticPr fontId="1"/>
  </si>
  <si>
    <t>14分24秒</t>
    <rPh sb="2" eb="3">
      <t>フン</t>
    </rPh>
    <rPh sb="5" eb="6">
      <t>ビョウ</t>
    </rPh>
    <phoneticPr fontId="1"/>
  </si>
  <si>
    <t>14分25秒</t>
    <rPh sb="2" eb="3">
      <t>フン</t>
    </rPh>
    <rPh sb="5" eb="6">
      <t>ビョウ</t>
    </rPh>
    <phoneticPr fontId="1"/>
  </si>
  <si>
    <t>14分26秒</t>
    <rPh sb="2" eb="3">
      <t>フン</t>
    </rPh>
    <rPh sb="5" eb="6">
      <t>ビョウ</t>
    </rPh>
    <phoneticPr fontId="1"/>
  </si>
  <si>
    <t>14分27秒</t>
    <rPh sb="2" eb="3">
      <t>フン</t>
    </rPh>
    <rPh sb="5" eb="6">
      <t>ビョウ</t>
    </rPh>
    <phoneticPr fontId="1"/>
  </si>
  <si>
    <t>14分28秒</t>
    <rPh sb="2" eb="3">
      <t>フン</t>
    </rPh>
    <rPh sb="5" eb="6">
      <t>ビョウ</t>
    </rPh>
    <phoneticPr fontId="1"/>
  </si>
  <si>
    <t>14分29秒</t>
    <rPh sb="2" eb="3">
      <t>フン</t>
    </rPh>
    <rPh sb="5" eb="6">
      <t>ビョウ</t>
    </rPh>
    <phoneticPr fontId="1"/>
  </si>
  <si>
    <t>14分30秒</t>
    <rPh sb="2" eb="3">
      <t>フン</t>
    </rPh>
    <rPh sb="5" eb="6">
      <t>ビョウ</t>
    </rPh>
    <phoneticPr fontId="1"/>
  </si>
  <si>
    <t>14分31秒</t>
    <rPh sb="2" eb="3">
      <t>フン</t>
    </rPh>
    <rPh sb="5" eb="6">
      <t>ビョウ</t>
    </rPh>
    <phoneticPr fontId="1"/>
  </si>
  <si>
    <t>14分32秒</t>
    <rPh sb="2" eb="3">
      <t>フン</t>
    </rPh>
    <rPh sb="5" eb="6">
      <t>ビョウ</t>
    </rPh>
    <phoneticPr fontId="1"/>
  </si>
  <si>
    <t>14分33秒</t>
    <rPh sb="2" eb="3">
      <t>フン</t>
    </rPh>
    <rPh sb="5" eb="6">
      <t>ビョウ</t>
    </rPh>
    <phoneticPr fontId="1"/>
  </si>
  <si>
    <t>14分34秒</t>
    <rPh sb="2" eb="3">
      <t>フン</t>
    </rPh>
    <rPh sb="5" eb="6">
      <t>ビョウ</t>
    </rPh>
    <phoneticPr fontId="1"/>
  </si>
  <si>
    <t>14分35秒</t>
    <rPh sb="2" eb="3">
      <t>フン</t>
    </rPh>
    <rPh sb="5" eb="6">
      <t>ビョウ</t>
    </rPh>
    <phoneticPr fontId="1"/>
  </si>
  <si>
    <t>14分36秒</t>
    <rPh sb="2" eb="3">
      <t>フン</t>
    </rPh>
    <rPh sb="5" eb="6">
      <t>ビョウ</t>
    </rPh>
    <phoneticPr fontId="1"/>
  </si>
  <si>
    <t>14分37秒</t>
    <rPh sb="2" eb="3">
      <t>フン</t>
    </rPh>
    <rPh sb="5" eb="6">
      <t>ビョウ</t>
    </rPh>
    <phoneticPr fontId="1"/>
  </si>
  <si>
    <t>14分38秒</t>
    <rPh sb="2" eb="3">
      <t>フン</t>
    </rPh>
    <rPh sb="5" eb="6">
      <t>ビョウ</t>
    </rPh>
    <phoneticPr fontId="1"/>
  </si>
  <si>
    <t>14分39秒</t>
    <rPh sb="2" eb="3">
      <t>フン</t>
    </rPh>
    <rPh sb="5" eb="6">
      <t>ビョウ</t>
    </rPh>
    <phoneticPr fontId="1"/>
  </si>
  <si>
    <t>14分40秒</t>
    <rPh sb="2" eb="3">
      <t>フン</t>
    </rPh>
    <rPh sb="5" eb="6">
      <t>ビョウ</t>
    </rPh>
    <phoneticPr fontId="1"/>
  </si>
  <si>
    <t>14分41秒</t>
    <rPh sb="2" eb="3">
      <t>フン</t>
    </rPh>
    <rPh sb="5" eb="6">
      <t>ビョウ</t>
    </rPh>
    <phoneticPr fontId="1"/>
  </si>
  <si>
    <t>14分42秒</t>
    <rPh sb="2" eb="3">
      <t>フン</t>
    </rPh>
    <rPh sb="5" eb="6">
      <t>ビョウ</t>
    </rPh>
    <phoneticPr fontId="1"/>
  </si>
  <si>
    <t>14分43秒</t>
    <rPh sb="2" eb="3">
      <t>フン</t>
    </rPh>
    <rPh sb="5" eb="6">
      <t>ビョウ</t>
    </rPh>
    <phoneticPr fontId="1"/>
  </si>
  <si>
    <t>14分44秒</t>
    <rPh sb="2" eb="3">
      <t>フン</t>
    </rPh>
    <rPh sb="5" eb="6">
      <t>ビョウ</t>
    </rPh>
    <phoneticPr fontId="1"/>
  </si>
  <si>
    <t>14分45秒</t>
    <rPh sb="2" eb="3">
      <t>フン</t>
    </rPh>
    <rPh sb="5" eb="6">
      <t>ビョウ</t>
    </rPh>
    <phoneticPr fontId="1"/>
  </si>
  <si>
    <t>14分46秒</t>
    <rPh sb="2" eb="3">
      <t>フン</t>
    </rPh>
    <rPh sb="5" eb="6">
      <t>ビョウ</t>
    </rPh>
    <phoneticPr fontId="1"/>
  </si>
  <si>
    <t>14分47秒</t>
    <rPh sb="2" eb="3">
      <t>フン</t>
    </rPh>
    <rPh sb="5" eb="6">
      <t>ビョウ</t>
    </rPh>
    <phoneticPr fontId="1"/>
  </si>
  <si>
    <t>14分48秒</t>
    <rPh sb="2" eb="3">
      <t>フン</t>
    </rPh>
    <rPh sb="5" eb="6">
      <t>ビョウ</t>
    </rPh>
    <phoneticPr fontId="1"/>
  </si>
  <si>
    <t>14分49秒</t>
    <rPh sb="2" eb="3">
      <t>フン</t>
    </rPh>
    <rPh sb="5" eb="6">
      <t>ビョウ</t>
    </rPh>
    <phoneticPr fontId="1"/>
  </si>
  <si>
    <t>14分50秒</t>
    <rPh sb="2" eb="3">
      <t>フン</t>
    </rPh>
    <rPh sb="5" eb="6">
      <t>ビョウ</t>
    </rPh>
    <phoneticPr fontId="1"/>
  </si>
  <si>
    <t>14分51秒</t>
    <rPh sb="2" eb="3">
      <t>フン</t>
    </rPh>
    <rPh sb="5" eb="6">
      <t>ビョウ</t>
    </rPh>
    <phoneticPr fontId="1"/>
  </si>
  <si>
    <t>14分52秒</t>
    <rPh sb="2" eb="3">
      <t>フン</t>
    </rPh>
    <rPh sb="5" eb="6">
      <t>ビョウ</t>
    </rPh>
    <phoneticPr fontId="1"/>
  </si>
  <si>
    <t>14分53秒</t>
    <rPh sb="2" eb="3">
      <t>フン</t>
    </rPh>
    <rPh sb="5" eb="6">
      <t>ビョウ</t>
    </rPh>
    <phoneticPr fontId="1"/>
  </si>
  <si>
    <t>14分54秒</t>
    <rPh sb="2" eb="3">
      <t>フン</t>
    </rPh>
    <rPh sb="5" eb="6">
      <t>ビョウ</t>
    </rPh>
    <phoneticPr fontId="1"/>
  </si>
  <si>
    <t>14分55秒</t>
    <rPh sb="2" eb="3">
      <t>フン</t>
    </rPh>
    <rPh sb="5" eb="6">
      <t>ビョウ</t>
    </rPh>
    <phoneticPr fontId="1"/>
  </si>
  <si>
    <t>14分56秒</t>
    <rPh sb="2" eb="3">
      <t>フン</t>
    </rPh>
    <rPh sb="5" eb="6">
      <t>ビョウ</t>
    </rPh>
    <phoneticPr fontId="1"/>
  </si>
  <si>
    <t>14分57秒</t>
    <rPh sb="2" eb="3">
      <t>フン</t>
    </rPh>
    <rPh sb="5" eb="6">
      <t>ビョウ</t>
    </rPh>
    <phoneticPr fontId="1"/>
  </si>
  <si>
    <t>14分58秒</t>
    <rPh sb="2" eb="3">
      <t>フン</t>
    </rPh>
    <rPh sb="5" eb="6">
      <t>ビョウ</t>
    </rPh>
    <phoneticPr fontId="1"/>
  </si>
  <si>
    <t>14分59秒</t>
    <rPh sb="2" eb="3">
      <t>フン</t>
    </rPh>
    <rPh sb="5" eb="6">
      <t>ビョウ</t>
    </rPh>
    <phoneticPr fontId="1"/>
  </si>
  <si>
    <t>15分台</t>
    <rPh sb="2" eb="4">
      <t>フンダイ</t>
    </rPh>
    <phoneticPr fontId="1"/>
  </si>
  <si>
    <t>16分台</t>
    <rPh sb="2" eb="4">
      <t>フンダイ</t>
    </rPh>
    <phoneticPr fontId="1"/>
  </si>
  <si>
    <t>17分台</t>
    <rPh sb="2" eb="4">
      <t>フンダイ</t>
    </rPh>
    <phoneticPr fontId="1"/>
  </si>
  <si>
    <t>15分0秒</t>
    <rPh sb="2" eb="3">
      <t>フン</t>
    </rPh>
    <rPh sb="4" eb="5">
      <t>ビョウ</t>
    </rPh>
    <phoneticPr fontId="1"/>
  </si>
  <si>
    <t>15分1秒</t>
    <rPh sb="2" eb="3">
      <t>フン</t>
    </rPh>
    <rPh sb="4" eb="5">
      <t>ビョウ</t>
    </rPh>
    <phoneticPr fontId="1"/>
  </si>
  <si>
    <t>15分2秒</t>
    <rPh sb="2" eb="3">
      <t>フン</t>
    </rPh>
    <rPh sb="4" eb="5">
      <t>ビョウ</t>
    </rPh>
    <phoneticPr fontId="1"/>
  </si>
  <si>
    <t>15分3秒</t>
    <rPh sb="2" eb="3">
      <t>フン</t>
    </rPh>
    <rPh sb="4" eb="5">
      <t>ビョウ</t>
    </rPh>
    <phoneticPr fontId="1"/>
  </si>
  <si>
    <t>15分4秒</t>
    <rPh sb="2" eb="3">
      <t>フン</t>
    </rPh>
    <rPh sb="4" eb="5">
      <t>ビョウ</t>
    </rPh>
    <phoneticPr fontId="1"/>
  </si>
  <si>
    <t>15分5秒</t>
    <rPh sb="2" eb="3">
      <t>フン</t>
    </rPh>
    <rPh sb="4" eb="5">
      <t>ビョウ</t>
    </rPh>
    <phoneticPr fontId="1"/>
  </si>
  <si>
    <t>15分6秒</t>
    <rPh sb="2" eb="3">
      <t>フン</t>
    </rPh>
    <rPh sb="4" eb="5">
      <t>ビョウ</t>
    </rPh>
    <phoneticPr fontId="1"/>
  </si>
  <si>
    <t>15分7秒</t>
    <rPh sb="2" eb="3">
      <t>フン</t>
    </rPh>
    <rPh sb="4" eb="5">
      <t>ビョウ</t>
    </rPh>
    <phoneticPr fontId="1"/>
  </si>
  <si>
    <t>15分8秒</t>
    <rPh sb="2" eb="3">
      <t>フン</t>
    </rPh>
    <rPh sb="4" eb="5">
      <t>ビョウ</t>
    </rPh>
    <phoneticPr fontId="1"/>
  </si>
  <si>
    <t>15分9秒</t>
    <rPh sb="2" eb="3">
      <t>フン</t>
    </rPh>
    <rPh sb="4" eb="5">
      <t>ビョウ</t>
    </rPh>
    <phoneticPr fontId="1"/>
  </si>
  <si>
    <t>15分10秒</t>
    <rPh sb="2" eb="3">
      <t>フン</t>
    </rPh>
    <rPh sb="5" eb="6">
      <t>ビョウ</t>
    </rPh>
    <phoneticPr fontId="1"/>
  </si>
  <si>
    <t>15分11秒</t>
    <rPh sb="2" eb="3">
      <t>フン</t>
    </rPh>
    <rPh sb="5" eb="6">
      <t>ビョウ</t>
    </rPh>
    <phoneticPr fontId="1"/>
  </si>
  <si>
    <t>15分12秒</t>
    <rPh sb="2" eb="3">
      <t>フン</t>
    </rPh>
    <rPh sb="5" eb="6">
      <t>ビョウ</t>
    </rPh>
    <phoneticPr fontId="1"/>
  </si>
  <si>
    <t>15分13秒</t>
    <rPh sb="2" eb="3">
      <t>フン</t>
    </rPh>
    <rPh sb="5" eb="6">
      <t>ビョウ</t>
    </rPh>
    <phoneticPr fontId="1"/>
  </si>
  <si>
    <t>15分14秒</t>
    <rPh sb="2" eb="3">
      <t>フン</t>
    </rPh>
    <rPh sb="5" eb="6">
      <t>ビョウ</t>
    </rPh>
    <phoneticPr fontId="1"/>
  </si>
  <si>
    <t>15分15秒</t>
    <rPh sb="2" eb="3">
      <t>フン</t>
    </rPh>
    <rPh sb="5" eb="6">
      <t>ビョウ</t>
    </rPh>
    <phoneticPr fontId="1"/>
  </si>
  <si>
    <t>15分16秒</t>
    <rPh sb="2" eb="3">
      <t>フン</t>
    </rPh>
    <rPh sb="5" eb="6">
      <t>ビョウ</t>
    </rPh>
    <phoneticPr fontId="1"/>
  </si>
  <si>
    <t>15分17秒</t>
    <rPh sb="2" eb="3">
      <t>フン</t>
    </rPh>
    <rPh sb="5" eb="6">
      <t>ビョウ</t>
    </rPh>
    <phoneticPr fontId="1"/>
  </si>
  <si>
    <t>15分18秒</t>
    <rPh sb="2" eb="3">
      <t>フン</t>
    </rPh>
    <rPh sb="5" eb="6">
      <t>ビョウ</t>
    </rPh>
    <phoneticPr fontId="1"/>
  </si>
  <si>
    <t>15分19秒</t>
    <rPh sb="2" eb="3">
      <t>フン</t>
    </rPh>
    <rPh sb="5" eb="6">
      <t>ビョウ</t>
    </rPh>
    <phoneticPr fontId="1"/>
  </si>
  <si>
    <t>15分20秒</t>
    <rPh sb="2" eb="3">
      <t>フン</t>
    </rPh>
    <rPh sb="5" eb="6">
      <t>ビョウ</t>
    </rPh>
    <phoneticPr fontId="1"/>
  </si>
  <si>
    <t>15分21秒</t>
    <rPh sb="2" eb="3">
      <t>フン</t>
    </rPh>
    <rPh sb="5" eb="6">
      <t>ビョウ</t>
    </rPh>
    <phoneticPr fontId="1"/>
  </si>
  <si>
    <t>15分22秒</t>
    <rPh sb="2" eb="3">
      <t>フン</t>
    </rPh>
    <rPh sb="5" eb="6">
      <t>ビョウ</t>
    </rPh>
    <phoneticPr fontId="1"/>
  </si>
  <si>
    <t>15分23秒</t>
    <rPh sb="2" eb="3">
      <t>フン</t>
    </rPh>
    <rPh sb="5" eb="6">
      <t>ビョウ</t>
    </rPh>
    <phoneticPr fontId="1"/>
  </si>
  <si>
    <t>15分24秒</t>
    <rPh sb="2" eb="3">
      <t>フン</t>
    </rPh>
    <rPh sb="5" eb="6">
      <t>ビョウ</t>
    </rPh>
    <phoneticPr fontId="1"/>
  </si>
  <si>
    <t>15分25秒</t>
    <rPh sb="2" eb="3">
      <t>フン</t>
    </rPh>
    <rPh sb="5" eb="6">
      <t>ビョウ</t>
    </rPh>
    <phoneticPr fontId="1"/>
  </si>
  <si>
    <t>15分26秒</t>
    <rPh sb="2" eb="3">
      <t>フン</t>
    </rPh>
    <rPh sb="5" eb="6">
      <t>ビョウ</t>
    </rPh>
    <phoneticPr fontId="1"/>
  </si>
  <si>
    <t>15分27秒</t>
    <rPh sb="2" eb="3">
      <t>フン</t>
    </rPh>
    <rPh sb="5" eb="6">
      <t>ビョウ</t>
    </rPh>
    <phoneticPr fontId="1"/>
  </si>
  <si>
    <t>15分28秒</t>
    <rPh sb="2" eb="3">
      <t>フン</t>
    </rPh>
    <rPh sb="5" eb="6">
      <t>ビョウ</t>
    </rPh>
    <phoneticPr fontId="1"/>
  </si>
  <si>
    <t>15分29秒</t>
    <rPh sb="2" eb="3">
      <t>フン</t>
    </rPh>
    <rPh sb="5" eb="6">
      <t>ビョウ</t>
    </rPh>
    <phoneticPr fontId="1"/>
  </si>
  <si>
    <t>15分30秒</t>
    <rPh sb="2" eb="3">
      <t>フン</t>
    </rPh>
    <rPh sb="5" eb="6">
      <t>ビョウ</t>
    </rPh>
    <phoneticPr fontId="1"/>
  </si>
  <si>
    <t>15分31秒</t>
    <rPh sb="2" eb="3">
      <t>フン</t>
    </rPh>
    <rPh sb="5" eb="6">
      <t>ビョウ</t>
    </rPh>
    <phoneticPr fontId="1"/>
  </si>
  <si>
    <t>15分32秒</t>
    <rPh sb="2" eb="3">
      <t>フン</t>
    </rPh>
    <rPh sb="5" eb="6">
      <t>ビョウ</t>
    </rPh>
    <phoneticPr fontId="1"/>
  </si>
  <si>
    <t>15分33秒</t>
    <rPh sb="2" eb="3">
      <t>フン</t>
    </rPh>
    <rPh sb="5" eb="6">
      <t>ビョウ</t>
    </rPh>
    <phoneticPr fontId="1"/>
  </si>
  <si>
    <t>15分34秒</t>
    <rPh sb="2" eb="3">
      <t>フン</t>
    </rPh>
    <rPh sb="5" eb="6">
      <t>ビョウ</t>
    </rPh>
    <phoneticPr fontId="1"/>
  </si>
  <si>
    <t>15分35秒</t>
    <rPh sb="2" eb="3">
      <t>フン</t>
    </rPh>
    <rPh sb="5" eb="6">
      <t>ビョウ</t>
    </rPh>
    <phoneticPr fontId="1"/>
  </si>
  <si>
    <t>15分36秒</t>
    <rPh sb="2" eb="3">
      <t>フン</t>
    </rPh>
    <rPh sb="5" eb="6">
      <t>ビョウ</t>
    </rPh>
    <phoneticPr fontId="1"/>
  </si>
  <si>
    <t>15分37秒</t>
    <rPh sb="2" eb="3">
      <t>フン</t>
    </rPh>
    <rPh sb="5" eb="6">
      <t>ビョウ</t>
    </rPh>
    <phoneticPr fontId="1"/>
  </si>
  <si>
    <t>15分38秒</t>
    <rPh sb="2" eb="3">
      <t>フン</t>
    </rPh>
    <rPh sb="5" eb="6">
      <t>ビョウ</t>
    </rPh>
    <phoneticPr fontId="1"/>
  </si>
  <si>
    <t>15分39秒</t>
    <rPh sb="2" eb="3">
      <t>フン</t>
    </rPh>
    <rPh sb="5" eb="6">
      <t>ビョウ</t>
    </rPh>
    <phoneticPr fontId="1"/>
  </si>
  <si>
    <t>15分40秒</t>
    <rPh sb="2" eb="3">
      <t>フン</t>
    </rPh>
    <rPh sb="5" eb="6">
      <t>ビョウ</t>
    </rPh>
    <phoneticPr fontId="1"/>
  </si>
  <si>
    <t>15分41秒</t>
    <rPh sb="2" eb="3">
      <t>フン</t>
    </rPh>
    <rPh sb="5" eb="6">
      <t>ビョウ</t>
    </rPh>
    <phoneticPr fontId="1"/>
  </si>
  <si>
    <t>15分42秒</t>
    <rPh sb="2" eb="3">
      <t>フン</t>
    </rPh>
    <rPh sb="5" eb="6">
      <t>ビョウ</t>
    </rPh>
    <phoneticPr fontId="1"/>
  </si>
  <si>
    <t>15分43秒</t>
    <rPh sb="2" eb="3">
      <t>フン</t>
    </rPh>
    <rPh sb="5" eb="6">
      <t>ビョウ</t>
    </rPh>
    <phoneticPr fontId="1"/>
  </si>
  <si>
    <t>15分44秒</t>
    <rPh sb="2" eb="3">
      <t>フン</t>
    </rPh>
    <rPh sb="5" eb="6">
      <t>ビョウ</t>
    </rPh>
    <phoneticPr fontId="1"/>
  </si>
  <si>
    <t>15分45秒</t>
    <rPh sb="2" eb="3">
      <t>フン</t>
    </rPh>
    <rPh sb="5" eb="6">
      <t>ビョウ</t>
    </rPh>
    <phoneticPr fontId="1"/>
  </si>
  <si>
    <t>15分46秒</t>
    <rPh sb="2" eb="3">
      <t>フン</t>
    </rPh>
    <rPh sb="5" eb="6">
      <t>ビョウ</t>
    </rPh>
    <phoneticPr fontId="1"/>
  </si>
  <si>
    <t>15分47秒</t>
    <rPh sb="2" eb="3">
      <t>フン</t>
    </rPh>
    <rPh sb="5" eb="6">
      <t>ビョウ</t>
    </rPh>
    <phoneticPr fontId="1"/>
  </si>
  <si>
    <t>15分48秒</t>
    <rPh sb="2" eb="3">
      <t>フン</t>
    </rPh>
    <rPh sb="5" eb="6">
      <t>ビョウ</t>
    </rPh>
    <phoneticPr fontId="1"/>
  </si>
  <si>
    <t>15分49秒</t>
    <rPh sb="2" eb="3">
      <t>フン</t>
    </rPh>
    <rPh sb="5" eb="6">
      <t>ビョウ</t>
    </rPh>
    <phoneticPr fontId="1"/>
  </si>
  <si>
    <t>15分50秒</t>
    <rPh sb="2" eb="3">
      <t>フン</t>
    </rPh>
    <rPh sb="5" eb="6">
      <t>ビョウ</t>
    </rPh>
    <phoneticPr fontId="1"/>
  </si>
  <si>
    <t>15分51秒</t>
    <rPh sb="2" eb="3">
      <t>フン</t>
    </rPh>
    <rPh sb="5" eb="6">
      <t>ビョウ</t>
    </rPh>
    <phoneticPr fontId="1"/>
  </si>
  <si>
    <t>15分52秒</t>
    <rPh sb="2" eb="3">
      <t>フン</t>
    </rPh>
    <rPh sb="5" eb="6">
      <t>ビョウ</t>
    </rPh>
    <phoneticPr fontId="1"/>
  </si>
  <si>
    <t>15分53秒</t>
    <rPh sb="2" eb="3">
      <t>フン</t>
    </rPh>
    <rPh sb="5" eb="6">
      <t>ビョウ</t>
    </rPh>
    <phoneticPr fontId="1"/>
  </si>
  <si>
    <t>15分54秒</t>
    <rPh sb="2" eb="3">
      <t>フン</t>
    </rPh>
    <rPh sb="5" eb="6">
      <t>ビョウ</t>
    </rPh>
    <phoneticPr fontId="1"/>
  </si>
  <si>
    <t>15分55秒</t>
    <rPh sb="2" eb="3">
      <t>フン</t>
    </rPh>
    <rPh sb="5" eb="6">
      <t>ビョウ</t>
    </rPh>
    <phoneticPr fontId="1"/>
  </si>
  <si>
    <t>15分56秒</t>
    <rPh sb="2" eb="3">
      <t>フン</t>
    </rPh>
    <rPh sb="5" eb="6">
      <t>ビョウ</t>
    </rPh>
    <phoneticPr fontId="1"/>
  </si>
  <si>
    <t>15分57秒</t>
    <rPh sb="2" eb="3">
      <t>フン</t>
    </rPh>
    <rPh sb="5" eb="6">
      <t>ビョウ</t>
    </rPh>
    <phoneticPr fontId="1"/>
  </si>
  <si>
    <t>15分58秒</t>
    <rPh sb="2" eb="3">
      <t>フン</t>
    </rPh>
    <rPh sb="5" eb="6">
      <t>ビョウ</t>
    </rPh>
    <phoneticPr fontId="1"/>
  </si>
  <si>
    <t>15分59秒</t>
    <rPh sb="2" eb="3">
      <t>フン</t>
    </rPh>
    <rPh sb="5" eb="6">
      <t>ビョウ</t>
    </rPh>
    <phoneticPr fontId="1"/>
  </si>
  <si>
    <t>16分0秒</t>
    <rPh sb="2" eb="3">
      <t>フン</t>
    </rPh>
    <rPh sb="4" eb="5">
      <t>ビョウ</t>
    </rPh>
    <phoneticPr fontId="1"/>
  </si>
  <si>
    <t>16分1秒</t>
    <rPh sb="2" eb="3">
      <t>フン</t>
    </rPh>
    <rPh sb="4" eb="5">
      <t>ビョウ</t>
    </rPh>
    <phoneticPr fontId="1"/>
  </si>
  <si>
    <t>16分2秒</t>
    <rPh sb="2" eb="3">
      <t>フン</t>
    </rPh>
    <rPh sb="4" eb="5">
      <t>ビョウ</t>
    </rPh>
    <phoneticPr fontId="1"/>
  </si>
  <si>
    <t>16分3秒</t>
    <rPh sb="2" eb="3">
      <t>フン</t>
    </rPh>
    <rPh sb="4" eb="5">
      <t>ビョウ</t>
    </rPh>
    <phoneticPr fontId="1"/>
  </si>
  <si>
    <t>16分4秒</t>
    <rPh sb="2" eb="3">
      <t>フン</t>
    </rPh>
    <rPh sb="4" eb="5">
      <t>ビョウ</t>
    </rPh>
    <phoneticPr fontId="1"/>
  </si>
  <si>
    <t>16分5秒</t>
    <rPh sb="2" eb="3">
      <t>フン</t>
    </rPh>
    <rPh sb="4" eb="5">
      <t>ビョウ</t>
    </rPh>
    <phoneticPr fontId="1"/>
  </si>
  <si>
    <t>16分6秒</t>
    <rPh sb="2" eb="3">
      <t>フン</t>
    </rPh>
    <rPh sb="4" eb="5">
      <t>ビョウ</t>
    </rPh>
    <phoneticPr fontId="1"/>
  </si>
  <si>
    <t>16分7秒</t>
    <rPh sb="2" eb="3">
      <t>フン</t>
    </rPh>
    <rPh sb="4" eb="5">
      <t>ビョウ</t>
    </rPh>
    <phoneticPr fontId="1"/>
  </si>
  <si>
    <t>16分8秒</t>
    <rPh sb="2" eb="3">
      <t>フン</t>
    </rPh>
    <rPh sb="4" eb="5">
      <t>ビョウ</t>
    </rPh>
    <phoneticPr fontId="1"/>
  </si>
  <si>
    <t>16分9秒</t>
    <rPh sb="2" eb="3">
      <t>フン</t>
    </rPh>
    <rPh sb="4" eb="5">
      <t>ビョウ</t>
    </rPh>
    <phoneticPr fontId="1"/>
  </si>
  <si>
    <t>16分10秒</t>
    <rPh sb="2" eb="3">
      <t>フン</t>
    </rPh>
    <rPh sb="5" eb="6">
      <t>ビョウ</t>
    </rPh>
    <phoneticPr fontId="1"/>
  </si>
  <si>
    <t>16分11秒</t>
    <rPh sb="2" eb="3">
      <t>フン</t>
    </rPh>
    <rPh sb="5" eb="6">
      <t>ビョウ</t>
    </rPh>
    <phoneticPr fontId="1"/>
  </si>
  <si>
    <t>16分12秒</t>
    <rPh sb="2" eb="3">
      <t>フン</t>
    </rPh>
    <rPh sb="5" eb="6">
      <t>ビョウ</t>
    </rPh>
    <phoneticPr fontId="1"/>
  </si>
  <si>
    <t>16分13秒</t>
    <rPh sb="2" eb="3">
      <t>フン</t>
    </rPh>
    <rPh sb="5" eb="6">
      <t>ビョウ</t>
    </rPh>
    <phoneticPr fontId="1"/>
  </si>
  <si>
    <t>16分14秒</t>
    <rPh sb="2" eb="3">
      <t>フン</t>
    </rPh>
    <rPh sb="5" eb="6">
      <t>ビョウ</t>
    </rPh>
    <phoneticPr fontId="1"/>
  </si>
  <si>
    <t>16分15秒</t>
    <rPh sb="2" eb="3">
      <t>フン</t>
    </rPh>
    <rPh sb="5" eb="6">
      <t>ビョウ</t>
    </rPh>
    <phoneticPr fontId="1"/>
  </si>
  <si>
    <t>16分16秒</t>
    <rPh sb="2" eb="3">
      <t>フン</t>
    </rPh>
    <rPh sb="5" eb="6">
      <t>ビョウ</t>
    </rPh>
    <phoneticPr fontId="1"/>
  </si>
  <si>
    <t>16分17秒</t>
    <rPh sb="2" eb="3">
      <t>フン</t>
    </rPh>
    <rPh sb="5" eb="6">
      <t>ビョウ</t>
    </rPh>
    <phoneticPr fontId="1"/>
  </si>
  <si>
    <t>16分18秒</t>
    <rPh sb="2" eb="3">
      <t>フン</t>
    </rPh>
    <rPh sb="5" eb="6">
      <t>ビョウ</t>
    </rPh>
    <phoneticPr fontId="1"/>
  </si>
  <si>
    <t>16分19秒</t>
    <rPh sb="2" eb="3">
      <t>フン</t>
    </rPh>
    <rPh sb="5" eb="6">
      <t>ビョウ</t>
    </rPh>
    <phoneticPr fontId="1"/>
  </si>
  <si>
    <t>16分20秒</t>
    <rPh sb="2" eb="3">
      <t>フン</t>
    </rPh>
    <rPh sb="5" eb="6">
      <t>ビョウ</t>
    </rPh>
    <phoneticPr fontId="1"/>
  </si>
  <si>
    <t>16分21秒</t>
    <rPh sb="2" eb="3">
      <t>フン</t>
    </rPh>
    <rPh sb="5" eb="6">
      <t>ビョウ</t>
    </rPh>
    <phoneticPr fontId="1"/>
  </si>
  <si>
    <t>16分22秒</t>
    <rPh sb="2" eb="3">
      <t>フン</t>
    </rPh>
    <rPh sb="5" eb="6">
      <t>ビョウ</t>
    </rPh>
    <phoneticPr fontId="1"/>
  </si>
  <si>
    <t>16分23秒</t>
    <rPh sb="2" eb="3">
      <t>フン</t>
    </rPh>
    <rPh sb="5" eb="6">
      <t>ビョウ</t>
    </rPh>
    <phoneticPr fontId="1"/>
  </si>
  <si>
    <t>16分24秒</t>
    <rPh sb="2" eb="3">
      <t>フン</t>
    </rPh>
    <rPh sb="5" eb="6">
      <t>ビョウ</t>
    </rPh>
    <phoneticPr fontId="1"/>
  </si>
  <si>
    <t>16分25秒</t>
    <rPh sb="2" eb="3">
      <t>フン</t>
    </rPh>
    <rPh sb="5" eb="6">
      <t>ビョウ</t>
    </rPh>
    <phoneticPr fontId="1"/>
  </si>
  <si>
    <t>16分26秒</t>
    <rPh sb="2" eb="3">
      <t>フン</t>
    </rPh>
    <rPh sb="5" eb="6">
      <t>ビョウ</t>
    </rPh>
    <phoneticPr fontId="1"/>
  </si>
  <si>
    <t>16分27秒</t>
    <rPh sb="2" eb="3">
      <t>フン</t>
    </rPh>
    <rPh sb="5" eb="6">
      <t>ビョウ</t>
    </rPh>
    <phoneticPr fontId="1"/>
  </si>
  <si>
    <t>16分28秒</t>
    <rPh sb="2" eb="3">
      <t>フン</t>
    </rPh>
    <rPh sb="5" eb="6">
      <t>ビョウ</t>
    </rPh>
    <phoneticPr fontId="1"/>
  </si>
  <si>
    <t>16分29秒</t>
    <rPh sb="2" eb="3">
      <t>フン</t>
    </rPh>
    <rPh sb="5" eb="6">
      <t>ビョウ</t>
    </rPh>
    <phoneticPr fontId="1"/>
  </si>
  <si>
    <t>16分30秒</t>
    <rPh sb="2" eb="3">
      <t>フン</t>
    </rPh>
    <rPh sb="5" eb="6">
      <t>ビョウ</t>
    </rPh>
    <phoneticPr fontId="1"/>
  </si>
  <si>
    <t>16分31秒</t>
    <rPh sb="2" eb="3">
      <t>フン</t>
    </rPh>
    <rPh sb="5" eb="6">
      <t>ビョウ</t>
    </rPh>
    <phoneticPr fontId="1"/>
  </si>
  <si>
    <t>16分32秒</t>
    <rPh sb="2" eb="3">
      <t>フン</t>
    </rPh>
    <rPh sb="5" eb="6">
      <t>ビョウ</t>
    </rPh>
    <phoneticPr fontId="1"/>
  </si>
  <si>
    <t>16分33秒</t>
    <rPh sb="2" eb="3">
      <t>フン</t>
    </rPh>
    <rPh sb="5" eb="6">
      <t>ビョウ</t>
    </rPh>
    <phoneticPr fontId="1"/>
  </si>
  <si>
    <t>16分34秒</t>
    <rPh sb="2" eb="3">
      <t>フン</t>
    </rPh>
    <rPh sb="5" eb="6">
      <t>ビョウ</t>
    </rPh>
    <phoneticPr fontId="1"/>
  </si>
  <si>
    <t>16分35秒</t>
    <rPh sb="2" eb="3">
      <t>フン</t>
    </rPh>
    <rPh sb="5" eb="6">
      <t>ビョウ</t>
    </rPh>
    <phoneticPr fontId="1"/>
  </si>
  <si>
    <t>16分36秒</t>
    <rPh sb="2" eb="3">
      <t>フン</t>
    </rPh>
    <rPh sb="5" eb="6">
      <t>ビョウ</t>
    </rPh>
    <phoneticPr fontId="1"/>
  </si>
  <si>
    <t>16分37秒</t>
    <rPh sb="2" eb="3">
      <t>フン</t>
    </rPh>
    <rPh sb="5" eb="6">
      <t>ビョウ</t>
    </rPh>
    <phoneticPr fontId="1"/>
  </si>
  <si>
    <t>16分38秒</t>
    <rPh sb="2" eb="3">
      <t>フン</t>
    </rPh>
    <rPh sb="5" eb="6">
      <t>ビョウ</t>
    </rPh>
    <phoneticPr fontId="1"/>
  </si>
  <si>
    <t>16分39秒</t>
    <rPh sb="2" eb="3">
      <t>フン</t>
    </rPh>
    <rPh sb="5" eb="6">
      <t>ビョウ</t>
    </rPh>
    <phoneticPr fontId="1"/>
  </si>
  <si>
    <t>16分40秒</t>
    <rPh sb="2" eb="3">
      <t>フン</t>
    </rPh>
    <rPh sb="5" eb="6">
      <t>ビョウ</t>
    </rPh>
    <phoneticPr fontId="1"/>
  </si>
  <si>
    <t>16分41秒</t>
    <rPh sb="2" eb="3">
      <t>フン</t>
    </rPh>
    <rPh sb="5" eb="6">
      <t>ビョウ</t>
    </rPh>
    <phoneticPr fontId="1"/>
  </si>
  <si>
    <t>16分42秒</t>
    <rPh sb="2" eb="3">
      <t>フン</t>
    </rPh>
    <rPh sb="5" eb="6">
      <t>ビョウ</t>
    </rPh>
    <phoneticPr fontId="1"/>
  </si>
  <si>
    <t>16分43秒</t>
    <rPh sb="2" eb="3">
      <t>フン</t>
    </rPh>
    <rPh sb="5" eb="6">
      <t>ビョウ</t>
    </rPh>
    <phoneticPr fontId="1"/>
  </si>
  <si>
    <t>16分44秒</t>
    <rPh sb="2" eb="3">
      <t>フン</t>
    </rPh>
    <rPh sb="5" eb="6">
      <t>ビョウ</t>
    </rPh>
    <phoneticPr fontId="1"/>
  </si>
  <si>
    <t>16分45秒</t>
    <rPh sb="2" eb="3">
      <t>フン</t>
    </rPh>
    <rPh sb="5" eb="6">
      <t>ビョウ</t>
    </rPh>
    <phoneticPr fontId="1"/>
  </si>
  <si>
    <t>16分46秒</t>
    <rPh sb="2" eb="3">
      <t>フン</t>
    </rPh>
    <rPh sb="5" eb="6">
      <t>ビョウ</t>
    </rPh>
    <phoneticPr fontId="1"/>
  </si>
  <si>
    <t>16分47秒</t>
    <rPh sb="2" eb="3">
      <t>フン</t>
    </rPh>
    <rPh sb="5" eb="6">
      <t>ビョウ</t>
    </rPh>
    <phoneticPr fontId="1"/>
  </si>
  <si>
    <t>16分48秒</t>
    <rPh sb="2" eb="3">
      <t>フン</t>
    </rPh>
    <rPh sb="5" eb="6">
      <t>ビョウ</t>
    </rPh>
    <phoneticPr fontId="1"/>
  </si>
  <si>
    <t>16分49秒</t>
    <rPh sb="2" eb="3">
      <t>フン</t>
    </rPh>
    <rPh sb="5" eb="6">
      <t>ビョウ</t>
    </rPh>
    <phoneticPr fontId="1"/>
  </si>
  <si>
    <t>16分50秒</t>
    <rPh sb="2" eb="3">
      <t>フン</t>
    </rPh>
    <rPh sb="5" eb="6">
      <t>ビョウ</t>
    </rPh>
    <phoneticPr fontId="1"/>
  </si>
  <si>
    <t>16分51秒</t>
    <rPh sb="2" eb="3">
      <t>フン</t>
    </rPh>
    <rPh sb="5" eb="6">
      <t>ビョウ</t>
    </rPh>
    <phoneticPr fontId="1"/>
  </si>
  <si>
    <t>16分52秒</t>
    <rPh sb="2" eb="3">
      <t>フン</t>
    </rPh>
    <rPh sb="5" eb="6">
      <t>ビョウ</t>
    </rPh>
    <phoneticPr fontId="1"/>
  </si>
  <si>
    <t>16分53秒</t>
    <rPh sb="2" eb="3">
      <t>フン</t>
    </rPh>
    <rPh sb="5" eb="6">
      <t>ビョウ</t>
    </rPh>
    <phoneticPr fontId="1"/>
  </si>
  <si>
    <t>16分54秒</t>
    <rPh sb="2" eb="3">
      <t>フン</t>
    </rPh>
    <rPh sb="5" eb="6">
      <t>ビョウ</t>
    </rPh>
    <phoneticPr fontId="1"/>
  </si>
  <si>
    <t>16分55秒</t>
    <rPh sb="2" eb="3">
      <t>フン</t>
    </rPh>
    <rPh sb="5" eb="6">
      <t>ビョウ</t>
    </rPh>
    <phoneticPr fontId="1"/>
  </si>
  <si>
    <t>16分56秒</t>
    <rPh sb="2" eb="3">
      <t>フン</t>
    </rPh>
    <rPh sb="5" eb="6">
      <t>ビョウ</t>
    </rPh>
    <phoneticPr fontId="1"/>
  </si>
  <si>
    <t>16分57秒</t>
    <rPh sb="2" eb="3">
      <t>フン</t>
    </rPh>
    <rPh sb="5" eb="6">
      <t>ビョウ</t>
    </rPh>
    <phoneticPr fontId="1"/>
  </si>
  <si>
    <t>16分58秒</t>
    <rPh sb="2" eb="3">
      <t>フン</t>
    </rPh>
    <rPh sb="5" eb="6">
      <t>ビョウ</t>
    </rPh>
    <phoneticPr fontId="1"/>
  </si>
  <si>
    <t>16分59秒</t>
    <rPh sb="2" eb="3">
      <t>フン</t>
    </rPh>
    <rPh sb="5" eb="6">
      <t>ビョウ</t>
    </rPh>
    <phoneticPr fontId="1"/>
  </si>
  <si>
    <t>17分0秒</t>
    <rPh sb="2" eb="3">
      <t>フン</t>
    </rPh>
    <rPh sb="4" eb="5">
      <t>ビョウ</t>
    </rPh>
    <phoneticPr fontId="1"/>
  </si>
  <si>
    <t>17分1秒</t>
    <rPh sb="2" eb="3">
      <t>フン</t>
    </rPh>
    <rPh sb="4" eb="5">
      <t>ビョウ</t>
    </rPh>
    <phoneticPr fontId="1"/>
  </si>
  <si>
    <t>17分2秒</t>
    <rPh sb="2" eb="3">
      <t>フン</t>
    </rPh>
    <rPh sb="4" eb="5">
      <t>ビョウ</t>
    </rPh>
    <phoneticPr fontId="1"/>
  </si>
  <si>
    <t>17分3秒</t>
    <rPh sb="2" eb="3">
      <t>フン</t>
    </rPh>
    <rPh sb="4" eb="5">
      <t>ビョウ</t>
    </rPh>
    <phoneticPr fontId="1"/>
  </si>
  <si>
    <t>17分4秒</t>
    <rPh sb="2" eb="3">
      <t>フン</t>
    </rPh>
    <rPh sb="4" eb="5">
      <t>ビョウ</t>
    </rPh>
    <phoneticPr fontId="1"/>
  </si>
  <si>
    <t>17分5秒</t>
    <rPh sb="2" eb="3">
      <t>フン</t>
    </rPh>
    <rPh sb="4" eb="5">
      <t>ビョウ</t>
    </rPh>
    <phoneticPr fontId="1"/>
  </si>
  <si>
    <t>17分6秒</t>
    <rPh sb="2" eb="3">
      <t>フン</t>
    </rPh>
    <rPh sb="4" eb="5">
      <t>ビョウ</t>
    </rPh>
    <phoneticPr fontId="1"/>
  </si>
  <si>
    <t>17分7秒</t>
    <rPh sb="2" eb="3">
      <t>フン</t>
    </rPh>
    <rPh sb="4" eb="5">
      <t>ビョウ</t>
    </rPh>
    <phoneticPr fontId="1"/>
  </si>
  <si>
    <t>17分8秒</t>
    <rPh sb="2" eb="3">
      <t>フン</t>
    </rPh>
    <rPh sb="4" eb="5">
      <t>ビョウ</t>
    </rPh>
    <phoneticPr fontId="1"/>
  </si>
  <si>
    <t>17分9秒</t>
    <rPh sb="2" eb="3">
      <t>フン</t>
    </rPh>
    <rPh sb="4" eb="5">
      <t>ビョウ</t>
    </rPh>
    <phoneticPr fontId="1"/>
  </si>
  <si>
    <t>17分10秒</t>
    <rPh sb="2" eb="3">
      <t>フン</t>
    </rPh>
    <rPh sb="5" eb="6">
      <t>ビョウ</t>
    </rPh>
    <phoneticPr fontId="1"/>
  </si>
  <si>
    <t>17分11秒</t>
    <rPh sb="2" eb="3">
      <t>フン</t>
    </rPh>
    <rPh sb="5" eb="6">
      <t>ビョウ</t>
    </rPh>
    <phoneticPr fontId="1"/>
  </si>
  <si>
    <t>17分12秒</t>
    <rPh sb="2" eb="3">
      <t>フン</t>
    </rPh>
    <rPh sb="5" eb="6">
      <t>ビョウ</t>
    </rPh>
    <phoneticPr fontId="1"/>
  </si>
  <si>
    <t>17分13秒</t>
    <rPh sb="2" eb="3">
      <t>フン</t>
    </rPh>
    <rPh sb="5" eb="6">
      <t>ビョウ</t>
    </rPh>
    <phoneticPr fontId="1"/>
  </si>
  <si>
    <t>17分14秒</t>
    <rPh sb="2" eb="3">
      <t>フン</t>
    </rPh>
    <rPh sb="5" eb="6">
      <t>ビョウ</t>
    </rPh>
    <phoneticPr fontId="1"/>
  </si>
  <si>
    <t>17分15秒</t>
    <rPh sb="2" eb="3">
      <t>フン</t>
    </rPh>
    <rPh sb="5" eb="6">
      <t>ビョウ</t>
    </rPh>
    <phoneticPr fontId="1"/>
  </si>
  <si>
    <t>17分16秒</t>
    <rPh sb="2" eb="3">
      <t>フン</t>
    </rPh>
    <rPh sb="5" eb="6">
      <t>ビョウ</t>
    </rPh>
    <phoneticPr fontId="1"/>
  </si>
  <si>
    <t>17分17秒</t>
    <rPh sb="2" eb="3">
      <t>フン</t>
    </rPh>
    <rPh sb="5" eb="6">
      <t>ビョウ</t>
    </rPh>
    <phoneticPr fontId="1"/>
  </si>
  <si>
    <t>17分18秒</t>
    <rPh sb="2" eb="3">
      <t>フン</t>
    </rPh>
    <rPh sb="5" eb="6">
      <t>ビョウ</t>
    </rPh>
    <phoneticPr fontId="1"/>
  </si>
  <si>
    <t>17分19秒</t>
    <rPh sb="2" eb="3">
      <t>フン</t>
    </rPh>
    <rPh sb="5" eb="6">
      <t>ビョウ</t>
    </rPh>
    <phoneticPr fontId="1"/>
  </si>
  <si>
    <t>17分20秒</t>
    <rPh sb="2" eb="3">
      <t>フン</t>
    </rPh>
    <rPh sb="5" eb="6">
      <t>ビョウ</t>
    </rPh>
    <phoneticPr fontId="1"/>
  </si>
  <si>
    <t>17分21秒</t>
    <rPh sb="2" eb="3">
      <t>フン</t>
    </rPh>
    <rPh sb="5" eb="6">
      <t>ビョウ</t>
    </rPh>
    <phoneticPr fontId="1"/>
  </si>
  <si>
    <t>17分22秒</t>
    <rPh sb="2" eb="3">
      <t>フン</t>
    </rPh>
    <rPh sb="5" eb="6">
      <t>ビョウ</t>
    </rPh>
    <phoneticPr fontId="1"/>
  </si>
  <si>
    <t>17分23秒</t>
    <rPh sb="2" eb="3">
      <t>フン</t>
    </rPh>
    <rPh sb="5" eb="6">
      <t>ビョウ</t>
    </rPh>
    <phoneticPr fontId="1"/>
  </si>
  <si>
    <t>17分24秒</t>
    <rPh sb="2" eb="3">
      <t>フン</t>
    </rPh>
    <rPh sb="5" eb="6">
      <t>ビョウ</t>
    </rPh>
    <phoneticPr fontId="1"/>
  </si>
  <si>
    <t>17分25秒</t>
    <rPh sb="2" eb="3">
      <t>フン</t>
    </rPh>
    <rPh sb="5" eb="6">
      <t>ビョウ</t>
    </rPh>
    <phoneticPr fontId="1"/>
  </si>
  <si>
    <t>17分26秒</t>
    <rPh sb="2" eb="3">
      <t>フン</t>
    </rPh>
    <rPh sb="5" eb="6">
      <t>ビョウ</t>
    </rPh>
    <phoneticPr fontId="1"/>
  </si>
  <si>
    <t>17分27秒</t>
    <rPh sb="2" eb="3">
      <t>フン</t>
    </rPh>
    <rPh sb="5" eb="6">
      <t>ビョウ</t>
    </rPh>
    <phoneticPr fontId="1"/>
  </si>
  <si>
    <t>17分28秒</t>
    <rPh sb="2" eb="3">
      <t>フン</t>
    </rPh>
    <rPh sb="5" eb="6">
      <t>ビョウ</t>
    </rPh>
    <phoneticPr fontId="1"/>
  </si>
  <si>
    <t>17分29秒</t>
    <rPh sb="2" eb="3">
      <t>フン</t>
    </rPh>
    <rPh sb="5" eb="6">
      <t>ビョウ</t>
    </rPh>
    <phoneticPr fontId="1"/>
  </si>
  <si>
    <t>17分30秒</t>
    <rPh sb="2" eb="3">
      <t>フン</t>
    </rPh>
    <rPh sb="5" eb="6">
      <t>ビョウ</t>
    </rPh>
    <phoneticPr fontId="1"/>
  </si>
  <si>
    <t>17分31秒</t>
    <rPh sb="2" eb="3">
      <t>フン</t>
    </rPh>
    <rPh sb="5" eb="6">
      <t>ビョウ</t>
    </rPh>
    <phoneticPr fontId="1"/>
  </si>
  <si>
    <t>17分32秒</t>
    <rPh sb="2" eb="3">
      <t>フン</t>
    </rPh>
    <rPh sb="5" eb="6">
      <t>ビョウ</t>
    </rPh>
    <phoneticPr fontId="1"/>
  </si>
  <si>
    <t>17分33秒</t>
    <rPh sb="2" eb="3">
      <t>フン</t>
    </rPh>
    <rPh sb="5" eb="6">
      <t>ビョウ</t>
    </rPh>
    <phoneticPr fontId="1"/>
  </si>
  <si>
    <t>17分34秒</t>
    <rPh sb="2" eb="3">
      <t>フン</t>
    </rPh>
    <rPh sb="5" eb="6">
      <t>ビョウ</t>
    </rPh>
    <phoneticPr fontId="1"/>
  </si>
  <si>
    <t>17分35秒</t>
    <rPh sb="2" eb="3">
      <t>フン</t>
    </rPh>
    <rPh sb="5" eb="6">
      <t>ビョウ</t>
    </rPh>
    <phoneticPr fontId="1"/>
  </si>
  <si>
    <t>17分36秒</t>
    <rPh sb="2" eb="3">
      <t>フン</t>
    </rPh>
    <rPh sb="5" eb="6">
      <t>ビョウ</t>
    </rPh>
    <phoneticPr fontId="1"/>
  </si>
  <si>
    <t>17分37秒</t>
    <rPh sb="2" eb="3">
      <t>フン</t>
    </rPh>
    <rPh sb="5" eb="6">
      <t>ビョウ</t>
    </rPh>
    <phoneticPr fontId="1"/>
  </si>
  <si>
    <t>17分38秒</t>
    <rPh sb="2" eb="3">
      <t>フン</t>
    </rPh>
    <rPh sb="5" eb="6">
      <t>ビョウ</t>
    </rPh>
    <phoneticPr fontId="1"/>
  </si>
  <si>
    <t>17分39秒</t>
    <rPh sb="2" eb="3">
      <t>フン</t>
    </rPh>
    <rPh sb="5" eb="6">
      <t>ビョウ</t>
    </rPh>
    <phoneticPr fontId="1"/>
  </si>
  <si>
    <t>17分40秒</t>
    <rPh sb="2" eb="3">
      <t>フン</t>
    </rPh>
    <rPh sb="5" eb="6">
      <t>ビョウ</t>
    </rPh>
    <phoneticPr fontId="1"/>
  </si>
  <si>
    <t>17分41秒</t>
    <rPh sb="2" eb="3">
      <t>フン</t>
    </rPh>
    <rPh sb="5" eb="6">
      <t>ビョウ</t>
    </rPh>
    <phoneticPr fontId="1"/>
  </si>
  <si>
    <t>17分42秒</t>
    <rPh sb="2" eb="3">
      <t>フン</t>
    </rPh>
    <rPh sb="5" eb="6">
      <t>ビョウ</t>
    </rPh>
    <phoneticPr fontId="1"/>
  </si>
  <si>
    <t>17分43秒</t>
    <rPh sb="2" eb="3">
      <t>フン</t>
    </rPh>
    <rPh sb="5" eb="6">
      <t>ビョウ</t>
    </rPh>
    <phoneticPr fontId="1"/>
  </si>
  <si>
    <t>17分44秒</t>
    <rPh sb="2" eb="3">
      <t>フン</t>
    </rPh>
    <rPh sb="5" eb="6">
      <t>ビョウ</t>
    </rPh>
    <phoneticPr fontId="1"/>
  </si>
  <si>
    <t>17分45秒</t>
    <rPh sb="2" eb="3">
      <t>フン</t>
    </rPh>
    <rPh sb="5" eb="6">
      <t>ビョウ</t>
    </rPh>
    <phoneticPr fontId="1"/>
  </si>
  <si>
    <t>17分46秒</t>
    <rPh sb="2" eb="3">
      <t>フン</t>
    </rPh>
    <rPh sb="5" eb="6">
      <t>ビョウ</t>
    </rPh>
    <phoneticPr fontId="1"/>
  </si>
  <si>
    <t>17分47秒</t>
    <rPh sb="2" eb="3">
      <t>フン</t>
    </rPh>
    <rPh sb="5" eb="6">
      <t>ビョウ</t>
    </rPh>
    <phoneticPr fontId="1"/>
  </si>
  <si>
    <t>17分48秒</t>
    <rPh sb="2" eb="3">
      <t>フン</t>
    </rPh>
    <rPh sb="5" eb="6">
      <t>ビョウ</t>
    </rPh>
    <phoneticPr fontId="1"/>
  </si>
  <si>
    <t>17分49秒</t>
    <rPh sb="2" eb="3">
      <t>フン</t>
    </rPh>
    <rPh sb="5" eb="6">
      <t>ビョウ</t>
    </rPh>
    <phoneticPr fontId="1"/>
  </si>
  <si>
    <t>17分50秒</t>
    <rPh sb="2" eb="3">
      <t>フン</t>
    </rPh>
    <rPh sb="5" eb="6">
      <t>ビョウ</t>
    </rPh>
    <phoneticPr fontId="1"/>
  </si>
  <si>
    <t>17分51秒</t>
    <rPh sb="2" eb="3">
      <t>フン</t>
    </rPh>
    <rPh sb="5" eb="6">
      <t>ビョウ</t>
    </rPh>
    <phoneticPr fontId="1"/>
  </si>
  <si>
    <t>17分52秒</t>
    <rPh sb="2" eb="3">
      <t>フン</t>
    </rPh>
    <rPh sb="5" eb="6">
      <t>ビョウ</t>
    </rPh>
    <phoneticPr fontId="1"/>
  </si>
  <si>
    <t>17分53秒</t>
    <rPh sb="2" eb="3">
      <t>フン</t>
    </rPh>
    <rPh sb="5" eb="6">
      <t>ビョウ</t>
    </rPh>
    <phoneticPr fontId="1"/>
  </si>
  <si>
    <t>17分54秒</t>
    <rPh sb="2" eb="3">
      <t>フン</t>
    </rPh>
    <rPh sb="5" eb="6">
      <t>ビョウ</t>
    </rPh>
    <phoneticPr fontId="1"/>
  </si>
  <si>
    <t>17分55秒</t>
    <rPh sb="2" eb="3">
      <t>フン</t>
    </rPh>
    <rPh sb="5" eb="6">
      <t>ビョウ</t>
    </rPh>
    <phoneticPr fontId="1"/>
  </si>
  <si>
    <t>17分56秒</t>
    <rPh sb="2" eb="3">
      <t>フン</t>
    </rPh>
    <rPh sb="5" eb="6">
      <t>ビョウ</t>
    </rPh>
    <phoneticPr fontId="1"/>
  </si>
  <si>
    <t>17分57秒</t>
    <rPh sb="2" eb="3">
      <t>フン</t>
    </rPh>
    <rPh sb="5" eb="6">
      <t>ビョウ</t>
    </rPh>
    <phoneticPr fontId="1"/>
  </si>
  <si>
    <t>17分58秒</t>
    <rPh sb="2" eb="3">
      <t>フン</t>
    </rPh>
    <rPh sb="5" eb="6">
      <t>ビョウ</t>
    </rPh>
    <phoneticPr fontId="1"/>
  </si>
  <si>
    <t>17分59秒</t>
    <rPh sb="2" eb="3">
      <t>フン</t>
    </rPh>
    <rPh sb="5" eb="6">
      <t>ビョウ</t>
    </rPh>
    <phoneticPr fontId="1"/>
  </si>
  <si>
    <t>A</t>
    <phoneticPr fontId="1"/>
  </si>
  <si>
    <t>B</t>
    <phoneticPr fontId="1"/>
  </si>
  <si>
    <t>得点</t>
    <rPh sb="0" eb="2">
      <t>トクテン</t>
    </rPh>
    <phoneticPr fontId="1"/>
  </si>
  <si>
    <t>番号</t>
    <rPh sb="0" eb="2">
      <t>バンゴウ</t>
    </rPh>
    <phoneticPr fontId="1"/>
  </si>
  <si>
    <t>氏名</t>
    <rPh sb="0" eb="2">
      <t>シメイ</t>
    </rPh>
    <phoneticPr fontId="1"/>
  </si>
  <si>
    <t>学年</t>
    <rPh sb="0" eb="2">
      <t>ガクネン</t>
    </rPh>
    <phoneticPr fontId="1"/>
  </si>
  <si>
    <t>性別</t>
    <rPh sb="0" eb="2">
      <t>セイベツ</t>
    </rPh>
    <phoneticPr fontId="1"/>
  </si>
  <si>
    <t>身長</t>
    <phoneticPr fontId="1"/>
  </si>
  <si>
    <t>体重</t>
    <phoneticPr fontId="1"/>
  </si>
  <si>
    <t>握力</t>
    <phoneticPr fontId="1"/>
  </si>
  <si>
    <t>上体</t>
    <phoneticPr fontId="1"/>
  </si>
  <si>
    <t>上体2</t>
    <phoneticPr fontId="1"/>
  </si>
  <si>
    <t>長座</t>
    <phoneticPr fontId="1"/>
  </si>
  <si>
    <t>長座2</t>
    <phoneticPr fontId="1"/>
  </si>
  <si>
    <t>反復</t>
    <phoneticPr fontId="1"/>
  </si>
  <si>
    <t>反復2</t>
    <phoneticPr fontId="1"/>
  </si>
  <si>
    <t>持久走2</t>
    <phoneticPr fontId="1"/>
  </si>
  <si>
    <t>シャトル2</t>
    <phoneticPr fontId="1"/>
  </si>
  <si>
    <t>立幅2</t>
    <phoneticPr fontId="1"/>
  </si>
  <si>
    <t>ボール2</t>
    <phoneticPr fontId="1"/>
  </si>
  <si>
    <t>ｼｬﾄﾙﾗﾝ</t>
  </si>
  <si>
    <t>ｼｬﾄﾙﾗﾝ</t>
    <phoneticPr fontId="2"/>
  </si>
  <si>
    <t>身長</t>
    <phoneticPr fontId="1"/>
  </si>
  <si>
    <t>体重</t>
    <phoneticPr fontId="1"/>
  </si>
  <si>
    <t>握力2</t>
    <phoneticPr fontId="1"/>
  </si>
  <si>
    <t>上体</t>
    <phoneticPr fontId="1"/>
  </si>
  <si>
    <t>上体2</t>
    <phoneticPr fontId="1"/>
  </si>
  <si>
    <t>持久走</t>
    <phoneticPr fontId="1"/>
  </si>
  <si>
    <t>立幅2</t>
    <phoneticPr fontId="1"/>
  </si>
  <si>
    <t>ボール投げ</t>
    <rPh sb="3" eb="4">
      <t>ナ</t>
    </rPh>
    <phoneticPr fontId="1"/>
  </si>
  <si>
    <t>立幅とび</t>
    <rPh sb="0" eb="1">
      <t>タ</t>
    </rPh>
    <rPh sb="1" eb="2">
      <t>ハバ</t>
    </rPh>
    <phoneticPr fontId="2"/>
  </si>
  <si>
    <t>立幅とび</t>
    <phoneticPr fontId="1"/>
  </si>
  <si>
    <t>○○○</t>
  </si>
  <si>
    <t>△△△</t>
  </si>
  <si>
    <t>○○　○○</t>
  </si>
  <si>
    <t>氏名</t>
    <rPh sb="0" eb="2">
      <t>シメイ</t>
    </rPh>
    <phoneticPr fontId="1"/>
  </si>
  <si>
    <t xml:space="preserve"> 肥満度(１８才未満)</t>
    <rPh sb="1" eb="3">
      <t>ヒマン</t>
    </rPh>
    <rPh sb="3" eb="4">
      <t>ド</t>
    </rPh>
    <rPh sb="7" eb="10">
      <t>サイミマン</t>
    </rPh>
    <phoneticPr fontId="33"/>
  </si>
  <si>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3"/>
  </si>
  <si>
    <t>　標準体重＝a ×身長　（cm） － b</t>
    <rPh sb="9" eb="11">
      <t>シンチョウ</t>
    </rPh>
    <phoneticPr fontId="33"/>
  </si>
  <si>
    <t>【標準体重を求める係数と計算式】</t>
    <rPh sb="6" eb="7">
      <t>モト</t>
    </rPh>
    <rPh sb="9" eb="11">
      <t>ケイスウ</t>
    </rPh>
    <rPh sb="12" eb="14">
      <t>ケイサン</t>
    </rPh>
    <rPh sb="14" eb="15">
      <t>シキ</t>
    </rPh>
    <phoneticPr fontId="33"/>
  </si>
  <si>
    <t>年齢</t>
    <rPh sb="0" eb="2">
      <t>ネンレイ</t>
    </rPh>
    <phoneticPr fontId="33"/>
  </si>
  <si>
    <t>男子</t>
    <rPh sb="0" eb="2">
      <t>ダンシ</t>
    </rPh>
    <phoneticPr fontId="33"/>
  </si>
  <si>
    <t>女子</t>
    <rPh sb="0" eb="2">
      <t>ジョシ</t>
    </rPh>
    <phoneticPr fontId="33"/>
  </si>
  <si>
    <t>a</t>
  </si>
  <si>
    <t>b</t>
  </si>
  <si>
    <t>0. 386</t>
  </si>
  <si>
    <t>23. 699</t>
  </si>
  <si>
    <t>0. 377</t>
  </si>
  <si>
    <t>22. 750</t>
  </si>
  <si>
    <t>　6（小１）</t>
    <rPh sb="3" eb="4">
      <t>ショウ</t>
    </rPh>
    <phoneticPr fontId="33"/>
  </si>
  <si>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</si>
  <si>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</si>
  <si>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</si>
  <si>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</si>
  <si>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</si>
  <si>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</si>
  <si>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</si>
  <si>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</si>
  <si>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</si>
  <si>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</si>
  <si>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</si>
  <si>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</si>
  <si>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</si>
  <si>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</si>
  <si>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</si>
  <si>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</si>
  <si>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</si>
  <si>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</si>
  <si>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</si>
  <si>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</si>
  <si>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</si>
  <si>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</si>
  <si>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</si>
  <si>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</si>
  <si>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</si>
  <si>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</si>
  <si>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</si>
  <si>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</si>
  <si>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</si>
  <si>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3"/>
  </si>
  <si>
    <t>0. 783</t>
  </si>
  <si>
    <t>75. 642</t>
  </si>
  <si>
    <t>0. 796</t>
  </si>
  <si>
    <t>76. 934</t>
  </si>
  <si>
    <t>13（中２）</t>
  </si>
  <si>
    <t>0. 815</t>
  </si>
  <si>
    <t>81. 348</t>
  </si>
  <si>
    <t>0. 655</t>
  </si>
  <si>
    <t>54. 234</t>
  </si>
  <si>
    <t>14（中３）</t>
  </si>
  <si>
    <t>0. 832</t>
  </si>
  <si>
    <t>83. 695</t>
  </si>
  <si>
    <t>0. 594</t>
  </si>
  <si>
    <t>43. 264</t>
  </si>
  <si>
    <t>15（高１）</t>
    <rPh sb="3" eb="4">
      <t>コウ</t>
    </rPh>
    <phoneticPr fontId="33"/>
  </si>
  <si>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</si>
  <si>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</si>
  <si>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</si>
  <si>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</si>
  <si>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</si>
  <si>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</si>
  <si>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</si>
  <si>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</si>
  <si>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</si>
  <si>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</si>
  <si>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</si>
  <si>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</si>
  <si>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</si>
  <si>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</si>
  <si>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3"/>
  </si>
  <si>
    <t>肥満度＝(60－50.358) ／50.358×１００=19.1</t>
  </si>
  <si>
    <t>【判定基準】</t>
    <rPh sb="1" eb="3">
      <t>ハンテイ</t>
    </rPh>
    <rPh sb="3" eb="5">
      <t>キジュン</t>
    </rPh>
    <phoneticPr fontId="33"/>
  </si>
  <si>
    <t>肥  満  度</t>
  </si>
  <si>
    <t>判 　　定</t>
  </si>
  <si>
    <t>高度肥満</t>
    <rPh sb="0" eb="2">
      <t>コウド</t>
    </rPh>
    <rPh sb="2" eb="4">
      <t>ヒマン</t>
    </rPh>
    <phoneticPr fontId="33"/>
  </si>
  <si>
    <t>中等度肥満</t>
    <rPh sb="0" eb="2">
      <t>チュウトウ</t>
    </rPh>
    <rPh sb="2" eb="3">
      <t>ド</t>
    </rPh>
    <rPh sb="3" eb="5">
      <t>ヒマン</t>
    </rPh>
    <phoneticPr fontId="33"/>
  </si>
  <si>
    <t>軽度肥満</t>
    <rPh sb="0" eb="2">
      <t>ケイド</t>
    </rPh>
    <rPh sb="2" eb="4">
      <t>ヒマン</t>
    </rPh>
    <phoneticPr fontId="33"/>
  </si>
  <si>
    <t>正  　　常</t>
    <rPh sb="0" eb="1">
      <t>セイ</t>
    </rPh>
    <rPh sb="5" eb="6">
      <t>ツネ</t>
    </rPh>
    <phoneticPr fontId="33"/>
  </si>
  <si>
    <t>高度のやせ</t>
    <rPh sb="0" eb="2">
      <t>コウド</t>
    </rPh>
    <phoneticPr fontId="33"/>
  </si>
  <si>
    <t>やせすぎ</t>
    <phoneticPr fontId="2"/>
  </si>
  <si>
    <t>高度のやせすぎ</t>
    <rPh sb="0" eb="2">
      <t>コウド</t>
    </rPh>
    <phoneticPr fontId="1"/>
  </si>
  <si>
    <t>正常</t>
    <rPh sb="0" eb="2">
      <t>セイジョウ</t>
    </rPh>
    <phoneticPr fontId="1"/>
  </si>
  <si>
    <t>軽度肥満</t>
    <rPh sb="0" eb="2">
      <t>ケイド</t>
    </rPh>
    <rPh sb="2" eb="4">
      <t>ヒマン</t>
    </rPh>
    <phoneticPr fontId="1"/>
  </si>
  <si>
    <t>中等度肥満</t>
    <rPh sb="0" eb="3">
      <t>チュウトウド</t>
    </rPh>
    <rPh sb="3" eb="5">
      <t>ヒマン</t>
    </rPh>
    <phoneticPr fontId="1"/>
  </si>
  <si>
    <t>高度肥満</t>
    <rPh sb="0" eb="2">
      <t>コウド</t>
    </rPh>
    <rPh sb="2" eb="4">
      <t>ヒマン</t>
    </rPh>
    <phoneticPr fontId="1"/>
  </si>
  <si>
    <t>やせすぎ</t>
    <phoneticPr fontId="1"/>
  </si>
  <si>
    <t>肥満度</t>
    <rPh sb="2" eb="3">
      <t>ド</t>
    </rPh>
    <phoneticPr fontId="1"/>
  </si>
  <si>
    <t>標準体重</t>
    <rPh sb="0" eb="2">
      <t>ヒョウジュン</t>
    </rPh>
    <rPh sb="2" eb="4">
      <t>タイジュウ</t>
    </rPh>
    <phoneticPr fontId="1"/>
  </si>
  <si>
    <t>肥満度数値</t>
    <rPh sb="0" eb="3">
      <t>ヒマンド</t>
    </rPh>
    <rPh sb="3" eb="5">
      <t>スウチ</t>
    </rPh>
    <phoneticPr fontId="1"/>
  </si>
  <si>
    <t>肥満度
数値</t>
    <rPh sb="0" eb="2">
      <t>ヒマン</t>
    </rPh>
    <rPh sb="2" eb="3">
      <t>ド</t>
    </rPh>
    <rPh sb="4" eb="6">
      <t>スウチ</t>
    </rPh>
    <phoneticPr fontId="1"/>
  </si>
  <si>
    <t>○○市立○○中学校</t>
    <rPh sb="2" eb="4">
      <t>シリツ</t>
    </rPh>
    <rPh sb="6" eb="9">
      <t>チュウガッコウ</t>
    </rPh>
    <phoneticPr fontId="1"/>
  </si>
  <si>
    <t>＜中学校＞
＜中等教育学校（前）＞</t>
    <rPh sb="1" eb="2">
      <t>チュウ</t>
    </rPh>
    <rPh sb="2" eb="4">
      <t>ガッコウ</t>
    </rPh>
    <rPh sb="7" eb="9">
      <t>チュウトウ</t>
    </rPh>
    <rPh sb="9" eb="11">
      <t>キョウイク</t>
    </rPh>
    <rPh sb="11" eb="13">
      <t>ガッコウ</t>
    </rPh>
    <rPh sb="14" eb="15">
      <t>ゼン</t>
    </rPh>
    <phoneticPr fontId="2"/>
  </si>
  <si>
    <t>＜中学校・中等教育学校（前期）＞</t>
    <rPh sb="1" eb="2">
      <t>チュウ</t>
    </rPh>
    <rPh sb="2" eb="4">
      <t>ガッコウ</t>
    </rPh>
    <rPh sb="5" eb="7">
      <t>チュウトウ</t>
    </rPh>
    <rPh sb="7" eb="9">
      <t>キョウイク</t>
    </rPh>
    <rPh sb="9" eb="11">
      <t>ガッコウ</t>
    </rPh>
    <rPh sb="12" eb="14">
      <t>ゼンキ</t>
    </rPh>
    <phoneticPr fontId="2"/>
  </si>
  <si>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</si>
  <si>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実施種目数</t>
    <rPh sb="0" eb="2">
      <t>ジッシ</t>
    </rPh>
    <rPh sb="2" eb="4">
      <t>シュモク</t>
    </rPh>
    <rPh sb="4" eb="5">
      <t>スウ</t>
    </rPh>
    <phoneticPr fontId="1"/>
  </si>
  <si>
    <t>学年全体</t>
    <rPh sb="0" eb="2">
      <t>ガクネン</t>
    </rPh>
    <rPh sb="2" eb="4">
      <t>ゼンタイ</t>
    </rPh>
    <phoneticPr fontId="1"/>
  </si>
  <si>
    <t>うち
全種目実施者</t>
    <rPh sb="3" eb="6">
      <t>ゼンシュモク</t>
    </rPh>
    <rPh sb="6" eb="8">
      <t>ジッシ</t>
    </rPh>
    <rPh sb="8" eb="9">
      <t>シャ</t>
    </rPh>
    <phoneticPr fontId="1"/>
  </si>
  <si>
    <t>学校全体</t>
    <rPh sb="0" eb="2">
      <t>ガッコウ</t>
    </rPh>
    <rPh sb="2" eb="4">
      <t>ゼンタイ</t>
    </rPh>
    <phoneticPr fontId="1"/>
  </si>
  <si>
    <t>令和</t>
    <rPh sb="0" eb="2">
      <t>レイワ</t>
    </rPh>
    <phoneticPr fontId="1"/>
  </si>
  <si>
    <t>令和2年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</si>
</sst>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
    <numFmt numFmtId="178" formatCode="0.0_ "/>
    <numFmt numFmtId="179" formatCode="0.0_);[Red]\(0.0\)"/>
    <numFmt numFmtId="180" formatCode="0.0_ ;[Red]\-0.0\ "/>
  </numFmts>
  <fonts count="3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b/>
      <sz val="10"/>
      <color theme="1"/>
      <name val="ＭＳ Ｐ明朝"/>
      <family val="1"/>
      <charset val="128"/>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6"/>
      <color theme="1"/>
      <name val="ＭＳ Ｐゴシック"/>
      <family val="2"/>
      <scheme val="minor"/>
    </font>
    <font>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CCFFFF"/>
        <bgColor indexed="64"/>
      </patternFill>
    </fill>
    <fill>
      <patternFill patternType="solid">
        <fgColor rgb="FF00FFFF"/>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s>
  <cellStyleXfs count="3">
    <xf numFmtId="0" fontId="0" fillId="0" borderId="0"/>
    <xf numFmtId="0" fontId="10" fillId="0" borderId="0">
      <alignment vertical="center"/>
    </xf>
    <xf numFmtId="0" fontId="18" fillId="0" borderId="0"/>
  </cellStyleXfs>
  <cellXfs count="364">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3" fillId="0" borderId="1" xfId="1" applyFont="1" applyBorder="1" applyAlignment="1">
      <alignment horizontal="center" vertical="center"/>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6"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6" xfId="1" applyFont="1" applyBorder="1" applyAlignment="1">
      <alignment horizontal="center" vertical="center" shrinkToFit="1"/>
    </xf>
    <xf numFmtId="0" fontId="6" fillId="0" borderId="0" xfId="1" applyFont="1" applyAlignment="1">
      <alignment horizontal="center" vertical="center"/>
    </xf>
    <xf numFmtId="0" fontId="13" fillId="0" borderId="46" xfId="1" applyFont="1" applyBorder="1" applyAlignment="1">
      <alignment horizontal="center" vertical="center" shrinkToFit="1"/>
    </xf>
    <xf numFmtId="0" fontId="19" fillId="0" borderId="0" xfId="0" applyFont="1" applyAlignment="1">
      <alignment vertical="center"/>
    </xf>
    <xf numFmtId="0" fontId="9" fillId="0" borderId="40" xfId="1" applyFont="1" applyBorder="1" applyAlignment="1">
      <alignment horizontal="center" vertical="center"/>
    </xf>
    <xf numFmtId="0" fontId="9" fillId="0" borderId="4" xfId="1" applyFont="1" applyBorder="1" applyAlignment="1">
      <alignment horizontal="center" vertical="center"/>
    </xf>
    <xf numFmtId="0" fontId="9" fillId="0" borderId="40" xfId="1" applyNumberFormat="1" applyFont="1" applyBorder="1" applyAlignment="1">
      <alignment vertical="center"/>
    </xf>
    <xf numFmtId="0" fontId="9" fillId="4" borderId="40" xfId="1" applyNumberFormat="1" applyFont="1" applyFill="1" applyBorder="1" applyAlignment="1">
      <alignment vertical="center"/>
    </xf>
    <xf numFmtId="0" fontId="9" fillId="0" borderId="41" xfId="1" applyFont="1" applyBorder="1" applyAlignment="1">
      <alignment horizontal="center" vertical="center"/>
    </xf>
    <xf numFmtId="0" fontId="9" fillId="4" borderId="4" xfId="1" applyNumberFormat="1" applyFont="1" applyFill="1" applyBorder="1" applyAlignment="1">
      <alignment vertical="center"/>
    </xf>
    <xf numFmtId="0" fontId="9" fillId="4" borderId="41" xfId="1" applyNumberFormat="1" applyFont="1" applyFill="1" applyBorder="1" applyAlignment="1">
      <alignment vertical="center"/>
    </xf>
    <xf numFmtId="0" fontId="9" fillId="4" borderId="54" xfId="1" applyNumberFormat="1" applyFont="1" applyFill="1" applyBorder="1" applyAlignment="1">
      <alignment vertical="center"/>
    </xf>
    <xf numFmtId="0" fontId="9" fillId="0" borderId="54" xfId="1" applyFont="1" applyBorder="1" applyAlignment="1">
      <alignment horizontal="center" vertical="center"/>
    </xf>
    <xf numFmtId="0" fontId="9" fillId="0" borderId="54" xfId="1" applyNumberFormat="1" applyFont="1" applyBorder="1" applyAlignment="1">
      <alignment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5" borderId="0" xfId="0" applyFill="1" applyAlignment="1">
      <alignment vertical="center"/>
    </xf>
    <xf numFmtId="0" fontId="0" fillId="4" borderId="58" xfId="0" applyFill="1" applyBorder="1" applyAlignment="1">
      <alignment horizontal="center" vertical="center"/>
    </xf>
    <xf numFmtId="0" fontId="24" fillId="3" borderId="1"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3" fillId="3" borderId="2" xfId="0" applyFont="1" applyFill="1" applyBorder="1" applyAlignment="1">
      <alignment horizontal="center" vertical="center" wrapText="1" shrinkToFit="1"/>
    </xf>
    <xf numFmtId="176" fontId="0" fillId="3" borderId="46" xfId="0" applyNumberFormat="1" applyFill="1" applyBorder="1" applyAlignment="1">
      <alignment horizontal="center" vertical="center"/>
    </xf>
    <xf numFmtId="176" fontId="0" fillId="3" borderId="1" xfId="0" applyNumberFormat="1" applyFill="1" applyBorder="1" applyAlignment="1">
      <alignment horizontal="center" vertical="center"/>
    </xf>
    <xf numFmtId="0" fontId="0" fillId="0" borderId="29" xfId="0" applyBorder="1"/>
    <xf numFmtId="0" fontId="0" fillId="0" borderId="30" xfId="0" applyBorder="1"/>
    <xf numFmtId="0" fontId="0" fillId="0" borderId="32" xfId="0" applyBorder="1"/>
    <xf numFmtId="0" fontId="0" fillId="0" borderId="90" xfId="0" applyBorder="1"/>
    <xf numFmtId="0" fontId="0" fillId="3" borderId="3" xfId="0" applyNumberFormat="1" applyFill="1" applyBorder="1" applyAlignment="1">
      <alignment horizontal="center" vertical="center"/>
    </xf>
    <xf numFmtId="0" fontId="9" fillId="4" borderId="52" xfId="1" applyNumberFormat="1" applyFont="1" applyFill="1" applyBorder="1" applyAlignment="1">
      <alignment vertical="center"/>
    </xf>
    <xf numFmtId="0" fontId="0" fillId="0" borderId="73" xfId="0" applyNumberFormat="1" applyBorder="1" applyAlignment="1">
      <alignment vertical="center"/>
    </xf>
    <xf numFmtId="0" fontId="0" fillId="0" borderId="78" xfId="0" applyNumberFormat="1" applyBorder="1" applyAlignment="1">
      <alignment vertical="center"/>
    </xf>
    <xf numFmtId="0" fontId="0" fillId="0" borderId="86" xfId="0" applyNumberFormat="1" applyBorder="1" applyAlignment="1">
      <alignment vertical="center"/>
    </xf>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vertical="center"/>
    </xf>
    <xf numFmtId="0" fontId="0" fillId="0" borderId="17" xfId="0" applyBorder="1" applyAlignment="1">
      <alignment horizontal="center"/>
    </xf>
    <xf numFmtId="0" fontId="0" fillId="0" borderId="0" xfId="0"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xf>
    <xf numFmtId="0" fontId="0" fillId="0" borderId="98" xfId="0" applyBorder="1" applyAlignment="1">
      <alignment horizontal="center"/>
    </xf>
    <xf numFmtId="0" fontId="0" fillId="0" borderId="100" xfId="0" applyBorder="1" applyAlignment="1">
      <alignment horizontal="center" vertical="center"/>
    </xf>
    <xf numFmtId="0" fontId="0" fillId="0" borderId="17" xfId="0" applyBorder="1" applyAlignment="1">
      <alignment horizontal="center" vertical="center"/>
    </xf>
    <xf numFmtId="0" fontId="0" fillId="0" borderId="101" xfId="0" applyBorder="1" applyAlignment="1">
      <alignment horizontal="center"/>
    </xf>
    <xf numFmtId="0" fontId="0" fillId="0" borderId="13" xfId="0" applyBorder="1" applyAlignment="1">
      <alignment horizontal="center" vertical="center"/>
    </xf>
    <xf numFmtId="0" fontId="0" fillId="0" borderId="13" xfId="0" applyBorder="1" applyAlignment="1">
      <alignment horizontal="center"/>
    </xf>
    <xf numFmtId="0" fontId="0" fillId="0" borderId="104" xfId="0" applyBorder="1" applyAlignment="1">
      <alignment horizontal="center" vertical="center"/>
    </xf>
    <xf numFmtId="0" fontId="0" fillId="0" borderId="105" xfId="0" applyBorder="1" applyAlignment="1">
      <alignment horizontal="center"/>
    </xf>
    <xf numFmtId="0" fontId="0" fillId="0" borderId="106"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xf>
    <xf numFmtId="0" fontId="0" fillId="0" borderId="107" xfId="0" applyBorder="1" applyAlignment="1">
      <alignment horizontal="center"/>
    </xf>
    <xf numFmtId="0" fontId="0" fillId="0" borderId="102"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103" xfId="0" applyBorder="1" applyAlignment="1">
      <alignment horizontal="center"/>
    </xf>
    <xf numFmtId="0" fontId="9" fillId="0" borderId="2" xfId="1" applyNumberFormat="1" applyFont="1" applyBorder="1" applyAlignment="1">
      <alignment vertical="center"/>
    </xf>
    <xf numFmtId="0" fontId="9" fillId="0" borderId="52" xfId="1" applyNumberFormat="1" applyFont="1" applyBorder="1" applyAlignment="1">
      <alignment vertic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3" fillId="0" borderId="6" xfId="1" applyFont="1" applyBorder="1" applyAlignment="1">
      <alignment vertical="center" textRotation="255"/>
    </xf>
    <xf numFmtId="0" fontId="0" fillId="4" borderId="2"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4" xfId="0" applyFill="1" applyBorder="1" applyAlignment="1">
      <alignment horizontal="center" vertical="center" shrinkToFit="1"/>
    </xf>
    <xf numFmtId="0" fontId="22" fillId="4" borderId="1"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0" fillId="4" borderId="0" xfId="0" applyFill="1"/>
    <xf numFmtId="0" fontId="0" fillId="4" borderId="0" xfId="0" applyFill="1" applyBorder="1" applyAlignment="1">
      <alignment vertical="center"/>
    </xf>
    <xf numFmtId="0" fontId="19" fillId="4" borderId="0" xfId="0" applyFont="1"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31" fillId="0" borderId="0" xfId="0" applyFont="1" applyAlignment="1">
      <alignment horizontal="center" vertical="center"/>
    </xf>
    <xf numFmtId="0" fontId="32" fillId="0" borderId="0" xfId="0" applyFont="1" applyAlignment="1">
      <alignment vertical="center"/>
    </xf>
    <xf numFmtId="0" fontId="0" fillId="0" borderId="1" xfId="0" applyBorder="1" applyAlignment="1">
      <alignment horizontal="center" vertical="center"/>
    </xf>
    <xf numFmtId="0" fontId="34" fillId="0" borderId="0" xfId="0" applyFon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31" fillId="0" borderId="0" xfId="0" applyFont="1" applyAlignment="1">
      <alignment horizontal="center" vertical="center"/>
    </xf>
    <xf numFmtId="0" fontId="35" fillId="0" borderId="0" xfId="0" applyFont="1" applyAlignment="1">
      <alignment vertical="center"/>
    </xf>
    <xf numFmtId="0" fontId="0" fillId="3" borderId="3"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3" xfId="0" applyNumberFormat="1" applyFill="1" applyBorder="1" applyAlignment="1" applyProtection="1">
      <alignment horizontal="center" vertical="center"/>
    </xf>
    <xf numFmtId="0" fontId="0" fillId="3" borderId="1" xfId="0" applyFill="1" applyBorder="1" applyAlignment="1" applyProtection="1">
      <alignment horizontal="center"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shrinkToFit="1"/>
      <protection locked="0"/>
    </xf>
    <xf numFmtId="0" fontId="0" fillId="4" borderId="46"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9" fillId="3" borderId="41" xfId="1" applyNumberFormat="1" applyFont="1" applyFill="1" applyBorder="1" applyAlignment="1">
      <alignment vertical="center"/>
    </xf>
    <xf numFmtId="177" fontId="8" fillId="7" borderId="41" xfId="1" applyNumberFormat="1" applyFont="1" applyFill="1" applyBorder="1" applyAlignment="1">
      <alignment horizontal="right" vertical="center"/>
    </xf>
    <xf numFmtId="177" fontId="8" fillId="7" borderId="45" xfId="1" applyNumberFormat="1" applyFont="1" applyFill="1" applyBorder="1" applyAlignment="1">
      <alignment horizontal="right" vertical="center"/>
    </xf>
    <xf numFmtId="177" fontId="8" fillId="7" borderId="5" xfId="1" applyNumberFormat="1" applyFont="1" applyFill="1" applyBorder="1" applyAlignment="1">
      <alignment horizontal="right" vertical="center"/>
    </xf>
    <xf numFmtId="0" fontId="7" fillId="0" borderId="0" xfId="1" applyFont="1" applyAlignment="1" applyProtection="1">
      <alignment horizontal="center" vertical="center"/>
      <protection locked="0"/>
    </xf>
    <xf numFmtId="179" fontId="9" fillId="0" borderId="108" xfId="1" applyNumberFormat="1" applyFont="1" applyBorder="1" applyAlignment="1" applyProtection="1">
      <alignment vertical="center"/>
    </xf>
    <xf numFmtId="179" fontId="9" fillId="0" borderId="68" xfId="1" applyNumberFormat="1" applyFont="1" applyBorder="1" applyAlignment="1" applyProtection="1">
      <alignment vertical="center"/>
    </xf>
    <xf numFmtId="180" fontId="9" fillId="0" borderId="68" xfId="1" applyNumberFormat="1" applyFont="1" applyBorder="1" applyAlignment="1" applyProtection="1">
      <alignment vertical="center"/>
    </xf>
    <xf numFmtId="179" fontId="9" fillId="0" borderId="69" xfId="1" applyNumberFormat="1" applyFont="1" applyBorder="1" applyAlignment="1" applyProtection="1">
      <alignment vertical="center"/>
    </xf>
    <xf numFmtId="179" fontId="9" fillId="0" borderId="67" xfId="1" applyNumberFormat="1" applyFont="1" applyBorder="1" applyAlignment="1" applyProtection="1">
      <alignment vertical="center"/>
    </xf>
    <xf numFmtId="179" fontId="9" fillId="0" borderId="52" xfId="1" applyNumberFormat="1" applyFont="1" applyBorder="1" applyAlignment="1" applyProtection="1">
      <alignment vertical="center"/>
    </xf>
    <xf numFmtId="180" fontId="9" fillId="0" borderId="52" xfId="1" applyNumberFormat="1" applyFont="1" applyBorder="1" applyAlignment="1" applyProtection="1">
      <alignment vertical="center"/>
    </xf>
    <xf numFmtId="179" fontId="9" fillId="0" borderId="70" xfId="1" applyNumberFormat="1" applyFont="1" applyBorder="1" applyAlignment="1" applyProtection="1">
      <alignment vertical="center"/>
    </xf>
    <xf numFmtId="179" fontId="9" fillId="0" borderId="109" xfId="1" applyNumberFormat="1" applyFont="1" applyBorder="1" applyAlignment="1" applyProtection="1">
      <alignment vertical="center"/>
    </xf>
    <xf numFmtId="179" fontId="9" fillId="0" borderId="110" xfId="1" applyNumberFormat="1" applyFont="1" applyBorder="1" applyAlignment="1" applyProtection="1">
      <alignment vertical="center"/>
    </xf>
    <xf numFmtId="180" fontId="9" fillId="0" borderId="110" xfId="1" applyNumberFormat="1" applyFont="1" applyBorder="1" applyAlignment="1" applyProtection="1">
      <alignment vertical="center"/>
    </xf>
    <xf numFmtId="179" fontId="9" fillId="0" borderId="111" xfId="1" applyNumberFormat="1" applyFont="1" applyBorder="1" applyAlignment="1" applyProtection="1">
      <alignment vertical="center"/>
    </xf>
    <xf numFmtId="179" fontId="9" fillId="0" borderId="112" xfId="1" applyNumberFormat="1" applyFont="1" applyBorder="1" applyAlignment="1" applyProtection="1">
      <alignment vertical="center"/>
    </xf>
    <xf numFmtId="0" fontId="8" fillId="0" borderId="0" xfId="1" applyFont="1" applyBorder="1" applyAlignment="1" applyProtection="1">
      <alignment vertical="center"/>
      <protection locked="0"/>
    </xf>
    <xf numFmtId="0" fontId="9" fillId="0" borderId="28" xfId="1" applyFont="1" applyBorder="1" applyAlignment="1" applyProtection="1">
      <alignment vertical="center"/>
      <protection locked="0"/>
    </xf>
    <xf numFmtId="0" fontId="7" fillId="0" borderId="28" xfId="1" applyFont="1" applyBorder="1" applyAlignment="1" applyProtection="1">
      <alignment horizontal="center" vertical="center"/>
      <protection locked="0"/>
    </xf>
    <xf numFmtId="0" fontId="16" fillId="0" borderId="0" xfId="1" applyFont="1" applyAlignment="1" applyProtection="1">
      <alignment vertical="center" textRotation="255"/>
      <protection locked="0"/>
    </xf>
    <xf numFmtId="0" fontId="0" fillId="0" borderId="51" xfId="0" applyBorder="1" applyAlignment="1" applyProtection="1">
      <alignment vertical="center" wrapText="1"/>
      <protection locked="0"/>
    </xf>
    <xf numFmtId="0" fontId="0" fillId="0" borderId="48" xfId="0" applyBorder="1" applyAlignment="1" applyProtection="1">
      <alignment horizontal="center" vertical="center" wrapText="1"/>
      <protection locked="0"/>
    </xf>
    <xf numFmtId="0" fontId="18" fillId="3" borderId="60" xfId="0" applyFont="1" applyFill="1" applyBorder="1" applyAlignment="1" applyProtection="1">
      <alignment horizontal="center" vertical="center" wrapText="1"/>
      <protection locked="0"/>
    </xf>
    <xf numFmtId="0" fontId="18" fillId="3" borderId="61" xfId="0" applyFont="1" applyFill="1" applyBorder="1" applyAlignment="1" applyProtection="1">
      <alignment horizontal="center" vertical="center" wrapText="1"/>
      <protection locked="0"/>
    </xf>
    <xf numFmtId="0" fontId="18" fillId="6" borderId="61" xfId="0" applyFont="1" applyFill="1" applyBorder="1" applyAlignment="1" applyProtection="1">
      <alignment horizontal="center" vertical="center" wrapText="1"/>
      <protection locked="0"/>
    </xf>
    <xf numFmtId="0" fontId="0" fillId="6" borderId="61" xfId="0" applyFill="1" applyBorder="1" applyAlignment="1" applyProtection="1">
      <alignment horizontal="center" vertical="center" wrapText="1"/>
      <protection locked="0"/>
    </xf>
    <xf numFmtId="0" fontId="18" fillId="6" borderId="62"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18" fillId="0" borderId="50" xfId="0" applyFont="1" applyBorder="1" applyAlignment="1" applyProtection="1">
      <alignment vertical="center" wrapText="1"/>
      <protection locked="0"/>
    </xf>
    <xf numFmtId="0" fontId="18" fillId="3" borderId="64" xfId="0" applyFont="1" applyFill="1" applyBorder="1" applyAlignment="1" applyProtection="1">
      <alignment horizontal="center"/>
      <protection locked="0"/>
    </xf>
    <xf numFmtId="0" fontId="18" fillId="3" borderId="65" xfId="0" applyFont="1" applyFill="1" applyBorder="1" applyAlignment="1" applyProtection="1">
      <alignment horizontal="center"/>
      <protection locked="0"/>
    </xf>
    <xf numFmtId="0" fontId="18" fillId="6" borderId="65" xfId="0" applyFont="1" applyFill="1" applyBorder="1" applyAlignment="1" applyProtection="1">
      <alignment horizontal="center"/>
      <protection locked="0"/>
    </xf>
    <xf numFmtId="0" fontId="18" fillId="6" borderId="66" xfId="0" applyFont="1" applyFill="1" applyBorder="1" applyAlignment="1" applyProtection="1">
      <alignment horizontal="center"/>
      <protection locked="0"/>
    </xf>
    <xf numFmtId="0" fontId="15" fillId="0" borderId="0" xfId="1" applyFont="1" applyAlignment="1" applyProtection="1">
      <alignment vertical="center"/>
      <protection locked="0"/>
    </xf>
    <xf numFmtId="176" fontId="0" fillId="3" borderId="46" xfId="0" applyNumberFormat="1" applyFill="1" applyBorder="1" applyAlignment="1" applyProtection="1">
      <alignment horizontal="center" vertical="center" shrinkToFit="1"/>
    </xf>
    <xf numFmtId="49" fontId="0" fillId="4" borderId="3" xfId="0" applyNumberFormat="1" applyFill="1" applyBorder="1" applyAlignment="1" applyProtection="1">
      <alignment horizontal="center" vertical="center"/>
      <protection locked="0"/>
    </xf>
    <xf numFmtId="0" fontId="10" fillId="4" borderId="3" xfId="0" applyNumberFormat="1" applyFont="1" applyFill="1" applyBorder="1" applyAlignment="1" applyProtection="1">
      <alignment horizontal="center" vertical="center"/>
      <protection locked="0"/>
    </xf>
    <xf numFmtId="179" fontId="0" fillId="4" borderId="3" xfId="0" applyNumberForma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179" fontId="31" fillId="0" borderId="0" xfId="0" applyNumberFormat="1" applyFont="1" applyAlignment="1">
      <alignment horizontal="center" vertical="center"/>
    </xf>
    <xf numFmtId="179" fontId="0" fillId="4" borderId="0" xfId="0" applyNumberFormat="1" applyFill="1"/>
    <xf numFmtId="179" fontId="22" fillId="3" borderId="1" xfId="0" applyNumberFormat="1" applyFont="1" applyFill="1" applyBorder="1" applyAlignment="1">
      <alignment horizontal="center" vertical="center" shrinkToFit="1"/>
    </xf>
    <xf numFmtId="179" fontId="0" fillId="3" borderId="1" xfId="0" applyNumberFormat="1" applyFill="1" applyBorder="1" applyAlignment="1" applyProtection="1">
      <alignment horizontal="center" vertical="center"/>
    </xf>
    <xf numFmtId="178" fontId="0" fillId="3" borderId="1" xfId="0" applyNumberFormat="1" applyFill="1" applyBorder="1" applyAlignment="1">
      <alignment horizontal="center" vertical="center"/>
    </xf>
    <xf numFmtId="0" fontId="0" fillId="4" borderId="8" xfId="0" applyFill="1" applyBorder="1"/>
    <xf numFmtId="0" fontId="7" fillId="0" borderId="0" xfId="1" applyFont="1" applyAlignment="1">
      <alignment horizontal="center" vertical="center"/>
    </xf>
    <xf numFmtId="177" fontId="8" fillId="8" borderId="40" xfId="1" applyNumberFormat="1" applyFont="1" applyFill="1" applyBorder="1" applyAlignment="1">
      <alignment horizontal="right" vertical="center"/>
    </xf>
    <xf numFmtId="177" fontId="8" fillId="8" borderId="54" xfId="1" applyNumberFormat="1" applyFont="1" applyFill="1" applyBorder="1" applyAlignment="1">
      <alignment horizontal="right" vertical="center"/>
    </xf>
    <xf numFmtId="177" fontId="8" fillId="8" borderId="44" xfId="1" applyNumberFormat="1" applyFont="1" applyFill="1" applyBorder="1" applyAlignment="1">
      <alignment horizontal="right" vertical="center"/>
    </xf>
    <xf numFmtId="177" fontId="8" fillId="8" borderId="53" xfId="1" applyNumberFormat="1" applyFont="1" applyFill="1" applyBorder="1" applyAlignment="1">
      <alignment horizontal="right" vertical="center"/>
    </xf>
    <xf numFmtId="177" fontId="8" fillId="8" borderId="2" xfId="1" applyNumberFormat="1" applyFont="1" applyFill="1" applyBorder="1" applyAlignment="1">
      <alignment horizontal="right" vertical="center"/>
    </xf>
    <xf numFmtId="177" fontId="8" fillId="8" borderId="52" xfId="1" applyNumberFormat="1" applyFont="1" applyFill="1" applyBorder="1" applyAlignment="1">
      <alignment horizontal="right" vertical="center"/>
    </xf>
    <xf numFmtId="177" fontId="8" fillId="9" borderId="40" xfId="1" applyNumberFormat="1" applyFont="1" applyFill="1" applyBorder="1" applyAlignment="1">
      <alignment horizontal="right" vertical="center"/>
    </xf>
    <xf numFmtId="177" fontId="8" fillId="9" borderId="54" xfId="1" applyNumberFormat="1" applyFont="1" applyFill="1" applyBorder="1" applyAlignment="1">
      <alignment horizontal="right" vertical="center"/>
    </xf>
    <xf numFmtId="177" fontId="8" fillId="9" borderId="44" xfId="1" applyNumberFormat="1" applyFont="1" applyFill="1" applyBorder="1" applyAlignment="1">
      <alignment horizontal="right" vertical="center"/>
    </xf>
    <xf numFmtId="177" fontId="8" fillId="9" borderId="53" xfId="1" applyNumberFormat="1" applyFont="1" applyFill="1" applyBorder="1" applyAlignment="1">
      <alignment horizontal="right" vertical="center"/>
    </xf>
    <xf numFmtId="177" fontId="8" fillId="9" borderId="2" xfId="1" applyNumberFormat="1" applyFont="1" applyFill="1" applyBorder="1" applyAlignment="1">
      <alignment horizontal="right" vertical="center"/>
    </xf>
    <xf numFmtId="177" fontId="8" fillId="9" borderId="52" xfId="1" applyNumberFormat="1" applyFont="1" applyFill="1" applyBorder="1" applyAlignment="1">
      <alignment horizontal="right" vertical="center"/>
    </xf>
    <xf numFmtId="177" fontId="8" fillId="10" borderId="41" xfId="1" applyNumberFormat="1" applyFont="1" applyFill="1" applyBorder="1" applyAlignment="1">
      <alignment horizontal="right" vertical="center"/>
    </xf>
    <xf numFmtId="177" fontId="8" fillId="10" borderId="45" xfId="1" applyNumberFormat="1" applyFont="1" applyFill="1" applyBorder="1" applyAlignment="1">
      <alignment horizontal="right" vertical="center"/>
    </xf>
    <xf numFmtId="177" fontId="8" fillId="10" borderId="5" xfId="1" applyNumberFormat="1" applyFont="1" applyFill="1" applyBorder="1" applyAlignment="1">
      <alignment horizontal="right" vertical="center"/>
    </xf>
    <xf numFmtId="178" fontId="9" fillId="0" borderId="68" xfId="1" applyNumberFormat="1" applyFont="1" applyBorder="1" applyAlignment="1" applyProtection="1">
      <alignment vertical="center"/>
    </xf>
    <xf numFmtId="178" fontId="9" fillId="0" borderId="52" xfId="1" applyNumberFormat="1" applyFont="1" applyBorder="1" applyAlignment="1" applyProtection="1">
      <alignment vertical="center"/>
    </xf>
    <xf numFmtId="178" fontId="9" fillId="0" borderId="110" xfId="1" applyNumberFormat="1" applyFont="1" applyBorder="1" applyAlignment="1" applyProtection="1">
      <alignment vertical="center"/>
    </xf>
    <xf numFmtId="0" fontId="0" fillId="0" borderId="1" xfId="0" applyBorder="1" applyAlignment="1">
      <alignment horizontal="center" vertical="center"/>
    </xf>
    <xf numFmtId="0" fontId="31" fillId="0" borderId="0" xfId="0" applyFont="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29" fillId="0" borderId="47" xfId="0" applyFont="1" applyBorder="1" applyAlignment="1">
      <alignment horizontal="center" vertical="center" shrinkToFit="1"/>
    </xf>
    <xf numFmtId="0" fontId="30" fillId="0" borderId="51" xfId="0" applyFont="1" applyBorder="1" applyAlignment="1">
      <alignment horizontal="center" vertical="center" shrinkToFit="1"/>
    </xf>
    <xf numFmtId="0" fontId="30" fillId="0" borderId="48" xfId="0" applyFont="1" applyBorder="1" applyAlignment="1">
      <alignment horizontal="center" vertical="center" shrinkToFit="1"/>
    </xf>
    <xf numFmtId="0" fontId="30" fillId="0" borderId="49"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50" xfId="0" applyFont="1" applyBorder="1" applyAlignment="1">
      <alignment horizontal="center" vertical="center" shrinkToFit="1"/>
    </xf>
    <xf numFmtId="0" fontId="0" fillId="0" borderId="88" xfId="0" applyBorder="1" applyAlignment="1">
      <alignment horizontal="center" vertical="center"/>
    </xf>
    <xf numFmtId="0" fontId="0" fillId="0" borderId="91" xfId="0" applyBorder="1" applyAlignment="1">
      <alignment horizontal="center" vertical="center"/>
    </xf>
    <xf numFmtId="0" fontId="29" fillId="0" borderId="47" xfId="0" applyFont="1" applyBorder="1" applyAlignment="1">
      <alignment horizontal="center" vertical="center"/>
    </xf>
    <xf numFmtId="0" fontId="30" fillId="0" borderId="51"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28" xfId="0" applyFont="1" applyBorder="1" applyAlignment="1">
      <alignment horizontal="center" vertical="center"/>
    </xf>
    <xf numFmtId="0" fontId="30" fillId="0" borderId="50" xfId="0" applyFont="1" applyBorder="1" applyAlignment="1">
      <alignment horizontal="center" vertical="center"/>
    </xf>
    <xf numFmtId="0" fontId="29" fillId="0" borderId="47" xfId="0" applyFont="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48" xfId="0" applyFont="1" applyBorder="1" applyAlignment="1" applyProtection="1">
      <alignment horizontal="center" vertical="center" shrinkToFit="1"/>
      <protection locked="0"/>
    </xf>
    <xf numFmtId="0" fontId="30" fillId="0" borderId="49"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29" fillId="0" borderId="47"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shrinkToFi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7" fillId="0" borderId="0" xfId="1" applyFont="1" applyAlignment="1">
      <alignment horizontal="distributed" vertical="center"/>
    </xf>
    <xf numFmtId="0" fontId="9" fillId="0" borderId="0" xfId="1" applyFont="1" applyAlignment="1">
      <alignment horizontal="distributed" vertical="center"/>
    </xf>
    <xf numFmtId="0" fontId="18" fillId="0" borderId="59"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9" fillId="0" borderId="12" xfId="1" applyNumberFormat="1" applyFont="1" applyBorder="1" applyAlignment="1" applyProtection="1">
      <alignment horizontal="center" vertical="center"/>
      <protection locked="0"/>
    </xf>
    <xf numFmtId="0" fontId="9" fillId="0" borderId="15" xfId="1" applyNumberFormat="1" applyFont="1" applyBorder="1" applyAlignment="1" applyProtection="1">
      <alignment horizontal="center" vertical="center"/>
      <protection locked="0"/>
    </xf>
    <xf numFmtId="0" fontId="9" fillId="0" borderId="7" xfId="1" applyNumberFormat="1" applyFont="1" applyBorder="1" applyAlignment="1" applyProtection="1">
      <alignment horizontal="center" vertical="center"/>
      <protection locked="0"/>
    </xf>
    <xf numFmtId="0" fontId="9" fillId="0" borderId="11" xfId="1" applyNumberFormat="1" applyFont="1" applyBorder="1" applyAlignment="1" applyProtection="1">
      <alignment horizontal="center" vertical="center"/>
      <protection locked="0"/>
    </xf>
    <xf numFmtId="0" fontId="9" fillId="0" borderId="88" xfId="1" applyNumberFormat="1" applyFont="1" applyBorder="1" applyAlignment="1" applyProtection="1">
      <alignment horizontal="center" vertical="center" textRotation="255"/>
      <protection locked="0"/>
    </xf>
    <xf numFmtId="0" fontId="9" fillId="0" borderId="89" xfId="1" applyNumberFormat="1" applyFont="1" applyBorder="1" applyAlignment="1" applyProtection="1">
      <alignment horizontal="center" vertical="center" textRotation="255"/>
      <protection locked="0"/>
    </xf>
    <xf numFmtId="0" fontId="9" fillId="0" borderId="91" xfId="1" applyNumberFormat="1" applyFont="1" applyBorder="1" applyAlignment="1" applyProtection="1">
      <alignment horizontal="center" vertical="center" textRotation="255"/>
      <protection locked="0"/>
    </xf>
    <xf numFmtId="0" fontId="9" fillId="0" borderId="47" xfId="1" applyNumberFormat="1" applyFont="1" applyBorder="1" applyAlignment="1" applyProtection="1">
      <alignment horizontal="center" vertical="center" textRotation="255"/>
      <protection locked="0"/>
    </xf>
    <xf numFmtId="0" fontId="9" fillId="0" borderId="26" xfId="1" applyNumberFormat="1" applyFont="1" applyBorder="1" applyAlignment="1" applyProtection="1">
      <alignment horizontal="center" vertical="center" textRotation="255"/>
      <protection locked="0"/>
    </xf>
    <xf numFmtId="0" fontId="9" fillId="0" borderId="49" xfId="1" applyNumberFormat="1" applyFont="1" applyBorder="1" applyAlignment="1" applyProtection="1">
      <alignment horizontal="center" vertical="center" textRotation="255"/>
      <protection locked="0"/>
    </xf>
    <xf numFmtId="0" fontId="9" fillId="0" borderId="20" xfId="1" applyNumberFormat="1" applyFont="1" applyBorder="1" applyAlignment="1" applyProtection="1">
      <alignment horizontal="center" vertical="center"/>
      <protection locked="0"/>
    </xf>
    <xf numFmtId="0" fontId="9" fillId="0" borderId="21" xfId="1" applyNumberFormat="1" applyFont="1" applyBorder="1" applyAlignment="1" applyProtection="1">
      <alignment horizontal="center" vertical="center"/>
      <protection locked="0"/>
    </xf>
    <xf numFmtId="0" fontId="9" fillId="9" borderId="42" xfId="1" applyNumberFormat="1" applyFont="1" applyFill="1" applyBorder="1" applyAlignment="1">
      <alignment horizontal="center" vertical="center" wrapText="1"/>
    </xf>
    <xf numFmtId="0" fontId="9" fillId="9" borderId="3" xfId="1" applyNumberFormat="1" applyFont="1" applyFill="1" applyBorder="1" applyAlignment="1">
      <alignment horizontal="center" vertical="center"/>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20" fillId="0" borderId="0" xfId="1" applyNumberFormat="1" applyFont="1" applyBorder="1" applyAlignment="1">
      <alignment horizontal="center" vertical="center" wrapText="1"/>
    </xf>
    <xf numFmtId="0" fontId="20" fillId="0" borderId="27" xfId="1" applyNumberFormat="1" applyFont="1" applyBorder="1" applyAlignment="1">
      <alignment horizontal="center" vertical="center" wrapText="1"/>
    </xf>
    <xf numFmtId="0" fontId="20" fillId="0" borderId="17" xfId="1" applyNumberFormat="1" applyFont="1" applyBorder="1" applyAlignment="1">
      <alignment horizontal="center" vertical="center" wrapText="1"/>
    </xf>
    <xf numFmtId="0" fontId="20" fillId="0" borderId="18" xfId="1" applyNumberFormat="1" applyFont="1" applyBorder="1" applyAlignment="1">
      <alignment horizontal="center"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2" borderId="55" xfId="1" applyNumberFormat="1" applyFont="1" applyFill="1" applyBorder="1" applyAlignment="1">
      <alignment vertical="center"/>
    </xf>
    <xf numFmtId="0" fontId="21" fillId="0" borderId="56" xfId="0" applyFont="1" applyBorder="1" applyAlignment="1">
      <alignment vertical="center"/>
    </xf>
    <xf numFmtId="0" fontId="21" fillId="0" borderId="57" xfId="0" applyFont="1" applyBorder="1" applyAlignment="1">
      <alignment vertical="center"/>
    </xf>
    <xf numFmtId="0" fontId="9" fillId="0" borderId="1" xfId="1" applyFont="1" applyBorder="1" applyAlignment="1">
      <alignment horizontal="center" vertical="center"/>
    </xf>
    <xf numFmtId="0" fontId="9" fillId="0" borderId="43" xfId="1" applyFont="1" applyBorder="1" applyAlignment="1">
      <alignment horizontal="center" vertical="center"/>
    </xf>
    <xf numFmtId="0" fontId="9" fillId="0" borderId="24" xfId="1" applyFont="1" applyBorder="1" applyAlignment="1">
      <alignment horizontal="center" vertical="center"/>
    </xf>
    <xf numFmtId="0" fontId="9" fillId="0" borderId="113" xfId="1" applyFont="1" applyBorder="1" applyAlignment="1">
      <alignment horizontal="center" vertical="center"/>
    </xf>
    <xf numFmtId="0" fontId="9" fillId="0" borderId="27" xfId="1" applyFont="1" applyBorder="1" applyAlignment="1">
      <alignment horizontal="center" vertical="center"/>
    </xf>
    <xf numFmtId="0" fontId="9" fillId="0" borderId="46" xfId="1" applyFont="1" applyBorder="1" applyAlignment="1">
      <alignment horizontal="center" vertical="center"/>
    </xf>
    <xf numFmtId="0" fontId="9" fillId="0" borderId="18" xfId="1" applyFont="1" applyBorder="1" applyAlignment="1">
      <alignment horizontal="center" vertical="center"/>
    </xf>
    <xf numFmtId="0" fontId="9" fillId="0" borderId="6" xfId="1" applyNumberFormat="1" applyFont="1" applyBorder="1" applyAlignment="1">
      <alignment horizontal="center" vertical="center"/>
    </xf>
    <xf numFmtId="0" fontId="9" fillId="0" borderId="42"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6" xfId="1" applyNumberFormat="1" applyFont="1" applyBorder="1" applyAlignment="1">
      <alignment horizontal="center" vertical="center" textRotation="255"/>
    </xf>
    <xf numFmtId="0" fontId="9" fillId="0" borderId="42" xfId="1" applyNumberFormat="1" applyFont="1" applyBorder="1" applyAlignment="1">
      <alignment horizontal="center" vertical="center" textRotation="255"/>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xf numFmtId="0" fontId="25" fillId="0" borderId="92" xfId="0" applyFont="1" applyBorder="1" applyAlignment="1">
      <alignment horizontal="center" vertical="center"/>
    </xf>
    <xf numFmtId="0" fontId="26" fillId="0" borderId="93" xfId="0" applyFont="1" applyBorder="1" applyAlignment="1">
      <alignment horizontal="center" vertical="center"/>
    </xf>
    <xf numFmtId="0" fontId="26" fillId="0" borderId="94" xfId="0" applyFont="1" applyBorder="1" applyAlignment="1">
      <alignment horizontal="center" vertical="center"/>
    </xf>
  </cellXfs>
  <cellStyles count="3">
    <cellStyle name="標準" xfId="0" builtinId="0"/>
    <cellStyle name="標準 2" xfId="1"/>
    <cellStyle name="標準 3" xfId="2"/>
  </cellStyles>
  <dxfs count="158">
    <dxf>
      <fill>
        <patternFill>
          <bgColor theme="8" tint="0.79998168889431442"/>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9" formatCode="0.0_);[Red]\(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1" defaultTableStyle="TableStyleMedium2" defaultPivotStyle="PivotStyleMedium9">
    <tableStyle name="テーブル スタイル 1" pivot="0" count="0"/>
  </tableStyles>
  <colors>
    <mruColors>
      <color rgb="FFFFCCFF"/>
      <color rgb="FFCCFFCC"/>
      <color rgb="FFFF33CC"/>
      <color rgb="FFFF99FF"/>
      <color rgb="FFFF66FF"/>
      <color rgb="FF0000FF"/>
      <color rgb="FF00FFFF"/>
      <color rgb="FFCCFF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228600</xdr:colOff>
      <xdr:row>12</xdr:row>
      <xdr:rowOff>123824</xdr:rowOff>
    </xdr:from>
    <xdr:to>
      <xdr:col>16</xdr:col>
      <xdr:colOff>190500</xdr:colOff>
      <xdr:row>33</xdr:row>
      <xdr:rowOff>95250</xdr:rowOff>
    </xdr:to>
    <xdr:sp macro="" textlink="">
      <xdr:nvSpPr>
        <xdr:cNvPr id="2" name="フローチャート : 代替処理 1"/>
        <xdr:cNvSpPr/>
      </xdr:nvSpPr>
      <xdr:spPr>
        <a:xfrm>
          <a:off x="1238250" y="3314699"/>
          <a:ext cx="7943850" cy="3771901"/>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a:p>
          <a:pPr algn="l"/>
          <a:r>
            <a:rPr kumimoji="1" lang="ja-JP" altLang="en-US" sz="1800" b="1">
              <a:solidFill>
                <a:srgbClr val="FF0000"/>
              </a:solidFill>
            </a:rPr>
            <a:t>なお、持久走の入力は秒換算で入力してください。（早見表参照）</a:t>
          </a:r>
          <a:endParaRPr kumimoji="1" lang="ja-JP" altLang="en-US"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22" displayName="テーブル22" ref="A5:AE55" totalsRowShown="0" headerRowDxfId="157" dataDxfId="156" tableBorderDxfId="155">
  <autoFilter ref="A5:AE55"/>
  <sortState ref="A6:AQ1005">
    <sortCondition ref="S6:S1005"/>
    <sortCondition ref="A6:A1005"/>
  </sortState>
  <tableColumns count="31">
    <tableColumn id="15" name="no" dataDxfId="154" totalsRowDxfId="153"/>
    <tableColumn id="16" name="学年" dataDxfId="152" totalsRowDxfId="151"/>
    <tableColumn id="17" name="組" dataDxfId="150" totalsRowDxfId="149"/>
    <tableColumn id="19" name="性別" dataDxfId="148" totalsRowDxfId="147"/>
    <tableColumn id="21" name="氏名" dataDxfId="146" totalsRowDxfId="145"/>
    <tableColumn id="22" name="身長" dataDxfId="144" totalsRowDxfId="143"/>
    <tableColumn id="23" name="体重" dataDxfId="142" totalsRowDxfId="141"/>
    <tableColumn id="4" name="握力" dataDxfId="140" totalsRowDxfId="139"/>
    <tableColumn id="5" name="上体" dataDxfId="138" totalsRowDxfId="137"/>
    <tableColumn id="6" name="長座" dataDxfId="136" totalsRowDxfId="135"/>
    <tableColumn id="7" name="反復" dataDxfId="134" totalsRowDxfId="133"/>
    <tableColumn id="8" name="持久走" dataDxfId="132" totalsRowDxfId="131"/>
    <tableColumn id="9" name="ｼｬﾄﾙﾗﾝ" dataDxfId="130" totalsRowDxfId="129"/>
    <tableColumn id="10" name="50m走" dataDxfId="128" totalsRowDxfId="127"/>
    <tableColumn id="11" name="立幅とび" dataDxfId="126" totalsRowDxfId="125"/>
    <tableColumn id="12" name="ボール投げ" dataDxfId="124" totalsRowDxfId="123"/>
    <tableColumn id="13" name="得点" dataDxfId="122" totalsRowDxfId="121">
      <calculatedColumnFormula>テーブル22[[#This Row],[握力2]]+テーブル22[[#This Row],[上体2]]+テーブル22[[#This Row],[長座2]]+テーブル22[[#This Row],[反復2]]+MAX(テーブル22[[#This Row],[持久走2]],テーブル22[[#This Row],[シャトル2]])+テーブル22[[#This Row],[50ｍ]]+テーブル22[[#This Row],[立幅2]]+テーブル22[[#This Row],[ボール2]]</calculatedColumnFormula>
    </tableColumn>
    <tableColumn id="14" name="判定" dataDxfId="120" totalsRowDxfId="119">
      <calculatedColumnFormula>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calculatedColumnFormula>
    </tableColumn>
    <tableColumn id="18" name="握力2" dataDxfId="118" totalsRowDxfId="117">
      <calculatedColumnFormula>IF(H6="",0,(IF(テーブル22[[#This Row],[性別]]="男",LOOKUP(テーブル22[[#This Row],[握力]],$AI$6:$AJ$15),LOOKUP(テーブル22[[#This Row],[握力]],$AI$20:$AJ$29))))</calculatedColumnFormula>
    </tableColumn>
    <tableColumn id="26" name="上体2" dataDxfId="116" totalsRowDxfId="115">
      <calculatedColumnFormula>IF(テーブル22[[#This Row],[上体]]="",0,(IF(テーブル22[[#This Row],[性別]]="男",LOOKUP(テーブル22[[#This Row],[上体]],$AK$6:$AL$15),LOOKUP(テーブル22[[#This Row],[上体]],$AK$20:$AL$29))))</calculatedColumnFormula>
    </tableColumn>
    <tableColumn id="27" name="長座2" dataDxfId="114" totalsRowDxfId="113">
      <calculatedColumnFormula>IF(テーブル22[[#This Row],[長座]]="",0,(IF(テーブル22[[#This Row],[性別]]="男",LOOKUP(テーブル22[[#This Row],[長座]],$AM$6:$AN$15),LOOKUP(テーブル22[[#This Row],[長座]],$AM$20:$AN$29))))</calculatedColumnFormula>
    </tableColumn>
    <tableColumn id="28" name="反復2" dataDxfId="112" totalsRowDxfId="111">
      <calculatedColumnFormula>IF(テーブル22[[#This Row],[反復]]="",0,(IF(テーブル22[[#This Row],[性別]]="男",LOOKUP(テーブル22[[#This Row],[反復]],$AO$6:$AP$15),LOOKUP(テーブル22[[#This Row],[反復]],$AO$20:$AP$29))))</calculatedColumnFormula>
    </tableColumn>
    <tableColumn id="29" name="持久走2" dataDxfId="110" totalsRowDxfId="109">
      <calculatedColumnFormula>IF(テーブル22[[#This Row],[持久走]]="",0,(IF(テーブル22[[#This Row],[性別]]="男",LOOKUP(テーブル22[[#This Row],[持久走]],$AQ$6:$AR$15),LOOKUP(テーブル22[[#This Row],[持久走]],$AQ$20:$AR$29))))</calculatedColumnFormula>
    </tableColumn>
    <tableColumn id="30" name="シャトル2" dataDxfId="108" totalsRowDxfId="107">
      <calculatedColumnFormula>IF(テーブル22[[#This Row],[ｼｬﾄﾙﾗﾝ]]="",0,(IF(テーブル22[[#This Row],[性別]]="男",LOOKUP(テーブル22[[#This Row],[ｼｬﾄﾙﾗﾝ]],$AS$6:$AT$15),LOOKUP(テーブル22[[#This Row],[ｼｬﾄﾙﾗﾝ]],$AS$20:$AT$29))))</calculatedColumnFormula>
    </tableColumn>
    <tableColumn id="31" name="50ｍ" dataDxfId="106" totalsRowDxfId="105">
      <calculatedColumnFormula>IF(テーブル22[[#This Row],[50m走]]="",0,(IF(テーブル22[[#This Row],[性別]]="男",LOOKUP(テーブル22[[#This Row],[50m走]],$AU$6:$AV$15),LOOKUP(テーブル22[[#This Row],[50m走]],$AU$20:$AV$29))))</calculatedColumnFormula>
    </tableColumn>
    <tableColumn id="32" name="立幅2" dataDxfId="104" totalsRowDxfId="103">
      <calculatedColumnFormula>IF(テーブル22[[#This Row],[立幅とび]]="",0,(IF(テーブル22[[#This Row],[性別]]="男",LOOKUP(テーブル22[[#This Row],[立幅とび]],$AW$6:$AX$15),LOOKUP(テーブル22[[#This Row],[立幅とび]],$AW$20:$AX$29))))</calculatedColumnFormula>
    </tableColumn>
    <tableColumn id="33" name="ボール2" dataDxfId="102" totalsRowDxfId="101">
      <calculatedColumnFormula>IF(テーブル22[[#This Row],[ボール投げ]]="",0,(IF(テーブル22[[#This Row],[性別]]="男",LOOKUP(テーブル22[[#This Row],[ボール投げ]],$AY$6:$AZ$15),LOOKUP(テーブル22[[#This Row],[ボール投げ]],$AY$20:$AZ$29))))</calculatedColumnFormula>
    </tableColumn>
    <tableColumn id="20" name="年齢" dataDxfId="100" totalsRowDxfId="99">
      <calculatedColumnFormula>IF(テーブル22[[#This Row],[学年]]=1,12,IF(テーブル22[[#This Row],[学年]]=2,13,IF(テーブル22[[#This Row],[学年]]=3,14,"")))</calculatedColumnFormula>
    </tableColumn>
    <tableColumn id="24" name="肥満度" dataDxfId="98" totalsRowDxfId="97">
      <calculatedColumnFormula>IF(テーブル22[[#This Row],[肥満度数値]]=0,"",LOOKUP(AE6,$AW$39:$AW$44,$AX$39:$AX$44))</calculatedColumnFormula>
    </tableColumn>
    <tableColumn id="1" name="標準体重" dataDxfId="96" totalsRowDxfId="95">
      <calculatedColumnFormula>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calculatedColumnFormula>
    </tableColumn>
    <tableColumn id="2" name="肥満度数値" dataDxfId="94" totalsRowDxfId="93">
      <calculatedColumnFormula>IF(テーブル22[[#This Row],[体重]]="",0,(テーブル22[[#This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id="2" name="テーブル2" displayName="テーブル2" ref="A5:AF505" totalsRowShown="0" headerRowDxfId="92" dataDxfId="91" tableBorderDxfId="90">
  <autoFilter ref="A5:AF505"/>
  <sortState ref="B6:AR1005">
    <sortCondition ref="T6:T1005"/>
    <sortCondition ref="B6:B1005"/>
  </sortState>
  <tableColumns count="32">
    <tableColumn id="15" name="no" dataDxfId="89" totalsRowDxfId="88"/>
    <tableColumn id="16" name="学年" dataDxfId="87" totalsRowDxfId="86"/>
    <tableColumn id="17" name="組" dataDxfId="85" totalsRowDxfId="84"/>
    <tableColumn id="19" name="性別" dataDxfId="83" totalsRowDxfId="82"/>
    <tableColumn id="21" name="氏名" dataDxfId="81" totalsRowDxfId="80"/>
    <tableColumn id="22" name="身長" dataDxfId="79" totalsRowDxfId="78"/>
    <tableColumn id="23" name="体重" dataDxfId="77" totalsRowDxfId="76"/>
    <tableColumn id="4" name="握力" dataDxfId="75" totalsRowDxfId="74"/>
    <tableColumn id="5" name="上体" dataDxfId="73" totalsRowDxfId="72"/>
    <tableColumn id="6" name="長座" dataDxfId="71" totalsRowDxfId="70"/>
    <tableColumn id="7" name="反復" dataDxfId="69" totalsRowDxfId="68"/>
    <tableColumn id="8" name="持久走" dataDxfId="67" totalsRowDxfId="66"/>
    <tableColumn id="9" name="ｼｬﾄﾙﾗﾝ" dataDxfId="65" totalsRowDxfId="64"/>
    <tableColumn id="10" name="50m走" dataDxfId="63" totalsRowDxfId="62"/>
    <tableColumn id="11" name="立幅とび" dataDxfId="61" totalsRowDxfId="60"/>
    <tableColumn id="12" name="ボール投げ" dataDxfId="59" totalsRowDxfId="58"/>
    <tableColumn id="13" name="得点" dataDxfId="57" totalsRowDxfId="56">
      <calculatedColumnFormula>テーブル2[[#This Row],[握力2]]+テーブル2[[#This Row],[上体2]]+テーブル2[[#This Row],[長座2]]+テーブル2[[#This Row],[反復2]]+MAX(テーブル2[[#This Row],[持久走2]],テーブル2[[#This Row],[シャトル2]])+テーブル2[[#This Row],[50ｍ]]+テーブル2[[#This Row],[立幅2]]+テーブル2[[#This Row],[ボール2]]</calculatedColumnFormula>
    </tableColumn>
    <tableColumn id="14" name="判定" dataDxfId="55" totalsRowDxfId="54">
      <calculatedColumnFormula>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calculatedColumnFormula>
    </tableColumn>
    <tableColumn id="18" name="握力2" dataDxfId="53" totalsRowDxfId="52">
      <calculatedColumnFormula>IF(H6="",0,(IF(テーブル2[[#This Row],[性別]]="男",LOOKUP(テーブル2[[#This Row],[握力]],$AI$6:$AJ$15),LOOKUP(テーブル2[[#This Row],[握力]],$AI$20:$AJ$29))))</calculatedColumnFormula>
    </tableColumn>
    <tableColumn id="26" name="上体2" dataDxfId="51" totalsRowDxfId="50">
      <calculatedColumnFormula>IF(テーブル2[[#This Row],[上体]]="",0,(IF(テーブル2[[#This Row],[性別]]="男",LOOKUP(テーブル2[[#This Row],[上体]],$AK$6:$AL$15),LOOKUP(テーブル2[[#This Row],[上体]],$AK$20:$AL$29))))</calculatedColumnFormula>
    </tableColumn>
    <tableColumn id="27" name="長座2" dataDxfId="49" totalsRowDxfId="48">
      <calculatedColumnFormula>IF(テーブル2[[#This Row],[長座]]="",0,(IF(テーブル2[[#This Row],[性別]]="男",LOOKUP(テーブル2[[#This Row],[長座]],$AM$6:$AN$15),LOOKUP(テーブル2[[#This Row],[長座]],$AM$20:$AN$29))))</calculatedColumnFormula>
    </tableColumn>
    <tableColumn id="28" name="反復2" dataDxfId="47" totalsRowDxfId="46">
      <calculatedColumnFormula>IF(テーブル2[[#This Row],[反復]]="",0,(IF(テーブル2[[#This Row],[性別]]="男",LOOKUP(テーブル2[[#This Row],[反復]],$AO$6:$AP$15),LOOKUP(テーブル2[[#This Row],[反復]],$AO$20:$AP$29))))</calculatedColumnFormula>
    </tableColumn>
    <tableColumn id="29" name="持久走2" dataDxfId="45" totalsRowDxfId="44">
      <calculatedColumnFormula>IF(テーブル2[[#This Row],[持久走]]="",0,(IF(テーブル2[[#This Row],[性別]]="男",LOOKUP(テーブル2[[#This Row],[持久走]],$AQ$6:$AR$15),LOOKUP(テーブル2[[#This Row],[持久走]],$AQ$20:$AR$29))))</calculatedColumnFormula>
    </tableColumn>
    <tableColumn id="30" name="シャトル2" dataDxfId="43" totalsRowDxfId="42">
      <calculatedColumnFormula>IF(テーブル2[[#This Row],[ｼｬﾄﾙﾗﾝ]]="",0,(IF(テーブル2[[#This Row],[性別]]="男",LOOKUP(テーブル2[[#This Row],[ｼｬﾄﾙﾗﾝ]],$AS$6:$AT$15),LOOKUP(テーブル2[[#This Row],[ｼｬﾄﾙﾗﾝ]],$AS$20:$AT$29))))</calculatedColumnFormula>
    </tableColumn>
    <tableColumn id="31" name="50ｍ" dataDxfId="41" totalsRowDxfId="40">
      <calculatedColumnFormula>IF(テーブル2[[#This Row],[50m走]]="",0,(IF(テーブル2[[#This Row],[性別]]="男",LOOKUP(テーブル2[[#This Row],[50m走]],$AU$6:$AV$15),LOOKUP(テーブル2[[#This Row],[50m走]],$AU$20:$AV$29))))</calculatedColumnFormula>
    </tableColumn>
    <tableColumn id="32" name="立幅2" dataDxfId="39" totalsRowDxfId="38">
      <calculatedColumnFormula>IF(テーブル2[[#This Row],[立幅とび]]="",0,(IF(テーブル2[[#This Row],[性別]]="男",LOOKUP(テーブル2[[#This Row],[立幅とび]],$AW$6:$AX$15),LOOKUP(テーブル2[[#This Row],[立幅とび]],$AW$20:$AX$29))))</calculatedColumnFormula>
    </tableColumn>
    <tableColumn id="33" name="ボール2" dataDxfId="37" totalsRowDxfId="36">
      <calculatedColumnFormula>IF(テーブル2[[#This Row],[ボール投げ]]="",0,(IF(テーブル2[[#This Row],[性別]]="男",LOOKUP(テーブル2[[#This Row],[ボール投げ]],$AY$6:$AZ$15),LOOKUP(テーブル2[[#This Row],[ボール投げ]],$AY$20:$AZ$29))))</calculatedColumnFormula>
    </tableColumn>
    <tableColumn id="20" name="年齢" dataDxfId="35" totalsRowDxfId="34">
      <calculatedColumnFormula>IF(テーブル2[[#This Row],[学年]]=1,12,IF(テーブル2[[#This Row],[学年]]=2,13,IF(テーブル2[[#This Row],[学年]]=3,14,"")))</calculatedColumnFormula>
    </tableColumn>
    <tableColumn id="24" name="肥満度" dataDxfId="33" totalsRowDxfId="32">
      <calculatedColumnFormula>IF(テーブル2[[#This Row],[肥満度数値]]=0,"",LOOKUP(AE6,$AW$39:$AW$44,$AX$39:$AX$44))</calculatedColumnFormula>
    </tableColumn>
    <tableColumn id="1" name="標準体重" dataDxfId="31" totalsRowDxfId="30">
      <calculatedColumnFormula>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calculatedColumnFormula>
    </tableColumn>
    <tableColumn id="2" name="肥満度数値" dataDxfId="29" totalsRowDxfId="28">
      <calculatedColumnFormula>IF(テーブル2[[#This Row],[体重]]="",0,(テーブル2[[#This Row],[体重]]-テーブル2[[#This Row],[標準体重]])/テーブル2[[#This Row],[標準体重]]*100)</calculatedColumnFormula>
    </tableColumn>
    <tableColumn id="3" name="実施種目数" dataDxfId="27">
      <calculatedColumnFormula>COUNTA(テーブル2[[#This Row],[握力]:[ボール投げ]])</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J55"/>
  <sheetViews>
    <sheetView showGridLines="0" showZeros="0" zoomScaleNormal="100" workbookViewId="0">
      <selection activeCell="BM21" sqref="BM21"/>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30" customWidth="1"/>
    <col min="19" max="28" width="7.125" style="130" hidden="1" customWidth="1"/>
    <col min="29" max="29" width="7.125" style="130" customWidth="1"/>
    <col min="30" max="30" width="8.375" style="130" customWidth="1"/>
    <col min="31" max="31" width="7.125" style="130"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2" width="9" hidden="1" customWidth="1"/>
    <col min="63" max="71" width="9" customWidth="1"/>
  </cols>
  <sheetData>
    <row r="1" spans="1:60" ht="51.75" customHeight="1" thickBot="1" x14ac:dyDescent="0.2">
      <c r="A1" s="224" t="s">
        <v>79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141"/>
      <c r="AE1" s="141"/>
      <c r="AF1" s="32"/>
    </row>
    <row r="2" spans="1:60" ht="28.5" customHeight="1" x14ac:dyDescent="0.15">
      <c r="C2" s="225" t="s">
        <v>74</v>
      </c>
      <c r="D2" s="226"/>
      <c r="E2" s="229" t="s">
        <v>1182</v>
      </c>
      <c r="F2" s="230"/>
      <c r="G2" s="230"/>
      <c r="H2" s="231"/>
      <c r="I2" s="134"/>
      <c r="J2" s="134"/>
      <c r="K2" s="48"/>
      <c r="L2" s="235" t="s">
        <v>75</v>
      </c>
      <c r="M2" s="237" t="s">
        <v>1086</v>
      </c>
      <c r="N2" s="238"/>
      <c r="O2" s="238"/>
      <c r="P2" s="238"/>
      <c r="Q2" s="239"/>
      <c r="R2" s="48"/>
      <c r="S2" s="48"/>
      <c r="T2" s="132"/>
      <c r="W2" s="131"/>
      <c r="X2" s="131"/>
      <c r="AF2" s="130"/>
      <c r="AG2" s="130"/>
      <c r="AH2" s="130"/>
    </row>
    <row r="3" spans="1:60" ht="14.25" customHeight="1" thickBot="1" x14ac:dyDescent="0.2">
      <c r="C3" s="227"/>
      <c r="D3" s="228"/>
      <c r="E3" s="232"/>
      <c r="F3" s="233"/>
      <c r="G3" s="233"/>
      <c r="H3" s="234"/>
      <c r="I3" s="134"/>
      <c r="J3" s="134"/>
      <c r="K3" s="48"/>
      <c r="L3" s="236"/>
      <c r="M3" s="240"/>
      <c r="N3" s="241"/>
      <c r="O3" s="241"/>
      <c r="P3" s="241"/>
      <c r="Q3" s="242"/>
      <c r="R3" s="48"/>
      <c r="S3" s="48"/>
      <c r="T3" s="132"/>
      <c r="W3" s="131"/>
      <c r="AF3" s="130"/>
      <c r="AG3" s="130"/>
      <c r="AH3" s="130"/>
    </row>
    <row r="4" spans="1:60" ht="27.75" customHeight="1" thickBot="1" x14ac:dyDescent="0.2">
      <c r="B4" s="142" t="s">
        <v>1185</v>
      </c>
      <c r="E4" s="19"/>
      <c r="P4" s="133"/>
      <c r="Q4" s="203"/>
      <c r="AE4"/>
    </row>
    <row r="5" spans="1:60" ht="29.25" thickBot="1" x14ac:dyDescent="0.2">
      <c r="A5" s="72" t="s">
        <v>82</v>
      </c>
      <c r="B5" s="43" t="s">
        <v>83</v>
      </c>
      <c r="C5" s="43" t="s">
        <v>123</v>
      </c>
      <c r="D5" s="43" t="s">
        <v>84</v>
      </c>
      <c r="E5" s="44" t="s">
        <v>1056</v>
      </c>
      <c r="F5" s="45" t="s">
        <v>1059</v>
      </c>
      <c r="G5" s="45" t="s">
        <v>1060</v>
      </c>
      <c r="H5" s="121" t="s">
        <v>1061</v>
      </c>
      <c r="I5" s="121" t="s">
        <v>1062</v>
      </c>
      <c r="J5" s="122" t="s">
        <v>1064</v>
      </c>
      <c r="K5" s="123" t="s">
        <v>1066</v>
      </c>
      <c r="L5" s="124" t="s">
        <v>1079</v>
      </c>
      <c r="M5" s="125" t="s">
        <v>1072</v>
      </c>
      <c r="N5" s="122" t="s">
        <v>58</v>
      </c>
      <c r="O5" s="123" t="s">
        <v>1083</v>
      </c>
      <c r="P5" s="124" t="s">
        <v>1081</v>
      </c>
      <c r="Q5" s="18" t="s">
        <v>86</v>
      </c>
      <c r="R5" s="47" t="s">
        <v>125</v>
      </c>
      <c r="S5" s="73" t="s">
        <v>1076</v>
      </c>
      <c r="T5" s="74" t="s">
        <v>1063</v>
      </c>
      <c r="U5" s="74" t="s">
        <v>1065</v>
      </c>
      <c r="V5" s="74" t="s">
        <v>1067</v>
      </c>
      <c r="W5" s="74" t="s">
        <v>1068</v>
      </c>
      <c r="X5" s="74" t="s">
        <v>1069</v>
      </c>
      <c r="Y5" s="74" t="s">
        <v>124</v>
      </c>
      <c r="Z5" s="74" t="s">
        <v>1070</v>
      </c>
      <c r="AA5" s="74" t="s">
        <v>1071</v>
      </c>
      <c r="AB5" s="26" t="s">
        <v>85</v>
      </c>
      <c r="AC5" s="75" t="s">
        <v>1178</v>
      </c>
      <c r="AD5" s="74" t="s">
        <v>1179</v>
      </c>
      <c r="AE5" s="74" t="s">
        <v>1180</v>
      </c>
      <c r="AI5" s="52" t="s">
        <v>57</v>
      </c>
      <c r="AJ5" s="53" t="s">
        <v>103</v>
      </c>
      <c r="AK5" s="52" t="s">
        <v>112</v>
      </c>
      <c r="AL5" s="53" t="s">
        <v>103</v>
      </c>
      <c r="AM5" s="52" t="s">
        <v>113</v>
      </c>
      <c r="AN5" s="53" t="s">
        <v>103</v>
      </c>
      <c r="AO5" s="52" t="s">
        <v>114</v>
      </c>
      <c r="AP5" s="53" t="s">
        <v>103</v>
      </c>
      <c r="AQ5" s="52" t="s">
        <v>118</v>
      </c>
      <c r="AR5" s="55" t="s">
        <v>117</v>
      </c>
      <c r="AS5" s="52" t="s">
        <v>120</v>
      </c>
      <c r="AT5" s="53" t="s">
        <v>103</v>
      </c>
      <c r="AU5" s="52" t="s">
        <v>121</v>
      </c>
      <c r="AV5" s="53" t="s">
        <v>103</v>
      </c>
      <c r="AW5" s="52" t="s">
        <v>115</v>
      </c>
      <c r="AX5" s="53" t="s">
        <v>103</v>
      </c>
      <c r="AY5" s="52" t="s">
        <v>122</v>
      </c>
      <c r="AZ5" s="53" t="s">
        <v>103</v>
      </c>
      <c r="BB5" s="78">
        <v>12</v>
      </c>
      <c r="BC5" s="79">
        <v>13</v>
      </c>
      <c r="BD5" s="79">
        <v>14</v>
      </c>
      <c r="BE5" s="81" t="s">
        <v>126</v>
      </c>
      <c r="BF5" s="79">
        <v>15</v>
      </c>
      <c r="BG5" s="79">
        <v>16</v>
      </c>
      <c r="BH5" s="80">
        <v>17</v>
      </c>
    </row>
    <row r="6" spans="1:60" ht="14.25" customHeight="1" x14ac:dyDescent="0.15">
      <c r="A6" s="49">
        <v>1</v>
      </c>
      <c r="B6" s="148">
        <v>3</v>
      </c>
      <c r="C6" s="148">
        <v>1</v>
      </c>
      <c r="D6" s="148" t="s">
        <v>132</v>
      </c>
      <c r="E6" s="149" t="s">
        <v>133</v>
      </c>
      <c r="F6" s="148">
        <v>175.1</v>
      </c>
      <c r="G6" s="148">
        <v>63</v>
      </c>
      <c r="H6" s="150">
        <v>42</v>
      </c>
      <c r="I6" s="193">
        <v>30</v>
      </c>
      <c r="J6" s="148">
        <v>55</v>
      </c>
      <c r="K6" s="148">
        <v>58</v>
      </c>
      <c r="L6" s="194">
        <v>362</v>
      </c>
      <c r="M6" s="148"/>
      <c r="N6" s="195">
        <v>7.2</v>
      </c>
      <c r="O6" s="148">
        <v>225</v>
      </c>
      <c r="P6" s="150">
        <v>30</v>
      </c>
      <c r="Q6" s="18">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56</v>
      </c>
      <c r="R6" s="47" t="str">
        <f>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f>
        <v>B</v>
      </c>
      <c r="S6" s="46">
        <f>IF(H6="",0,(IF(テーブル22[[#This Row],[性別]]="男",LOOKUP(テーブル22[[#This Row],[握力]],$AI$6:$AJ$15),LOOKUP(テーブル22[[#This Row],[握力]],$AI$20:$AJ$29))))</f>
        <v>6</v>
      </c>
      <c r="T6" s="46">
        <f>IF(テーブル22[[#This Row],[上体]]="",0,(IF(テーブル22[[#This Row],[性別]]="男",LOOKUP(テーブル22[[#This Row],[上体]],$AK$6:$AL$15),LOOKUP(テーブル22[[#This Row],[上体]],$AK$20:$AL$29))))</f>
        <v>8</v>
      </c>
      <c r="U6" s="46">
        <f>IF(テーブル22[[#This Row],[長座]]="",0,(IF(テーブル22[[#This Row],[性別]]="男",LOOKUP(テーブル22[[#This Row],[長座]],$AM$6:$AN$15),LOOKUP(テーブル22[[#This Row],[長座]],$AM$20:$AN$29))))</f>
        <v>8</v>
      </c>
      <c r="V6" s="46">
        <f>IF(テーブル22[[#This Row],[反復]]="",0,(IF(テーブル22[[#This Row],[性別]]="男",LOOKUP(テーブル22[[#This Row],[反復]],$AO$6:$AP$15),LOOKUP(テーブル22[[#This Row],[反復]],$AO$20:$AP$29))))</f>
        <v>8</v>
      </c>
      <c r="W6" s="46">
        <f>IF(テーブル22[[#This Row],[持久走]]="",0,(IF(テーブル22[[#This Row],[性別]]="男",LOOKUP(テーブル22[[#This Row],[持久走]],$AQ$6:$AR$15),LOOKUP(テーブル22[[#This Row],[持久走]],$AQ$20:$AR$29))))</f>
        <v>6</v>
      </c>
      <c r="X6" s="46">
        <f>IF(テーブル22[[#This Row],[ｼｬﾄﾙﾗﾝ]]="",0,(IF(テーブル22[[#This Row],[性別]]="男",LOOKUP(テーブル22[[#This Row],[ｼｬﾄﾙﾗﾝ]],$AS$6:$AT$15),LOOKUP(テーブル22[[#This Row],[ｼｬﾄﾙﾗﾝ]],$AS$20:$AT$29))))</f>
        <v>0</v>
      </c>
      <c r="Y6" s="46">
        <f>IF(テーブル22[[#This Row],[50m走]]="",0,(IF(テーブル22[[#This Row],[性別]]="男",LOOKUP(テーブル22[[#This Row],[50m走]],$AU$6:$AV$15),LOOKUP(テーブル22[[#This Row],[50m走]],$AU$20:$AV$29))))</f>
        <v>7</v>
      </c>
      <c r="Z6" s="46">
        <f>IF(テーブル22[[#This Row],[立幅とび]]="",0,(IF(テーブル22[[#This Row],[性別]]="男",LOOKUP(テーブル22[[#This Row],[立幅とび]],$AW$6:$AX$15),LOOKUP(テーブル22[[#This Row],[立幅とび]],$AW$20:$AX$29))))</f>
        <v>6</v>
      </c>
      <c r="AA6" s="46">
        <f>IF(テーブル22[[#This Row],[ボール投げ]]="",0,(IF(テーブル22[[#This Row],[性別]]="男",LOOKUP(テーブル22[[#This Row],[ボール投げ]],$AY$6:$AZ$15),LOOKUP(テーブル22[[#This Row],[ボール投げ]],$AY$20:$AZ$29))))</f>
        <v>7</v>
      </c>
      <c r="AB6" s="82">
        <f>IF(テーブル22[[#This Row],[学年]]=1,12,IF(テーブル22[[#This Row],[学年]]=2,13,IF(テーブル22[[#This Row],[学年]]=3,14,"")))</f>
        <v>14</v>
      </c>
      <c r="AC6" s="76" t="str">
        <f>IF(テーブル22[[#This Row],[肥満度数値]]=0,"",LOOKUP(AE6,$AW$39:$AW$44,$AX$39:$AX$44))</f>
        <v>正常</v>
      </c>
      <c r="AD6"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61.988200000000006</v>
      </c>
      <c r="AE6" s="77">
        <f>IF(テーブル22[[#This Row],[体重]]="",0,(テーブル22[[#This Row],[体重]]-テーブル22[[#This Row],[標準体重]])/テーブル22[[#This Row],[標準体重]]*100)</f>
        <v>1.6322461371680315</v>
      </c>
      <c r="AF6" s="1"/>
      <c r="AG6" s="1" t="str">
        <f>IF(テーブル22[[#This Row],[判定]]=$BE$10,"○","")</f>
        <v/>
      </c>
      <c r="AH6" s="1" t="str">
        <f>IF(AG6="","",COUNTIF($AG$6,"○"))</f>
        <v/>
      </c>
      <c r="AI6" s="56">
        <v>0</v>
      </c>
      <c r="AJ6" s="57">
        <v>1</v>
      </c>
      <c r="AK6" s="56">
        <v>0</v>
      </c>
      <c r="AL6" s="57">
        <v>1</v>
      </c>
      <c r="AM6" s="56">
        <v>0</v>
      </c>
      <c r="AN6" s="57">
        <v>1</v>
      </c>
      <c r="AO6" s="56">
        <v>0</v>
      </c>
      <c r="AP6" s="57">
        <v>1</v>
      </c>
      <c r="AQ6" s="84">
        <v>0</v>
      </c>
      <c r="AR6" s="59">
        <v>10</v>
      </c>
      <c r="AS6" s="56">
        <v>0</v>
      </c>
      <c r="AT6" s="57">
        <v>1</v>
      </c>
      <c r="AU6" s="56">
        <v>0</v>
      </c>
      <c r="AV6" s="57">
        <v>10</v>
      </c>
      <c r="AW6" s="56">
        <v>0</v>
      </c>
      <c r="AX6" s="57">
        <v>1</v>
      </c>
      <c r="AY6" s="56">
        <v>0</v>
      </c>
      <c r="AZ6" s="57">
        <v>1</v>
      </c>
      <c r="BA6" s="54"/>
      <c r="BB6" s="58">
        <v>0</v>
      </c>
      <c r="BC6" s="59">
        <v>0</v>
      </c>
      <c r="BD6" s="60">
        <v>0</v>
      </c>
      <c r="BE6" s="59" t="s">
        <v>131</v>
      </c>
      <c r="BF6" s="58">
        <v>0</v>
      </c>
      <c r="BG6" s="59">
        <v>0</v>
      </c>
      <c r="BH6" s="60">
        <v>0</v>
      </c>
    </row>
    <row r="7" spans="1:60" ht="14.25" customHeight="1" x14ac:dyDescent="0.15">
      <c r="A7" s="44">
        <v>2</v>
      </c>
      <c r="B7" s="148">
        <v>3</v>
      </c>
      <c r="C7" s="151">
        <v>1</v>
      </c>
      <c r="D7" s="148" t="s">
        <v>132</v>
      </c>
      <c r="E7" s="152" t="s">
        <v>1084</v>
      </c>
      <c r="F7" s="148">
        <v>162.30000000000001</v>
      </c>
      <c r="G7" s="148">
        <v>55.7</v>
      </c>
      <c r="H7" s="150">
        <v>35</v>
      </c>
      <c r="I7" s="151">
        <v>27</v>
      </c>
      <c r="J7" s="151">
        <v>49</v>
      </c>
      <c r="K7" s="148">
        <v>53</v>
      </c>
      <c r="L7" s="196">
        <v>392</v>
      </c>
      <c r="M7" s="151"/>
      <c r="N7" s="197">
        <v>7.5</v>
      </c>
      <c r="O7" s="151">
        <v>199</v>
      </c>
      <c r="P7" s="153">
        <v>28</v>
      </c>
      <c r="Q7"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48</v>
      </c>
      <c r="R7" s="47" t="str">
        <f>IF(テーブル22[[#This Row],[得点]]=0,"",IF(テーブル22[[#This Row],[年齢]]=17,LOOKUP(Q7,$BH$6:$BH$10,$BE$6:$BE$10),IF(テーブル22[[#This Row],[年齢]]=16,LOOKUP(Q7,$BG$6:$BG$10,$BE$6:$BE$10),IF(テーブル22[[#This Row],[年齢]]=15,LOOKUP(Q7,$BF$6:$BF$10,$BE$6:$BE$10),IF(テーブル22[[#This Row],[年齢]]=14,LOOKUP(Q7,$BD$6:$BD$10,$BE$6:$BE$10),IF(テーブル22[[#This Row],[年齢]]=13,LOOKUP(Q7,$BC$6:$BC$10,$BE$6:$BE$10),LOOKUP(Q7,$BB$6:$BB$10,$BE$6:$BE$10)))))))</f>
        <v>C</v>
      </c>
      <c r="S7" s="46">
        <f>IF(H7="",0,(IF(テーブル22[[#This Row],[性別]]="男",LOOKUP(テーブル22[[#This Row],[握力]],$AI$6:$AJ$15),LOOKUP(テーブル22[[#This Row],[握力]],$AI$20:$AJ$29))))</f>
        <v>5</v>
      </c>
      <c r="T7" s="46">
        <f>IF(テーブル22[[#This Row],[上体]]="",0,(IF(テーブル22[[#This Row],[性別]]="男",LOOKUP(テーブル22[[#This Row],[上体]],$AK$6:$AL$15),LOOKUP(テーブル22[[#This Row],[上体]],$AK$20:$AL$29))))</f>
        <v>7</v>
      </c>
      <c r="U7" s="46">
        <f>IF(テーブル22[[#This Row],[長座]]="",0,(IF(テーブル22[[#This Row],[性別]]="男",LOOKUP(テーブル22[[#This Row],[長座]],$AM$6:$AN$15),LOOKUP(テーブル22[[#This Row],[長座]],$AM$20:$AN$29))))</f>
        <v>7</v>
      </c>
      <c r="V7" s="46">
        <f>IF(テーブル22[[#This Row],[反復]]="",0,(IF(テーブル22[[#This Row],[性別]]="男",LOOKUP(テーブル22[[#This Row],[反復]],$AO$6:$AP$15),LOOKUP(テーブル22[[#This Row],[反復]],$AO$20:$AP$29))))</f>
        <v>7</v>
      </c>
      <c r="W7" s="46">
        <f>IF(テーブル22[[#This Row],[持久走]]="",0,(IF(テーブル22[[#This Row],[性別]]="男",LOOKUP(テーブル22[[#This Row],[持久走]],$AQ$6:$AR$15),LOOKUP(テーブル22[[#This Row],[持久走]],$AQ$20:$AR$29))))</f>
        <v>5</v>
      </c>
      <c r="X7" s="46">
        <f>IF(テーブル22[[#This Row],[ｼｬﾄﾙﾗﾝ]]="",0,(IF(テーブル22[[#This Row],[性別]]="男",LOOKUP(テーブル22[[#This Row],[ｼｬﾄﾙﾗﾝ]],$AS$6:$AT$15),LOOKUP(テーブル22[[#This Row],[ｼｬﾄﾙﾗﾝ]],$AS$20:$AT$29))))</f>
        <v>0</v>
      </c>
      <c r="Y7" s="46">
        <f>IF(テーブル22[[#This Row],[50m走]]="",0,(IF(テーブル22[[#This Row],[性別]]="男",LOOKUP(テーブル22[[#This Row],[50m走]],$AU$6:$AV$15),LOOKUP(テーブル22[[#This Row],[50m走]],$AU$20:$AV$29))))</f>
        <v>6</v>
      </c>
      <c r="Z7" s="46">
        <f>IF(テーブル22[[#This Row],[立幅とび]]="",0,(IF(テーブル22[[#This Row],[性別]]="男",LOOKUP(テーブル22[[#This Row],[立幅とび]],$AW$6:$AX$15),LOOKUP(テーブル22[[#This Row],[立幅とび]],$AW$20:$AX$29))))</f>
        <v>4</v>
      </c>
      <c r="AA7" s="46">
        <f>IF(テーブル22[[#This Row],[ボール投げ]]="",0,(IF(テーブル22[[#This Row],[性別]]="男",LOOKUP(テーブル22[[#This Row],[ボール投げ]],$AY$6:$AZ$15),LOOKUP(テーブル22[[#This Row],[ボール投げ]],$AY$20:$AZ$29))))</f>
        <v>7</v>
      </c>
      <c r="AB7" s="82">
        <f>IF(テーブル22[[#This Row],[学年]]=1,12,IF(テーブル22[[#This Row],[学年]]=2,13,IF(テーブル22[[#This Row],[学年]]=3,14,"")))</f>
        <v>14</v>
      </c>
      <c r="AC7" s="76" t="str">
        <f>IF(テーブル22[[#This Row],[肥満度数値]]=0,"",LOOKUP(AE7,$AW$39:$AW$44,$AX$39:$AX$44))</f>
        <v>正常</v>
      </c>
      <c r="AD7"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51.338600000000014</v>
      </c>
      <c r="AE7" s="77">
        <f>IF(テーブル22[[#This Row],[体重]]="",0,(テーブル22[[#This Row],[体重]]-テーブル22[[#This Row],[標準体重]])/テーブル22[[#This Row],[標準体重]]*100)</f>
        <v>8.4953621641415769</v>
      </c>
      <c r="AF7" s="1"/>
      <c r="AG7" s="1" t="str">
        <f>IF(テーブル22[[#This Row],[判定]]=$BE$10,"○","")</f>
        <v/>
      </c>
      <c r="AH7" s="1" t="str">
        <f>IF(AG7="","",COUNTIF($AG$6:AG7,"○"))</f>
        <v/>
      </c>
      <c r="AI7" s="61">
        <v>18</v>
      </c>
      <c r="AJ7" s="62">
        <v>2</v>
      </c>
      <c r="AK7" s="61">
        <v>13</v>
      </c>
      <c r="AL7" s="62">
        <v>2</v>
      </c>
      <c r="AM7" s="61">
        <v>21</v>
      </c>
      <c r="AN7" s="62">
        <v>2</v>
      </c>
      <c r="AO7" s="61">
        <v>30</v>
      </c>
      <c r="AP7" s="62">
        <v>2</v>
      </c>
      <c r="AQ7" s="85">
        <v>300</v>
      </c>
      <c r="AR7" s="64">
        <v>9</v>
      </c>
      <c r="AS7" s="61">
        <v>26</v>
      </c>
      <c r="AT7" s="62">
        <v>2</v>
      </c>
      <c r="AU7" s="61">
        <v>6.7</v>
      </c>
      <c r="AV7" s="62">
        <v>9</v>
      </c>
      <c r="AW7" s="61">
        <v>150</v>
      </c>
      <c r="AX7" s="62">
        <v>2</v>
      </c>
      <c r="AY7" s="61">
        <v>13</v>
      </c>
      <c r="AZ7" s="62">
        <v>2</v>
      </c>
      <c r="BA7" s="54"/>
      <c r="BB7" s="63">
        <v>22</v>
      </c>
      <c r="BC7" s="64">
        <v>27</v>
      </c>
      <c r="BD7" s="65">
        <v>31</v>
      </c>
      <c r="BE7" s="64" t="s">
        <v>130</v>
      </c>
      <c r="BF7" s="63">
        <v>31</v>
      </c>
      <c r="BG7" s="64">
        <v>31</v>
      </c>
      <c r="BH7" s="65">
        <v>31</v>
      </c>
    </row>
    <row r="8" spans="1:60" ht="14.25" customHeight="1" x14ac:dyDescent="0.15">
      <c r="A8" s="44">
        <v>3</v>
      </c>
      <c r="B8" s="148">
        <v>3</v>
      </c>
      <c r="C8" s="151">
        <v>1</v>
      </c>
      <c r="D8" s="148" t="s">
        <v>132</v>
      </c>
      <c r="E8" s="152" t="s">
        <v>1085</v>
      </c>
      <c r="F8" s="148">
        <v>180.7</v>
      </c>
      <c r="G8" s="148">
        <v>75</v>
      </c>
      <c r="H8" s="150">
        <v>52</v>
      </c>
      <c r="I8" s="151">
        <v>33</v>
      </c>
      <c r="J8" s="151">
        <v>51</v>
      </c>
      <c r="K8" s="148">
        <v>60</v>
      </c>
      <c r="L8" s="196">
        <v>335</v>
      </c>
      <c r="M8" s="151"/>
      <c r="N8" s="197">
        <v>6.9</v>
      </c>
      <c r="O8" s="151">
        <v>219</v>
      </c>
      <c r="P8" s="153">
        <v>33</v>
      </c>
      <c r="Q8"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63</v>
      </c>
      <c r="R8" s="47" t="str">
        <f>IF(テーブル22[[#This Row],[得点]]=0,"",IF(テーブル22[[#This Row],[年齢]]=17,LOOKUP(Q8,$BH$6:$BH$10,$BE$6:$BE$10),IF(テーブル22[[#This Row],[年齢]]=16,LOOKUP(Q8,$BG$6:$BG$10,$BE$6:$BE$10),IF(テーブル22[[#This Row],[年齢]]=15,LOOKUP(Q8,$BF$6:$BF$10,$BE$6:$BE$10),IF(テーブル22[[#This Row],[年齢]]=14,LOOKUP(Q8,$BD$6:$BD$10,$BE$6:$BE$10),IF(テーブル22[[#This Row],[年齢]]=13,LOOKUP(Q8,$BC$6:$BC$10,$BE$6:$BE$10),LOOKUP(Q8,$BB$6:$BB$10,$BE$6:$BE$10)))))))</f>
        <v>A</v>
      </c>
      <c r="S8" s="46">
        <f>IF(H8="",0,(IF(テーブル22[[#This Row],[性別]]="男",LOOKUP(テーブル22[[#This Row],[握力]],$AI$6:$AJ$15),LOOKUP(テーブル22[[#This Row],[握力]],$AI$20:$AJ$29))))</f>
        <v>9</v>
      </c>
      <c r="T8" s="46">
        <f>IF(テーブル22[[#This Row],[上体]]="",0,(IF(テーブル22[[#This Row],[性別]]="男",LOOKUP(テーブル22[[#This Row],[上体]],$AK$6:$AL$15),LOOKUP(テーブル22[[#This Row],[上体]],$AK$20:$AL$29))))</f>
        <v>9</v>
      </c>
      <c r="U8" s="46">
        <f>IF(テーブル22[[#This Row],[長座]]="",0,(IF(テーブル22[[#This Row],[性別]]="男",LOOKUP(テーブル22[[#This Row],[長座]],$AM$6:$AN$15),LOOKUP(テーブル22[[#This Row],[長座]],$AM$20:$AN$29))))</f>
        <v>7</v>
      </c>
      <c r="V8" s="46">
        <f>IF(テーブル22[[#This Row],[反復]]="",0,(IF(テーブル22[[#This Row],[性別]]="男",LOOKUP(テーブル22[[#This Row],[反復]],$AO$6:$AP$15),LOOKUP(テーブル22[[#This Row],[反復]],$AO$20:$AP$29))))</f>
        <v>9</v>
      </c>
      <c r="W8" s="46">
        <f>IF(テーブル22[[#This Row],[持久走]]="",0,(IF(テーブル22[[#This Row],[性別]]="男",LOOKUP(テーブル22[[#This Row],[持久走]],$AQ$6:$AR$15),LOOKUP(テーブル22[[#This Row],[持久走]],$AQ$20:$AR$29))))</f>
        <v>7</v>
      </c>
      <c r="X8" s="46">
        <f>IF(テーブル22[[#This Row],[ｼｬﾄﾙﾗﾝ]]="",0,(IF(テーブル22[[#This Row],[性別]]="男",LOOKUP(テーブル22[[#This Row],[ｼｬﾄﾙﾗﾝ]],$AS$6:$AT$15),LOOKUP(テーブル22[[#This Row],[ｼｬﾄﾙﾗﾝ]],$AS$20:$AT$29))))</f>
        <v>0</v>
      </c>
      <c r="Y8" s="46">
        <f>IF(テーブル22[[#This Row],[50m走]]="",0,(IF(テーブル22[[#This Row],[性別]]="男",LOOKUP(テーブル22[[#This Row],[50m走]],$AU$6:$AV$15),LOOKUP(テーブル22[[#This Row],[50m走]],$AU$20:$AV$29))))</f>
        <v>8</v>
      </c>
      <c r="Z8" s="46">
        <f>IF(テーブル22[[#This Row],[立幅とび]]="",0,(IF(テーブル22[[#This Row],[性別]]="男",LOOKUP(テーブル22[[#This Row],[立幅とび]],$AW$6:$AX$15),LOOKUP(テーブル22[[#This Row],[立幅とび]],$AW$20:$AX$29))))</f>
        <v>6</v>
      </c>
      <c r="AA8" s="46">
        <f>IF(テーブル22[[#This Row],[ボール投げ]]="",0,(IF(テーブル22[[#This Row],[性別]]="男",LOOKUP(テーブル22[[#This Row],[ボール投げ]],$AY$6:$AZ$15),LOOKUP(テーブル22[[#This Row],[ボール投げ]],$AY$20:$AZ$29))))</f>
        <v>8</v>
      </c>
      <c r="AB8" s="82">
        <f>IF(テーブル22[[#This Row],[学年]]=1,12,IF(テーブル22[[#This Row],[学年]]=2,13,IF(テーブル22[[#This Row],[学年]]=3,14,"")))</f>
        <v>14</v>
      </c>
      <c r="AC8" s="76" t="str">
        <f>IF(テーブル22[[#This Row],[肥満度数値]]=0,"",LOOKUP(AE8,$AW$39:$AW$44,$AX$39:$AX$44))</f>
        <v>正常</v>
      </c>
      <c r="AD8"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66.647400000000005</v>
      </c>
      <c r="AE8" s="77">
        <f>IF(テーブル22[[#This Row],[体重]]="",0,(テーブル22[[#This Row],[体重]]-テーブル22[[#This Row],[標準体重]])/テーブル22[[#This Row],[標準体重]]*100)</f>
        <v>12.532521898828753</v>
      </c>
      <c r="AF8" s="1"/>
      <c r="AG8" s="1" t="str">
        <f>IF(テーブル22[[#This Row],[判定]]=$BE$10,"○","")</f>
        <v>○</v>
      </c>
      <c r="AH8" s="1">
        <f>IF(AG8="","",COUNTIF($AG$6:AG8,"○"))</f>
        <v>1</v>
      </c>
      <c r="AI8" s="61">
        <v>23</v>
      </c>
      <c r="AJ8" s="62">
        <v>3</v>
      </c>
      <c r="AK8" s="61">
        <v>16</v>
      </c>
      <c r="AL8" s="62">
        <v>3</v>
      </c>
      <c r="AM8" s="61">
        <v>28</v>
      </c>
      <c r="AN8" s="62">
        <v>3</v>
      </c>
      <c r="AO8" s="61">
        <v>37</v>
      </c>
      <c r="AP8" s="62">
        <v>3</v>
      </c>
      <c r="AQ8" s="85">
        <v>317</v>
      </c>
      <c r="AR8" s="64">
        <v>8</v>
      </c>
      <c r="AS8" s="61">
        <v>37</v>
      </c>
      <c r="AT8" s="62">
        <v>3</v>
      </c>
      <c r="AU8" s="61">
        <v>6.9</v>
      </c>
      <c r="AV8" s="62">
        <v>8</v>
      </c>
      <c r="AW8" s="61">
        <v>170</v>
      </c>
      <c r="AX8" s="62">
        <v>3</v>
      </c>
      <c r="AY8" s="61">
        <v>16</v>
      </c>
      <c r="AZ8" s="62">
        <v>3</v>
      </c>
      <c r="BA8" s="54"/>
      <c r="BB8" s="63">
        <v>32</v>
      </c>
      <c r="BC8" s="64">
        <v>37</v>
      </c>
      <c r="BD8" s="65">
        <v>41</v>
      </c>
      <c r="BE8" s="64" t="s">
        <v>129</v>
      </c>
      <c r="BF8" s="63">
        <v>41</v>
      </c>
      <c r="BG8" s="64">
        <v>42</v>
      </c>
      <c r="BH8" s="65">
        <v>43</v>
      </c>
    </row>
    <row r="9" spans="1:60" ht="14.25" customHeight="1" x14ac:dyDescent="0.15">
      <c r="A9" s="44">
        <v>4</v>
      </c>
      <c r="B9" s="148">
        <v>3</v>
      </c>
      <c r="C9" s="151">
        <v>1</v>
      </c>
      <c r="D9" s="148" t="s">
        <v>132</v>
      </c>
      <c r="E9" s="152" t="s">
        <v>1084</v>
      </c>
      <c r="F9" s="148">
        <v>164.1</v>
      </c>
      <c r="G9" s="148">
        <v>60.5</v>
      </c>
      <c r="H9" s="150">
        <v>31</v>
      </c>
      <c r="I9" s="151">
        <v>28</v>
      </c>
      <c r="J9" s="151">
        <v>29</v>
      </c>
      <c r="K9" s="148">
        <v>54</v>
      </c>
      <c r="L9" s="196">
        <v>428</v>
      </c>
      <c r="M9" s="151"/>
      <c r="N9" s="197">
        <v>7.3</v>
      </c>
      <c r="O9" s="151">
        <v>206</v>
      </c>
      <c r="P9" s="153">
        <v>26</v>
      </c>
      <c r="Q9"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42</v>
      </c>
      <c r="R9" s="47" t="str">
        <f>IF(テーブル22[[#This Row],[得点]]=0,"",IF(テーブル22[[#This Row],[年齢]]=17,LOOKUP(Q9,$BH$6:$BH$10,$BE$6:$BE$10),IF(テーブル22[[#This Row],[年齢]]=16,LOOKUP(Q9,$BG$6:$BG$10,$BE$6:$BE$10),IF(テーブル22[[#This Row],[年齢]]=15,LOOKUP(Q9,$BF$6:$BF$10,$BE$6:$BE$10),IF(テーブル22[[#This Row],[年齢]]=14,LOOKUP(Q9,$BD$6:$BD$10,$BE$6:$BE$10),IF(テーブル22[[#This Row],[年齢]]=13,LOOKUP(Q9,$BC$6:$BC$10,$BE$6:$BE$10),LOOKUP(Q9,$BB$6:$BB$10,$BE$6:$BE$10)))))))</f>
        <v>C</v>
      </c>
      <c r="S9" s="46">
        <f>IF(H9="",0,(IF(テーブル22[[#This Row],[性別]]="男",LOOKUP(テーブル22[[#This Row],[握力]],$AI$6:$AJ$15),LOOKUP(テーブル22[[#This Row],[握力]],$AI$20:$AJ$29))))</f>
        <v>4</v>
      </c>
      <c r="T9" s="46">
        <f>IF(テーブル22[[#This Row],[上体]]="",0,(IF(テーブル22[[#This Row],[性別]]="男",LOOKUP(テーブル22[[#This Row],[上体]],$AK$6:$AL$15),LOOKUP(テーブル22[[#This Row],[上体]],$AK$20:$AL$29))))</f>
        <v>7</v>
      </c>
      <c r="U9" s="46">
        <f>IF(テーブル22[[#This Row],[長座]]="",0,(IF(テーブル22[[#This Row],[性別]]="男",LOOKUP(テーブル22[[#This Row],[長座]],$AM$6:$AN$15),LOOKUP(テーブル22[[#This Row],[長座]],$AM$20:$AN$29))))</f>
        <v>3</v>
      </c>
      <c r="V9" s="46">
        <f>IF(テーブル22[[#This Row],[反復]]="",0,(IF(テーブル22[[#This Row],[性別]]="男",LOOKUP(テーブル22[[#This Row],[反復]],$AO$6:$AP$15),LOOKUP(テーブル22[[#This Row],[反復]],$AO$20:$AP$29))))</f>
        <v>7</v>
      </c>
      <c r="W9" s="46">
        <f>IF(テーブル22[[#This Row],[持久走]]="",0,(IF(テーブル22[[#This Row],[性別]]="男",LOOKUP(テーブル22[[#This Row],[持久走]],$AQ$6:$AR$15),LOOKUP(テーブル22[[#This Row],[持久走]],$AQ$20:$AR$29))))</f>
        <v>4</v>
      </c>
      <c r="X9" s="46">
        <f>IF(テーブル22[[#This Row],[ｼｬﾄﾙﾗﾝ]]="",0,(IF(テーブル22[[#This Row],[性別]]="男",LOOKUP(テーブル22[[#This Row],[ｼｬﾄﾙﾗﾝ]],$AS$6:$AT$15),LOOKUP(テーブル22[[#This Row],[ｼｬﾄﾙﾗﾝ]],$AS$20:$AT$29))))</f>
        <v>0</v>
      </c>
      <c r="Y9" s="46">
        <f>IF(テーブル22[[#This Row],[50m走]]="",0,(IF(テーブル22[[#This Row],[性別]]="男",LOOKUP(テーブル22[[#This Row],[50m走]],$AU$6:$AV$15),LOOKUP(テーブル22[[#This Row],[50m走]],$AU$20:$AV$29))))</f>
        <v>6</v>
      </c>
      <c r="Z9" s="46">
        <f>IF(テーブル22[[#This Row],[立幅とび]]="",0,(IF(テーブル22[[#This Row],[性別]]="男",LOOKUP(テーブル22[[#This Row],[立幅とび]],$AW$6:$AX$15),LOOKUP(テーブル22[[#This Row],[立幅とび]],$AW$20:$AX$29))))</f>
        <v>5</v>
      </c>
      <c r="AA9" s="46">
        <f>IF(テーブル22[[#This Row],[ボール投げ]]="",0,(IF(テーブル22[[#This Row],[性別]]="男",LOOKUP(テーブル22[[#This Row],[ボール投げ]],$AY$6:$AZ$15),LOOKUP(テーブル22[[#This Row],[ボール投げ]],$AY$20:$AZ$29))))</f>
        <v>6</v>
      </c>
      <c r="AB9" s="82">
        <f>IF(テーブル22[[#This Row],[学年]]=1,12,IF(テーブル22[[#This Row],[学年]]=2,13,IF(テーブル22[[#This Row],[学年]]=3,14,"")))</f>
        <v>14</v>
      </c>
      <c r="AC9" s="76" t="str">
        <f>IF(テーブル22[[#This Row],[肥満度数値]]=0,"",LOOKUP(AE9,$AW$39:$AW$44,$AX$39:$AX$44))</f>
        <v>正常</v>
      </c>
      <c r="AD9"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52.836199999999991</v>
      </c>
      <c r="AE9" s="77">
        <f>IF(テーブル22[[#This Row],[体重]]="",0,(テーブル22[[#This Row],[体重]]-テーブル22[[#This Row],[標準体重]])/テーブル22[[#This Row],[標準体重]]*100)</f>
        <v>14.504828129199318</v>
      </c>
      <c r="AF9" s="1"/>
      <c r="AG9" s="1" t="str">
        <f>IF(テーブル22[[#This Row],[判定]]=$BE$10,"○","")</f>
        <v/>
      </c>
      <c r="AH9" s="1" t="str">
        <f>IF(AG9="","",COUNTIF($AG$6:AG9,"○"))</f>
        <v/>
      </c>
      <c r="AI9" s="61">
        <v>28</v>
      </c>
      <c r="AJ9" s="62">
        <v>4</v>
      </c>
      <c r="AK9" s="61">
        <v>19</v>
      </c>
      <c r="AL9" s="62">
        <v>4</v>
      </c>
      <c r="AM9" s="61">
        <v>33</v>
      </c>
      <c r="AN9" s="62">
        <v>4</v>
      </c>
      <c r="AO9" s="61">
        <v>41</v>
      </c>
      <c r="AP9" s="62">
        <v>4</v>
      </c>
      <c r="AQ9" s="85">
        <v>334</v>
      </c>
      <c r="AR9" s="64">
        <v>7</v>
      </c>
      <c r="AS9" s="61">
        <v>51</v>
      </c>
      <c r="AT9" s="62">
        <v>4</v>
      </c>
      <c r="AU9" s="61">
        <v>7.1</v>
      </c>
      <c r="AV9" s="62">
        <v>7</v>
      </c>
      <c r="AW9" s="61">
        <v>188</v>
      </c>
      <c r="AX9" s="62">
        <v>4</v>
      </c>
      <c r="AY9" s="61">
        <v>19</v>
      </c>
      <c r="AZ9" s="62">
        <v>4</v>
      </c>
      <c r="BA9" s="54"/>
      <c r="BB9" s="63">
        <v>41</v>
      </c>
      <c r="BC9" s="64">
        <v>47</v>
      </c>
      <c r="BD9" s="65">
        <v>51</v>
      </c>
      <c r="BE9" s="64" t="s">
        <v>128</v>
      </c>
      <c r="BF9" s="63">
        <v>52</v>
      </c>
      <c r="BG9" s="64">
        <v>53</v>
      </c>
      <c r="BH9" s="65">
        <v>54</v>
      </c>
    </row>
    <row r="10" spans="1:60" ht="14.25" customHeight="1" thickBot="1" x14ac:dyDescent="0.2">
      <c r="A10" s="44">
        <v>5</v>
      </c>
      <c r="B10" s="148">
        <v>3</v>
      </c>
      <c r="C10" s="151">
        <v>1</v>
      </c>
      <c r="D10" s="148" t="s">
        <v>132</v>
      </c>
      <c r="E10" s="152" t="s">
        <v>1085</v>
      </c>
      <c r="F10" s="148">
        <v>170</v>
      </c>
      <c r="G10" s="148">
        <v>63.9</v>
      </c>
      <c r="H10" s="150">
        <v>39</v>
      </c>
      <c r="I10" s="151">
        <v>26</v>
      </c>
      <c r="J10" s="151">
        <v>33</v>
      </c>
      <c r="K10" s="148">
        <v>49</v>
      </c>
      <c r="L10" s="196">
        <v>325</v>
      </c>
      <c r="M10" s="151"/>
      <c r="N10" s="197">
        <v>6.8</v>
      </c>
      <c r="O10" s="151">
        <v>229</v>
      </c>
      <c r="P10" s="153">
        <v>36</v>
      </c>
      <c r="Q10"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54</v>
      </c>
      <c r="R10" s="47" t="str">
        <f>IF(テーブル22[[#This Row],[得点]]=0,"",IF(テーブル22[[#This Row],[年齢]]=17,LOOKUP(Q10,$BH$6:$BH$10,$BE$6:$BE$10),IF(テーブル22[[#This Row],[年齢]]=16,LOOKUP(Q10,$BG$6:$BG$10,$BE$6:$BE$10),IF(テーブル22[[#This Row],[年齢]]=15,LOOKUP(Q10,$BF$6:$BF$10,$BE$6:$BE$10),IF(テーブル22[[#This Row],[年齢]]=14,LOOKUP(Q10,$BD$6:$BD$10,$BE$6:$BE$10),IF(テーブル22[[#This Row],[年齢]]=13,LOOKUP(Q10,$BC$6:$BC$10,$BE$6:$BE$10),LOOKUP(Q10,$BB$6:$BB$10,$BE$6:$BE$10)))))))</f>
        <v>B</v>
      </c>
      <c r="S10" s="46">
        <f>IF(H10="",0,(IF(テーブル22[[#This Row],[性別]]="男",LOOKUP(テーブル22[[#This Row],[握力]],$AI$6:$AJ$15),LOOKUP(テーブル22[[#This Row],[握力]],$AI$20:$AJ$29))))</f>
        <v>6</v>
      </c>
      <c r="T10" s="46">
        <f>IF(テーブル22[[#This Row],[上体]]="",0,(IF(テーブル22[[#This Row],[性別]]="男",LOOKUP(テーブル22[[#This Row],[上体]],$AK$6:$AL$15),LOOKUP(テーブル22[[#This Row],[上体]],$AK$20:$AL$29))))</f>
        <v>6</v>
      </c>
      <c r="U10" s="46">
        <f>IF(テーブル22[[#This Row],[長座]]="",0,(IF(テーブル22[[#This Row],[性別]]="男",LOOKUP(テーブル22[[#This Row],[長座]],$AM$6:$AN$15),LOOKUP(テーブル22[[#This Row],[長座]],$AM$20:$AN$29))))</f>
        <v>4</v>
      </c>
      <c r="V10" s="46">
        <f>IF(テーブル22[[#This Row],[反復]]="",0,(IF(テーブル22[[#This Row],[性別]]="男",LOOKUP(テーブル22[[#This Row],[反復]],$AO$6:$AP$15),LOOKUP(テーブル22[[#This Row],[反復]],$AO$20:$AP$29))))</f>
        <v>6</v>
      </c>
      <c r="W10" s="46">
        <f>IF(テーブル22[[#This Row],[持久走]]="",0,(IF(テーブル22[[#This Row],[性別]]="男",LOOKUP(テーブル22[[#This Row],[持久走]],$AQ$6:$AR$15),LOOKUP(テーブル22[[#This Row],[持久走]],$AQ$20:$AR$29))))</f>
        <v>8</v>
      </c>
      <c r="X10" s="46">
        <f>IF(テーブル22[[#This Row],[ｼｬﾄﾙﾗﾝ]]="",0,(IF(テーブル22[[#This Row],[性別]]="男",LOOKUP(テーブル22[[#This Row],[ｼｬﾄﾙﾗﾝ]],$AS$6:$AT$15),LOOKUP(テーブル22[[#This Row],[ｼｬﾄﾙﾗﾝ]],$AS$20:$AT$29))))</f>
        <v>0</v>
      </c>
      <c r="Y10" s="46">
        <f>IF(テーブル22[[#This Row],[50m走]]="",0,(IF(テーブル22[[#This Row],[性別]]="男",LOOKUP(テーブル22[[#This Row],[50m走]],$AU$6:$AV$15),LOOKUP(テーブル22[[#This Row],[50m走]],$AU$20:$AV$29))))</f>
        <v>9</v>
      </c>
      <c r="Z10" s="46">
        <f>IF(テーブル22[[#This Row],[立幅とび]]="",0,(IF(テーブル22[[#This Row],[性別]]="男",LOOKUP(テーブル22[[#This Row],[立幅とび]],$AW$6:$AX$15),LOOKUP(テーブル22[[#This Row],[立幅とび]],$AW$20:$AX$29))))</f>
        <v>6</v>
      </c>
      <c r="AA10" s="46">
        <f>IF(テーブル22[[#This Row],[ボール投げ]]="",0,(IF(テーブル22[[#This Row],[性別]]="男",LOOKUP(テーブル22[[#This Row],[ボール投げ]],$AY$6:$AZ$15),LOOKUP(テーブル22[[#This Row],[ボール投げ]],$AY$20:$AZ$29))))</f>
        <v>9</v>
      </c>
      <c r="AB10" s="82">
        <f>IF(テーブル22[[#This Row],[学年]]=1,12,IF(テーブル22[[#This Row],[学年]]=2,13,IF(テーブル22[[#This Row],[学年]]=3,14,"")))</f>
        <v>14</v>
      </c>
      <c r="AC10" s="76" t="str">
        <f>IF(テーブル22[[#This Row],[肥満度数値]]=0,"",LOOKUP(AE10,$AW$39:$AW$44,$AX$39:$AX$44))</f>
        <v>正常</v>
      </c>
      <c r="AD10"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57.745000000000005</v>
      </c>
      <c r="AE10" s="77">
        <f>IF(テーブル22[[#This Row],[体重]]="",0,(テーブル22[[#This Row],[体重]]-テーブル22[[#This Row],[標準体重]])/テーブル22[[#This Row],[標準体重]]*100)</f>
        <v>10.658931509221567</v>
      </c>
      <c r="AF10" s="1"/>
      <c r="AG10" s="1" t="str">
        <f>IF(テーブル22[[#This Row],[判定]]=$BE$10,"○","")</f>
        <v/>
      </c>
      <c r="AH10" s="1" t="str">
        <f>IF(AG10="","",COUNTIF($AG$6:AG10,"○"))</f>
        <v/>
      </c>
      <c r="AI10" s="61">
        <v>33</v>
      </c>
      <c r="AJ10" s="62">
        <v>5</v>
      </c>
      <c r="AK10" s="61">
        <v>22</v>
      </c>
      <c r="AL10" s="62">
        <v>5</v>
      </c>
      <c r="AM10" s="61">
        <v>39</v>
      </c>
      <c r="AN10" s="62">
        <v>5</v>
      </c>
      <c r="AO10" s="61">
        <v>45</v>
      </c>
      <c r="AP10" s="62">
        <v>5</v>
      </c>
      <c r="AQ10" s="85">
        <v>356</v>
      </c>
      <c r="AR10" s="64">
        <v>6</v>
      </c>
      <c r="AS10" s="61">
        <v>63</v>
      </c>
      <c r="AT10" s="62">
        <v>5</v>
      </c>
      <c r="AU10" s="61">
        <v>7.3</v>
      </c>
      <c r="AV10" s="62">
        <v>6</v>
      </c>
      <c r="AW10" s="61">
        <v>203</v>
      </c>
      <c r="AX10" s="62">
        <v>5</v>
      </c>
      <c r="AY10" s="61">
        <v>22</v>
      </c>
      <c r="AZ10" s="62">
        <v>5</v>
      </c>
      <c r="BA10" s="54"/>
      <c r="BB10" s="66">
        <v>51</v>
      </c>
      <c r="BC10" s="67">
        <v>57</v>
      </c>
      <c r="BD10" s="68">
        <v>60</v>
      </c>
      <c r="BE10" s="67" t="s">
        <v>127</v>
      </c>
      <c r="BF10" s="66">
        <v>61</v>
      </c>
      <c r="BG10" s="67">
        <v>63</v>
      </c>
      <c r="BH10" s="68">
        <v>65</v>
      </c>
    </row>
    <row r="11" spans="1:60" ht="14.25" customHeight="1" x14ac:dyDescent="0.15">
      <c r="A11" s="44">
        <v>6</v>
      </c>
      <c r="B11" s="148">
        <v>3</v>
      </c>
      <c r="C11" s="151">
        <v>1</v>
      </c>
      <c r="D11" s="148" t="s">
        <v>80</v>
      </c>
      <c r="E11" s="152" t="s">
        <v>1084</v>
      </c>
      <c r="F11" s="148">
        <v>152.6</v>
      </c>
      <c r="G11" s="148">
        <v>50.1</v>
      </c>
      <c r="H11" s="150">
        <v>25</v>
      </c>
      <c r="I11" s="151">
        <v>17</v>
      </c>
      <c r="J11" s="151">
        <v>60</v>
      </c>
      <c r="K11" s="148">
        <v>39</v>
      </c>
      <c r="L11" s="196">
        <v>296</v>
      </c>
      <c r="M11" s="151">
        <v>35</v>
      </c>
      <c r="N11" s="197">
        <v>8.1</v>
      </c>
      <c r="O11" s="151">
        <v>180</v>
      </c>
      <c r="P11" s="153">
        <v>15</v>
      </c>
      <c r="Q11"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52</v>
      </c>
      <c r="R11" s="47" t="str">
        <f>IF(テーブル22[[#This Row],[得点]]=0,"",IF(テーブル22[[#This Row],[年齢]]=17,LOOKUP(Q11,$BH$6:$BH$10,$BE$6:$BE$10),IF(テーブル22[[#This Row],[年齢]]=16,LOOKUP(Q11,$BG$6:$BG$10,$BE$6:$BE$10),IF(テーブル22[[#This Row],[年齢]]=15,LOOKUP(Q11,$BF$6:$BF$10,$BE$6:$BE$10),IF(テーブル22[[#This Row],[年齢]]=14,LOOKUP(Q11,$BD$6:$BD$10,$BE$6:$BE$10),IF(テーブル22[[#This Row],[年齢]]=13,LOOKUP(Q11,$BC$6:$BC$10,$BE$6:$BE$10),LOOKUP(Q11,$BB$6:$BB$10,$BE$6:$BE$10)))))))</f>
        <v>B</v>
      </c>
      <c r="S11" s="46">
        <f>IF(H11="",0,(IF(テーブル22[[#This Row],[性別]]="男",LOOKUP(テーブル22[[#This Row],[握力]],$AI$6:$AJ$15),LOOKUP(テーブル22[[#This Row],[握力]],$AI$20:$AJ$29))))</f>
        <v>6</v>
      </c>
      <c r="T11" s="46">
        <f>IF(テーブル22[[#This Row],[上体]]="",0,(IF(テーブル22[[#This Row],[性別]]="男",LOOKUP(テーブル22[[#This Row],[上体]],$AK$6:$AL$15),LOOKUP(テーブル22[[#This Row],[上体]],$AK$20:$AL$29))))</f>
        <v>5</v>
      </c>
      <c r="U11" s="46">
        <f>IF(テーブル22[[#This Row],[長座]]="",0,(IF(テーブル22[[#This Row],[性別]]="男",LOOKUP(テーブル22[[#This Row],[長座]],$AM$6:$AN$15),LOOKUP(テーブル22[[#This Row],[長座]],$AM$20:$AN$29))))</f>
        <v>9</v>
      </c>
      <c r="V11" s="46">
        <f>IF(テーブル22[[#This Row],[反復]]="",0,(IF(テーブル22[[#This Row],[性別]]="男",LOOKUP(テーブル22[[#This Row],[反復]],$AO$6:$AP$15),LOOKUP(テーブル22[[#This Row],[反復]],$AO$20:$AP$29))))</f>
        <v>5</v>
      </c>
      <c r="W11" s="46">
        <f>IF(テーブル22[[#This Row],[持久走]]="",0,(IF(テーブル22[[#This Row],[性別]]="男",LOOKUP(テーブル22[[#This Row],[持久走]],$AQ$6:$AR$15),LOOKUP(テーブル22[[#This Row],[持久走]],$AQ$20:$AR$29))))</f>
        <v>6</v>
      </c>
      <c r="X11" s="46">
        <f>IF(テーブル22[[#This Row],[ｼｬﾄﾙﾗﾝ]]="",0,(IF(テーブル22[[#This Row],[性別]]="男",LOOKUP(テーブル22[[#This Row],[ｼｬﾄﾙﾗﾝ]],$AS$6:$AT$15),LOOKUP(テーブル22[[#This Row],[ｼｬﾄﾙﾗﾝ]],$AS$20:$AT$29))))</f>
        <v>5</v>
      </c>
      <c r="Y11" s="46">
        <f>IF(テーブル22[[#This Row],[50m走]]="",0,(IF(テーブル22[[#This Row],[性別]]="男",LOOKUP(テーブル22[[#This Row],[50m走]],$AU$6:$AV$15),LOOKUP(テーブル22[[#This Row],[50m走]],$AU$20:$AV$29))))</f>
        <v>8</v>
      </c>
      <c r="Z11" s="46">
        <f>IF(テーブル22[[#This Row],[立幅とび]]="",0,(IF(テーブル22[[#This Row],[性別]]="男",LOOKUP(テーブル22[[#This Row],[立幅とび]],$AW$6:$AX$15),LOOKUP(テーブル22[[#This Row],[立幅とび]],$AW$20:$AX$29))))</f>
        <v>7</v>
      </c>
      <c r="AA11" s="46">
        <f>IF(テーブル22[[#This Row],[ボール投げ]]="",0,(IF(テーブル22[[#This Row],[性別]]="男",LOOKUP(テーブル22[[#This Row],[ボール投げ]],$AY$6:$AZ$15),LOOKUP(テーブル22[[#This Row],[ボール投げ]],$AY$20:$AZ$29))))</f>
        <v>6</v>
      </c>
      <c r="AB11" s="82">
        <f>IF(テーブル22[[#This Row],[学年]]=1,12,IF(テーブル22[[#This Row],[学年]]=2,13,IF(テーブル22[[#This Row],[学年]]=3,14,"")))</f>
        <v>14</v>
      </c>
      <c r="AC11" s="76" t="str">
        <f>IF(テーブル22[[#This Row],[肥満度数値]]=0,"",LOOKUP(AE11,$AW$39:$AW$44,$AX$39:$AX$44))</f>
        <v>正常</v>
      </c>
      <c r="AD11"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47.380399999999987</v>
      </c>
      <c r="AE11" s="77">
        <f>IF(テーブル22[[#This Row],[体重]]="",0,(テーブル22[[#This Row],[体重]]-テーブル22[[#This Row],[標準体重]])/テーブル22[[#This Row],[標準体重]]*100)</f>
        <v>5.7399262142151919</v>
      </c>
      <c r="AG11" s="1" t="str">
        <f>IF(テーブル22[[#This Row],[判定]]=$BE$10,"○","")</f>
        <v/>
      </c>
      <c r="AH11" s="1" t="str">
        <f>IF(AG11="","",COUNTIF($AG$6:AG11,"○"))</f>
        <v/>
      </c>
      <c r="AI11" s="61">
        <v>38</v>
      </c>
      <c r="AJ11" s="62">
        <v>6</v>
      </c>
      <c r="AK11" s="61">
        <v>25</v>
      </c>
      <c r="AL11" s="62">
        <v>6</v>
      </c>
      <c r="AM11" s="61">
        <v>44</v>
      </c>
      <c r="AN11" s="62">
        <v>6</v>
      </c>
      <c r="AO11" s="61">
        <v>49</v>
      </c>
      <c r="AP11" s="62">
        <v>6</v>
      </c>
      <c r="AQ11" s="85">
        <v>383</v>
      </c>
      <c r="AR11" s="64">
        <v>5</v>
      </c>
      <c r="AS11" s="61">
        <v>76</v>
      </c>
      <c r="AT11" s="62">
        <v>6</v>
      </c>
      <c r="AU11" s="61">
        <v>7.6</v>
      </c>
      <c r="AV11" s="62">
        <v>5</v>
      </c>
      <c r="AW11" s="61">
        <v>218</v>
      </c>
      <c r="AX11" s="62">
        <v>6</v>
      </c>
      <c r="AY11" s="61">
        <v>25</v>
      </c>
      <c r="AZ11" s="62">
        <v>6</v>
      </c>
      <c r="BA11" s="54"/>
      <c r="BB11" s="54"/>
      <c r="BC11" s="54"/>
      <c r="BD11" s="54"/>
      <c r="BE11" s="54"/>
      <c r="BF11" s="54"/>
      <c r="BG11" s="54"/>
      <c r="BH11" s="54"/>
    </row>
    <row r="12" spans="1:60" ht="14.25" customHeight="1" x14ac:dyDescent="0.15">
      <c r="A12" s="44">
        <v>7</v>
      </c>
      <c r="B12" s="148">
        <v>3</v>
      </c>
      <c r="C12" s="151">
        <v>1</v>
      </c>
      <c r="D12" s="148" t="s">
        <v>80</v>
      </c>
      <c r="E12" s="152" t="s">
        <v>1085</v>
      </c>
      <c r="F12" s="148">
        <v>161</v>
      </c>
      <c r="G12" s="148">
        <v>55.2</v>
      </c>
      <c r="H12" s="150">
        <v>30</v>
      </c>
      <c r="I12" s="151">
        <v>25</v>
      </c>
      <c r="J12" s="151">
        <v>58</v>
      </c>
      <c r="K12" s="148">
        <v>54</v>
      </c>
      <c r="L12" s="196"/>
      <c r="M12" s="151">
        <v>66</v>
      </c>
      <c r="N12" s="197">
        <v>7.8</v>
      </c>
      <c r="O12" s="151">
        <v>198</v>
      </c>
      <c r="P12" s="153">
        <v>24</v>
      </c>
      <c r="Q12"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70</v>
      </c>
      <c r="R12" s="47" t="str">
        <f>IF(テーブル22[[#This Row],[得点]]=0,"",IF(テーブル22[[#This Row],[年齢]]=17,LOOKUP(Q12,$BH$6:$BH$10,$BE$6:$BE$10),IF(テーブル22[[#This Row],[年齢]]=16,LOOKUP(Q12,$BG$6:$BG$10,$BE$6:$BE$10),IF(テーブル22[[#This Row],[年齢]]=15,LOOKUP(Q12,$BF$6:$BF$10,$BE$6:$BE$10),IF(テーブル22[[#This Row],[年齢]]=14,LOOKUP(Q12,$BD$6:$BD$10,$BE$6:$BE$10),IF(テーブル22[[#This Row],[年齢]]=13,LOOKUP(Q12,$BC$6:$BC$10,$BE$6:$BE$10),LOOKUP(Q12,$BB$6:$BB$10,$BE$6:$BE$10)))))))</f>
        <v>A</v>
      </c>
      <c r="S12" s="46">
        <f>IF(H12="",0,(IF(テーブル22[[#This Row],[性別]]="男",LOOKUP(テーブル22[[#This Row],[握力]],$AI$6:$AJ$15),LOOKUP(テーブル22[[#This Row],[握力]],$AI$20:$AJ$29))))</f>
        <v>8</v>
      </c>
      <c r="T12" s="46">
        <f>IF(テーブル22[[#This Row],[上体]]="",0,(IF(テーブル22[[#This Row],[性別]]="男",LOOKUP(テーブル22[[#This Row],[上体]],$AK$6:$AL$15),LOOKUP(テーブル22[[#This Row],[上体]],$AK$20:$AL$29))))</f>
        <v>8</v>
      </c>
      <c r="U12" s="46">
        <f>IF(テーブル22[[#This Row],[長座]]="",0,(IF(テーブル22[[#This Row],[性別]]="男",LOOKUP(テーブル22[[#This Row],[長座]],$AM$6:$AN$15),LOOKUP(テーブル22[[#This Row],[長座]],$AM$20:$AN$29))))</f>
        <v>9</v>
      </c>
      <c r="V12" s="46">
        <f>IF(テーブル22[[#This Row],[反復]]="",0,(IF(テーブル22[[#This Row],[性別]]="男",LOOKUP(テーブル22[[#This Row],[反復]],$AO$6:$AP$15),LOOKUP(テーブル22[[#This Row],[反復]],$AO$20:$AP$29))))</f>
        <v>10</v>
      </c>
      <c r="W12" s="46">
        <f>IF(テーブル22[[#This Row],[持久走]]="",0,(IF(テーブル22[[#This Row],[性別]]="男",LOOKUP(テーブル22[[#This Row],[持久走]],$AQ$6:$AR$15),LOOKUP(テーブル22[[#This Row],[持久走]],$AQ$20:$AR$29))))</f>
        <v>0</v>
      </c>
      <c r="X12" s="46">
        <f>IF(テーブル22[[#This Row],[ｼｬﾄﾙﾗﾝ]]="",0,(IF(テーブル22[[#This Row],[性別]]="男",LOOKUP(テーブル22[[#This Row],[ｼｬﾄﾙﾗﾝ]],$AS$6:$AT$15),LOOKUP(テーブル22[[#This Row],[ｼｬﾄﾙﾗﾝ]],$AS$20:$AT$29))))</f>
        <v>8</v>
      </c>
      <c r="Y12" s="46">
        <f>IF(テーブル22[[#This Row],[50m走]]="",0,(IF(テーブル22[[#This Row],[性別]]="男",LOOKUP(テーブル22[[#This Row],[50m走]],$AU$6:$AV$15),LOOKUP(テーブル22[[#This Row],[50m走]],$AU$20:$AV$29))))</f>
        <v>9</v>
      </c>
      <c r="Z12" s="46">
        <f>IF(テーブル22[[#This Row],[立幅とび]]="",0,(IF(テーブル22[[#This Row],[性別]]="男",LOOKUP(テーブル22[[#This Row],[立幅とび]],$AW$6:$AX$15),LOOKUP(テーブル22[[#This Row],[立幅とび]],$AW$20:$AX$29))))</f>
        <v>8</v>
      </c>
      <c r="AA12" s="46">
        <f>IF(テーブル22[[#This Row],[ボール投げ]]="",0,(IF(テーブル22[[#This Row],[性別]]="男",LOOKUP(テーブル22[[#This Row],[ボール投げ]],$AY$6:$AZ$15),LOOKUP(テーブル22[[#This Row],[ボール投げ]],$AY$20:$AZ$29))))</f>
        <v>10</v>
      </c>
      <c r="AB12" s="82">
        <f>IF(テーブル22[[#This Row],[学年]]=1,12,IF(テーブル22[[#This Row],[学年]]=2,13,IF(テーブル22[[#This Row],[学年]]=3,14,"")))</f>
        <v>14</v>
      </c>
      <c r="AC12" s="76" t="str">
        <f>IF(テーブル22[[#This Row],[肥満度数値]]=0,"",LOOKUP(AE12,$AW$39:$AW$44,$AX$39:$AX$44))</f>
        <v>正常</v>
      </c>
      <c r="AD12" s="202">
        <f>IF(テーブル22[[#This Row],[体重]]="",0,IF(テーブル22[[#This Row],[性別]]="男",IF(テーブル22[[#This Row],[年齢]]=14,(0.832*テーブル22[[#This Row],[身長]]-83.695),IF(テーブル22[[#This Row],[年齢]]=13,(0.815*テーブル22[[#This Row],[身長]]-81.348),IF(テーブル22[[#This Row],[年齢]]=12,(0.783*テーブル22[[#This Row],[身長]]-75.642),0))),IF(テーブル22[[#This Row],[年齢]]=14,(0.594*テーブル22[[#This Row],[身長]]-43.264),IF(テーブル22[[#This Row],[年齢]]=13,(0.655*テーブル22[[#This Row],[身長]]-54.234),IF(テーブル22[[#This Row],[年齢]]=12,(0.796*テーブル22[[#This Row],[身長]]-76.934))))))</f>
        <v>52.37</v>
      </c>
      <c r="AE12" s="77">
        <f>IF(テーブル22[[#This Row],[体重]]="",0,(テーブル22[[#This Row],[体重]]-テーブル22[[#This Row],[標準体重]])/テーブル22[[#This Row],[標準体重]]*100)</f>
        <v>5.4038571701355842</v>
      </c>
      <c r="AG12" s="1" t="str">
        <f>IF(テーブル22[[#This Row],[判定]]=$BE$10,"○","")</f>
        <v>○</v>
      </c>
      <c r="AH12" s="1">
        <f>IF(AG12="","",COUNTIF($AG$6:AG12,"○"))</f>
        <v>2</v>
      </c>
      <c r="AI12" s="61">
        <v>43</v>
      </c>
      <c r="AJ12" s="62">
        <v>7</v>
      </c>
      <c r="AK12" s="61">
        <v>27</v>
      </c>
      <c r="AL12" s="62">
        <v>7</v>
      </c>
      <c r="AM12" s="61">
        <v>49</v>
      </c>
      <c r="AN12" s="62">
        <v>7</v>
      </c>
      <c r="AO12" s="61">
        <v>53</v>
      </c>
      <c r="AP12" s="62">
        <v>7</v>
      </c>
      <c r="AQ12" s="85">
        <v>411</v>
      </c>
      <c r="AR12" s="64">
        <v>4</v>
      </c>
      <c r="AS12" s="61">
        <v>90</v>
      </c>
      <c r="AT12" s="62">
        <v>7</v>
      </c>
      <c r="AU12" s="61">
        <v>8</v>
      </c>
      <c r="AV12" s="62">
        <v>4</v>
      </c>
      <c r="AW12" s="61">
        <v>230</v>
      </c>
      <c r="AX12" s="62">
        <v>7</v>
      </c>
      <c r="AY12" s="61">
        <v>28</v>
      </c>
      <c r="AZ12" s="62">
        <v>7</v>
      </c>
      <c r="BA12" s="54"/>
      <c r="BB12" s="54"/>
      <c r="BC12" s="54"/>
      <c r="BD12" s="54"/>
      <c r="BE12" s="54"/>
      <c r="BF12" s="54"/>
      <c r="BG12" s="54"/>
      <c r="BH12" s="54"/>
    </row>
    <row r="13" spans="1:60" ht="14.25" customHeight="1" x14ac:dyDescent="0.15">
      <c r="A13" s="44">
        <v>8</v>
      </c>
      <c r="B13" s="148"/>
      <c r="C13" s="151"/>
      <c r="D13" s="148"/>
      <c r="E13" s="152"/>
      <c r="F13" s="148"/>
      <c r="G13" s="148"/>
      <c r="H13" s="150"/>
      <c r="I13" s="151"/>
      <c r="J13" s="151"/>
      <c r="K13" s="148"/>
      <c r="L13" s="196"/>
      <c r="M13" s="151"/>
      <c r="N13" s="197"/>
      <c r="O13" s="151"/>
      <c r="P13" s="153"/>
      <c r="Q13" s="26"/>
      <c r="R13" s="47"/>
      <c r="S13" s="46"/>
      <c r="T13" s="46"/>
      <c r="U13" s="46"/>
      <c r="V13" s="46"/>
      <c r="W13" s="46"/>
      <c r="X13" s="46"/>
      <c r="Y13" s="46"/>
      <c r="Z13" s="46"/>
      <c r="AA13" s="46"/>
      <c r="AB13" s="82"/>
      <c r="AC13" s="76"/>
      <c r="AD13" s="202"/>
      <c r="AE13" s="77">
        <f>IF(テーブル22[[#This Row],[体重]]="",0,(テーブル22[[#This Row],[体重]]-テーブル22[[#This Row],[標準体重]])/テーブル22[[#This Row],[標準体重]]*100)</f>
        <v>0</v>
      </c>
      <c r="AG13" s="1" t="str">
        <f>IF(テーブル22[[#This Row],[判定]]=$BE$10,"○","")</f>
        <v/>
      </c>
      <c r="AH13" s="1" t="str">
        <f>IF(AG13="","",COUNTIF($AG$6:AG13,"○"))</f>
        <v/>
      </c>
      <c r="AI13" s="61">
        <v>47</v>
      </c>
      <c r="AJ13" s="62">
        <v>8</v>
      </c>
      <c r="AK13" s="61">
        <v>30</v>
      </c>
      <c r="AL13" s="62">
        <v>8</v>
      </c>
      <c r="AM13" s="61">
        <v>53</v>
      </c>
      <c r="AN13" s="62">
        <v>8</v>
      </c>
      <c r="AO13" s="61">
        <v>56</v>
      </c>
      <c r="AP13" s="62">
        <v>8</v>
      </c>
      <c r="AQ13" s="85">
        <v>451</v>
      </c>
      <c r="AR13" s="64">
        <v>3</v>
      </c>
      <c r="AS13" s="61">
        <v>102</v>
      </c>
      <c r="AT13" s="62">
        <v>8</v>
      </c>
      <c r="AU13" s="61">
        <v>8.5</v>
      </c>
      <c r="AV13" s="62">
        <v>3</v>
      </c>
      <c r="AW13" s="61">
        <v>242</v>
      </c>
      <c r="AX13" s="62">
        <v>8</v>
      </c>
      <c r="AY13" s="61">
        <v>31</v>
      </c>
      <c r="AZ13" s="62">
        <v>8</v>
      </c>
      <c r="BA13" s="54"/>
      <c r="BB13" s="54"/>
      <c r="BC13" s="54"/>
      <c r="BD13" s="54"/>
      <c r="BE13" s="54"/>
      <c r="BF13" s="54"/>
      <c r="BG13" s="54"/>
      <c r="BH13" s="54"/>
    </row>
    <row r="14" spans="1:60" ht="14.25" customHeight="1" x14ac:dyDescent="0.15">
      <c r="A14" s="44">
        <v>9</v>
      </c>
      <c r="B14" s="148"/>
      <c r="C14" s="151"/>
      <c r="D14" s="148"/>
      <c r="E14" s="152"/>
      <c r="F14" s="148"/>
      <c r="G14" s="148"/>
      <c r="H14" s="150"/>
      <c r="I14" s="151"/>
      <c r="J14" s="151"/>
      <c r="K14" s="148"/>
      <c r="L14" s="196"/>
      <c r="M14" s="151"/>
      <c r="N14" s="197"/>
      <c r="O14" s="151"/>
      <c r="P14" s="153"/>
      <c r="Q14" s="26"/>
      <c r="R14" s="47"/>
      <c r="S14" s="46"/>
      <c r="T14" s="46"/>
      <c r="U14" s="46"/>
      <c r="V14" s="46"/>
      <c r="W14" s="46"/>
      <c r="X14" s="46"/>
      <c r="Y14" s="46"/>
      <c r="Z14" s="46"/>
      <c r="AA14" s="46"/>
      <c r="AB14" s="82"/>
      <c r="AC14" s="76"/>
      <c r="AD14" s="202"/>
      <c r="AE14" s="77">
        <f>IF(テーブル22[[#This Row],[体重]]="",0,(テーブル22[[#This Row],[体重]]-テーブル22[[#This Row],[標準体重]])/テーブル22[[#This Row],[標準体重]]*100)</f>
        <v>0</v>
      </c>
      <c r="AG14" s="1" t="str">
        <f>IF(テーブル22[[#This Row],[判定]]=$BE$10,"○","")</f>
        <v/>
      </c>
      <c r="AH14" s="1" t="str">
        <f>IF(AG14="","",COUNTIF($AG$6:AG14,"○"))</f>
        <v/>
      </c>
      <c r="AI14" s="61">
        <v>51</v>
      </c>
      <c r="AJ14" s="62">
        <v>9</v>
      </c>
      <c r="AK14" s="61">
        <v>33</v>
      </c>
      <c r="AL14" s="62">
        <v>9</v>
      </c>
      <c r="AM14" s="61">
        <v>58</v>
      </c>
      <c r="AN14" s="62">
        <v>9</v>
      </c>
      <c r="AO14" s="61">
        <v>60</v>
      </c>
      <c r="AP14" s="62">
        <v>9</v>
      </c>
      <c r="AQ14" s="85">
        <v>500</v>
      </c>
      <c r="AR14" s="64">
        <v>2</v>
      </c>
      <c r="AS14" s="61">
        <v>113</v>
      </c>
      <c r="AT14" s="62">
        <v>9</v>
      </c>
      <c r="AU14" s="61">
        <v>9.1</v>
      </c>
      <c r="AV14" s="62">
        <v>2</v>
      </c>
      <c r="AW14" s="61">
        <v>254</v>
      </c>
      <c r="AX14" s="62">
        <v>9</v>
      </c>
      <c r="AY14" s="61">
        <v>34</v>
      </c>
      <c r="AZ14" s="62">
        <v>9</v>
      </c>
      <c r="BA14" s="54"/>
      <c r="BB14" s="54"/>
      <c r="BC14" s="54"/>
      <c r="BD14" s="54"/>
      <c r="BE14" s="54"/>
      <c r="BF14" s="54"/>
      <c r="BG14" s="54"/>
      <c r="BH14" s="54"/>
    </row>
    <row r="15" spans="1:60" ht="14.25" customHeight="1" thickBot="1" x14ac:dyDescent="0.2">
      <c r="A15" s="44">
        <v>10</v>
      </c>
      <c r="B15" s="148"/>
      <c r="C15" s="151"/>
      <c r="D15" s="148"/>
      <c r="E15" s="152"/>
      <c r="F15" s="148"/>
      <c r="G15" s="148"/>
      <c r="H15" s="150"/>
      <c r="I15" s="151"/>
      <c r="J15" s="151"/>
      <c r="K15" s="148"/>
      <c r="L15" s="196"/>
      <c r="M15" s="151"/>
      <c r="N15" s="197"/>
      <c r="O15" s="151"/>
      <c r="P15" s="153"/>
      <c r="Q15" s="26"/>
      <c r="R15" s="47"/>
      <c r="S15" s="46"/>
      <c r="T15" s="46"/>
      <c r="U15" s="46"/>
      <c r="V15" s="46"/>
      <c r="W15" s="46"/>
      <c r="X15" s="46"/>
      <c r="Y15" s="46"/>
      <c r="Z15" s="46"/>
      <c r="AA15" s="46"/>
      <c r="AB15" s="82"/>
      <c r="AC15" s="76"/>
      <c r="AD15" s="202"/>
      <c r="AE15" s="77">
        <f>IF(テーブル22[[#This Row],[体重]]="",0,(テーブル22[[#This Row],[体重]]-テーブル22[[#This Row],[標準体重]])/テーブル22[[#This Row],[標準体重]]*100)</f>
        <v>0</v>
      </c>
      <c r="AG15" s="1" t="str">
        <f>IF(テーブル22[[#This Row],[判定]]=$BE$10,"○","")</f>
        <v/>
      </c>
      <c r="AH15" s="1" t="str">
        <f>IF(AG15="","",COUNTIF($AG$6:AG15,"○"))</f>
        <v/>
      </c>
      <c r="AI15" s="69">
        <v>56</v>
      </c>
      <c r="AJ15" s="70">
        <v>10</v>
      </c>
      <c r="AK15" s="69">
        <v>35</v>
      </c>
      <c r="AL15" s="70">
        <v>10</v>
      </c>
      <c r="AM15" s="69">
        <v>64</v>
      </c>
      <c r="AN15" s="70">
        <v>10</v>
      </c>
      <c r="AO15" s="69">
        <v>63</v>
      </c>
      <c r="AP15" s="70">
        <v>10</v>
      </c>
      <c r="AQ15" s="86">
        <v>561</v>
      </c>
      <c r="AR15" s="67">
        <v>1</v>
      </c>
      <c r="AS15" s="69">
        <v>125</v>
      </c>
      <c r="AT15" s="70">
        <v>10</v>
      </c>
      <c r="AU15" s="69">
        <v>9.8000000000000007</v>
      </c>
      <c r="AV15" s="70">
        <v>1</v>
      </c>
      <c r="AW15" s="69">
        <v>265</v>
      </c>
      <c r="AX15" s="70">
        <v>10</v>
      </c>
      <c r="AY15" s="69">
        <v>37</v>
      </c>
      <c r="AZ15" s="70">
        <v>10</v>
      </c>
      <c r="BA15" s="54"/>
      <c r="BB15" s="54"/>
      <c r="BC15" s="54"/>
      <c r="BD15" s="54"/>
      <c r="BE15" s="54"/>
      <c r="BF15" s="54"/>
      <c r="BG15" s="54"/>
      <c r="BH15" s="54"/>
    </row>
    <row r="16" spans="1:60" ht="14.25" customHeight="1" x14ac:dyDescent="0.15">
      <c r="A16" s="44">
        <v>11</v>
      </c>
      <c r="B16" s="148"/>
      <c r="C16" s="151"/>
      <c r="D16" s="148"/>
      <c r="E16" s="152"/>
      <c r="F16" s="148"/>
      <c r="G16" s="148"/>
      <c r="H16" s="150"/>
      <c r="I16" s="151"/>
      <c r="J16" s="151"/>
      <c r="K16" s="148"/>
      <c r="L16" s="196"/>
      <c r="M16" s="151"/>
      <c r="N16" s="197"/>
      <c r="O16" s="151"/>
      <c r="P16" s="153"/>
      <c r="Q16" s="26"/>
      <c r="R16" s="47"/>
      <c r="S16" s="46"/>
      <c r="T16" s="46"/>
      <c r="U16" s="46"/>
      <c r="V16" s="46"/>
      <c r="W16" s="46"/>
      <c r="X16" s="46"/>
      <c r="Y16" s="46"/>
      <c r="Z16" s="46"/>
      <c r="AA16" s="46"/>
      <c r="AB16" s="82"/>
      <c r="AC16" s="76"/>
      <c r="AD16" s="202"/>
      <c r="AE16" s="77">
        <f>IF(テーブル22[[#This Row],[体重]]="",0,(テーブル22[[#This Row],[体重]]-テーブル22[[#This Row],[標準体重]])/テーブル22[[#This Row],[標準体重]]*100)</f>
        <v>0</v>
      </c>
      <c r="AG16" s="1" t="str">
        <f>IF(テーブル22[[#This Row],[判定]]=$BE$10,"○","")</f>
        <v/>
      </c>
      <c r="AH16" s="1" t="str">
        <f>IF(AG16="","",COUNTIF($AG$6:AG16,"○"))</f>
        <v/>
      </c>
      <c r="AI16" s="54"/>
      <c r="AJ16" s="54"/>
      <c r="AK16" s="54"/>
      <c r="AL16" s="54"/>
      <c r="AM16" s="54"/>
      <c r="AN16" s="54"/>
      <c r="AO16" s="54"/>
      <c r="AP16" s="54"/>
      <c r="AQ16" s="54"/>
      <c r="AR16" s="54"/>
      <c r="AS16" s="54"/>
      <c r="AT16" s="54"/>
      <c r="AU16" s="54"/>
      <c r="AV16" s="54"/>
      <c r="AW16" s="54"/>
      <c r="AX16" s="54"/>
      <c r="AY16" s="54"/>
      <c r="AZ16" s="54"/>
      <c r="BA16" s="54"/>
      <c r="BB16" s="136" t="s">
        <v>1088</v>
      </c>
      <c r="BC16" s="54"/>
      <c r="BD16" s="54"/>
      <c r="BE16" s="54"/>
      <c r="BF16" s="54"/>
      <c r="BG16" s="54"/>
      <c r="BH16" s="54"/>
    </row>
    <row r="17" spans="1:60" ht="14.25" customHeight="1" x14ac:dyDescent="0.15">
      <c r="A17" s="44">
        <v>12</v>
      </c>
      <c r="B17" s="148"/>
      <c r="C17" s="151"/>
      <c r="D17" s="148"/>
      <c r="E17" s="152"/>
      <c r="F17" s="148"/>
      <c r="G17" s="148"/>
      <c r="H17" s="150"/>
      <c r="I17" s="151"/>
      <c r="J17" s="151"/>
      <c r="K17" s="148"/>
      <c r="L17" s="196"/>
      <c r="M17" s="151"/>
      <c r="N17" s="197"/>
      <c r="O17" s="151"/>
      <c r="P17" s="153"/>
      <c r="Q17" s="26"/>
      <c r="R17" s="47"/>
      <c r="S17" s="46"/>
      <c r="T17" s="46"/>
      <c r="U17" s="46"/>
      <c r="V17" s="46"/>
      <c r="W17" s="46"/>
      <c r="X17" s="46"/>
      <c r="Y17" s="46"/>
      <c r="Z17" s="46"/>
      <c r="AA17" s="46"/>
      <c r="AB17" s="82"/>
      <c r="AC17" s="76"/>
      <c r="AD17" s="202"/>
      <c r="AE17" s="77">
        <f>IF(テーブル22[[#This Row],[体重]]="",0,(テーブル22[[#This Row],[体重]]-テーブル22[[#This Row],[標準体重]])/テーブル22[[#This Row],[標準体重]]*100)</f>
        <v>0</v>
      </c>
      <c r="AG17" s="1" t="str">
        <f>IF(テーブル22[[#This Row],[判定]]=$BE$10,"○","")</f>
        <v/>
      </c>
      <c r="AH17" s="1" t="str">
        <f>IF(AG17="","",COUNTIF($AG$6:AG17,"○"))</f>
        <v/>
      </c>
      <c r="AI17" s="54"/>
      <c r="AJ17" s="54"/>
      <c r="AK17" s="54"/>
      <c r="AL17" s="54"/>
      <c r="AM17" s="54"/>
      <c r="AN17" s="54"/>
      <c r="AO17" s="54"/>
      <c r="AP17" s="54"/>
      <c r="AQ17" s="54"/>
      <c r="AR17" s="54"/>
      <c r="AS17" s="54"/>
      <c r="AT17" s="54"/>
      <c r="AU17" s="54"/>
      <c r="AV17" s="54"/>
      <c r="AW17" s="54"/>
      <c r="AX17" s="54"/>
      <c r="AY17" s="54"/>
      <c r="AZ17" s="54"/>
      <c r="BA17" s="54"/>
      <c r="BB17" s="136" t="s">
        <v>1089</v>
      </c>
      <c r="BC17" s="54"/>
      <c r="BD17" s="54"/>
      <c r="BE17" s="54"/>
      <c r="BF17" s="54"/>
      <c r="BG17" s="54"/>
      <c r="BH17" s="54"/>
    </row>
    <row r="18" spans="1:60" ht="14.25" customHeight="1" thickBot="1" x14ac:dyDescent="0.2">
      <c r="A18" s="44">
        <v>13</v>
      </c>
      <c r="B18" s="148"/>
      <c r="C18" s="151"/>
      <c r="D18" s="148"/>
      <c r="E18" s="152"/>
      <c r="F18" s="148"/>
      <c r="G18" s="148"/>
      <c r="H18" s="150"/>
      <c r="I18" s="151"/>
      <c r="J18" s="151"/>
      <c r="K18" s="148"/>
      <c r="L18" s="196"/>
      <c r="M18" s="151"/>
      <c r="N18" s="197"/>
      <c r="O18" s="151"/>
      <c r="P18" s="153"/>
      <c r="Q18" s="26"/>
      <c r="R18" s="47"/>
      <c r="S18" s="46"/>
      <c r="T18" s="46"/>
      <c r="U18" s="46"/>
      <c r="V18" s="46"/>
      <c r="W18" s="46"/>
      <c r="X18" s="46"/>
      <c r="Y18" s="46"/>
      <c r="Z18" s="46"/>
      <c r="AA18" s="46"/>
      <c r="AB18" s="82"/>
      <c r="AC18" s="76"/>
      <c r="AD18" s="202"/>
      <c r="AE18" s="77">
        <f>IF(テーブル22[[#This Row],[体重]]="",0,(テーブル22[[#This Row],[体重]]-テーブル22[[#This Row],[標準体重]])/テーブル22[[#This Row],[標準体重]]*100)</f>
        <v>0</v>
      </c>
      <c r="AG18" s="1" t="str">
        <f>IF(テーブル22[[#This Row],[判定]]=$BE$10,"○","")</f>
        <v/>
      </c>
      <c r="AH18" s="1" t="str">
        <f>IF(AG18="","",COUNTIF($AG$6:AG18,"○"))</f>
        <v/>
      </c>
      <c r="AI18" s="71" t="s">
        <v>116</v>
      </c>
      <c r="AJ18" s="54"/>
      <c r="AK18" s="54"/>
      <c r="AL18" s="54"/>
      <c r="AM18" s="54"/>
      <c r="AN18" s="54"/>
      <c r="AO18" s="54"/>
      <c r="AP18" s="54"/>
      <c r="AQ18" s="54"/>
      <c r="AR18" s="54"/>
      <c r="AS18" s="54"/>
      <c r="AT18" s="54"/>
      <c r="AU18" s="54"/>
      <c r="AV18" s="54"/>
      <c r="AW18" s="54"/>
      <c r="AX18" s="54"/>
      <c r="AY18" s="54"/>
      <c r="AZ18" s="54"/>
      <c r="BA18" s="54"/>
      <c r="BB18" s="54"/>
      <c r="BC18" s="54"/>
      <c r="BD18" s="136" t="s">
        <v>1090</v>
      </c>
      <c r="BE18" s="54"/>
      <c r="BF18" s="54"/>
      <c r="BG18" s="54"/>
      <c r="BH18" s="54"/>
    </row>
    <row r="19" spans="1:60" ht="14.25" customHeight="1" thickBot="1" x14ac:dyDescent="0.2">
      <c r="A19" s="44">
        <v>14</v>
      </c>
      <c r="B19" s="148"/>
      <c r="C19" s="151"/>
      <c r="D19" s="148"/>
      <c r="E19" s="152"/>
      <c r="F19" s="148"/>
      <c r="G19" s="148"/>
      <c r="H19" s="150"/>
      <c r="I19" s="151"/>
      <c r="J19" s="151"/>
      <c r="K19" s="148"/>
      <c r="L19" s="196"/>
      <c r="M19" s="151"/>
      <c r="N19" s="197"/>
      <c r="O19" s="151"/>
      <c r="P19" s="153"/>
      <c r="Q19" s="26"/>
      <c r="R19" s="47"/>
      <c r="S19" s="46"/>
      <c r="T19" s="46"/>
      <c r="U19" s="46"/>
      <c r="V19" s="46"/>
      <c r="W19" s="46"/>
      <c r="X19" s="46"/>
      <c r="Y19" s="46"/>
      <c r="Z19" s="46"/>
      <c r="AA19" s="46"/>
      <c r="AB19" s="82"/>
      <c r="AC19" s="76"/>
      <c r="AD19" s="202"/>
      <c r="AE19" s="77">
        <f>IF(テーブル22[[#This Row],[体重]]="",0,(テーブル22[[#This Row],[体重]]-テーブル22[[#This Row],[標準体重]])/テーブル22[[#This Row],[標準体重]]*100)</f>
        <v>0</v>
      </c>
      <c r="AG19" s="1" t="str">
        <f>IF(テーブル22[[#This Row],[判定]]=$BE$10,"○","")</f>
        <v/>
      </c>
      <c r="AH19" s="1" t="str">
        <f>IF(AG19="","",COUNTIF($AG$6:AG19,"○"))</f>
        <v/>
      </c>
      <c r="AI19" s="52" t="s">
        <v>57</v>
      </c>
      <c r="AJ19" s="53" t="s">
        <v>103</v>
      </c>
      <c r="AK19" s="52" t="s">
        <v>112</v>
      </c>
      <c r="AL19" s="53" t="s">
        <v>103</v>
      </c>
      <c r="AM19" s="52" t="s">
        <v>113</v>
      </c>
      <c r="AN19" s="53" t="s">
        <v>103</v>
      </c>
      <c r="AO19" s="52" t="s">
        <v>114</v>
      </c>
      <c r="AP19" s="53" t="s">
        <v>103</v>
      </c>
      <c r="AQ19" s="52" t="s">
        <v>118</v>
      </c>
      <c r="AR19" s="55" t="s">
        <v>117</v>
      </c>
      <c r="AS19" s="52" t="s">
        <v>120</v>
      </c>
      <c r="AT19" s="53" t="s">
        <v>103</v>
      </c>
      <c r="AU19" s="52" t="s">
        <v>121</v>
      </c>
      <c r="AV19" s="53" t="s">
        <v>103</v>
      </c>
      <c r="AW19" s="52" t="s">
        <v>115</v>
      </c>
      <c r="AX19" s="53" t="s">
        <v>103</v>
      </c>
      <c r="AY19" s="52" t="s">
        <v>122</v>
      </c>
      <c r="AZ19" s="53" t="s">
        <v>103</v>
      </c>
      <c r="BA19" s="54"/>
      <c r="BB19" s="136" t="s">
        <v>1091</v>
      </c>
      <c r="BC19" s="54"/>
      <c r="BD19" s="54"/>
      <c r="BE19" s="54"/>
      <c r="BF19" s="54"/>
      <c r="BG19" s="54"/>
      <c r="BH19" s="54"/>
    </row>
    <row r="20" spans="1:60" ht="14.25" customHeight="1" x14ac:dyDescent="0.15">
      <c r="A20" s="44">
        <v>15</v>
      </c>
      <c r="B20" s="148"/>
      <c r="C20" s="151"/>
      <c r="D20" s="148"/>
      <c r="E20" s="152"/>
      <c r="F20" s="148"/>
      <c r="G20" s="148"/>
      <c r="H20" s="150"/>
      <c r="I20" s="151"/>
      <c r="J20" s="151"/>
      <c r="K20" s="148"/>
      <c r="L20" s="196"/>
      <c r="M20" s="151"/>
      <c r="N20" s="197"/>
      <c r="O20" s="151"/>
      <c r="P20" s="153"/>
      <c r="Q20" s="26"/>
      <c r="R20" s="47"/>
      <c r="S20" s="46"/>
      <c r="T20" s="46"/>
      <c r="U20" s="46"/>
      <c r="V20" s="46"/>
      <c r="W20" s="46"/>
      <c r="X20" s="46"/>
      <c r="Y20" s="46"/>
      <c r="Z20" s="46"/>
      <c r="AA20" s="46"/>
      <c r="AB20" s="82"/>
      <c r="AC20" s="76"/>
      <c r="AD20" s="202"/>
      <c r="AE20" s="77">
        <f>IF(テーブル22[[#This Row],[体重]]="",0,(テーブル22[[#This Row],[体重]]-テーブル22[[#This Row],[標準体重]])/テーブル22[[#This Row],[標準体重]]*100)</f>
        <v>0</v>
      </c>
      <c r="AG20" s="1" t="str">
        <f>IF(テーブル22[[#This Row],[判定]]=$BE$10,"○","")</f>
        <v/>
      </c>
      <c r="AH20" s="1" t="str">
        <f>IF(AG20="","",COUNTIF($AG$6:AG20,"○"))</f>
        <v/>
      </c>
      <c r="AI20" s="56">
        <v>0</v>
      </c>
      <c r="AJ20" s="57">
        <v>1</v>
      </c>
      <c r="AK20" s="56">
        <v>0</v>
      </c>
      <c r="AL20" s="57">
        <v>1</v>
      </c>
      <c r="AM20" s="56">
        <v>0</v>
      </c>
      <c r="AN20" s="57">
        <v>1</v>
      </c>
      <c r="AO20" s="56">
        <v>0</v>
      </c>
      <c r="AP20" s="57">
        <v>1</v>
      </c>
      <c r="AQ20" s="84">
        <v>0</v>
      </c>
      <c r="AR20" s="59">
        <v>10</v>
      </c>
      <c r="AS20" s="56">
        <v>0</v>
      </c>
      <c r="AT20" s="57">
        <v>1</v>
      </c>
      <c r="AU20" s="56">
        <v>0</v>
      </c>
      <c r="AV20" s="57">
        <v>10</v>
      </c>
      <c r="AW20" s="56">
        <v>0</v>
      </c>
      <c r="AX20" s="57">
        <v>1</v>
      </c>
      <c r="AY20" s="56">
        <v>0</v>
      </c>
      <c r="AZ20" s="57">
        <v>1</v>
      </c>
      <c r="BA20" s="54"/>
      <c r="BB20" s="223" t="s">
        <v>1092</v>
      </c>
      <c r="BC20" s="223" t="s">
        <v>1093</v>
      </c>
      <c r="BD20" s="223"/>
      <c r="BE20" s="223" t="s">
        <v>1094</v>
      </c>
      <c r="BF20" s="223"/>
      <c r="BG20" s="54"/>
      <c r="BH20" s="54"/>
    </row>
    <row r="21" spans="1:60" ht="14.25" customHeight="1" x14ac:dyDescent="0.15">
      <c r="A21" s="44">
        <v>16</v>
      </c>
      <c r="B21" s="148"/>
      <c r="C21" s="151"/>
      <c r="D21" s="148"/>
      <c r="E21" s="152"/>
      <c r="F21" s="148"/>
      <c r="G21" s="148"/>
      <c r="H21" s="150"/>
      <c r="I21" s="151"/>
      <c r="J21" s="151"/>
      <c r="K21" s="148"/>
      <c r="L21" s="196"/>
      <c r="M21" s="151"/>
      <c r="N21" s="197"/>
      <c r="O21" s="151"/>
      <c r="P21" s="153"/>
      <c r="Q21" s="26"/>
      <c r="R21" s="47"/>
      <c r="S21" s="46"/>
      <c r="T21" s="46"/>
      <c r="U21" s="46"/>
      <c r="V21" s="46"/>
      <c r="W21" s="46"/>
      <c r="X21" s="46"/>
      <c r="Y21" s="46"/>
      <c r="Z21" s="46"/>
      <c r="AA21" s="46"/>
      <c r="AB21" s="82"/>
      <c r="AC21" s="76"/>
      <c r="AD21" s="202"/>
      <c r="AE21" s="77">
        <f>IF(テーブル22[[#This Row],[体重]]="",0,(テーブル22[[#This Row],[体重]]-テーブル22[[#This Row],[標準体重]])/テーブル22[[#This Row],[標準体重]]*100)</f>
        <v>0</v>
      </c>
      <c r="AG21" s="1" t="str">
        <f>IF(テーブル22[[#This Row],[判定]]=$BE$10,"○","")</f>
        <v/>
      </c>
      <c r="AH21" s="1" t="str">
        <f>IF(AG21="","",COUNTIF($AG$6:AG21,"○"))</f>
        <v/>
      </c>
      <c r="AI21" s="61">
        <v>14</v>
      </c>
      <c r="AJ21" s="62">
        <v>2</v>
      </c>
      <c r="AK21" s="61">
        <v>8</v>
      </c>
      <c r="AL21" s="62">
        <v>2</v>
      </c>
      <c r="AM21" s="61">
        <v>23</v>
      </c>
      <c r="AN21" s="62">
        <v>2</v>
      </c>
      <c r="AO21" s="61">
        <v>27</v>
      </c>
      <c r="AP21" s="62">
        <v>2</v>
      </c>
      <c r="AQ21" s="85">
        <v>230</v>
      </c>
      <c r="AR21" s="64">
        <v>9</v>
      </c>
      <c r="AS21" s="61">
        <v>15</v>
      </c>
      <c r="AT21" s="62">
        <v>2</v>
      </c>
      <c r="AU21" s="61">
        <v>7.8</v>
      </c>
      <c r="AV21" s="62">
        <v>9</v>
      </c>
      <c r="AW21" s="61">
        <v>118</v>
      </c>
      <c r="AX21" s="62">
        <v>2</v>
      </c>
      <c r="AY21" s="61">
        <v>8</v>
      </c>
      <c r="AZ21" s="62">
        <v>2</v>
      </c>
      <c r="BA21" s="54"/>
      <c r="BB21" s="223"/>
      <c r="BC21" s="140" t="s">
        <v>1095</v>
      </c>
      <c r="BD21" s="140" t="s">
        <v>1096</v>
      </c>
      <c r="BE21" s="140" t="s">
        <v>1095</v>
      </c>
      <c r="BF21" s="140" t="s">
        <v>1096</v>
      </c>
      <c r="BG21" s="54"/>
      <c r="BH21" s="54"/>
    </row>
    <row r="22" spans="1:60" ht="14.25" customHeight="1" x14ac:dyDescent="0.15">
      <c r="A22" s="44">
        <v>17</v>
      </c>
      <c r="B22" s="148"/>
      <c r="C22" s="151"/>
      <c r="D22" s="148"/>
      <c r="E22" s="152"/>
      <c r="F22" s="148"/>
      <c r="G22" s="148"/>
      <c r="H22" s="150"/>
      <c r="I22" s="151"/>
      <c r="J22" s="151"/>
      <c r="K22" s="148"/>
      <c r="L22" s="196"/>
      <c r="M22" s="151"/>
      <c r="N22" s="197"/>
      <c r="O22" s="151"/>
      <c r="P22" s="153"/>
      <c r="Q22" s="26"/>
      <c r="R22" s="47"/>
      <c r="S22" s="46"/>
      <c r="T22" s="46"/>
      <c r="U22" s="46"/>
      <c r="V22" s="46"/>
      <c r="W22" s="46"/>
      <c r="X22" s="46"/>
      <c r="Y22" s="46"/>
      <c r="Z22" s="46"/>
      <c r="AA22" s="46"/>
      <c r="AB22" s="82"/>
      <c r="AC22" s="76"/>
      <c r="AD22" s="202"/>
      <c r="AE22" s="77">
        <f>IF(テーブル22[[#This Row],[体重]]="",0,(テーブル22[[#This Row],[体重]]-テーブル22[[#This Row],[標準体重]])/テーブル22[[#This Row],[標準体重]]*100)</f>
        <v>0</v>
      </c>
      <c r="AG22" s="1" t="str">
        <f>IF(テーブル22[[#This Row],[判定]]=$BE$10,"○","")</f>
        <v/>
      </c>
      <c r="AH22" s="1" t="str">
        <f>IF(AG22="","",COUNTIF($AG$6:AG22,"○"))</f>
        <v/>
      </c>
      <c r="AI22" s="61">
        <v>17</v>
      </c>
      <c r="AJ22" s="62">
        <v>3</v>
      </c>
      <c r="AK22" s="61">
        <v>11</v>
      </c>
      <c r="AL22" s="62">
        <v>3</v>
      </c>
      <c r="AM22" s="61">
        <v>30</v>
      </c>
      <c r="AN22" s="62">
        <v>3</v>
      </c>
      <c r="AO22" s="61">
        <v>32</v>
      </c>
      <c r="AP22" s="62">
        <v>3</v>
      </c>
      <c r="AQ22" s="85">
        <v>243</v>
      </c>
      <c r="AR22" s="64">
        <v>8</v>
      </c>
      <c r="AS22" s="61">
        <v>21</v>
      </c>
      <c r="AT22" s="62">
        <v>3</v>
      </c>
      <c r="AU22" s="61">
        <v>8.1</v>
      </c>
      <c r="AV22" s="62">
        <v>8</v>
      </c>
      <c r="AW22" s="61">
        <v>132</v>
      </c>
      <c r="AX22" s="62">
        <v>3</v>
      </c>
      <c r="AY22" s="61">
        <v>10</v>
      </c>
      <c r="AZ22" s="62">
        <v>3</v>
      </c>
      <c r="BA22" s="54"/>
      <c r="BB22" s="140">
        <v>5</v>
      </c>
      <c r="BC22" s="140" t="s">
        <v>1097</v>
      </c>
      <c r="BD22" s="140" t="s">
        <v>1098</v>
      </c>
      <c r="BE22" s="140" t="s">
        <v>1099</v>
      </c>
      <c r="BF22" s="140" t="s">
        <v>1100</v>
      </c>
      <c r="BG22" s="54"/>
      <c r="BH22" s="54"/>
    </row>
    <row r="23" spans="1:60" ht="14.25" customHeight="1" x14ac:dyDescent="0.15">
      <c r="A23" s="44">
        <v>18</v>
      </c>
      <c r="B23" s="148"/>
      <c r="C23" s="151"/>
      <c r="D23" s="148"/>
      <c r="E23" s="152"/>
      <c r="F23" s="148"/>
      <c r="G23" s="148"/>
      <c r="H23" s="150"/>
      <c r="I23" s="151"/>
      <c r="J23" s="151"/>
      <c r="K23" s="148"/>
      <c r="L23" s="196"/>
      <c r="M23" s="151"/>
      <c r="N23" s="197"/>
      <c r="O23" s="151"/>
      <c r="P23" s="153"/>
      <c r="Q23" s="26"/>
      <c r="R23" s="47"/>
      <c r="S23" s="46"/>
      <c r="T23" s="46"/>
      <c r="U23" s="46"/>
      <c r="V23" s="46"/>
      <c r="W23" s="46"/>
      <c r="X23" s="46"/>
      <c r="Y23" s="46"/>
      <c r="Z23" s="46"/>
      <c r="AA23" s="46"/>
      <c r="AB23" s="82"/>
      <c r="AC23" s="76"/>
      <c r="AD23" s="202"/>
      <c r="AE23" s="77">
        <f>IF(テーブル22[[#This Row],[体重]]="",0,(テーブル22[[#This Row],[体重]]-テーブル22[[#This Row],[標準体重]])/テーブル22[[#This Row],[標準体重]]*100)</f>
        <v>0</v>
      </c>
      <c r="AG23" s="1" t="str">
        <f>IF(テーブル22[[#This Row],[判定]]=$BE$10,"○","")</f>
        <v/>
      </c>
      <c r="AH23" s="1" t="str">
        <f>IF(AG23="","",COUNTIF($AG$6:AG23,"○"))</f>
        <v/>
      </c>
      <c r="AI23" s="61">
        <v>20</v>
      </c>
      <c r="AJ23" s="62">
        <v>4</v>
      </c>
      <c r="AK23" s="61">
        <v>13</v>
      </c>
      <c r="AL23" s="62">
        <v>4</v>
      </c>
      <c r="AM23" s="61">
        <v>35</v>
      </c>
      <c r="AN23" s="62">
        <v>4</v>
      </c>
      <c r="AO23" s="61">
        <v>36</v>
      </c>
      <c r="AP23" s="62">
        <v>4</v>
      </c>
      <c r="AQ23" s="85">
        <v>260</v>
      </c>
      <c r="AR23" s="64">
        <v>7</v>
      </c>
      <c r="AS23" s="61">
        <v>27</v>
      </c>
      <c r="AT23" s="62">
        <v>4</v>
      </c>
      <c r="AU23" s="61">
        <v>8.4</v>
      </c>
      <c r="AV23" s="62">
        <v>7</v>
      </c>
      <c r="AW23" s="61">
        <v>145</v>
      </c>
      <c r="AX23" s="62">
        <v>4</v>
      </c>
      <c r="AY23" s="61">
        <v>11</v>
      </c>
      <c r="AZ23" s="62">
        <v>4</v>
      </c>
      <c r="BA23" s="54"/>
      <c r="BB23" s="140" t="s">
        <v>1101</v>
      </c>
      <c r="BC23" s="140" t="s">
        <v>1102</v>
      </c>
      <c r="BD23" s="140" t="s">
        <v>1103</v>
      </c>
      <c r="BE23" s="140" t="s">
        <v>1104</v>
      </c>
      <c r="BF23" s="140" t="s">
        <v>1105</v>
      </c>
      <c r="BG23" s="54"/>
      <c r="BH23" s="54"/>
    </row>
    <row r="24" spans="1:60" ht="14.25" customHeight="1" x14ac:dyDescent="0.15">
      <c r="A24" s="44">
        <v>19</v>
      </c>
      <c r="B24" s="148"/>
      <c r="C24" s="151"/>
      <c r="D24" s="148"/>
      <c r="E24" s="152"/>
      <c r="F24" s="148"/>
      <c r="G24" s="148"/>
      <c r="H24" s="150"/>
      <c r="I24" s="151"/>
      <c r="J24" s="151"/>
      <c r="K24" s="148"/>
      <c r="L24" s="196"/>
      <c r="M24" s="151"/>
      <c r="N24" s="197"/>
      <c r="O24" s="151"/>
      <c r="P24" s="153"/>
      <c r="Q24" s="26"/>
      <c r="R24" s="47"/>
      <c r="S24" s="46"/>
      <c r="T24" s="46"/>
      <c r="U24" s="46"/>
      <c r="V24" s="46"/>
      <c r="W24" s="46"/>
      <c r="X24" s="46"/>
      <c r="Y24" s="46"/>
      <c r="Z24" s="46"/>
      <c r="AA24" s="46"/>
      <c r="AB24" s="82"/>
      <c r="AC24" s="76"/>
      <c r="AD24" s="202"/>
      <c r="AE24" s="77">
        <f>IF(テーブル22[[#This Row],[体重]]="",0,(テーブル22[[#This Row],[体重]]-テーブル22[[#This Row],[標準体重]])/テーブル22[[#This Row],[標準体重]]*100)</f>
        <v>0</v>
      </c>
      <c r="AG24" s="1" t="str">
        <f>IF(テーブル22[[#This Row],[判定]]=$BE$10,"○","")</f>
        <v/>
      </c>
      <c r="AH24" s="1" t="str">
        <f>IF(AG24="","",COUNTIF($AG$6:AG24,"○"))</f>
        <v/>
      </c>
      <c r="AI24" s="61">
        <v>23</v>
      </c>
      <c r="AJ24" s="62">
        <v>5</v>
      </c>
      <c r="AK24" s="61">
        <v>15</v>
      </c>
      <c r="AL24" s="62">
        <v>5</v>
      </c>
      <c r="AM24" s="61">
        <v>40</v>
      </c>
      <c r="AN24" s="62">
        <v>5</v>
      </c>
      <c r="AO24" s="61">
        <v>39</v>
      </c>
      <c r="AP24" s="62">
        <v>5</v>
      </c>
      <c r="AQ24" s="85">
        <v>278</v>
      </c>
      <c r="AR24" s="64">
        <v>6</v>
      </c>
      <c r="AS24" s="61">
        <v>35</v>
      </c>
      <c r="AT24" s="62">
        <v>5</v>
      </c>
      <c r="AU24" s="61">
        <v>8.6999999999999993</v>
      </c>
      <c r="AV24" s="62">
        <v>6</v>
      </c>
      <c r="AW24" s="61">
        <v>157</v>
      </c>
      <c r="AX24" s="62">
        <v>5</v>
      </c>
      <c r="AY24" s="61">
        <v>12</v>
      </c>
      <c r="AZ24" s="62">
        <v>5</v>
      </c>
      <c r="BA24" s="54"/>
      <c r="BB24" s="140" t="s">
        <v>1106</v>
      </c>
      <c r="BC24" s="140" t="s">
        <v>1107</v>
      </c>
      <c r="BD24" s="140" t="s">
        <v>1108</v>
      </c>
      <c r="BE24" s="140" t="s">
        <v>1109</v>
      </c>
      <c r="BF24" s="140" t="s">
        <v>1110</v>
      </c>
      <c r="BG24" s="54"/>
      <c r="BH24" s="54"/>
    </row>
    <row r="25" spans="1:60" ht="14.25" customHeight="1" x14ac:dyDescent="0.15">
      <c r="A25" s="44">
        <v>20</v>
      </c>
      <c r="B25" s="148"/>
      <c r="C25" s="151"/>
      <c r="D25" s="148"/>
      <c r="E25" s="152"/>
      <c r="F25" s="148"/>
      <c r="G25" s="148"/>
      <c r="H25" s="150"/>
      <c r="I25" s="151"/>
      <c r="J25" s="151"/>
      <c r="K25" s="148"/>
      <c r="L25" s="196"/>
      <c r="M25" s="151"/>
      <c r="N25" s="197"/>
      <c r="O25" s="151"/>
      <c r="P25" s="153"/>
      <c r="Q25" s="26"/>
      <c r="R25" s="47"/>
      <c r="S25" s="46"/>
      <c r="T25" s="46"/>
      <c r="U25" s="46"/>
      <c r="V25" s="46"/>
      <c r="W25" s="46"/>
      <c r="X25" s="46"/>
      <c r="Y25" s="46"/>
      <c r="Z25" s="46"/>
      <c r="AA25" s="46"/>
      <c r="AB25" s="82"/>
      <c r="AC25" s="76"/>
      <c r="AD25" s="202"/>
      <c r="AE25" s="77">
        <f>IF(テーブル22[[#This Row],[体重]]="",0,(テーブル22[[#This Row],[体重]]-テーブル22[[#This Row],[標準体重]])/テーブル22[[#This Row],[標準体重]]*100)</f>
        <v>0</v>
      </c>
      <c r="AG25" s="1" t="str">
        <f>IF(テーブル22[[#This Row],[判定]]=$BE$10,"○","")</f>
        <v/>
      </c>
      <c r="AH25" s="1" t="str">
        <f>IF(AG25="","",COUNTIF($AG$6:AG25,"○"))</f>
        <v/>
      </c>
      <c r="AI25" s="61">
        <v>25</v>
      </c>
      <c r="AJ25" s="62">
        <v>6</v>
      </c>
      <c r="AK25" s="61">
        <v>18</v>
      </c>
      <c r="AL25" s="62">
        <v>6</v>
      </c>
      <c r="AM25" s="61">
        <v>45</v>
      </c>
      <c r="AN25" s="62">
        <v>6</v>
      </c>
      <c r="AO25" s="61">
        <v>42</v>
      </c>
      <c r="AP25" s="62">
        <v>6</v>
      </c>
      <c r="AQ25" s="85">
        <v>297</v>
      </c>
      <c r="AR25" s="64">
        <v>5</v>
      </c>
      <c r="AS25" s="61">
        <v>44</v>
      </c>
      <c r="AT25" s="62">
        <v>6</v>
      </c>
      <c r="AU25" s="61">
        <v>9</v>
      </c>
      <c r="AV25" s="62">
        <v>5</v>
      </c>
      <c r="AW25" s="61">
        <v>168</v>
      </c>
      <c r="AX25" s="62">
        <v>6</v>
      </c>
      <c r="AY25" s="61">
        <v>14</v>
      </c>
      <c r="AZ25" s="62">
        <v>6</v>
      </c>
      <c r="BA25" s="54"/>
      <c r="BB25" s="140" t="s">
        <v>1111</v>
      </c>
      <c r="BC25" s="140" t="s">
        <v>1112</v>
      </c>
      <c r="BD25" s="140" t="s">
        <v>1113</v>
      </c>
      <c r="BE25" s="140" t="s">
        <v>1114</v>
      </c>
      <c r="BF25" s="140" t="s">
        <v>1115</v>
      </c>
      <c r="BG25" s="54"/>
      <c r="BH25" s="54"/>
    </row>
    <row r="26" spans="1:60" ht="14.25" customHeight="1" x14ac:dyDescent="0.15">
      <c r="A26" s="44">
        <v>21</v>
      </c>
      <c r="B26" s="148"/>
      <c r="C26" s="151"/>
      <c r="D26" s="148"/>
      <c r="E26" s="152"/>
      <c r="F26" s="148"/>
      <c r="G26" s="148"/>
      <c r="H26" s="150"/>
      <c r="I26" s="151"/>
      <c r="J26" s="151"/>
      <c r="K26" s="148"/>
      <c r="L26" s="196"/>
      <c r="M26" s="151"/>
      <c r="N26" s="197"/>
      <c r="O26" s="151"/>
      <c r="P26" s="153"/>
      <c r="Q26" s="26"/>
      <c r="R26" s="47"/>
      <c r="S26" s="46"/>
      <c r="T26" s="46"/>
      <c r="U26" s="46"/>
      <c r="V26" s="46"/>
      <c r="W26" s="46"/>
      <c r="X26" s="46"/>
      <c r="Y26" s="46"/>
      <c r="Z26" s="46"/>
      <c r="AA26" s="46"/>
      <c r="AB26" s="82"/>
      <c r="AC26" s="76"/>
      <c r="AD26" s="202"/>
      <c r="AE26" s="77">
        <f>IF(テーブル22[[#This Row],[体重]]="",0,(テーブル22[[#This Row],[体重]]-テーブル22[[#This Row],[標準体重]])/テーブル22[[#This Row],[標準体重]]*100)</f>
        <v>0</v>
      </c>
      <c r="AG26" s="1" t="str">
        <f>IF(テーブル22[[#This Row],[判定]]=$BE$10,"○","")</f>
        <v/>
      </c>
      <c r="AH26" s="1" t="str">
        <f>IF(AG26="","",COUNTIF($AG$6:AG26,"○"))</f>
        <v/>
      </c>
      <c r="AI26" s="61">
        <v>28</v>
      </c>
      <c r="AJ26" s="62">
        <v>7</v>
      </c>
      <c r="AK26" s="61">
        <v>20</v>
      </c>
      <c r="AL26" s="62">
        <v>7</v>
      </c>
      <c r="AM26" s="61">
        <v>50</v>
      </c>
      <c r="AN26" s="62">
        <v>7</v>
      </c>
      <c r="AO26" s="61">
        <v>45</v>
      </c>
      <c r="AP26" s="62">
        <v>7</v>
      </c>
      <c r="AQ26" s="85">
        <v>319</v>
      </c>
      <c r="AR26" s="64">
        <v>4</v>
      </c>
      <c r="AS26" s="61">
        <v>54</v>
      </c>
      <c r="AT26" s="62">
        <v>7</v>
      </c>
      <c r="AU26" s="61">
        <v>9.4</v>
      </c>
      <c r="AV26" s="62">
        <v>4</v>
      </c>
      <c r="AW26" s="61">
        <v>179</v>
      </c>
      <c r="AX26" s="62">
        <v>7</v>
      </c>
      <c r="AY26" s="61">
        <v>16</v>
      </c>
      <c r="AZ26" s="62">
        <v>7</v>
      </c>
      <c r="BA26" s="54"/>
      <c r="BB26" s="140" t="s">
        <v>1116</v>
      </c>
      <c r="BC26" s="140" t="s">
        <v>1117</v>
      </c>
      <c r="BD26" s="140" t="s">
        <v>1118</v>
      </c>
      <c r="BE26" s="140" t="s">
        <v>1119</v>
      </c>
      <c r="BF26" s="140" t="s">
        <v>1120</v>
      </c>
      <c r="BG26" s="54"/>
      <c r="BH26" s="54"/>
    </row>
    <row r="27" spans="1:60" ht="14.25" customHeight="1" x14ac:dyDescent="0.15">
      <c r="A27" s="44">
        <v>22</v>
      </c>
      <c r="B27" s="148"/>
      <c r="C27" s="151"/>
      <c r="D27" s="148"/>
      <c r="E27" s="152"/>
      <c r="F27" s="148"/>
      <c r="G27" s="148"/>
      <c r="H27" s="150"/>
      <c r="I27" s="151"/>
      <c r="J27" s="151"/>
      <c r="K27" s="148"/>
      <c r="L27" s="196"/>
      <c r="M27" s="151"/>
      <c r="N27" s="197"/>
      <c r="O27" s="151"/>
      <c r="P27" s="153"/>
      <c r="Q27" s="26"/>
      <c r="R27" s="47"/>
      <c r="S27" s="46"/>
      <c r="T27" s="46"/>
      <c r="U27" s="46"/>
      <c r="V27" s="46"/>
      <c r="W27" s="46"/>
      <c r="X27" s="46"/>
      <c r="Y27" s="46"/>
      <c r="Z27" s="46"/>
      <c r="AA27" s="46"/>
      <c r="AB27" s="82"/>
      <c r="AC27" s="76"/>
      <c r="AD27" s="202"/>
      <c r="AE27" s="77">
        <f>IF(テーブル22[[#This Row],[体重]]="",0,(テーブル22[[#This Row],[体重]]-テーブル22[[#This Row],[標準体重]])/テーブル22[[#This Row],[標準体重]]*100)</f>
        <v>0</v>
      </c>
      <c r="AG27" s="1" t="str">
        <f>IF(テーブル22[[#This Row],[判定]]=$BE$10,"○","")</f>
        <v/>
      </c>
      <c r="AH27" s="1" t="str">
        <f>IF(AG27="","",COUNTIF($AG$6:AG27,"○"))</f>
        <v/>
      </c>
      <c r="AI27" s="61">
        <v>30</v>
      </c>
      <c r="AJ27" s="62">
        <v>8</v>
      </c>
      <c r="AK27" s="61">
        <v>23</v>
      </c>
      <c r="AL27" s="62">
        <v>8</v>
      </c>
      <c r="AM27" s="61">
        <v>54</v>
      </c>
      <c r="AN27" s="62">
        <v>8</v>
      </c>
      <c r="AO27" s="61">
        <v>48</v>
      </c>
      <c r="AP27" s="62">
        <v>8</v>
      </c>
      <c r="AQ27" s="85">
        <v>343</v>
      </c>
      <c r="AR27" s="64">
        <v>3</v>
      </c>
      <c r="AS27" s="61">
        <v>64</v>
      </c>
      <c r="AT27" s="62">
        <v>8</v>
      </c>
      <c r="AU27" s="61">
        <v>9.9</v>
      </c>
      <c r="AV27" s="62">
        <v>3</v>
      </c>
      <c r="AW27" s="61">
        <v>190</v>
      </c>
      <c r="AX27" s="62">
        <v>8</v>
      </c>
      <c r="AY27" s="61">
        <v>18</v>
      </c>
      <c r="AZ27" s="62">
        <v>8</v>
      </c>
      <c r="BA27" s="54"/>
      <c r="BB27" s="140" t="s">
        <v>1121</v>
      </c>
      <c r="BC27" s="140" t="s">
        <v>1122</v>
      </c>
      <c r="BD27" s="140" t="s">
        <v>1123</v>
      </c>
      <c r="BE27" s="140" t="s">
        <v>1124</v>
      </c>
      <c r="BF27" s="140" t="s">
        <v>1125</v>
      </c>
      <c r="BG27" s="54"/>
      <c r="BH27" s="54"/>
    </row>
    <row r="28" spans="1:60" ht="14.25" customHeight="1" x14ac:dyDescent="0.15">
      <c r="A28" s="44">
        <v>23</v>
      </c>
      <c r="B28" s="148"/>
      <c r="C28" s="151"/>
      <c r="D28" s="148"/>
      <c r="E28" s="152"/>
      <c r="F28" s="148"/>
      <c r="G28" s="148"/>
      <c r="H28" s="150"/>
      <c r="I28" s="151"/>
      <c r="J28" s="151"/>
      <c r="K28" s="148"/>
      <c r="L28" s="196"/>
      <c r="M28" s="151"/>
      <c r="N28" s="197"/>
      <c r="O28" s="151"/>
      <c r="P28" s="153"/>
      <c r="Q28" s="26"/>
      <c r="R28" s="47"/>
      <c r="S28" s="46"/>
      <c r="T28" s="46"/>
      <c r="U28" s="46"/>
      <c r="V28" s="46"/>
      <c r="W28" s="46"/>
      <c r="X28" s="46"/>
      <c r="Y28" s="46"/>
      <c r="Z28" s="46"/>
      <c r="AA28" s="46"/>
      <c r="AB28" s="82"/>
      <c r="AC28" s="76"/>
      <c r="AD28" s="202"/>
      <c r="AE28" s="77">
        <f>IF(テーブル22[[#This Row],[体重]]="",0,(テーブル22[[#This Row],[体重]]-テーブル22[[#This Row],[標準体重]])/テーブル22[[#This Row],[標準体重]]*100)</f>
        <v>0</v>
      </c>
      <c r="AG28" s="1" t="str">
        <f>IF(テーブル22[[#This Row],[判定]]=$BE$10,"○","")</f>
        <v/>
      </c>
      <c r="AH28" s="1" t="str">
        <f>IF(AG28="","",COUNTIF($AG$6:AG28,"○"))</f>
        <v/>
      </c>
      <c r="AI28" s="61">
        <v>33</v>
      </c>
      <c r="AJ28" s="62">
        <v>9</v>
      </c>
      <c r="AK28" s="61">
        <v>26</v>
      </c>
      <c r="AL28" s="62">
        <v>9</v>
      </c>
      <c r="AM28" s="61">
        <v>58</v>
      </c>
      <c r="AN28" s="62">
        <v>9</v>
      </c>
      <c r="AO28" s="61">
        <v>50</v>
      </c>
      <c r="AP28" s="62">
        <v>9</v>
      </c>
      <c r="AQ28" s="85">
        <v>375</v>
      </c>
      <c r="AR28" s="64">
        <v>2</v>
      </c>
      <c r="AS28" s="61">
        <v>76</v>
      </c>
      <c r="AT28" s="62">
        <v>9</v>
      </c>
      <c r="AU28" s="61">
        <v>10.4</v>
      </c>
      <c r="AV28" s="62">
        <v>2</v>
      </c>
      <c r="AW28" s="61">
        <v>200</v>
      </c>
      <c r="AX28" s="62">
        <v>9</v>
      </c>
      <c r="AY28" s="61">
        <v>20</v>
      </c>
      <c r="AZ28" s="62">
        <v>9</v>
      </c>
      <c r="BA28" s="54"/>
      <c r="BB28" s="140" t="s">
        <v>1126</v>
      </c>
      <c r="BC28" s="140" t="s">
        <v>1127</v>
      </c>
      <c r="BD28" s="140" t="s">
        <v>1128</v>
      </c>
      <c r="BE28" s="140" t="s">
        <v>1129</v>
      </c>
      <c r="BF28" s="140" t="s">
        <v>1130</v>
      </c>
      <c r="BG28" s="54"/>
      <c r="BH28" s="54"/>
    </row>
    <row r="29" spans="1:60" ht="14.25" customHeight="1" thickBot="1" x14ac:dyDescent="0.2">
      <c r="A29" s="44">
        <v>24</v>
      </c>
      <c r="B29" s="148"/>
      <c r="C29" s="151"/>
      <c r="D29" s="148"/>
      <c r="E29" s="152"/>
      <c r="F29" s="148"/>
      <c r="G29" s="148"/>
      <c r="H29" s="150"/>
      <c r="I29" s="151"/>
      <c r="J29" s="151"/>
      <c r="K29" s="148"/>
      <c r="L29" s="196"/>
      <c r="M29" s="151"/>
      <c r="N29" s="197"/>
      <c r="O29" s="151"/>
      <c r="P29" s="153"/>
      <c r="Q29" s="26"/>
      <c r="R29" s="47"/>
      <c r="S29" s="46"/>
      <c r="T29" s="46"/>
      <c r="U29" s="46"/>
      <c r="V29" s="46"/>
      <c r="W29" s="46"/>
      <c r="X29" s="46"/>
      <c r="Y29" s="46"/>
      <c r="Z29" s="46"/>
      <c r="AA29" s="46"/>
      <c r="AB29" s="82"/>
      <c r="AC29" s="76"/>
      <c r="AD29" s="202"/>
      <c r="AE29" s="77">
        <f>IF(テーブル22[[#This Row],[体重]]="",0,(テーブル22[[#This Row],[体重]]-テーブル22[[#This Row],[標準体重]])/テーブル22[[#This Row],[標準体重]]*100)</f>
        <v>0</v>
      </c>
      <c r="AG29" s="1" t="str">
        <f>IF(テーブル22[[#This Row],[判定]]=$BE$10,"○","")</f>
        <v/>
      </c>
      <c r="AH29" s="1" t="str">
        <f>IF(AG29="","",COUNTIF($AG$6:AG29,"○"))</f>
        <v/>
      </c>
      <c r="AI29" s="69">
        <v>36</v>
      </c>
      <c r="AJ29" s="70">
        <v>10</v>
      </c>
      <c r="AK29" s="69">
        <v>29</v>
      </c>
      <c r="AL29" s="70">
        <v>10</v>
      </c>
      <c r="AM29" s="69">
        <v>63</v>
      </c>
      <c r="AN29" s="70">
        <v>10</v>
      </c>
      <c r="AO29" s="69">
        <v>53</v>
      </c>
      <c r="AP29" s="70">
        <v>10</v>
      </c>
      <c r="AQ29" s="86">
        <v>418</v>
      </c>
      <c r="AR29" s="67">
        <v>1</v>
      </c>
      <c r="AS29" s="69">
        <v>88</v>
      </c>
      <c r="AT29" s="70">
        <v>10</v>
      </c>
      <c r="AU29" s="69">
        <v>11.3</v>
      </c>
      <c r="AV29" s="70">
        <v>1</v>
      </c>
      <c r="AW29" s="69">
        <v>210</v>
      </c>
      <c r="AX29" s="70">
        <v>10</v>
      </c>
      <c r="AY29" s="69">
        <v>23</v>
      </c>
      <c r="AZ29" s="70">
        <v>10</v>
      </c>
      <c r="BA29" s="54"/>
      <c r="BB29" s="140" t="s">
        <v>1131</v>
      </c>
      <c r="BC29" s="140" t="s">
        <v>1132</v>
      </c>
      <c r="BD29" s="140" t="s">
        <v>1133</v>
      </c>
      <c r="BE29" s="140" t="s">
        <v>1134</v>
      </c>
      <c r="BF29" s="140" t="s">
        <v>1135</v>
      </c>
      <c r="BG29" s="54"/>
      <c r="BH29" s="54"/>
    </row>
    <row r="30" spans="1:60" ht="14.25" customHeight="1" x14ac:dyDescent="0.15">
      <c r="A30" s="44">
        <v>25</v>
      </c>
      <c r="B30" s="148"/>
      <c r="C30" s="151"/>
      <c r="D30" s="148"/>
      <c r="E30" s="152"/>
      <c r="F30" s="148"/>
      <c r="G30" s="148"/>
      <c r="H30" s="150"/>
      <c r="I30" s="151"/>
      <c r="J30" s="151"/>
      <c r="K30" s="148"/>
      <c r="L30" s="196"/>
      <c r="M30" s="151"/>
      <c r="N30" s="197"/>
      <c r="O30" s="151"/>
      <c r="P30" s="153"/>
      <c r="Q30" s="26"/>
      <c r="R30" s="47"/>
      <c r="S30" s="46"/>
      <c r="T30" s="46"/>
      <c r="U30" s="46"/>
      <c r="V30" s="46"/>
      <c r="W30" s="46"/>
      <c r="X30" s="46"/>
      <c r="Y30" s="46"/>
      <c r="Z30" s="46"/>
      <c r="AA30" s="46"/>
      <c r="AB30" s="82"/>
      <c r="AC30" s="76"/>
      <c r="AD30" s="202"/>
      <c r="AE30" s="77">
        <f>IF(テーブル22[[#This Row],[体重]]="",0,(テーブル22[[#This Row],[体重]]-テーブル22[[#This Row],[標準体重]])/テーブル22[[#This Row],[標準体重]]*100)</f>
        <v>0</v>
      </c>
      <c r="AG30" s="1" t="str">
        <f>IF(テーブル22[[#This Row],[判定]]=$BE$10,"○","")</f>
        <v/>
      </c>
      <c r="AH30" s="1" t="str">
        <f>IF(AG30="","",COUNTIF($AG$6:AG30,"○"))</f>
        <v/>
      </c>
      <c r="BB30" s="140" t="s">
        <v>1136</v>
      </c>
      <c r="BC30" s="140" t="s">
        <v>1137</v>
      </c>
      <c r="BD30" s="140" t="s">
        <v>1138</v>
      </c>
      <c r="BE30" s="140" t="s">
        <v>1139</v>
      </c>
      <c r="BF30" s="140" t="s">
        <v>1140</v>
      </c>
    </row>
    <row r="31" spans="1:60" ht="14.25" customHeight="1" x14ac:dyDescent="0.15">
      <c r="A31" s="44">
        <v>26</v>
      </c>
      <c r="B31" s="148"/>
      <c r="C31" s="151"/>
      <c r="D31" s="148"/>
      <c r="E31" s="152"/>
      <c r="F31" s="148"/>
      <c r="G31" s="148"/>
      <c r="H31" s="150"/>
      <c r="I31" s="151"/>
      <c r="J31" s="151"/>
      <c r="K31" s="148"/>
      <c r="L31" s="196"/>
      <c r="M31" s="151"/>
      <c r="N31" s="197"/>
      <c r="O31" s="151"/>
      <c r="P31" s="153"/>
      <c r="Q31" s="26"/>
      <c r="R31" s="47"/>
      <c r="S31" s="46"/>
      <c r="T31" s="46"/>
      <c r="U31" s="46"/>
      <c r="V31" s="46"/>
      <c r="W31" s="46"/>
      <c r="X31" s="46"/>
      <c r="Y31" s="46"/>
      <c r="Z31" s="46"/>
      <c r="AA31" s="46"/>
      <c r="AB31" s="82"/>
      <c r="AC31" s="76"/>
      <c r="AD31" s="202"/>
      <c r="AE31" s="77">
        <f>IF(テーブル22[[#This Row],[体重]]="",0,(テーブル22[[#This Row],[体重]]-テーブル22[[#This Row],[標準体重]])/テーブル22[[#This Row],[標準体重]]*100)</f>
        <v>0</v>
      </c>
      <c r="AG31" s="1" t="str">
        <f>IF(テーブル22[[#This Row],[判定]]=$BE$10,"○","")</f>
        <v/>
      </c>
      <c r="AH31" s="1" t="str">
        <f>IF(AG31="","",COUNTIF($AG$6:AG31,"○"))</f>
        <v/>
      </c>
      <c r="BB31" s="140" t="s">
        <v>1141</v>
      </c>
      <c r="BC31" s="140" t="s">
        <v>1142</v>
      </c>
      <c r="BD31" s="140" t="s">
        <v>1143</v>
      </c>
      <c r="BE31" s="140" t="s">
        <v>1144</v>
      </c>
      <c r="BF31" s="140" t="s">
        <v>1145</v>
      </c>
    </row>
    <row r="32" spans="1:60" ht="14.25" customHeight="1" x14ac:dyDescent="0.15">
      <c r="A32" s="44">
        <v>27</v>
      </c>
      <c r="B32" s="148"/>
      <c r="C32" s="151"/>
      <c r="D32" s="148"/>
      <c r="E32" s="152"/>
      <c r="F32" s="148"/>
      <c r="G32" s="148"/>
      <c r="H32" s="150"/>
      <c r="I32" s="151"/>
      <c r="J32" s="151"/>
      <c r="K32" s="148"/>
      <c r="L32" s="196"/>
      <c r="M32" s="151"/>
      <c r="N32" s="197"/>
      <c r="O32" s="151"/>
      <c r="P32" s="153"/>
      <c r="Q32" s="26"/>
      <c r="R32" s="47"/>
      <c r="S32" s="46"/>
      <c r="T32" s="46"/>
      <c r="U32" s="46"/>
      <c r="V32" s="46"/>
      <c r="W32" s="46"/>
      <c r="X32" s="46"/>
      <c r="Y32" s="46"/>
      <c r="Z32" s="46"/>
      <c r="AA32" s="46"/>
      <c r="AB32" s="82"/>
      <c r="AC32" s="76"/>
      <c r="AD32" s="77"/>
      <c r="AE32" s="77">
        <f>IF(テーブル22[[#This Row],[体重]]="",0,(テーブル22[[#This Row],[体重]]-テーブル22[[#This Row],[標準体重]])/テーブル22[[#This Row],[標準体重]]*100)</f>
        <v>0</v>
      </c>
      <c r="AG32" s="1" t="str">
        <f>IF(テーブル22[[#This Row],[判定]]=$BE$10,"○","")</f>
        <v/>
      </c>
      <c r="AH32" s="1" t="str">
        <f>IF(AG32="","",COUNTIF($AG$6:AG32,"○"))</f>
        <v/>
      </c>
      <c r="BB32" s="140" t="s">
        <v>1146</v>
      </c>
      <c r="BC32" s="140" t="s">
        <v>1147</v>
      </c>
      <c r="BD32" s="140" t="s">
        <v>1148</v>
      </c>
      <c r="BE32" s="140" t="s">
        <v>1149</v>
      </c>
      <c r="BF32" s="140" t="s">
        <v>1150</v>
      </c>
    </row>
    <row r="33" spans="1:58" ht="14.25" customHeight="1" x14ac:dyDescent="0.15">
      <c r="A33" s="44">
        <v>28</v>
      </c>
      <c r="B33" s="148"/>
      <c r="C33" s="151"/>
      <c r="D33" s="148"/>
      <c r="E33" s="152"/>
      <c r="F33" s="148"/>
      <c r="G33" s="148"/>
      <c r="H33" s="150"/>
      <c r="I33" s="151"/>
      <c r="J33" s="151"/>
      <c r="K33" s="148"/>
      <c r="L33" s="196"/>
      <c r="M33" s="151"/>
      <c r="N33" s="197"/>
      <c r="O33" s="151"/>
      <c r="P33" s="153"/>
      <c r="Q33" s="26"/>
      <c r="R33" s="47"/>
      <c r="S33" s="46"/>
      <c r="T33" s="46"/>
      <c r="U33" s="46"/>
      <c r="V33" s="46"/>
      <c r="W33" s="46"/>
      <c r="X33" s="46"/>
      <c r="Y33" s="46"/>
      <c r="Z33" s="46"/>
      <c r="AA33" s="46"/>
      <c r="AB33" s="82"/>
      <c r="AC33" s="76"/>
      <c r="AD33" s="77"/>
      <c r="AE33" s="77">
        <f>IF(テーブル22[[#This Row],[体重]]="",0,(テーブル22[[#This Row],[体重]]-テーブル22[[#This Row],[標準体重]])/テーブル22[[#This Row],[標準体重]]*100)</f>
        <v>0</v>
      </c>
      <c r="AG33" s="1" t="str">
        <f>IF(テーブル22[[#This Row],[判定]]=$BE$10,"○","")</f>
        <v/>
      </c>
      <c r="AH33" s="1" t="str">
        <f>IF(AG33="","",COUNTIF($AG$6:AG33,"○"))</f>
        <v/>
      </c>
      <c r="BB33" s="140" t="s">
        <v>1151</v>
      </c>
      <c r="BC33" s="140" t="s">
        <v>1152</v>
      </c>
      <c r="BD33" s="140" t="s">
        <v>1153</v>
      </c>
      <c r="BE33" s="140" t="s">
        <v>1154</v>
      </c>
      <c r="BF33" s="140" t="s">
        <v>1155</v>
      </c>
    </row>
    <row r="34" spans="1:58" ht="14.25" customHeight="1" x14ac:dyDescent="0.15">
      <c r="A34" s="44">
        <v>29</v>
      </c>
      <c r="B34" s="148"/>
      <c r="C34" s="151"/>
      <c r="D34" s="148"/>
      <c r="E34" s="152"/>
      <c r="F34" s="148"/>
      <c r="G34" s="148"/>
      <c r="H34" s="150"/>
      <c r="I34" s="151"/>
      <c r="J34" s="151"/>
      <c r="K34" s="148"/>
      <c r="L34" s="196"/>
      <c r="M34" s="151"/>
      <c r="N34" s="197"/>
      <c r="O34" s="151"/>
      <c r="P34" s="153"/>
      <c r="Q34" s="26"/>
      <c r="R34" s="47"/>
      <c r="S34" s="46"/>
      <c r="T34" s="46"/>
      <c r="U34" s="46"/>
      <c r="V34" s="46"/>
      <c r="W34" s="46"/>
      <c r="X34" s="46"/>
      <c r="Y34" s="46"/>
      <c r="Z34" s="46"/>
      <c r="AA34" s="46"/>
      <c r="AB34" s="82"/>
      <c r="AC34" s="76"/>
      <c r="AD34" s="77"/>
      <c r="AE34" s="77">
        <f>IF(テーブル22[[#This Row],[体重]]="",0,(テーブル22[[#This Row],[体重]]-テーブル22[[#This Row],[標準体重]])/テーブル22[[#This Row],[標準体重]]*100)</f>
        <v>0</v>
      </c>
      <c r="AG34" s="1" t="str">
        <f>IF(テーブル22[[#This Row],[判定]]=$BE$10,"○","")</f>
        <v/>
      </c>
      <c r="AH34" s="1" t="str">
        <f>IF(AG34="","",COUNTIF($AG$6:AG34,"○"))</f>
        <v/>
      </c>
      <c r="BB34" s="140" t="s">
        <v>1156</v>
      </c>
      <c r="BC34" s="140" t="s">
        <v>1157</v>
      </c>
      <c r="BD34" s="140" t="s">
        <v>1158</v>
      </c>
      <c r="BE34" s="140" t="s">
        <v>1159</v>
      </c>
      <c r="BF34" s="140" t="s">
        <v>1160</v>
      </c>
    </row>
    <row r="35" spans="1:58" ht="14.25" customHeight="1" x14ac:dyDescent="0.15">
      <c r="A35" s="44">
        <v>30</v>
      </c>
      <c r="B35" s="148"/>
      <c r="C35" s="151"/>
      <c r="D35" s="148"/>
      <c r="E35" s="152"/>
      <c r="F35" s="148"/>
      <c r="G35" s="148"/>
      <c r="H35" s="150"/>
      <c r="I35" s="151"/>
      <c r="J35" s="151"/>
      <c r="K35" s="148"/>
      <c r="L35" s="196"/>
      <c r="M35" s="151"/>
      <c r="N35" s="197"/>
      <c r="O35" s="151"/>
      <c r="P35" s="153"/>
      <c r="Q35" s="26"/>
      <c r="R35" s="47"/>
      <c r="S35" s="46"/>
      <c r="T35" s="46"/>
      <c r="U35" s="46"/>
      <c r="V35" s="46"/>
      <c r="W35" s="46"/>
      <c r="X35" s="46"/>
      <c r="Y35" s="46"/>
      <c r="Z35" s="46"/>
      <c r="AA35" s="46"/>
      <c r="AB35" s="82"/>
      <c r="AC35" s="76"/>
      <c r="AD35" s="77"/>
      <c r="AE35" s="77">
        <f>IF(テーブル22[[#This Row],[体重]]="",0,(テーブル22[[#This Row],[体重]]-テーブル22[[#This Row],[標準体重]])/テーブル22[[#This Row],[標準体重]]*100)</f>
        <v>0</v>
      </c>
      <c r="AG35" s="1" t="str">
        <f>IF(テーブル22[[#This Row],[判定]]=$BE$10,"○","")</f>
        <v/>
      </c>
      <c r="AH35" s="1" t="str">
        <f>IF(AG35="","",COUNTIF($AG$6:AG35,"○"))</f>
        <v/>
      </c>
      <c r="BB35" s="54" t="s">
        <v>1161</v>
      </c>
      <c r="BC35" s="54"/>
      <c r="BD35" s="54"/>
      <c r="BE35" s="54"/>
      <c r="BF35" s="54"/>
    </row>
    <row r="36" spans="1:58" ht="14.25" customHeight="1" x14ac:dyDescent="0.15">
      <c r="A36" s="44">
        <v>31</v>
      </c>
      <c r="B36" s="148"/>
      <c r="C36" s="151"/>
      <c r="D36" s="148"/>
      <c r="E36" s="152"/>
      <c r="F36" s="148"/>
      <c r="G36" s="148"/>
      <c r="H36" s="150"/>
      <c r="I36" s="151"/>
      <c r="J36" s="151"/>
      <c r="K36" s="148"/>
      <c r="L36" s="196"/>
      <c r="M36" s="151"/>
      <c r="N36" s="197"/>
      <c r="O36" s="151"/>
      <c r="P36" s="153"/>
      <c r="Q36" s="26"/>
      <c r="R36" s="47"/>
      <c r="S36" s="46"/>
      <c r="T36" s="46"/>
      <c r="U36" s="46"/>
      <c r="V36" s="46"/>
      <c r="W36" s="46"/>
      <c r="X36" s="46"/>
      <c r="Y36" s="46"/>
      <c r="Z36" s="46"/>
      <c r="AA36" s="46"/>
      <c r="AB36" s="82"/>
      <c r="AC36" s="76"/>
      <c r="AD36" s="77"/>
      <c r="AE36" s="77">
        <f>IF(テーブル22[[#This Row],[体重]]="",0,(テーブル22[[#This Row],[体重]]-テーブル22[[#This Row],[標準体重]])/テーブル22[[#This Row],[標準体重]]*100)</f>
        <v>0</v>
      </c>
      <c r="AG36" s="1" t="str">
        <f>IF(テーブル22[[#This Row],[判定]]=$BE$10,"○","")</f>
        <v/>
      </c>
      <c r="AH36" s="1" t="str">
        <f>IF(AG36="","",COUNTIF($AG$6:AG36,"○"))</f>
        <v/>
      </c>
      <c r="BB36" s="54"/>
      <c r="BC36" s="54"/>
      <c r="BD36" s="54" t="s">
        <v>1162</v>
      </c>
      <c r="BE36" s="54"/>
      <c r="BF36" s="54"/>
    </row>
    <row r="37" spans="1:58" ht="14.25" customHeight="1" x14ac:dyDescent="0.15">
      <c r="A37" s="44">
        <v>32</v>
      </c>
      <c r="B37" s="148"/>
      <c r="C37" s="151"/>
      <c r="D37" s="148"/>
      <c r="E37" s="152"/>
      <c r="F37" s="148"/>
      <c r="G37" s="148"/>
      <c r="H37" s="150"/>
      <c r="I37" s="151"/>
      <c r="J37" s="151"/>
      <c r="K37" s="148"/>
      <c r="L37" s="196"/>
      <c r="M37" s="151"/>
      <c r="N37" s="197"/>
      <c r="O37" s="151"/>
      <c r="P37" s="153"/>
      <c r="Q37" s="26"/>
      <c r="R37" s="47"/>
      <c r="S37" s="46"/>
      <c r="T37" s="46"/>
      <c r="U37" s="46"/>
      <c r="V37" s="46"/>
      <c r="W37" s="46"/>
      <c r="X37" s="46"/>
      <c r="Y37" s="46"/>
      <c r="Z37" s="46"/>
      <c r="AA37" s="46"/>
      <c r="AB37" s="82"/>
      <c r="AC37" s="76"/>
      <c r="AD37" s="77"/>
      <c r="AE37" s="77">
        <f>IF(テーブル22[[#This Row],[体重]]="",0,(テーブル22[[#This Row],[体重]]-テーブル22[[#This Row],[標準体重]])/テーブル22[[#This Row],[標準体重]]*100)</f>
        <v>0</v>
      </c>
      <c r="AG37" s="1" t="str">
        <f>IF(テーブル22[[#This Row],[判定]]=$BE$10,"○","")</f>
        <v/>
      </c>
      <c r="AH37" s="1" t="str">
        <f>IF(AG37="","",COUNTIF($AG$6:AG37,"○"))</f>
        <v/>
      </c>
      <c r="BB37" s="54"/>
      <c r="BC37" s="138" t="s">
        <v>1163</v>
      </c>
      <c r="BD37" s="54"/>
      <c r="BE37" s="54"/>
      <c r="BF37" s="54"/>
    </row>
    <row r="38" spans="1:58" ht="14.25" customHeight="1" x14ac:dyDescent="0.15">
      <c r="A38" s="44">
        <v>33</v>
      </c>
      <c r="B38" s="148"/>
      <c r="C38" s="151"/>
      <c r="D38" s="148"/>
      <c r="E38" s="152"/>
      <c r="F38" s="148"/>
      <c r="G38" s="148"/>
      <c r="H38" s="150"/>
      <c r="I38" s="151"/>
      <c r="J38" s="151"/>
      <c r="K38" s="148"/>
      <c r="L38" s="196"/>
      <c r="M38" s="151"/>
      <c r="N38" s="197"/>
      <c r="O38" s="151"/>
      <c r="P38" s="153"/>
      <c r="Q38" s="26"/>
      <c r="R38" s="47"/>
      <c r="S38" s="46"/>
      <c r="T38" s="46"/>
      <c r="U38" s="46"/>
      <c r="V38" s="46"/>
      <c r="W38" s="46"/>
      <c r="X38" s="46"/>
      <c r="Y38" s="46"/>
      <c r="Z38" s="46"/>
      <c r="AA38" s="46"/>
      <c r="AB38" s="82"/>
      <c r="AC38" s="76"/>
      <c r="AD38" s="77"/>
      <c r="AE38" s="77">
        <f>IF(テーブル22[[#This Row],[体重]]="",0,(テーブル22[[#This Row],[体重]]-テーブル22[[#This Row],[標準体重]])/テーブル22[[#This Row],[標準体重]]*100)</f>
        <v>0</v>
      </c>
      <c r="AG38" s="1" t="str">
        <f>IF(テーブル22[[#This Row],[判定]]=$BE$10,"○","")</f>
        <v/>
      </c>
      <c r="AH38" s="1" t="str">
        <f>IF(AG38="","",COUNTIF($AG$6:AG38,"○"))</f>
        <v/>
      </c>
      <c r="BB38" s="54"/>
      <c r="BC38" s="140" t="s">
        <v>1164</v>
      </c>
      <c r="BD38" s="140" t="s">
        <v>1165</v>
      </c>
      <c r="BE38" s="54"/>
      <c r="BF38" s="54"/>
    </row>
    <row r="39" spans="1:58" ht="14.25" customHeight="1" x14ac:dyDescent="0.15">
      <c r="A39" s="44">
        <v>34</v>
      </c>
      <c r="B39" s="148"/>
      <c r="C39" s="151"/>
      <c r="D39" s="148"/>
      <c r="E39" s="152"/>
      <c r="F39" s="148"/>
      <c r="G39" s="148"/>
      <c r="H39" s="150"/>
      <c r="I39" s="151"/>
      <c r="J39" s="151"/>
      <c r="K39" s="148"/>
      <c r="L39" s="196"/>
      <c r="M39" s="151"/>
      <c r="N39" s="197"/>
      <c r="O39" s="151"/>
      <c r="P39" s="153"/>
      <c r="Q39" s="26"/>
      <c r="R39" s="47"/>
      <c r="S39" s="46"/>
      <c r="T39" s="46"/>
      <c r="U39" s="46"/>
      <c r="V39" s="46"/>
      <c r="W39" s="46"/>
      <c r="X39" s="46"/>
      <c r="Y39" s="46"/>
      <c r="Z39" s="46"/>
      <c r="AA39" s="46"/>
      <c r="AB39" s="82"/>
      <c r="AC39" s="76"/>
      <c r="AD39" s="77"/>
      <c r="AE39" s="77">
        <f>IF(テーブル22[[#This Row],[体重]]="",0,(テーブル22[[#This Row],[体重]]-テーブル22[[#This Row],[標準体重]])/テーブル22[[#This Row],[標準体重]]*100)</f>
        <v>0</v>
      </c>
      <c r="AG39" s="1" t="str">
        <f>IF(テーブル22[[#This Row],[判定]]=$BE$10,"○","")</f>
        <v/>
      </c>
      <c r="AH39" s="1" t="str">
        <f>IF(AG39="","",COUNTIF($AG$6:AG39,"○"))</f>
        <v/>
      </c>
      <c r="AW39">
        <v>-100</v>
      </c>
      <c r="AX39" t="s">
        <v>1172</v>
      </c>
      <c r="BB39" s="54">
        <v>1</v>
      </c>
      <c r="BC39" s="140">
        <v>50</v>
      </c>
      <c r="BD39" s="139" t="s">
        <v>1166</v>
      </c>
      <c r="BE39" s="54"/>
      <c r="BF39" s="54"/>
    </row>
    <row r="40" spans="1:58" ht="14.25" customHeight="1" x14ac:dyDescent="0.15">
      <c r="A40" s="44">
        <v>35</v>
      </c>
      <c r="B40" s="148"/>
      <c r="C40" s="151"/>
      <c r="D40" s="148"/>
      <c r="E40" s="152"/>
      <c r="F40" s="148"/>
      <c r="G40" s="148"/>
      <c r="H40" s="150"/>
      <c r="I40" s="151"/>
      <c r="J40" s="151"/>
      <c r="K40" s="148"/>
      <c r="L40" s="196"/>
      <c r="M40" s="151"/>
      <c r="N40" s="197"/>
      <c r="O40" s="151"/>
      <c r="P40" s="153"/>
      <c r="Q40" s="26"/>
      <c r="R40" s="47"/>
      <c r="S40" s="46"/>
      <c r="T40" s="46"/>
      <c r="U40" s="46"/>
      <c r="V40" s="46"/>
      <c r="W40" s="46"/>
      <c r="X40" s="46"/>
      <c r="Y40" s="46"/>
      <c r="Z40" s="46"/>
      <c r="AA40" s="46"/>
      <c r="AB40" s="82"/>
      <c r="AC40" s="76"/>
      <c r="AD40" s="77"/>
      <c r="AE40" s="77">
        <f>IF(テーブル22[[#This Row],[体重]]="",0,(テーブル22[[#This Row],[体重]]-テーブル22[[#This Row],[標準体重]])/テーブル22[[#This Row],[標準体重]]*100)</f>
        <v>0</v>
      </c>
      <c r="AG40" s="1" t="str">
        <f>IF(テーブル22[[#This Row],[判定]]=$BE$10,"○","")</f>
        <v/>
      </c>
      <c r="AH40" s="1" t="str">
        <f>IF(AG40="","",COUNTIF($AG$6:AG40,"○"))</f>
        <v/>
      </c>
      <c r="AW40">
        <v>-29.9</v>
      </c>
      <c r="AX40" t="s">
        <v>1177</v>
      </c>
      <c r="BB40" s="54">
        <v>2</v>
      </c>
      <c r="BC40" s="140">
        <v>30</v>
      </c>
      <c r="BD40" s="139" t="s">
        <v>1167</v>
      </c>
      <c r="BE40" s="54"/>
      <c r="BF40" s="54"/>
    </row>
    <row r="41" spans="1:58" ht="14.25" customHeight="1" x14ac:dyDescent="0.15">
      <c r="A41" s="44">
        <v>36</v>
      </c>
      <c r="B41" s="148"/>
      <c r="C41" s="151"/>
      <c r="D41" s="148"/>
      <c r="E41" s="152"/>
      <c r="F41" s="148"/>
      <c r="G41" s="148"/>
      <c r="H41" s="150"/>
      <c r="I41" s="151"/>
      <c r="J41" s="151"/>
      <c r="K41" s="148"/>
      <c r="L41" s="196"/>
      <c r="M41" s="151"/>
      <c r="N41" s="197"/>
      <c r="O41" s="151"/>
      <c r="P41" s="153"/>
      <c r="Q41" s="26"/>
      <c r="R41" s="47"/>
      <c r="S41" s="46"/>
      <c r="T41" s="46"/>
      <c r="U41" s="46"/>
      <c r="V41" s="46"/>
      <c r="W41" s="46"/>
      <c r="X41" s="46"/>
      <c r="Y41" s="46"/>
      <c r="Z41" s="46"/>
      <c r="AA41" s="46"/>
      <c r="AB41" s="82"/>
      <c r="AC41" s="76"/>
      <c r="AD41" s="77"/>
      <c r="AE41" s="77">
        <f>IF(テーブル22[[#This Row],[体重]]="",0,(テーブル22[[#This Row],[体重]]-テーブル22[[#This Row],[標準体重]])/テーブル22[[#This Row],[標準体重]]*100)</f>
        <v>0</v>
      </c>
      <c r="AG41" s="1" t="str">
        <f>IF(テーブル22[[#This Row],[判定]]=$BE$10,"○","")</f>
        <v/>
      </c>
      <c r="AH41" s="1" t="str">
        <f>IF(AG41="","",COUNTIF($AG$6:AG41,"○"))</f>
        <v/>
      </c>
      <c r="AW41">
        <v>-19.899999999999999</v>
      </c>
      <c r="AX41" t="s">
        <v>1173</v>
      </c>
      <c r="BB41" s="54">
        <v>3</v>
      </c>
      <c r="BC41" s="140">
        <v>20</v>
      </c>
      <c r="BD41" s="139" t="s">
        <v>1168</v>
      </c>
      <c r="BE41" s="54"/>
      <c r="BF41" s="54"/>
    </row>
    <row r="42" spans="1:58" ht="14.25" customHeight="1" x14ac:dyDescent="0.15">
      <c r="A42" s="44">
        <v>37</v>
      </c>
      <c r="B42" s="148"/>
      <c r="C42" s="151"/>
      <c r="D42" s="148"/>
      <c r="E42" s="152"/>
      <c r="F42" s="148"/>
      <c r="G42" s="148"/>
      <c r="H42" s="150"/>
      <c r="I42" s="151"/>
      <c r="J42" s="151"/>
      <c r="K42" s="148"/>
      <c r="L42" s="196"/>
      <c r="M42" s="151"/>
      <c r="N42" s="197"/>
      <c r="O42" s="151"/>
      <c r="P42" s="153"/>
      <c r="Q42" s="26"/>
      <c r="R42" s="47"/>
      <c r="S42" s="46"/>
      <c r="T42" s="46"/>
      <c r="U42" s="46"/>
      <c r="V42" s="46"/>
      <c r="W42" s="46"/>
      <c r="X42" s="46"/>
      <c r="Y42" s="46"/>
      <c r="Z42" s="46"/>
      <c r="AA42" s="46"/>
      <c r="AB42" s="82"/>
      <c r="AC42" s="76"/>
      <c r="AD42" s="77"/>
      <c r="AE42" s="77">
        <f>IF(テーブル22[[#This Row],[体重]]="",0,(テーブル22[[#This Row],[体重]]-テーブル22[[#This Row],[標準体重]])/テーブル22[[#This Row],[標準体重]]*100)</f>
        <v>0</v>
      </c>
      <c r="AG42" s="1" t="str">
        <f>IF(テーブル22[[#This Row],[判定]]=$BE$10,"○","")</f>
        <v/>
      </c>
      <c r="AH42" s="1" t="str">
        <f>IF(AG42="","",COUNTIF($AG$6:AG42,"○"))</f>
        <v/>
      </c>
      <c r="AW42">
        <v>20</v>
      </c>
      <c r="AX42" t="s">
        <v>1174</v>
      </c>
      <c r="BB42" s="54">
        <v>4</v>
      </c>
      <c r="BC42" s="140">
        <v>-19.899999999999999</v>
      </c>
      <c r="BD42" s="139" t="s">
        <v>1169</v>
      </c>
      <c r="BE42" s="54"/>
      <c r="BF42" s="54"/>
    </row>
    <row r="43" spans="1:58" ht="14.25" customHeight="1" x14ac:dyDescent="0.15">
      <c r="A43" s="44">
        <v>38</v>
      </c>
      <c r="B43" s="148"/>
      <c r="C43" s="151"/>
      <c r="D43" s="148"/>
      <c r="E43" s="152"/>
      <c r="F43" s="148"/>
      <c r="G43" s="148"/>
      <c r="H43" s="150"/>
      <c r="I43" s="151"/>
      <c r="J43" s="151"/>
      <c r="K43" s="148"/>
      <c r="L43" s="196"/>
      <c r="M43" s="151"/>
      <c r="N43" s="197"/>
      <c r="O43" s="151"/>
      <c r="P43" s="153"/>
      <c r="Q43" s="26"/>
      <c r="R43" s="47"/>
      <c r="S43" s="46"/>
      <c r="T43" s="46"/>
      <c r="U43" s="46"/>
      <c r="V43" s="46"/>
      <c r="W43" s="46"/>
      <c r="X43" s="46"/>
      <c r="Y43" s="46"/>
      <c r="Z43" s="46"/>
      <c r="AA43" s="46"/>
      <c r="AB43" s="82"/>
      <c r="AC43" s="76"/>
      <c r="AD43" s="77"/>
      <c r="AE43" s="77">
        <f>IF(テーブル22[[#This Row],[体重]]="",0,(テーブル22[[#This Row],[体重]]-テーブル22[[#This Row],[標準体重]])/テーブル22[[#This Row],[標準体重]]*100)</f>
        <v>0</v>
      </c>
      <c r="AG43" s="1" t="str">
        <f>IF(テーブル22[[#This Row],[判定]]=$BE$10,"○","")</f>
        <v/>
      </c>
      <c r="AH43" s="1" t="str">
        <f>IF(AG43="","",COUNTIF($AG$6:AG43,"○"))</f>
        <v/>
      </c>
      <c r="AW43">
        <v>30</v>
      </c>
      <c r="AX43" t="s">
        <v>1175</v>
      </c>
      <c r="BB43" s="54">
        <v>5</v>
      </c>
      <c r="BC43" s="140">
        <v>-29.9</v>
      </c>
      <c r="BD43" s="139" t="s">
        <v>1171</v>
      </c>
      <c r="BE43" s="54"/>
      <c r="BF43" s="54"/>
    </row>
    <row r="44" spans="1:58" ht="14.25" customHeight="1" x14ac:dyDescent="0.15">
      <c r="A44" s="44">
        <v>39</v>
      </c>
      <c r="B44" s="148"/>
      <c r="C44" s="151"/>
      <c r="D44" s="148"/>
      <c r="E44" s="152"/>
      <c r="F44" s="148"/>
      <c r="G44" s="148"/>
      <c r="H44" s="150"/>
      <c r="I44" s="151"/>
      <c r="J44" s="151"/>
      <c r="K44" s="148"/>
      <c r="L44" s="196"/>
      <c r="M44" s="151"/>
      <c r="N44" s="197"/>
      <c r="O44" s="151"/>
      <c r="P44" s="153"/>
      <c r="Q44" s="26"/>
      <c r="R44" s="47"/>
      <c r="S44" s="46"/>
      <c r="T44" s="46"/>
      <c r="U44" s="46"/>
      <c r="V44" s="46"/>
      <c r="W44" s="46"/>
      <c r="X44" s="46"/>
      <c r="Y44" s="46"/>
      <c r="Z44" s="46"/>
      <c r="AA44" s="46"/>
      <c r="AB44" s="82"/>
      <c r="AC44" s="76"/>
      <c r="AD44" s="77"/>
      <c r="AE44" s="77">
        <f>IF(テーブル22[[#This Row],[体重]]="",0,(テーブル22[[#This Row],[体重]]-テーブル22[[#This Row],[標準体重]])/テーブル22[[#This Row],[標準体重]]*100)</f>
        <v>0</v>
      </c>
      <c r="AG44" s="1" t="str">
        <f>IF(テーブル22[[#This Row],[判定]]=$BE$10,"○","")</f>
        <v/>
      </c>
      <c r="AH44" s="1" t="str">
        <f>IF(AG44="","",COUNTIF($AG$6:AG44,"○"))</f>
        <v/>
      </c>
      <c r="AW44">
        <v>50</v>
      </c>
      <c r="AX44" t="s">
        <v>1176</v>
      </c>
      <c r="BB44" s="54">
        <v>6</v>
      </c>
      <c r="BC44" s="140">
        <v>-30</v>
      </c>
      <c r="BD44" s="139" t="s">
        <v>1170</v>
      </c>
      <c r="BE44" s="54"/>
      <c r="BF44" s="54"/>
    </row>
    <row r="45" spans="1:58" ht="14.25" customHeight="1" x14ac:dyDescent="0.15">
      <c r="A45" s="44">
        <v>40</v>
      </c>
      <c r="B45" s="148"/>
      <c r="C45" s="151"/>
      <c r="D45" s="148"/>
      <c r="E45" s="152"/>
      <c r="F45" s="148"/>
      <c r="G45" s="148"/>
      <c r="H45" s="150"/>
      <c r="I45" s="151"/>
      <c r="J45" s="151"/>
      <c r="K45" s="148"/>
      <c r="L45" s="196"/>
      <c r="M45" s="151"/>
      <c r="N45" s="197"/>
      <c r="O45" s="151"/>
      <c r="P45" s="153"/>
      <c r="Q45" s="26"/>
      <c r="R45" s="47"/>
      <c r="S45" s="46"/>
      <c r="T45" s="46"/>
      <c r="U45" s="46"/>
      <c r="V45" s="46"/>
      <c r="W45" s="46"/>
      <c r="X45" s="46"/>
      <c r="Y45" s="46"/>
      <c r="Z45" s="46"/>
      <c r="AA45" s="46"/>
      <c r="AB45" s="82"/>
      <c r="AC45" s="76"/>
      <c r="AD45" s="77"/>
      <c r="AE45" s="77">
        <f>IF(テーブル22[[#This Row],[体重]]="",0,(テーブル22[[#This Row],[体重]]-テーブル22[[#This Row],[標準体重]])/テーブル22[[#This Row],[標準体重]]*100)</f>
        <v>0</v>
      </c>
      <c r="AG45" s="1" t="str">
        <f>IF(テーブル22[[#This Row],[判定]]=$BE$10,"○","")</f>
        <v/>
      </c>
      <c r="AH45" s="1" t="str">
        <f>IF(AG45="","",COUNTIF($AG$6:AG45,"○"))</f>
        <v/>
      </c>
    </row>
    <row r="46" spans="1:58" ht="14.25" customHeight="1" x14ac:dyDescent="0.15">
      <c r="A46" s="44">
        <v>41</v>
      </c>
      <c r="B46" s="148"/>
      <c r="C46" s="151"/>
      <c r="D46" s="148"/>
      <c r="E46" s="152"/>
      <c r="F46" s="148"/>
      <c r="G46" s="148"/>
      <c r="H46" s="150"/>
      <c r="I46" s="151"/>
      <c r="J46" s="151"/>
      <c r="K46" s="148"/>
      <c r="L46" s="196"/>
      <c r="M46" s="151"/>
      <c r="N46" s="197"/>
      <c r="O46" s="151"/>
      <c r="P46" s="153"/>
      <c r="Q46" s="26"/>
      <c r="R46" s="47"/>
      <c r="S46" s="46"/>
      <c r="T46" s="46"/>
      <c r="U46" s="46"/>
      <c r="V46" s="46"/>
      <c r="W46" s="46"/>
      <c r="X46" s="46"/>
      <c r="Y46" s="46"/>
      <c r="Z46" s="46"/>
      <c r="AA46" s="46"/>
      <c r="AB46" s="82"/>
      <c r="AC46" s="76"/>
      <c r="AD46" s="77"/>
      <c r="AE46" s="77">
        <f>IF(テーブル22[[#This Row],[体重]]="",0,(テーブル22[[#This Row],[体重]]-テーブル22[[#This Row],[標準体重]])/テーブル22[[#This Row],[標準体重]]*100)</f>
        <v>0</v>
      </c>
      <c r="AG46" s="1" t="str">
        <f>IF(テーブル22[[#This Row],[判定]]=$BE$10,"○","")</f>
        <v/>
      </c>
      <c r="AH46" s="1" t="str">
        <f>IF(AG46="","",COUNTIF($AG$6:AG46,"○"))</f>
        <v/>
      </c>
    </row>
    <row r="47" spans="1:58" ht="14.25" customHeight="1" x14ac:dyDescent="0.15">
      <c r="A47" s="44">
        <v>42</v>
      </c>
      <c r="B47" s="148"/>
      <c r="C47" s="151"/>
      <c r="D47" s="148"/>
      <c r="E47" s="152"/>
      <c r="F47" s="148"/>
      <c r="G47" s="148"/>
      <c r="H47" s="150"/>
      <c r="I47" s="151"/>
      <c r="J47" s="151"/>
      <c r="K47" s="148"/>
      <c r="L47" s="196"/>
      <c r="M47" s="151"/>
      <c r="N47" s="197"/>
      <c r="O47" s="151"/>
      <c r="P47" s="153"/>
      <c r="Q47" s="26"/>
      <c r="R47" s="47"/>
      <c r="S47" s="46"/>
      <c r="T47" s="46"/>
      <c r="U47" s="46"/>
      <c r="V47" s="46"/>
      <c r="W47" s="46"/>
      <c r="X47" s="46"/>
      <c r="Y47" s="46"/>
      <c r="Z47" s="46"/>
      <c r="AA47" s="46"/>
      <c r="AB47" s="82"/>
      <c r="AC47" s="76"/>
      <c r="AD47" s="77"/>
      <c r="AE47" s="77">
        <f>IF(テーブル22[[#This Row],[体重]]="",0,(テーブル22[[#This Row],[体重]]-テーブル22[[#This Row],[標準体重]])/テーブル22[[#This Row],[標準体重]]*100)</f>
        <v>0</v>
      </c>
      <c r="AG47" s="1" t="str">
        <f>IF(テーブル22[[#This Row],[判定]]=$BE$10,"○","")</f>
        <v/>
      </c>
      <c r="AH47" s="1" t="str">
        <f>IF(AG47="","",COUNTIF($AG$6:AG47,"○"))</f>
        <v/>
      </c>
    </row>
    <row r="48" spans="1:58" ht="14.25" customHeight="1" x14ac:dyDescent="0.15">
      <c r="A48" s="44">
        <v>43</v>
      </c>
      <c r="B48" s="148"/>
      <c r="C48" s="151"/>
      <c r="D48" s="148"/>
      <c r="E48" s="152"/>
      <c r="F48" s="148"/>
      <c r="G48" s="148"/>
      <c r="H48" s="150"/>
      <c r="I48" s="151"/>
      <c r="J48" s="151"/>
      <c r="K48" s="148"/>
      <c r="L48" s="196"/>
      <c r="M48" s="151"/>
      <c r="N48" s="197"/>
      <c r="O48" s="151"/>
      <c r="P48" s="153"/>
      <c r="Q48" s="26"/>
      <c r="R48" s="47"/>
      <c r="S48" s="46"/>
      <c r="T48" s="46"/>
      <c r="U48" s="46"/>
      <c r="V48" s="46"/>
      <c r="W48" s="46"/>
      <c r="X48" s="46"/>
      <c r="Y48" s="46"/>
      <c r="Z48" s="46"/>
      <c r="AA48" s="46"/>
      <c r="AB48" s="82"/>
      <c r="AC48" s="76"/>
      <c r="AD48" s="77"/>
      <c r="AE48" s="77">
        <f>IF(テーブル22[[#This Row],[体重]]="",0,(テーブル22[[#This Row],[体重]]-テーブル22[[#This Row],[標準体重]])/テーブル22[[#This Row],[標準体重]]*100)</f>
        <v>0</v>
      </c>
      <c r="AG48" s="1" t="str">
        <f>IF(テーブル22[[#This Row],[判定]]=$BE$10,"○","")</f>
        <v/>
      </c>
      <c r="AH48" s="1" t="str">
        <f>IF(AG48="","",COUNTIF($AG$6:AG48,"○"))</f>
        <v/>
      </c>
    </row>
    <row r="49" spans="1:34" ht="14.25" customHeight="1" x14ac:dyDescent="0.15">
      <c r="A49" s="44">
        <v>44</v>
      </c>
      <c r="B49" s="148"/>
      <c r="C49" s="151"/>
      <c r="D49" s="148"/>
      <c r="E49" s="152"/>
      <c r="F49" s="148"/>
      <c r="G49" s="148"/>
      <c r="H49" s="150"/>
      <c r="I49" s="151"/>
      <c r="J49" s="151"/>
      <c r="K49" s="148"/>
      <c r="L49" s="196"/>
      <c r="M49" s="151"/>
      <c r="N49" s="197"/>
      <c r="O49" s="151"/>
      <c r="P49" s="153"/>
      <c r="Q49" s="26"/>
      <c r="R49" s="47"/>
      <c r="S49" s="46"/>
      <c r="T49" s="46"/>
      <c r="U49" s="46"/>
      <c r="V49" s="46"/>
      <c r="W49" s="46"/>
      <c r="X49" s="46"/>
      <c r="Y49" s="46"/>
      <c r="Z49" s="46"/>
      <c r="AA49" s="46"/>
      <c r="AB49" s="82"/>
      <c r="AC49" s="76"/>
      <c r="AD49" s="77"/>
      <c r="AE49" s="77">
        <f>IF(テーブル22[[#This Row],[体重]]="",0,(テーブル22[[#This Row],[体重]]-テーブル22[[#This Row],[標準体重]])/テーブル22[[#This Row],[標準体重]]*100)</f>
        <v>0</v>
      </c>
      <c r="AG49" s="1" t="str">
        <f>IF(テーブル22[[#This Row],[判定]]=$BE$10,"○","")</f>
        <v/>
      </c>
      <c r="AH49" s="1" t="str">
        <f>IF(AG49="","",COUNTIF($AG$6:AG49,"○"))</f>
        <v/>
      </c>
    </row>
    <row r="50" spans="1:34" ht="14.25" customHeight="1" x14ac:dyDescent="0.15">
      <c r="A50" s="44">
        <v>45</v>
      </c>
      <c r="B50" s="148"/>
      <c r="C50" s="151"/>
      <c r="D50" s="148"/>
      <c r="E50" s="152"/>
      <c r="F50" s="148"/>
      <c r="G50" s="148"/>
      <c r="H50" s="150"/>
      <c r="I50" s="151"/>
      <c r="J50" s="151"/>
      <c r="K50" s="148"/>
      <c r="L50" s="196"/>
      <c r="M50" s="151"/>
      <c r="N50" s="197"/>
      <c r="O50" s="151"/>
      <c r="P50" s="153"/>
      <c r="Q50" s="26"/>
      <c r="R50" s="47"/>
      <c r="S50" s="46"/>
      <c r="T50" s="46"/>
      <c r="U50" s="46"/>
      <c r="V50" s="46"/>
      <c r="W50" s="46"/>
      <c r="X50" s="46"/>
      <c r="Y50" s="46"/>
      <c r="Z50" s="46"/>
      <c r="AA50" s="46"/>
      <c r="AB50" s="82"/>
      <c r="AC50" s="76"/>
      <c r="AD50" s="77"/>
      <c r="AE50" s="77">
        <f>IF(テーブル22[[#This Row],[体重]]="",0,(テーブル22[[#This Row],[体重]]-テーブル22[[#This Row],[標準体重]])/テーブル22[[#This Row],[標準体重]]*100)</f>
        <v>0</v>
      </c>
      <c r="AG50" s="1" t="str">
        <f>IF(テーブル22[[#This Row],[判定]]=$BE$10,"○","")</f>
        <v/>
      </c>
      <c r="AH50" s="1" t="str">
        <f>IF(AG50="","",COUNTIF($AG$6:AG50,"○"))</f>
        <v/>
      </c>
    </row>
    <row r="51" spans="1:34" ht="14.25" customHeight="1" x14ac:dyDescent="0.15">
      <c r="A51" s="44">
        <v>46</v>
      </c>
      <c r="B51" s="148"/>
      <c r="C51" s="151"/>
      <c r="D51" s="148"/>
      <c r="E51" s="152"/>
      <c r="F51" s="148"/>
      <c r="G51" s="148"/>
      <c r="H51" s="150"/>
      <c r="I51" s="151"/>
      <c r="J51" s="151"/>
      <c r="K51" s="148"/>
      <c r="L51" s="196"/>
      <c r="M51" s="151"/>
      <c r="N51" s="197"/>
      <c r="O51" s="151"/>
      <c r="P51" s="153"/>
      <c r="Q51" s="26"/>
      <c r="R51" s="47"/>
      <c r="S51" s="46"/>
      <c r="T51" s="46"/>
      <c r="U51" s="46"/>
      <c r="V51" s="46"/>
      <c r="W51" s="46"/>
      <c r="X51" s="46"/>
      <c r="Y51" s="46"/>
      <c r="Z51" s="46"/>
      <c r="AA51" s="46"/>
      <c r="AB51" s="82"/>
      <c r="AC51" s="76"/>
      <c r="AD51" s="77"/>
      <c r="AE51" s="77">
        <f>IF(テーブル22[[#This Row],[体重]]="",0,(テーブル22[[#This Row],[体重]]-テーブル22[[#This Row],[標準体重]])/テーブル22[[#This Row],[標準体重]]*100)</f>
        <v>0</v>
      </c>
      <c r="AG51" s="1" t="str">
        <f>IF(テーブル22[[#This Row],[判定]]=$BE$10,"○","")</f>
        <v/>
      </c>
      <c r="AH51" s="1" t="str">
        <f>IF(AG51="","",COUNTIF($AG$6:AG51,"○"))</f>
        <v/>
      </c>
    </row>
    <row r="52" spans="1:34" ht="14.25" customHeight="1" x14ac:dyDescent="0.15">
      <c r="A52" s="44">
        <v>47</v>
      </c>
      <c r="B52" s="148"/>
      <c r="C52" s="151"/>
      <c r="D52" s="148"/>
      <c r="E52" s="152"/>
      <c r="F52" s="148"/>
      <c r="G52" s="148"/>
      <c r="H52" s="150"/>
      <c r="I52" s="151"/>
      <c r="J52" s="151"/>
      <c r="K52" s="148"/>
      <c r="L52" s="196"/>
      <c r="M52" s="151"/>
      <c r="N52" s="197"/>
      <c r="O52" s="151"/>
      <c r="P52" s="153"/>
      <c r="Q52" s="26"/>
      <c r="R52" s="47"/>
      <c r="S52" s="46"/>
      <c r="T52" s="46"/>
      <c r="U52" s="46"/>
      <c r="V52" s="46"/>
      <c r="W52" s="46"/>
      <c r="X52" s="46"/>
      <c r="Y52" s="46"/>
      <c r="Z52" s="46"/>
      <c r="AA52" s="46"/>
      <c r="AB52" s="82"/>
      <c r="AC52" s="76"/>
      <c r="AD52" s="77"/>
      <c r="AE52" s="77">
        <f>IF(テーブル22[[#This Row],[体重]]="",0,(テーブル22[[#This Row],[体重]]-テーブル22[[#This Row],[標準体重]])/テーブル22[[#This Row],[標準体重]]*100)</f>
        <v>0</v>
      </c>
      <c r="AG52" s="1" t="str">
        <f>IF(テーブル22[[#This Row],[判定]]=$BE$10,"○","")</f>
        <v/>
      </c>
      <c r="AH52" s="1" t="str">
        <f>IF(AG52="","",COUNTIF($AG$6:AG52,"○"))</f>
        <v/>
      </c>
    </row>
    <row r="53" spans="1:34" ht="14.25" customHeight="1" x14ac:dyDescent="0.15">
      <c r="A53" s="44">
        <v>48</v>
      </c>
      <c r="B53" s="148"/>
      <c r="C53" s="151"/>
      <c r="D53" s="148"/>
      <c r="E53" s="152"/>
      <c r="F53" s="148"/>
      <c r="G53" s="148"/>
      <c r="H53" s="150"/>
      <c r="I53" s="151"/>
      <c r="J53" s="151"/>
      <c r="K53" s="148"/>
      <c r="L53" s="196"/>
      <c r="M53" s="151"/>
      <c r="N53" s="197"/>
      <c r="O53" s="151"/>
      <c r="P53" s="153"/>
      <c r="Q53" s="26"/>
      <c r="R53" s="47"/>
      <c r="S53" s="46"/>
      <c r="T53" s="46"/>
      <c r="U53" s="46"/>
      <c r="V53" s="46"/>
      <c r="W53" s="46"/>
      <c r="X53" s="46"/>
      <c r="Y53" s="46"/>
      <c r="Z53" s="46"/>
      <c r="AA53" s="46"/>
      <c r="AB53" s="82"/>
      <c r="AC53" s="76"/>
      <c r="AD53" s="77"/>
      <c r="AE53" s="77">
        <f>IF(テーブル22[[#This Row],[体重]]="",0,(テーブル22[[#This Row],[体重]]-テーブル22[[#This Row],[標準体重]])/テーブル22[[#This Row],[標準体重]]*100)</f>
        <v>0</v>
      </c>
      <c r="AG53" s="1" t="str">
        <f>IF(テーブル22[[#This Row],[判定]]=$BE$10,"○","")</f>
        <v/>
      </c>
      <c r="AH53" s="1" t="str">
        <f>IF(AG53="","",COUNTIF($AG$6:AG53,"○"))</f>
        <v/>
      </c>
    </row>
    <row r="54" spans="1:34" ht="14.25" customHeight="1" x14ac:dyDescent="0.15">
      <c r="A54" s="44">
        <v>49</v>
      </c>
      <c r="B54" s="148"/>
      <c r="C54" s="151"/>
      <c r="D54" s="148"/>
      <c r="E54" s="152"/>
      <c r="F54" s="148"/>
      <c r="G54" s="148"/>
      <c r="H54" s="150"/>
      <c r="I54" s="151"/>
      <c r="J54" s="151"/>
      <c r="K54" s="148"/>
      <c r="L54" s="196"/>
      <c r="M54" s="151"/>
      <c r="N54" s="197"/>
      <c r="O54" s="151"/>
      <c r="P54" s="153"/>
      <c r="Q54" s="26"/>
      <c r="R54" s="47"/>
      <c r="S54" s="46"/>
      <c r="T54" s="46"/>
      <c r="U54" s="46"/>
      <c r="V54" s="46"/>
      <c r="W54" s="46"/>
      <c r="X54" s="46"/>
      <c r="Y54" s="46"/>
      <c r="Z54" s="46"/>
      <c r="AA54" s="46"/>
      <c r="AB54" s="82"/>
      <c r="AC54" s="76"/>
      <c r="AD54" s="77"/>
      <c r="AE54" s="77">
        <f>IF(テーブル22[[#This Row],[体重]]="",0,(テーブル22[[#This Row],[体重]]-テーブル22[[#This Row],[標準体重]])/テーブル22[[#This Row],[標準体重]]*100)</f>
        <v>0</v>
      </c>
      <c r="AG54" s="1" t="str">
        <f>IF(テーブル22[[#This Row],[判定]]=$BE$10,"○","")</f>
        <v/>
      </c>
      <c r="AH54" s="1" t="str">
        <f>IF(AG54="","",COUNTIF($AG$6:AG54,"○"))</f>
        <v/>
      </c>
    </row>
    <row r="55" spans="1:34" ht="14.25" customHeight="1" x14ac:dyDescent="0.15">
      <c r="A55" s="44">
        <v>50</v>
      </c>
      <c r="B55" s="148"/>
      <c r="C55" s="151"/>
      <c r="D55" s="148"/>
      <c r="E55" s="152"/>
      <c r="F55" s="148"/>
      <c r="G55" s="148"/>
      <c r="H55" s="150"/>
      <c r="I55" s="151"/>
      <c r="J55" s="151"/>
      <c r="K55" s="148"/>
      <c r="L55" s="196"/>
      <c r="M55" s="151"/>
      <c r="N55" s="197"/>
      <c r="O55" s="151"/>
      <c r="P55" s="153"/>
      <c r="Q55" s="26"/>
      <c r="R55" s="47"/>
      <c r="S55" s="46"/>
      <c r="T55" s="46"/>
      <c r="U55" s="46"/>
      <c r="V55" s="46"/>
      <c r="W55" s="46"/>
      <c r="X55" s="46"/>
      <c r="Y55" s="46"/>
      <c r="Z55" s="46"/>
      <c r="AA55" s="46"/>
      <c r="AB55" s="82"/>
      <c r="AC55" s="76"/>
      <c r="AD55" s="77"/>
      <c r="AE55" s="77">
        <f>IF(テーブル22[[#This Row],[体重]]="",0,(テーブル22[[#This Row],[体重]]-テーブル22[[#This Row],[標準体重]])/テーブル22[[#This Row],[標準体重]]*100)</f>
        <v>0</v>
      </c>
      <c r="AG55" s="1" t="str">
        <f>IF(テーブル22[[#This Row],[判定]]=$BE$10,"○","")</f>
        <v/>
      </c>
      <c r="AH55" s="1" t="str">
        <f>IF(AG55="","",COUNTIF($AG$6:AG55,"○"))</f>
        <v/>
      </c>
    </row>
  </sheetData>
  <sheetProtection algorithmName="SHA-512" hashValue="MRbBhPa9VgwAStt3tp3/aZfdWpz9fgb/8zqn4pLVP8gw+MBt4v3nsCD24ekf4DIsiZZOTrGwqQ8C9482hXbqPA==" saltValue="R9tgH+NBg966giStjvgXuA==" spinCount="100000" sheet="1" objects="1" scenarios="1"/>
  <mergeCells count="8">
    <mergeCell ref="BC20:BD20"/>
    <mergeCell ref="BE20:BF20"/>
    <mergeCell ref="A1:AC1"/>
    <mergeCell ref="C2:D3"/>
    <mergeCell ref="E2:H3"/>
    <mergeCell ref="L2:L3"/>
    <mergeCell ref="M2:Q3"/>
    <mergeCell ref="BB20:BB21"/>
  </mergeCells>
  <phoneticPr fontId="1"/>
  <conditionalFormatting sqref="L6:L55">
    <cfRule type="cellIs" dxfId="26" priority="13" operator="notBetween">
      <formula>120</formula>
      <formula>1200</formula>
    </cfRule>
  </conditionalFormatting>
  <conditionalFormatting sqref="H6:H55">
    <cfRule type="cellIs" dxfId="25" priority="12" operator="notBetween">
      <formula>1</formula>
      <formula>70</formula>
    </cfRule>
  </conditionalFormatting>
  <conditionalFormatting sqref="I6:I55">
    <cfRule type="cellIs" dxfId="24" priority="11" operator="notBetween">
      <formula>1</formula>
      <formula>60</formula>
    </cfRule>
  </conditionalFormatting>
  <conditionalFormatting sqref="J6:J55">
    <cfRule type="cellIs" dxfId="23" priority="10" operator="notBetween">
      <formula>1</formula>
      <formula>100</formula>
    </cfRule>
  </conditionalFormatting>
  <conditionalFormatting sqref="K6:K55">
    <cfRule type="cellIs" dxfId="22" priority="9" operator="notBetween">
      <formula>1</formula>
      <formula>80</formula>
    </cfRule>
  </conditionalFormatting>
  <conditionalFormatting sqref="M6:M55">
    <cfRule type="cellIs" dxfId="21" priority="8" operator="notBetween">
      <formula>1</formula>
      <formula>150</formula>
    </cfRule>
  </conditionalFormatting>
  <conditionalFormatting sqref="N6:N55">
    <cfRule type="cellIs" dxfId="20" priority="7" operator="notBetween">
      <formula>5</formula>
      <formula>20</formula>
    </cfRule>
  </conditionalFormatting>
  <conditionalFormatting sqref="O6:O55">
    <cfRule type="expression" dxfId="19" priority="2">
      <formula>O6-INT(O6)&gt;0</formula>
    </cfRule>
    <cfRule type="cellIs" dxfId="18" priority="5" operator="notBetween">
      <formula>1</formula>
      <formula>300</formula>
    </cfRule>
  </conditionalFormatting>
  <conditionalFormatting sqref="P6:P55">
    <cfRule type="expression" dxfId="17" priority="4">
      <formula>P6-INT(P6)&gt;0</formula>
    </cfRule>
    <cfRule type="cellIs" dxfId="16" priority="6" operator="notBetween">
      <formula>1</formula>
      <formula>50</formula>
    </cfRule>
  </conditionalFormatting>
  <conditionalFormatting sqref="B6:P55">
    <cfRule type="containsBlanks" dxfId="15" priority="3">
      <formula>LEN(TRIM(B6))=0</formula>
    </cfRule>
  </conditionalFormatting>
  <conditionalFormatting sqref="H6:M55">
    <cfRule type="expression" dxfId="14" priority="1">
      <formula>H6-INT(H6)&gt;0</formula>
    </cfRule>
  </conditionalFormatting>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FF"/>
  </sheetPr>
  <dimension ref="A1:BH505"/>
  <sheetViews>
    <sheetView showGridLines="0" tabSelected="1" zoomScaleNormal="100" workbookViewId="0">
      <selection activeCell="A506" sqref="A506:XFD1005"/>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30" customWidth="1"/>
    <col min="19" max="28" width="7.125" style="130" hidden="1" customWidth="1"/>
    <col min="29" max="29" width="7.125" style="130" customWidth="1"/>
    <col min="30" max="30" width="8.375" style="199" customWidth="1"/>
    <col min="31" max="31" width="7.125" style="130"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0" width="9" hidden="1" customWidth="1"/>
    <col min="61" max="71" width="9" customWidth="1"/>
  </cols>
  <sheetData>
    <row r="1" spans="1:60" ht="51.75" customHeight="1" thickBot="1" x14ac:dyDescent="0.2">
      <c r="A1" s="224" t="s">
        <v>79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198"/>
      <c r="AE1" s="135"/>
      <c r="AF1" s="32"/>
    </row>
    <row r="2" spans="1:60" ht="28.5" customHeight="1" x14ac:dyDescent="0.15">
      <c r="C2" s="225" t="s">
        <v>74</v>
      </c>
      <c r="D2" s="226"/>
      <c r="E2" s="243"/>
      <c r="F2" s="244"/>
      <c r="G2" s="244"/>
      <c r="H2" s="245"/>
      <c r="I2" s="134"/>
      <c r="J2" s="134"/>
      <c r="K2" s="48"/>
      <c r="L2" s="235" t="s">
        <v>75</v>
      </c>
      <c r="M2" s="249"/>
      <c r="N2" s="250"/>
      <c r="O2" s="250"/>
      <c r="P2" s="250"/>
      <c r="Q2" s="251"/>
      <c r="R2" s="48"/>
      <c r="S2" s="48"/>
      <c r="T2" s="132"/>
      <c r="W2" s="131"/>
      <c r="X2" s="131"/>
      <c r="AF2" s="130"/>
      <c r="AG2" s="130"/>
      <c r="AH2" s="130"/>
    </row>
    <row r="3" spans="1:60" ht="14.25" customHeight="1" thickBot="1" x14ac:dyDescent="0.2">
      <c r="C3" s="227"/>
      <c r="D3" s="228"/>
      <c r="E3" s="246"/>
      <c r="F3" s="247"/>
      <c r="G3" s="247"/>
      <c r="H3" s="248"/>
      <c r="I3" s="134"/>
      <c r="J3" s="134"/>
      <c r="K3" s="48"/>
      <c r="L3" s="236"/>
      <c r="M3" s="252"/>
      <c r="N3" s="253"/>
      <c r="O3" s="253"/>
      <c r="P3" s="253"/>
      <c r="Q3" s="254"/>
      <c r="R3" s="48"/>
      <c r="S3" s="48"/>
      <c r="T3" s="132"/>
      <c r="W3" s="131"/>
      <c r="AF3" s="130"/>
      <c r="AG3" s="130"/>
      <c r="AH3" s="130"/>
    </row>
    <row r="4" spans="1:60" ht="27.75" customHeight="1" thickBot="1" x14ac:dyDescent="0.2">
      <c r="B4" s="142" t="s">
        <v>1185</v>
      </c>
      <c r="E4" s="142"/>
      <c r="P4" s="133"/>
      <c r="Q4" s="203"/>
      <c r="AC4" s="199"/>
      <c r="AD4" s="130"/>
      <c r="AE4"/>
    </row>
    <row r="5" spans="1:60" ht="29.25" thickBot="1" x14ac:dyDescent="0.2">
      <c r="A5" s="72" t="s">
        <v>82</v>
      </c>
      <c r="B5" s="43" t="s">
        <v>83</v>
      </c>
      <c r="C5" s="43" t="s">
        <v>123</v>
      </c>
      <c r="D5" s="43" t="s">
        <v>84</v>
      </c>
      <c r="E5" s="44" t="s">
        <v>1087</v>
      </c>
      <c r="F5" s="45" t="s">
        <v>1074</v>
      </c>
      <c r="G5" s="45" t="s">
        <v>1075</v>
      </c>
      <c r="H5" s="121" t="s">
        <v>1061</v>
      </c>
      <c r="I5" s="121" t="s">
        <v>1077</v>
      </c>
      <c r="J5" s="122" t="s">
        <v>1064</v>
      </c>
      <c r="K5" s="123" t="s">
        <v>1066</v>
      </c>
      <c r="L5" s="124" t="s">
        <v>1079</v>
      </c>
      <c r="M5" s="125" t="s">
        <v>1072</v>
      </c>
      <c r="N5" s="122" t="s">
        <v>58</v>
      </c>
      <c r="O5" s="123" t="s">
        <v>1083</v>
      </c>
      <c r="P5" s="124" t="s">
        <v>1081</v>
      </c>
      <c r="Q5" s="18" t="s">
        <v>86</v>
      </c>
      <c r="R5" s="47" t="s">
        <v>125</v>
      </c>
      <c r="S5" s="73" t="s">
        <v>1076</v>
      </c>
      <c r="T5" s="74" t="s">
        <v>1078</v>
      </c>
      <c r="U5" s="74" t="s">
        <v>1065</v>
      </c>
      <c r="V5" s="74" t="s">
        <v>1067</v>
      </c>
      <c r="W5" s="74" t="s">
        <v>1068</v>
      </c>
      <c r="X5" s="74" t="s">
        <v>1069</v>
      </c>
      <c r="Y5" s="74" t="s">
        <v>124</v>
      </c>
      <c r="Z5" s="74" t="s">
        <v>1080</v>
      </c>
      <c r="AA5" s="74" t="s">
        <v>1071</v>
      </c>
      <c r="AB5" s="26" t="s">
        <v>85</v>
      </c>
      <c r="AC5" s="75" t="s">
        <v>1178</v>
      </c>
      <c r="AD5" s="200" t="s">
        <v>1179</v>
      </c>
      <c r="AE5" s="74" t="s">
        <v>1180</v>
      </c>
      <c r="AF5" s="74" t="s">
        <v>1186</v>
      </c>
      <c r="AI5" s="52" t="s">
        <v>57</v>
      </c>
      <c r="AJ5" s="53" t="s">
        <v>103</v>
      </c>
      <c r="AK5" s="52" t="s">
        <v>112</v>
      </c>
      <c r="AL5" s="53" t="s">
        <v>103</v>
      </c>
      <c r="AM5" s="52" t="s">
        <v>113</v>
      </c>
      <c r="AN5" s="53" t="s">
        <v>103</v>
      </c>
      <c r="AO5" s="52" t="s">
        <v>114</v>
      </c>
      <c r="AP5" s="53" t="s">
        <v>103</v>
      </c>
      <c r="AQ5" s="52" t="s">
        <v>118</v>
      </c>
      <c r="AR5" s="55" t="s">
        <v>117</v>
      </c>
      <c r="AS5" s="52" t="s">
        <v>120</v>
      </c>
      <c r="AT5" s="53" t="s">
        <v>103</v>
      </c>
      <c r="AU5" s="52" t="s">
        <v>121</v>
      </c>
      <c r="AV5" s="53" t="s">
        <v>103</v>
      </c>
      <c r="AW5" s="52" t="s">
        <v>115</v>
      </c>
      <c r="AX5" s="53" t="s">
        <v>103</v>
      </c>
      <c r="AY5" s="52" t="s">
        <v>122</v>
      </c>
      <c r="AZ5" s="53" t="s">
        <v>103</v>
      </c>
      <c r="BB5" s="78">
        <v>12</v>
      </c>
      <c r="BC5" s="79">
        <v>13</v>
      </c>
      <c r="BD5" s="79">
        <v>14</v>
      </c>
      <c r="BE5" s="81" t="s">
        <v>126</v>
      </c>
      <c r="BF5" s="79">
        <v>15</v>
      </c>
      <c r="BG5" s="79">
        <v>16</v>
      </c>
      <c r="BH5" s="80">
        <v>17</v>
      </c>
    </row>
    <row r="6" spans="1:60" ht="14.25" customHeight="1" x14ac:dyDescent="0.15">
      <c r="A6" s="49">
        <v>1</v>
      </c>
      <c r="B6" s="148"/>
      <c r="C6" s="148"/>
      <c r="D6" s="148"/>
      <c r="E6" s="149"/>
      <c r="F6" s="148"/>
      <c r="G6" s="148"/>
      <c r="H6" s="150"/>
      <c r="I6" s="150"/>
      <c r="J6" s="148"/>
      <c r="K6" s="148"/>
      <c r="L6" s="194"/>
      <c r="M6" s="148"/>
      <c r="N6" s="195"/>
      <c r="O6" s="148"/>
      <c r="P6" s="150"/>
      <c r="Q6" s="143">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 s="144" t="str">
        <f>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f>
        <v/>
      </c>
      <c r="S6" s="145">
        <f>IF(H6="",0,(IF(テーブル2[[#This Row],[性別]]="男",LOOKUP(テーブル2[[#This Row],[握力]],$AI$6:$AJ$15),LOOKUP(テーブル2[[#This Row],[握力]],$AI$20:$AJ$29))))</f>
        <v>0</v>
      </c>
      <c r="T6" s="145">
        <f>IF(テーブル2[[#This Row],[上体]]="",0,(IF(テーブル2[[#This Row],[性別]]="男",LOOKUP(テーブル2[[#This Row],[上体]],$AK$6:$AL$15),LOOKUP(テーブル2[[#This Row],[上体]],$AK$20:$AL$29))))</f>
        <v>0</v>
      </c>
      <c r="U6" s="145">
        <f>IF(テーブル2[[#This Row],[長座]]="",0,(IF(テーブル2[[#This Row],[性別]]="男",LOOKUP(テーブル2[[#This Row],[長座]],$AM$6:$AN$15),LOOKUP(テーブル2[[#This Row],[長座]],$AM$20:$AN$29))))</f>
        <v>0</v>
      </c>
      <c r="V6" s="145">
        <f>IF(テーブル2[[#This Row],[反復]]="",0,(IF(テーブル2[[#This Row],[性別]]="男",LOOKUP(テーブル2[[#This Row],[反復]],$AO$6:$AP$15),LOOKUP(テーブル2[[#This Row],[反復]],$AO$20:$AP$29))))</f>
        <v>0</v>
      </c>
      <c r="W6" s="145">
        <f>IF(テーブル2[[#This Row],[持久走]]="",0,(IF(テーブル2[[#This Row],[性別]]="男",LOOKUP(テーブル2[[#This Row],[持久走]],$AQ$6:$AR$15),LOOKUP(テーブル2[[#This Row],[持久走]],$AQ$20:$AR$29))))</f>
        <v>0</v>
      </c>
      <c r="X6" s="145">
        <f>IF(テーブル2[[#This Row],[ｼｬﾄﾙﾗﾝ]]="",0,(IF(テーブル2[[#This Row],[性別]]="男",LOOKUP(テーブル2[[#This Row],[ｼｬﾄﾙﾗﾝ]],$AS$6:$AT$15),LOOKUP(テーブル2[[#This Row],[ｼｬﾄﾙﾗﾝ]],$AS$20:$AT$29))))</f>
        <v>0</v>
      </c>
      <c r="Y6" s="145">
        <f>IF(テーブル2[[#This Row],[50m走]]="",0,(IF(テーブル2[[#This Row],[性別]]="男",LOOKUP(テーブル2[[#This Row],[50m走]],$AU$6:$AV$15),LOOKUP(テーブル2[[#This Row],[50m走]],$AU$20:$AV$29))))</f>
        <v>0</v>
      </c>
      <c r="Z6" s="145">
        <f>IF(テーブル2[[#This Row],[立幅とび]]="",0,(IF(テーブル2[[#This Row],[性別]]="男",LOOKUP(テーブル2[[#This Row],[立幅とび]],$AW$6:$AX$15),LOOKUP(テーブル2[[#This Row],[立幅とび]],$AW$20:$AX$29))))</f>
        <v>0</v>
      </c>
      <c r="AA6" s="145">
        <f>IF(テーブル2[[#This Row],[ボール投げ]]="",0,(IF(テーブル2[[#This Row],[性別]]="男",LOOKUP(テーブル2[[#This Row],[ボール投げ]],$AY$6:$AZ$15),LOOKUP(テーブル2[[#This Row],[ボール投げ]],$AY$20:$AZ$29))))</f>
        <v>0</v>
      </c>
      <c r="AB6" s="146" t="str">
        <f>IF(テーブル2[[#This Row],[学年]]=1,12,IF(テーブル2[[#This Row],[学年]]=2,13,IF(テーブル2[[#This Row],[学年]]=3,14,"")))</f>
        <v/>
      </c>
      <c r="AC6" s="192" t="str">
        <f>IF(テーブル2[[#This Row],[肥満度数値]]=0,"",LOOKUP(AE6,$AW$39:$AW$44,$AX$39:$AX$44))</f>
        <v/>
      </c>
      <c r="AD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 s="77">
        <f>IF(テーブル2[[#This Row],[体重]]="",0,(テーブル2[[#This Row],[体重]]-テーブル2[[#This Row],[標準体重]])/テーブル2[[#This Row],[標準体重]]*100)</f>
        <v>0</v>
      </c>
      <c r="AF6" s="26">
        <f>COUNTA(テーブル2[[#This Row],[握力]:[ボール投げ]])</f>
        <v>0</v>
      </c>
      <c r="AG6" s="1" t="str">
        <f>IF(テーブル2[[#This Row],[判定]]=$BE$10,"○","")</f>
        <v/>
      </c>
      <c r="AH6" s="1" t="str">
        <f>IF(AG6="","",COUNTIF($AG$6,"○"))</f>
        <v/>
      </c>
      <c r="AI6" s="56">
        <v>0</v>
      </c>
      <c r="AJ6" s="57">
        <v>1</v>
      </c>
      <c r="AK6" s="56">
        <v>0</v>
      </c>
      <c r="AL6" s="57">
        <v>1</v>
      </c>
      <c r="AM6" s="56">
        <v>0</v>
      </c>
      <c r="AN6" s="57">
        <v>1</v>
      </c>
      <c r="AO6" s="56">
        <v>0</v>
      </c>
      <c r="AP6" s="57">
        <v>1</v>
      </c>
      <c r="AQ6" s="84">
        <v>0</v>
      </c>
      <c r="AR6" s="59">
        <v>10</v>
      </c>
      <c r="AS6" s="56">
        <v>0</v>
      </c>
      <c r="AT6" s="57">
        <v>1</v>
      </c>
      <c r="AU6" s="56">
        <v>0</v>
      </c>
      <c r="AV6" s="57">
        <v>10</v>
      </c>
      <c r="AW6" s="56">
        <v>0</v>
      </c>
      <c r="AX6" s="57">
        <v>1</v>
      </c>
      <c r="AY6" s="56">
        <v>0</v>
      </c>
      <c r="AZ6" s="57">
        <v>1</v>
      </c>
      <c r="BA6" s="54"/>
      <c r="BB6" s="58">
        <v>0</v>
      </c>
      <c r="BC6" s="59">
        <v>0</v>
      </c>
      <c r="BD6" s="60">
        <v>0</v>
      </c>
      <c r="BE6" s="59" t="s">
        <v>131</v>
      </c>
      <c r="BF6" s="58">
        <v>0</v>
      </c>
      <c r="BG6" s="59">
        <v>0</v>
      </c>
      <c r="BH6" s="60">
        <v>0</v>
      </c>
    </row>
    <row r="7" spans="1:60" ht="14.25" customHeight="1" x14ac:dyDescent="0.15">
      <c r="A7" s="44">
        <v>2</v>
      </c>
      <c r="B7" s="148"/>
      <c r="C7" s="151"/>
      <c r="D7" s="148"/>
      <c r="E7" s="152"/>
      <c r="F7" s="148"/>
      <c r="G7" s="148"/>
      <c r="H7" s="150"/>
      <c r="I7" s="150"/>
      <c r="J7" s="151"/>
      <c r="K7" s="148"/>
      <c r="L7" s="196"/>
      <c r="M7" s="151"/>
      <c r="N7" s="197"/>
      <c r="O7" s="151"/>
      <c r="P7" s="153"/>
      <c r="Q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 s="144" t="str">
        <f>IF(テーブル2[[#This Row],[得点]]=0,"",IF(テーブル2[[#This Row],[年齢]]=17,LOOKUP(Q7,$BH$6:$BH$10,$BE$6:$BE$10),IF(テーブル2[[#This Row],[年齢]]=16,LOOKUP(Q7,$BG$6:$BG$10,$BE$6:$BE$10),IF(テーブル2[[#This Row],[年齢]]=15,LOOKUP(Q7,$BF$6:$BF$10,$BE$6:$BE$10),IF(テーブル2[[#This Row],[年齢]]=14,LOOKUP(Q7,$BD$6:$BD$10,$BE$6:$BE$10),IF(テーブル2[[#This Row],[年齢]]=13,LOOKUP(Q7,$BC$6:$BC$10,$BE$6:$BE$10),LOOKUP(Q7,$BB$6:$BB$10,$BE$6:$BE$10)))))))</f>
        <v/>
      </c>
      <c r="S7" s="145">
        <f>IF(H7="",0,(IF(テーブル2[[#This Row],[性別]]="男",LOOKUP(テーブル2[[#This Row],[握力]],$AI$6:$AJ$15),LOOKUP(テーブル2[[#This Row],[握力]],$AI$20:$AJ$29))))</f>
        <v>0</v>
      </c>
      <c r="T7" s="145">
        <f>IF(テーブル2[[#This Row],[上体]]="",0,(IF(テーブル2[[#This Row],[性別]]="男",LOOKUP(テーブル2[[#This Row],[上体]],$AK$6:$AL$15),LOOKUP(テーブル2[[#This Row],[上体]],$AK$20:$AL$29))))</f>
        <v>0</v>
      </c>
      <c r="U7" s="145">
        <f>IF(テーブル2[[#This Row],[長座]]="",0,(IF(テーブル2[[#This Row],[性別]]="男",LOOKUP(テーブル2[[#This Row],[長座]],$AM$6:$AN$15),LOOKUP(テーブル2[[#This Row],[長座]],$AM$20:$AN$29))))</f>
        <v>0</v>
      </c>
      <c r="V7" s="145">
        <f>IF(テーブル2[[#This Row],[反復]]="",0,(IF(テーブル2[[#This Row],[性別]]="男",LOOKUP(テーブル2[[#This Row],[反復]],$AO$6:$AP$15),LOOKUP(テーブル2[[#This Row],[反復]],$AO$20:$AP$29))))</f>
        <v>0</v>
      </c>
      <c r="W7" s="145">
        <f>IF(テーブル2[[#This Row],[持久走]]="",0,(IF(テーブル2[[#This Row],[性別]]="男",LOOKUP(テーブル2[[#This Row],[持久走]],$AQ$6:$AR$15),LOOKUP(テーブル2[[#This Row],[持久走]],$AQ$20:$AR$29))))</f>
        <v>0</v>
      </c>
      <c r="X7" s="145">
        <f>IF(テーブル2[[#This Row],[ｼｬﾄﾙﾗﾝ]]="",0,(IF(テーブル2[[#This Row],[性別]]="男",LOOKUP(テーブル2[[#This Row],[ｼｬﾄﾙﾗﾝ]],$AS$6:$AT$15),LOOKUP(テーブル2[[#This Row],[ｼｬﾄﾙﾗﾝ]],$AS$20:$AT$29))))</f>
        <v>0</v>
      </c>
      <c r="Y7" s="145">
        <f>IF(テーブル2[[#This Row],[50m走]]="",0,(IF(テーブル2[[#This Row],[性別]]="男",LOOKUP(テーブル2[[#This Row],[50m走]],$AU$6:$AV$15),LOOKUP(テーブル2[[#This Row],[50m走]],$AU$20:$AV$29))))</f>
        <v>0</v>
      </c>
      <c r="Z7" s="145">
        <f>IF(テーブル2[[#This Row],[立幅とび]]="",0,(IF(テーブル2[[#This Row],[性別]]="男",LOOKUP(テーブル2[[#This Row],[立幅とび]],$AW$6:$AX$15),LOOKUP(テーブル2[[#This Row],[立幅とび]],$AW$20:$AX$29))))</f>
        <v>0</v>
      </c>
      <c r="AA7" s="145">
        <f>IF(テーブル2[[#This Row],[ボール投げ]]="",0,(IF(テーブル2[[#This Row],[性別]]="男",LOOKUP(テーブル2[[#This Row],[ボール投げ]],$AY$6:$AZ$15),LOOKUP(テーブル2[[#This Row],[ボール投げ]],$AY$20:$AZ$29))))</f>
        <v>0</v>
      </c>
      <c r="AB7" s="146" t="str">
        <f>IF(テーブル2[[#This Row],[学年]]=1,12,IF(テーブル2[[#This Row],[学年]]=2,13,IF(テーブル2[[#This Row],[学年]]=3,14,"")))</f>
        <v/>
      </c>
      <c r="AC7" s="192" t="str">
        <f>IF(テーブル2[[#This Row],[肥満度数値]]=0,"",LOOKUP(AE7,$AW$39:$AW$44,$AX$39:$AX$44))</f>
        <v/>
      </c>
      <c r="AD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 s="77">
        <f>IF(テーブル2[[#This Row],[体重]]="",0,(テーブル2[[#This Row],[体重]]-テーブル2[[#This Row],[標準体重]])/テーブル2[[#This Row],[標準体重]]*100)</f>
        <v>0</v>
      </c>
      <c r="AF7" s="26">
        <f>COUNTA(テーブル2[[#This Row],[握力]:[ボール投げ]])</f>
        <v>0</v>
      </c>
      <c r="AG7" s="1" t="str">
        <f>IF(テーブル2[[#This Row],[判定]]=$BE$10,"○","")</f>
        <v/>
      </c>
      <c r="AH7" s="1" t="str">
        <f>IF(AG7="","",COUNTIF($AG$6:AG7,"○"))</f>
        <v/>
      </c>
      <c r="AI7" s="61">
        <v>18</v>
      </c>
      <c r="AJ7" s="62">
        <v>2</v>
      </c>
      <c r="AK7" s="61">
        <v>13</v>
      </c>
      <c r="AL7" s="62">
        <v>2</v>
      </c>
      <c r="AM7" s="61">
        <v>21</v>
      </c>
      <c r="AN7" s="62">
        <v>2</v>
      </c>
      <c r="AO7" s="61">
        <v>30</v>
      </c>
      <c r="AP7" s="62">
        <v>2</v>
      </c>
      <c r="AQ7" s="85">
        <v>300</v>
      </c>
      <c r="AR7" s="64">
        <v>9</v>
      </c>
      <c r="AS7" s="61">
        <v>26</v>
      </c>
      <c r="AT7" s="62">
        <v>2</v>
      </c>
      <c r="AU7" s="61">
        <v>6.7</v>
      </c>
      <c r="AV7" s="62">
        <v>9</v>
      </c>
      <c r="AW7" s="61">
        <v>150</v>
      </c>
      <c r="AX7" s="62">
        <v>2</v>
      </c>
      <c r="AY7" s="61">
        <v>13</v>
      </c>
      <c r="AZ7" s="62">
        <v>2</v>
      </c>
      <c r="BA7" s="54"/>
      <c r="BB7" s="63">
        <v>22</v>
      </c>
      <c r="BC7" s="64">
        <v>27</v>
      </c>
      <c r="BD7" s="65">
        <v>31</v>
      </c>
      <c r="BE7" s="64" t="s">
        <v>130</v>
      </c>
      <c r="BF7" s="63">
        <v>31</v>
      </c>
      <c r="BG7" s="64">
        <v>31</v>
      </c>
      <c r="BH7" s="65">
        <v>31</v>
      </c>
    </row>
    <row r="8" spans="1:60" ht="14.25" customHeight="1" x14ac:dyDescent="0.15">
      <c r="A8" s="44">
        <v>3</v>
      </c>
      <c r="B8" s="148"/>
      <c r="C8" s="151"/>
      <c r="D8" s="148"/>
      <c r="E8" s="152"/>
      <c r="F8" s="148"/>
      <c r="G8" s="148"/>
      <c r="H8" s="150"/>
      <c r="I8" s="150"/>
      <c r="J8" s="151"/>
      <c r="K8" s="148"/>
      <c r="L8" s="196"/>
      <c r="M8" s="151"/>
      <c r="N8" s="197"/>
      <c r="O8" s="151"/>
      <c r="P8" s="153"/>
      <c r="Q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 s="144" t="str">
        <f>IF(テーブル2[[#This Row],[得点]]=0,"",IF(テーブル2[[#This Row],[年齢]]=17,LOOKUP(Q8,$BH$6:$BH$10,$BE$6:$BE$10),IF(テーブル2[[#This Row],[年齢]]=16,LOOKUP(Q8,$BG$6:$BG$10,$BE$6:$BE$10),IF(テーブル2[[#This Row],[年齢]]=15,LOOKUP(Q8,$BF$6:$BF$10,$BE$6:$BE$10),IF(テーブル2[[#This Row],[年齢]]=14,LOOKUP(Q8,$BD$6:$BD$10,$BE$6:$BE$10),IF(テーブル2[[#This Row],[年齢]]=13,LOOKUP(Q8,$BC$6:$BC$10,$BE$6:$BE$10),LOOKUP(Q8,$BB$6:$BB$10,$BE$6:$BE$10)))))))</f>
        <v/>
      </c>
      <c r="S8" s="145">
        <f>IF(H8="",0,(IF(テーブル2[[#This Row],[性別]]="男",LOOKUP(テーブル2[[#This Row],[握力]],$AI$6:$AJ$15),LOOKUP(テーブル2[[#This Row],[握力]],$AI$20:$AJ$29))))</f>
        <v>0</v>
      </c>
      <c r="T8" s="145">
        <f>IF(テーブル2[[#This Row],[上体]]="",0,(IF(テーブル2[[#This Row],[性別]]="男",LOOKUP(テーブル2[[#This Row],[上体]],$AK$6:$AL$15),LOOKUP(テーブル2[[#This Row],[上体]],$AK$20:$AL$29))))</f>
        <v>0</v>
      </c>
      <c r="U8" s="145">
        <f>IF(テーブル2[[#This Row],[長座]]="",0,(IF(テーブル2[[#This Row],[性別]]="男",LOOKUP(テーブル2[[#This Row],[長座]],$AM$6:$AN$15),LOOKUP(テーブル2[[#This Row],[長座]],$AM$20:$AN$29))))</f>
        <v>0</v>
      </c>
      <c r="V8" s="145">
        <f>IF(テーブル2[[#This Row],[反復]]="",0,(IF(テーブル2[[#This Row],[性別]]="男",LOOKUP(テーブル2[[#This Row],[反復]],$AO$6:$AP$15),LOOKUP(テーブル2[[#This Row],[反復]],$AO$20:$AP$29))))</f>
        <v>0</v>
      </c>
      <c r="W8" s="145">
        <f>IF(テーブル2[[#This Row],[持久走]]="",0,(IF(テーブル2[[#This Row],[性別]]="男",LOOKUP(テーブル2[[#This Row],[持久走]],$AQ$6:$AR$15),LOOKUP(テーブル2[[#This Row],[持久走]],$AQ$20:$AR$29))))</f>
        <v>0</v>
      </c>
      <c r="X8" s="145">
        <f>IF(テーブル2[[#This Row],[ｼｬﾄﾙﾗﾝ]]="",0,(IF(テーブル2[[#This Row],[性別]]="男",LOOKUP(テーブル2[[#This Row],[ｼｬﾄﾙﾗﾝ]],$AS$6:$AT$15),LOOKUP(テーブル2[[#This Row],[ｼｬﾄﾙﾗﾝ]],$AS$20:$AT$29))))</f>
        <v>0</v>
      </c>
      <c r="Y8" s="145">
        <f>IF(テーブル2[[#This Row],[50m走]]="",0,(IF(テーブル2[[#This Row],[性別]]="男",LOOKUP(テーブル2[[#This Row],[50m走]],$AU$6:$AV$15),LOOKUP(テーブル2[[#This Row],[50m走]],$AU$20:$AV$29))))</f>
        <v>0</v>
      </c>
      <c r="Z8" s="145">
        <f>IF(テーブル2[[#This Row],[立幅とび]]="",0,(IF(テーブル2[[#This Row],[性別]]="男",LOOKUP(テーブル2[[#This Row],[立幅とび]],$AW$6:$AX$15),LOOKUP(テーブル2[[#This Row],[立幅とび]],$AW$20:$AX$29))))</f>
        <v>0</v>
      </c>
      <c r="AA8" s="145">
        <f>IF(テーブル2[[#This Row],[ボール投げ]]="",0,(IF(テーブル2[[#This Row],[性別]]="男",LOOKUP(テーブル2[[#This Row],[ボール投げ]],$AY$6:$AZ$15),LOOKUP(テーブル2[[#This Row],[ボール投げ]],$AY$20:$AZ$29))))</f>
        <v>0</v>
      </c>
      <c r="AB8" s="146" t="str">
        <f>IF(テーブル2[[#This Row],[学年]]=1,12,IF(テーブル2[[#This Row],[学年]]=2,13,IF(テーブル2[[#This Row],[学年]]=3,14,"")))</f>
        <v/>
      </c>
      <c r="AC8" s="192" t="str">
        <f>IF(テーブル2[[#This Row],[肥満度数値]]=0,"",LOOKUP(AE8,$AW$39:$AW$44,$AX$39:$AX$44))</f>
        <v/>
      </c>
      <c r="AD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 s="77">
        <f>IF(テーブル2[[#This Row],[体重]]="",0,(テーブル2[[#This Row],[体重]]-テーブル2[[#This Row],[標準体重]])/テーブル2[[#This Row],[標準体重]]*100)</f>
        <v>0</v>
      </c>
      <c r="AF8" s="26">
        <f>COUNTA(テーブル2[[#This Row],[握力]:[ボール投げ]])</f>
        <v>0</v>
      </c>
      <c r="AG8" s="1" t="str">
        <f>IF(テーブル2[[#This Row],[判定]]=$BE$10,"○","")</f>
        <v/>
      </c>
      <c r="AH8" s="1" t="str">
        <f>IF(AG8="","",COUNTIF($AG$6:AG8,"○"))</f>
        <v/>
      </c>
      <c r="AI8" s="61">
        <v>23</v>
      </c>
      <c r="AJ8" s="62">
        <v>3</v>
      </c>
      <c r="AK8" s="61">
        <v>16</v>
      </c>
      <c r="AL8" s="62">
        <v>3</v>
      </c>
      <c r="AM8" s="61">
        <v>28</v>
      </c>
      <c r="AN8" s="62">
        <v>3</v>
      </c>
      <c r="AO8" s="61">
        <v>37</v>
      </c>
      <c r="AP8" s="62">
        <v>3</v>
      </c>
      <c r="AQ8" s="85">
        <v>317</v>
      </c>
      <c r="AR8" s="64">
        <v>8</v>
      </c>
      <c r="AS8" s="61">
        <v>37</v>
      </c>
      <c r="AT8" s="62">
        <v>3</v>
      </c>
      <c r="AU8" s="61">
        <v>6.9</v>
      </c>
      <c r="AV8" s="62">
        <v>8</v>
      </c>
      <c r="AW8" s="61">
        <v>170</v>
      </c>
      <c r="AX8" s="62">
        <v>3</v>
      </c>
      <c r="AY8" s="61">
        <v>16</v>
      </c>
      <c r="AZ8" s="62">
        <v>3</v>
      </c>
      <c r="BA8" s="54"/>
      <c r="BB8" s="63">
        <v>32</v>
      </c>
      <c r="BC8" s="64">
        <v>37</v>
      </c>
      <c r="BD8" s="65">
        <v>41</v>
      </c>
      <c r="BE8" s="64" t="s">
        <v>129</v>
      </c>
      <c r="BF8" s="63">
        <v>41</v>
      </c>
      <c r="BG8" s="64">
        <v>42</v>
      </c>
      <c r="BH8" s="65">
        <v>43</v>
      </c>
    </row>
    <row r="9" spans="1:60" ht="14.25" customHeight="1" x14ac:dyDescent="0.15">
      <c r="A9" s="44">
        <v>4</v>
      </c>
      <c r="B9" s="148"/>
      <c r="C9" s="151"/>
      <c r="D9" s="148"/>
      <c r="E9" s="152"/>
      <c r="F9" s="148"/>
      <c r="G9" s="148"/>
      <c r="H9" s="150"/>
      <c r="I9" s="150"/>
      <c r="J9" s="151"/>
      <c r="K9" s="148"/>
      <c r="L9" s="196"/>
      <c r="M9" s="151"/>
      <c r="N9" s="197"/>
      <c r="O9" s="151"/>
      <c r="P9" s="153"/>
      <c r="Q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 s="144" t="str">
        <f>IF(テーブル2[[#This Row],[得点]]=0,"",IF(テーブル2[[#This Row],[年齢]]=17,LOOKUP(Q9,$BH$6:$BH$10,$BE$6:$BE$10),IF(テーブル2[[#This Row],[年齢]]=16,LOOKUP(Q9,$BG$6:$BG$10,$BE$6:$BE$10),IF(テーブル2[[#This Row],[年齢]]=15,LOOKUP(Q9,$BF$6:$BF$10,$BE$6:$BE$10),IF(テーブル2[[#This Row],[年齢]]=14,LOOKUP(Q9,$BD$6:$BD$10,$BE$6:$BE$10),IF(テーブル2[[#This Row],[年齢]]=13,LOOKUP(Q9,$BC$6:$BC$10,$BE$6:$BE$10),LOOKUP(Q9,$BB$6:$BB$10,$BE$6:$BE$10)))))))</f>
        <v/>
      </c>
      <c r="S9" s="145">
        <f>IF(H9="",0,(IF(テーブル2[[#This Row],[性別]]="男",LOOKUP(テーブル2[[#This Row],[握力]],$AI$6:$AJ$15),LOOKUP(テーブル2[[#This Row],[握力]],$AI$20:$AJ$29))))</f>
        <v>0</v>
      </c>
      <c r="T9" s="145">
        <f>IF(テーブル2[[#This Row],[上体]]="",0,(IF(テーブル2[[#This Row],[性別]]="男",LOOKUP(テーブル2[[#This Row],[上体]],$AK$6:$AL$15),LOOKUP(テーブル2[[#This Row],[上体]],$AK$20:$AL$29))))</f>
        <v>0</v>
      </c>
      <c r="U9" s="145">
        <f>IF(テーブル2[[#This Row],[長座]]="",0,(IF(テーブル2[[#This Row],[性別]]="男",LOOKUP(テーブル2[[#This Row],[長座]],$AM$6:$AN$15),LOOKUP(テーブル2[[#This Row],[長座]],$AM$20:$AN$29))))</f>
        <v>0</v>
      </c>
      <c r="V9" s="145">
        <f>IF(テーブル2[[#This Row],[反復]]="",0,(IF(テーブル2[[#This Row],[性別]]="男",LOOKUP(テーブル2[[#This Row],[反復]],$AO$6:$AP$15),LOOKUP(テーブル2[[#This Row],[反復]],$AO$20:$AP$29))))</f>
        <v>0</v>
      </c>
      <c r="W9" s="145">
        <f>IF(テーブル2[[#This Row],[持久走]]="",0,(IF(テーブル2[[#This Row],[性別]]="男",LOOKUP(テーブル2[[#This Row],[持久走]],$AQ$6:$AR$15),LOOKUP(テーブル2[[#This Row],[持久走]],$AQ$20:$AR$29))))</f>
        <v>0</v>
      </c>
      <c r="X9" s="145">
        <f>IF(テーブル2[[#This Row],[ｼｬﾄﾙﾗﾝ]]="",0,(IF(テーブル2[[#This Row],[性別]]="男",LOOKUP(テーブル2[[#This Row],[ｼｬﾄﾙﾗﾝ]],$AS$6:$AT$15),LOOKUP(テーブル2[[#This Row],[ｼｬﾄﾙﾗﾝ]],$AS$20:$AT$29))))</f>
        <v>0</v>
      </c>
      <c r="Y9" s="145">
        <f>IF(テーブル2[[#This Row],[50m走]]="",0,(IF(テーブル2[[#This Row],[性別]]="男",LOOKUP(テーブル2[[#This Row],[50m走]],$AU$6:$AV$15),LOOKUP(テーブル2[[#This Row],[50m走]],$AU$20:$AV$29))))</f>
        <v>0</v>
      </c>
      <c r="Z9" s="145">
        <f>IF(テーブル2[[#This Row],[立幅とび]]="",0,(IF(テーブル2[[#This Row],[性別]]="男",LOOKUP(テーブル2[[#This Row],[立幅とび]],$AW$6:$AX$15),LOOKUP(テーブル2[[#This Row],[立幅とび]],$AW$20:$AX$29))))</f>
        <v>0</v>
      </c>
      <c r="AA9" s="145">
        <f>IF(テーブル2[[#This Row],[ボール投げ]]="",0,(IF(テーブル2[[#This Row],[性別]]="男",LOOKUP(テーブル2[[#This Row],[ボール投げ]],$AY$6:$AZ$15),LOOKUP(テーブル2[[#This Row],[ボール投げ]],$AY$20:$AZ$29))))</f>
        <v>0</v>
      </c>
      <c r="AB9" s="146" t="str">
        <f>IF(テーブル2[[#This Row],[学年]]=1,12,IF(テーブル2[[#This Row],[学年]]=2,13,IF(テーブル2[[#This Row],[学年]]=3,14,"")))</f>
        <v/>
      </c>
      <c r="AC9" s="192" t="str">
        <f>IF(テーブル2[[#This Row],[肥満度数値]]=0,"",LOOKUP(AE9,$AW$39:$AW$44,$AX$39:$AX$44))</f>
        <v/>
      </c>
      <c r="AD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 s="77">
        <f>IF(テーブル2[[#This Row],[体重]]="",0,(テーブル2[[#This Row],[体重]]-テーブル2[[#This Row],[標準体重]])/テーブル2[[#This Row],[標準体重]]*100)</f>
        <v>0</v>
      </c>
      <c r="AF9" s="26">
        <f>COUNTA(テーブル2[[#This Row],[握力]:[ボール投げ]])</f>
        <v>0</v>
      </c>
      <c r="AG9" s="1" t="str">
        <f>IF(テーブル2[[#This Row],[判定]]=$BE$10,"○","")</f>
        <v/>
      </c>
      <c r="AH9" s="1" t="str">
        <f>IF(AG9="","",COUNTIF($AG$6:AG9,"○"))</f>
        <v/>
      </c>
      <c r="AI9" s="61">
        <v>28</v>
      </c>
      <c r="AJ9" s="62">
        <v>4</v>
      </c>
      <c r="AK9" s="61">
        <v>19</v>
      </c>
      <c r="AL9" s="62">
        <v>4</v>
      </c>
      <c r="AM9" s="61">
        <v>33</v>
      </c>
      <c r="AN9" s="62">
        <v>4</v>
      </c>
      <c r="AO9" s="61">
        <v>41</v>
      </c>
      <c r="AP9" s="62">
        <v>4</v>
      </c>
      <c r="AQ9" s="85">
        <v>334</v>
      </c>
      <c r="AR9" s="64">
        <v>7</v>
      </c>
      <c r="AS9" s="61">
        <v>51</v>
      </c>
      <c r="AT9" s="62">
        <v>4</v>
      </c>
      <c r="AU9" s="61">
        <v>7.1</v>
      </c>
      <c r="AV9" s="62">
        <v>7</v>
      </c>
      <c r="AW9" s="61">
        <v>188</v>
      </c>
      <c r="AX9" s="62">
        <v>4</v>
      </c>
      <c r="AY9" s="61">
        <v>19</v>
      </c>
      <c r="AZ9" s="62">
        <v>4</v>
      </c>
      <c r="BA9" s="54"/>
      <c r="BB9" s="63">
        <v>41</v>
      </c>
      <c r="BC9" s="64">
        <v>47</v>
      </c>
      <c r="BD9" s="65">
        <v>51</v>
      </c>
      <c r="BE9" s="64" t="s">
        <v>1053</v>
      </c>
      <c r="BF9" s="63">
        <v>52</v>
      </c>
      <c r="BG9" s="64">
        <v>53</v>
      </c>
      <c r="BH9" s="65">
        <v>54</v>
      </c>
    </row>
    <row r="10" spans="1:60" ht="14.25" customHeight="1" thickBot="1" x14ac:dyDescent="0.2">
      <c r="A10" s="44">
        <v>5</v>
      </c>
      <c r="B10" s="148"/>
      <c r="C10" s="151"/>
      <c r="D10" s="148"/>
      <c r="E10" s="152"/>
      <c r="F10" s="148"/>
      <c r="G10" s="148"/>
      <c r="H10" s="150"/>
      <c r="I10" s="150"/>
      <c r="J10" s="151"/>
      <c r="K10" s="148"/>
      <c r="L10" s="196"/>
      <c r="M10" s="151"/>
      <c r="N10" s="197"/>
      <c r="O10" s="151"/>
      <c r="P10" s="153"/>
      <c r="Q1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 s="144" t="str">
        <f>IF(テーブル2[[#This Row],[得点]]=0,"",IF(テーブル2[[#This Row],[年齢]]=17,LOOKUP(Q10,$BH$6:$BH$10,$BE$6:$BE$10),IF(テーブル2[[#This Row],[年齢]]=16,LOOKUP(Q10,$BG$6:$BG$10,$BE$6:$BE$10),IF(テーブル2[[#This Row],[年齢]]=15,LOOKUP(Q10,$BF$6:$BF$10,$BE$6:$BE$10),IF(テーブル2[[#This Row],[年齢]]=14,LOOKUP(Q10,$BD$6:$BD$10,$BE$6:$BE$10),IF(テーブル2[[#This Row],[年齢]]=13,LOOKUP(Q10,$BC$6:$BC$10,$BE$6:$BE$10),LOOKUP(Q10,$BB$6:$BB$10,$BE$6:$BE$10)))))))</f>
        <v/>
      </c>
      <c r="S10" s="145">
        <f>IF(H10="",0,(IF(テーブル2[[#This Row],[性別]]="男",LOOKUP(テーブル2[[#This Row],[握力]],$AI$6:$AJ$15),LOOKUP(テーブル2[[#This Row],[握力]],$AI$20:$AJ$29))))</f>
        <v>0</v>
      </c>
      <c r="T10" s="145">
        <f>IF(テーブル2[[#This Row],[上体]]="",0,(IF(テーブル2[[#This Row],[性別]]="男",LOOKUP(テーブル2[[#This Row],[上体]],$AK$6:$AL$15),LOOKUP(テーブル2[[#This Row],[上体]],$AK$20:$AL$29))))</f>
        <v>0</v>
      </c>
      <c r="U10" s="145">
        <f>IF(テーブル2[[#This Row],[長座]]="",0,(IF(テーブル2[[#This Row],[性別]]="男",LOOKUP(テーブル2[[#This Row],[長座]],$AM$6:$AN$15),LOOKUP(テーブル2[[#This Row],[長座]],$AM$20:$AN$29))))</f>
        <v>0</v>
      </c>
      <c r="V10" s="145">
        <f>IF(テーブル2[[#This Row],[反復]]="",0,(IF(テーブル2[[#This Row],[性別]]="男",LOOKUP(テーブル2[[#This Row],[反復]],$AO$6:$AP$15),LOOKUP(テーブル2[[#This Row],[反復]],$AO$20:$AP$29))))</f>
        <v>0</v>
      </c>
      <c r="W10" s="145">
        <f>IF(テーブル2[[#This Row],[持久走]]="",0,(IF(テーブル2[[#This Row],[性別]]="男",LOOKUP(テーブル2[[#This Row],[持久走]],$AQ$6:$AR$15),LOOKUP(テーブル2[[#This Row],[持久走]],$AQ$20:$AR$29))))</f>
        <v>0</v>
      </c>
      <c r="X10" s="145">
        <f>IF(テーブル2[[#This Row],[ｼｬﾄﾙﾗﾝ]]="",0,(IF(テーブル2[[#This Row],[性別]]="男",LOOKUP(テーブル2[[#This Row],[ｼｬﾄﾙﾗﾝ]],$AS$6:$AT$15),LOOKUP(テーブル2[[#This Row],[ｼｬﾄﾙﾗﾝ]],$AS$20:$AT$29))))</f>
        <v>0</v>
      </c>
      <c r="Y10" s="145">
        <f>IF(テーブル2[[#This Row],[50m走]]="",0,(IF(テーブル2[[#This Row],[性別]]="男",LOOKUP(テーブル2[[#This Row],[50m走]],$AU$6:$AV$15),LOOKUP(テーブル2[[#This Row],[50m走]],$AU$20:$AV$29))))</f>
        <v>0</v>
      </c>
      <c r="Z10" s="145">
        <f>IF(テーブル2[[#This Row],[立幅とび]]="",0,(IF(テーブル2[[#This Row],[性別]]="男",LOOKUP(テーブル2[[#This Row],[立幅とび]],$AW$6:$AX$15),LOOKUP(テーブル2[[#This Row],[立幅とび]],$AW$20:$AX$29))))</f>
        <v>0</v>
      </c>
      <c r="AA10" s="145">
        <f>IF(テーブル2[[#This Row],[ボール投げ]]="",0,(IF(テーブル2[[#This Row],[性別]]="男",LOOKUP(テーブル2[[#This Row],[ボール投げ]],$AY$6:$AZ$15),LOOKUP(テーブル2[[#This Row],[ボール投げ]],$AY$20:$AZ$29))))</f>
        <v>0</v>
      </c>
      <c r="AB10" s="146" t="str">
        <f>IF(テーブル2[[#This Row],[学年]]=1,12,IF(テーブル2[[#This Row],[学年]]=2,13,IF(テーブル2[[#This Row],[学年]]=3,14,"")))</f>
        <v/>
      </c>
      <c r="AC10" s="192" t="str">
        <f>IF(テーブル2[[#This Row],[肥満度数値]]=0,"",LOOKUP(AE10,$AW$39:$AW$44,$AX$39:$AX$44))</f>
        <v/>
      </c>
      <c r="AD1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 s="77">
        <f>IF(テーブル2[[#This Row],[体重]]="",0,(テーブル2[[#This Row],[体重]]-テーブル2[[#This Row],[標準体重]])/テーブル2[[#This Row],[標準体重]]*100)</f>
        <v>0</v>
      </c>
      <c r="AF10" s="26">
        <f>COUNTA(テーブル2[[#This Row],[握力]:[ボール投げ]])</f>
        <v>0</v>
      </c>
      <c r="AG10" s="1" t="str">
        <f>IF(テーブル2[[#This Row],[判定]]=$BE$10,"○","")</f>
        <v/>
      </c>
      <c r="AH10" s="1" t="str">
        <f>IF(AG10="","",COUNTIF($AG$6:AG10,"○"))</f>
        <v/>
      </c>
      <c r="AI10" s="61">
        <v>33</v>
      </c>
      <c r="AJ10" s="62">
        <v>5</v>
      </c>
      <c r="AK10" s="61">
        <v>22</v>
      </c>
      <c r="AL10" s="62">
        <v>5</v>
      </c>
      <c r="AM10" s="61">
        <v>39</v>
      </c>
      <c r="AN10" s="62">
        <v>5</v>
      </c>
      <c r="AO10" s="61">
        <v>45</v>
      </c>
      <c r="AP10" s="62">
        <v>5</v>
      </c>
      <c r="AQ10" s="85">
        <v>356</v>
      </c>
      <c r="AR10" s="64">
        <v>6</v>
      </c>
      <c r="AS10" s="61">
        <v>63</v>
      </c>
      <c r="AT10" s="62">
        <v>5</v>
      </c>
      <c r="AU10" s="61">
        <v>7.3</v>
      </c>
      <c r="AV10" s="62">
        <v>6</v>
      </c>
      <c r="AW10" s="61">
        <v>203</v>
      </c>
      <c r="AX10" s="62">
        <v>5</v>
      </c>
      <c r="AY10" s="61">
        <v>22</v>
      </c>
      <c r="AZ10" s="62">
        <v>5</v>
      </c>
      <c r="BA10" s="54"/>
      <c r="BB10" s="66">
        <v>51</v>
      </c>
      <c r="BC10" s="67">
        <v>57</v>
      </c>
      <c r="BD10" s="68">
        <v>60</v>
      </c>
      <c r="BE10" s="67" t="s">
        <v>1052</v>
      </c>
      <c r="BF10" s="66">
        <v>61</v>
      </c>
      <c r="BG10" s="67">
        <v>63</v>
      </c>
      <c r="BH10" s="68">
        <v>65</v>
      </c>
    </row>
    <row r="11" spans="1:60" ht="14.25" customHeight="1" x14ac:dyDescent="0.15">
      <c r="A11" s="44">
        <v>6</v>
      </c>
      <c r="B11" s="148"/>
      <c r="C11" s="151"/>
      <c r="D11" s="148"/>
      <c r="E11" s="152"/>
      <c r="F11" s="148"/>
      <c r="G11" s="148"/>
      <c r="H11" s="150"/>
      <c r="I11" s="150"/>
      <c r="J11" s="151"/>
      <c r="K11" s="148"/>
      <c r="L11" s="196"/>
      <c r="M11" s="151"/>
      <c r="N11" s="197"/>
      <c r="O11" s="151"/>
      <c r="P11" s="153"/>
      <c r="Q1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 s="144" t="str">
        <f>IF(テーブル2[[#This Row],[得点]]=0,"",IF(テーブル2[[#This Row],[年齢]]=17,LOOKUP(Q11,$BH$6:$BH$10,$BE$6:$BE$10),IF(テーブル2[[#This Row],[年齢]]=16,LOOKUP(Q11,$BG$6:$BG$10,$BE$6:$BE$10),IF(テーブル2[[#This Row],[年齢]]=15,LOOKUP(Q11,$BF$6:$BF$10,$BE$6:$BE$10),IF(テーブル2[[#This Row],[年齢]]=14,LOOKUP(Q11,$BD$6:$BD$10,$BE$6:$BE$10),IF(テーブル2[[#This Row],[年齢]]=13,LOOKUP(Q11,$BC$6:$BC$10,$BE$6:$BE$10),LOOKUP(Q11,$BB$6:$BB$10,$BE$6:$BE$10)))))))</f>
        <v/>
      </c>
      <c r="S11" s="145">
        <f>IF(H11="",0,(IF(テーブル2[[#This Row],[性別]]="男",LOOKUP(テーブル2[[#This Row],[握力]],$AI$6:$AJ$15),LOOKUP(テーブル2[[#This Row],[握力]],$AI$20:$AJ$29))))</f>
        <v>0</v>
      </c>
      <c r="T11" s="145">
        <f>IF(テーブル2[[#This Row],[上体]]="",0,(IF(テーブル2[[#This Row],[性別]]="男",LOOKUP(テーブル2[[#This Row],[上体]],$AK$6:$AL$15),LOOKUP(テーブル2[[#This Row],[上体]],$AK$20:$AL$29))))</f>
        <v>0</v>
      </c>
      <c r="U11" s="145">
        <f>IF(テーブル2[[#This Row],[長座]]="",0,(IF(テーブル2[[#This Row],[性別]]="男",LOOKUP(テーブル2[[#This Row],[長座]],$AM$6:$AN$15),LOOKUP(テーブル2[[#This Row],[長座]],$AM$20:$AN$29))))</f>
        <v>0</v>
      </c>
      <c r="V11" s="145">
        <f>IF(テーブル2[[#This Row],[反復]]="",0,(IF(テーブル2[[#This Row],[性別]]="男",LOOKUP(テーブル2[[#This Row],[反復]],$AO$6:$AP$15),LOOKUP(テーブル2[[#This Row],[反復]],$AO$20:$AP$29))))</f>
        <v>0</v>
      </c>
      <c r="W11" s="145">
        <f>IF(テーブル2[[#This Row],[持久走]]="",0,(IF(テーブル2[[#This Row],[性別]]="男",LOOKUP(テーブル2[[#This Row],[持久走]],$AQ$6:$AR$15),LOOKUP(テーブル2[[#This Row],[持久走]],$AQ$20:$AR$29))))</f>
        <v>0</v>
      </c>
      <c r="X11" s="145">
        <f>IF(テーブル2[[#This Row],[ｼｬﾄﾙﾗﾝ]]="",0,(IF(テーブル2[[#This Row],[性別]]="男",LOOKUP(テーブル2[[#This Row],[ｼｬﾄﾙﾗﾝ]],$AS$6:$AT$15),LOOKUP(テーブル2[[#This Row],[ｼｬﾄﾙﾗﾝ]],$AS$20:$AT$29))))</f>
        <v>0</v>
      </c>
      <c r="Y11" s="145">
        <f>IF(テーブル2[[#This Row],[50m走]]="",0,(IF(テーブル2[[#This Row],[性別]]="男",LOOKUP(テーブル2[[#This Row],[50m走]],$AU$6:$AV$15),LOOKUP(テーブル2[[#This Row],[50m走]],$AU$20:$AV$29))))</f>
        <v>0</v>
      </c>
      <c r="Z11" s="145">
        <f>IF(テーブル2[[#This Row],[立幅とび]]="",0,(IF(テーブル2[[#This Row],[性別]]="男",LOOKUP(テーブル2[[#This Row],[立幅とび]],$AW$6:$AX$15),LOOKUP(テーブル2[[#This Row],[立幅とび]],$AW$20:$AX$29))))</f>
        <v>0</v>
      </c>
      <c r="AA11" s="145">
        <f>IF(テーブル2[[#This Row],[ボール投げ]]="",0,(IF(テーブル2[[#This Row],[性別]]="男",LOOKUP(テーブル2[[#This Row],[ボール投げ]],$AY$6:$AZ$15),LOOKUP(テーブル2[[#This Row],[ボール投げ]],$AY$20:$AZ$29))))</f>
        <v>0</v>
      </c>
      <c r="AB11" s="146" t="str">
        <f>IF(テーブル2[[#This Row],[学年]]=1,12,IF(テーブル2[[#This Row],[学年]]=2,13,IF(テーブル2[[#This Row],[学年]]=3,14,"")))</f>
        <v/>
      </c>
      <c r="AC11" s="192" t="str">
        <f>IF(テーブル2[[#This Row],[肥満度数値]]=0,"",LOOKUP(AE11,$AW$39:$AW$44,$AX$39:$AX$44))</f>
        <v/>
      </c>
      <c r="AD1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 s="77">
        <f>IF(テーブル2[[#This Row],[体重]]="",0,(テーブル2[[#This Row],[体重]]-テーブル2[[#This Row],[標準体重]])/テーブル2[[#This Row],[標準体重]]*100)</f>
        <v>0</v>
      </c>
      <c r="AF11" s="26">
        <f>COUNTA(テーブル2[[#This Row],[握力]:[ボール投げ]])</f>
        <v>0</v>
      </c>
      <c r="AG11" s="1" t="str">
        <f>IF(テーブル2[[#This Row],[判定]]=$BE$10,"○","")</f>
        <v/>
      </c>
      <c r="AH11" s="1" t="str">
        <f>IF(AG11="","",COUNTIF($AG$6:AG11,"○"))</f>
        <v/>
      </c>
      <c r="AI11" s="61">
        <v>38</v>
      </c>
      <c r="AJ11" s="62">
        <v>6</v>
      </c>
      <c r="AK11" s="61">
        <v>25</v>
      </c>
      <c r="AL11" s="62">
        <v>6</v>
      </c>
      <c r="AM11" s="61">
        <v>44</v>
      </c>
      <c r="AN11" s="62">
        <v>6</v>
      </c>
      <c r="AO11" s="61">
        <v>49</v>
      </c>
      <c r="AP11" s="62">
        <v>6</v>
      </c>
      <c r="AQ11" s="85">
        <v>383</v>
      </c>
      <c r="AR11" s="64">
        <v>5</v>
      </c>
      <c r="AS11" s="61">
        <v>76</v>
      </c>
      <c r="AT11" s="62">
        <v>6</v>
      </c>
      <c r="AU11" s="61">
        <v>7.6</v>
      </c>
      <c r="AV11" s="62">
        <v>5</v>
      </c>
      <c r="AW11" s="61">
        <v>218</v>
      </c>
      <c r="AX11" s="62">
        <v>6</v>
      </c>
      <c r="AY11" s="61">
        <v>25</v>
      </c>
      <c r="AZ11" s="62">
        <v>6</v>
      </c>
      <c r="BA11" s="54"/>
      <c r="BB11" s="54"/>
      <c r="BC11" s="54"/>
      <c r="BD11" s="54"/>
      <c r="BE11" s="54"/>
      <c r="BF11" s="54"/>
      <c r="BG11" s="54"/>
      <c r="BH11" s="54"/>
    </row>
    <row r="12" spans="1:60" ht="14.25" customHeight="1" x14ac:dyDescent="0.15">
      <c r="A12" s="44">
        <v>7</v>
      </c>
      <c r="B12" s="148"/>
      <c r="C12" s="151"/>
      <c r="D12" s="148"/>
      <c r="E12" s="152"/>
      <c r="F12" s="148"/>
      <c r="G12" s="148"/>
      <c r="H12" s="150"/>
      <c r="I12" s="150"/>
      <c r="J12" s="151"/>
      <c r="K12" s="148"/>
      <c r="L12" s="196"/>
      <c r="M12" s="151"/>
      <c r="N12" s="197"/>
      <c r="O12" s="151"/>
      <c r="P12" s="153"/>
      <c r="Q1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 s="144" t="str">
        <f>IF(テーブル2[[#This Row],[得点]]=0,"",IF(テーブル2[[#This Row],[年齢]]=17,LOOKUP(Q12,$BH$6:$BH$10,$BE$6:$BE$10),IF(テーブル2[[#This Row],[年齢]]=16,LOOKUP(Q12,$BG$6:$BG$10,$BE$6:$BE$10),IF(テーブル2[[#This Row],[年齢]]=15,LOOKUP(Q12,$BF$6:$BF$10,$BE$6:$BE$10),IF(テーブル2[[#This Row],[年齢]]=14,LOOKUP(Q12,$BD$6:$BD$10,$BE$6:$BE$10),IF(テーブル2[[#This Row],[年齢]]=13,LOOKUP(Q12,$BC$6:$BC$10,$BE$6:$BE$10),LOOKUP(Q12,$BB$6:$BB$10,$BE$6:$BE$10)))))))</f>
        <v/>
      </c>
      <c r="S12" s="145">
        <f>IF(H12="",0,(IF(テーブル2[[#This Row],[性別]]="男",LOOKUP(テーブル2[[#This Row],[握力]],$AI$6:$AJ$15),LOOKUP(テーブル2[[#This Row],[握力]],$AI$20:$AJ$29))))</f>
        <v>0</v>
      </c>
      <c r="T12" s="145">
        <f>IF(テーブル2[[#This Row],[上体]]="",0,(IF(テーブル2[[#This Row],[性別]]="男",LOOKUP(テーブル2[[#This Row],[上体]],$AK$6:$AL$15),LOOKUP(テーブル2[[#This Row],[上体]],$AK$20:$AL$29))))</f>
        <v>0</v>
      </c>
      <c r="U12" s="145">
        <f>IF(テーブル2[[#This Row],[長座]]="",0,(IF(テーブル2[[#This Row],[性別]]="男",LOOKUP(テーブル2[[#This Row],[長座]],$AM$6:$AN$15),LOOKUP(テーブル2[[#This Row],[長座]],$AM$20:$AN$29))))</f>
        <v>0</v>
      </c>
      <c r="V12" s="145">
        <f>IF(テーブル2[[#This Row],[反復]]="",0,(IF(テーブル2[[#This Row],[性別]]="男",LOOKUP(テーブル2[[#This Row],[反復]],$AO$6:$AP$15),LOOKUP(テーブル2[[#This Row],[反復]],$AO$20:$AP$29))))</f>
        <v>0</v>
      </c>
      <c r="W12" s="145">
        <f>IF(テーブル2[[#This Row],[持久走]]="",0,(IF(テーブル2[[#This Row],[性別]]="男",LOOKUP(テーブル2[[#This Row],[持久走]],$AQ$6:$AR$15),LOOKUP(テーブル2[[#This Row],[持久走]],$AQ$20:$AR$29))))</f>
        <v>0</v>
      </c>
      <c r="X12" s="145">
        <f>IF(テーブル2[[#This Row],[ｼｬﾄﾙﾗﾝ]]="",0,(IF(テーブル2[[#This Row],[性別]]="男",LOOKUP(テーブル2[[#This Row],[ｼｬﾄﾙﾗﾝ]],$AS$6:$AT$15),LOOKUP(テーブル2[[#This Row],[ｼｬﾄﾙﾗﾝ]],$AS$20:$AT$29))))</f>
        <v>0</v>
      </c>
      <c r="Y12" s="145">
        <f>IF(テーブル2[[#This Row],[50m走]]="",0,(IF(テーブル2[[#This Row],[性別]]="男",LOOKUP(テーブル2[[#This Row],[50m走]],$AU$6:$AV$15),LOOKUP(テーブル2[[#This Row],[50m走]],$AU$20:$AV$29))))</f>
        <v>0</v>
      </c>
      <c r="Z12" s="145">
        <f>IF(テーブル2[[#This Row],[立幅とび]]="",0,(IF(テーブル2[[#This Row],[性別]]="男",LOOKUP(テーブル2[[#This Row],[立幅とび]],$AW$6:$AX$15),LOOKUP(テーブル2[[#This Row],[立幅とび]],$AW$20:$AX$29))))</f>
        <v>0</v>
      </c>
      <c r="AA12" s="145">
        <f>IF(テーブル2[[#This Row],[ボール投げ]]="",0,(IF(テーブル2[[#This Row],[性別]]="男",LOOKUP(テーブル2[[#This Row],[ボール投げ]],$AY$6:$AZ$15),LOOKUP(テーブル2[[#This Row],[ボール投げ]],$AY$20:$AZ$29))))</f>
        <v>0</v>
      </c>
      <c r="AB12" s="146" t="str">
        <f>IF(テーブル2[[#This Row],[学年]]=1,12,IF(テーブル2[[#This Row],[学年]]=2,13,IF(テーブル2[[#This Row],[学年]]=3,14,"")))</f>
        <v/>
      </c>
      <c r="AC12" s="192" t="str">
        <f>IF(テーブル2[[#This Row],[肥満度数値]]=0,"",LOOKUP(AE12,$AW$39:$AW$44,$AX$39:$AX$44))</f>
        <v/>
      </c>
      <c r="AD1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 s="77">
        <f>IF(テーブル2[[#This Row],[体重]]="",0,(テーブル2[[#This Row],[体重]]-テーブル2[[#This Row],[標準体重]])/テーブル2[[#This Row],[標準体重]]*100)</f>
        <v>0</v>
      </c>
      <c r="AF12" s="26">
        <f>COUNTA(テーブル2[[#This Row],[握力]:[ボール投げ]])</f>
        <v>0</v>
      </c>
      <c r="AG12" s="1" t="str">
        <f>IF(テーブル2[[#This Row],[判定]]=$BE$10,"○","")</f>
        <v/>
      </c>
      <c r="AH12" s="1" t="str">
        <f>IF(AG12="","",COUNTIF($AG$6:AG12,"○"))</f>
        <v/>
      </c>
      <c r="AI12" s="61">
        <v>43</v>
      </c>
      <c r="AJ12" s="62">
        <v>7</v>
      </c>
      <c r="AK12" s="61">
        <v>27</v>
      </c>
      <c r="AL12" s="62">
        <v>7</v>
      </c>
      <c r="AM12" s="61">
        <v>49</v>
      </c>
      <c r="AN12" s="62">
        <v>7</v>
      </c>
      <c r="AO12" s="61">
        <v>53</v>
      </c>
      <c r="AP12" s="62">
        <v>7</v>
      </c>
      <c r="AQ12" s="85">
        <v>411</v>
      </c>
      <c r="AR12" s="64">
        <v>4</v>
      </c>
      <c r="AS12" s="61">
        <v>90</v>
      </c>
      <c r="AT12" s="62">
        <v>7</v>
      </c>
      <c r="AU12" s="61">
        <v>8</v>
      </c>
      <c r="AV12" s="62">
        <v>4</v>
      </c>
      <c r="AW12" s="61">
        <v>230</v>
      </c>
      <c r="AX12" s="62">
        <v>7</v>
      </c>
      <c r="AY12" s="61">
        <v>28</v>
      </c>
      <c r="AZ12" s="62">
        <v>7</v>
      </c>
      <c r="BA12" s="54"/>
      <c r="BB12" s="54"/>
      <c r="BC12" s="54"/>
      <c r="BD12" s="54"/>
      <c r="BE12" s="54"/>
      <c r="BF12" s="54"/>
      <c r="BG12" s="54"/>
      <c r="BH12" s="54"/>
    </row>
    <row r="13" spans="1:60" ht="14.25" customHeight="1" x14ac:dyDescent="0.15">
      <c r="A13" s="44">
        <v>8</v>
      </c>
      <c r="B13" s="148"/>
      <c r="C13" s="151"/>
      <c r="D13" s="148"/>
      <c r="E13" s="152"/>
      <c r="F13" s="148"/>
      <c r="G13" s="148"/>
      <c r="H13" s="150"/>
      <c r="I13" s="150"/>
      <c r="J13" s="151"/>
      <c r="K13" s="148"/>
      <c r="L13" s="196"/>
      <c r="M13" s="151"/>
      <c r="N13" s="197"/>
      <c r="O13" s="151"/>
      <c r="P13" s="153"/>
      <c r="Q1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 s="144" t="str">
        <f>IF(テーブル2[[#This Row],[得点]]=0,"",IF(テーブル2[[#This Row],[年齢]]=17,LOOKUP(Q13,$BH$6:$BH$10,$BE$6:$BE$10),IF(テーブル2[[#This Row],[年齢]]=16,LOOKUP(Q13,$BG$6:$BG$10,$BE$6:$BE$10),IF(テーブル2[[#This Row],[年齢]]=15,LOOKUP(Q13,$BF$6:$BF$10,$BE$6:$BE$10),IF(テーブル2[[#This Row],[年齢]]=14,LOOKUP(Q13,$BD$6:$BD$10,$BE$6:$BE$10),IF(テーブル2[[#This Row],[年齢]]=13,LOOKUP(Q13,$BC$6:$BC$10,$BE$6:$BE$10),LOOKUP(Q13,$BB$6:$BB$10,$BE$6:$BE$10)))))))</f>
        <v/>
      </c>
      <c r="S13" s="145">
        <f>IF(H13="",0,(IF(テーブル2[[#This Row],[性別]]="男",LOOKUP(テーブル2[[#This Row],[握力]],$AI$6:$AJ$15),LOOKUP(テーブル2[[#This Row],[握力]],$AI$20:$AJ$29))))</f>
        <v>0</v>
      </c>
      <c r="T13" s="145">
        <f>IF(テーブル2[[#This Row],[上体]]="",0,(IF(テーブル2[[#This Row],[性別]]="男",LOOKUP(テーブル2[[#This Row],[上体]],$AK$6:$AL$15),LOOKUP(テーブル2[[#This Row],[上体]],$AK$20:$AL$29))))</f>
        <v>0</v>
      </c>
      <c r="U13" s="145">
        <f>IF(テーブル2[[#This Row],[長座]]="",0,(IF(テーブル2[[#This Row],[性別]]="男",LOOKUP(テーブル2[[#This Row],[長座]],$AM$6:$AN$15),LOOKUP(テーブル2[[#This Row],[長座]],$AM$20:$AN$29))))</f>
        <v>0</v>
      </c>
      <c r="V13" s="145">
        <f>IF(テーブル2[[#This Row],[反復]]="",0,(IF(テーブル2[[#This Row],[性別]]="男",LOOKUP(テーブル2[[#This Row],[反復]],$AO$6:$AP$15),LOOKUP(テーブル2[[#This Row],[反復]],$AO$20:$AP$29))))</f>
        <v>0</v>
      </c>
      <c r="W13" s="145">
        <f>IF(テーブル2[[#This Row],[持久走]]="",0,(IF(テーブル2[[#This Row],[性別]]="男",LOOKUP(テーブル2[[#This Row],[持久走]],$AQ$6:$AR$15),LOOKUP(テーブル2[[#This Row],[持久走]],$AQ$20:$AR$29))))</f>
        <v>0</v>
      </c>
      <c r="X13" s="145">
        <f>IF(テーブル2[[#This Row],[ｼｬﾄﾙﾗﾝ]]="",0,(IF(テーブル2[[#This Row],[性別]]="男",LOOKUP(テーブル2[[#This Row],[ｼｬﾄﾙﾗﾝ]],$AS$6:$AT$15),LOOKUP(テーブル2[[#This Row],[ｼｬﾄﾙﾗﾝ]],$AS$20:$AT$29))))</f>
        <v>0</v>
      </c>
      <c r="Y13" s="145">
        <f>IF(テーブル2[[#This Row],[50m走]]="",0,(IF(テーブル2[[#This Row],[性別]]="男",LOOKUP(テーブル2[[#This Row],[50m走]],$AU$6:$AV$15),LOOKUP(テーブル2[[#This Row],[50m走]],$AU$20:$AV$29))))</f>
        <v>0</v>
      </c>
      <c r="Z13" s="145">
        <f>IF(テーブル2[[#This Row],[立幅とび]]="",0,(IF(テーブル2[[#This Row],[性別]]="男",LOOKUP(テーブル2[[#This Row],[立幅とび]],$AW$6:$AX$15),LOOKUP(テーブル2[[#This Row],[立幅とび]],$AW$20:$AX$29))))</f>
        <v>0</v>
      </c>
      <c r="AA13" s="145">
        <f>IF(テーブル2[[#This Row],[ボール投げ]]="",0,(IF(テーブル2[[#This Row],[性別]]="男",LOOKUP(テーブル2[[#This Row],[ボール投げ]],$AY$6:$AZ$15),LOOKUP(テーブル2[[#This Row],[ボール投げ]],$AY$20:$AZ$29))))</f>
        <v>0</v>
      </c>
      <c r="AB13" s="146" t="str">
        <f>IF(テーブル2[[#This Row],[学年]]=1,12,IF(テーブル2[[#This Row],[学年]]=2,13,IF(テーブル2[[#This Row],[学年]]=3,14,"")))</f>
        <v/>
      </c>
      <c r="AC13" s="192" t="str">
        <f>IF(テーブル2[[#This Row],[肥満度数値]]=0,"",LOOKUP(AE13,$AW$39:$AW$44,$AX$39:$AX$44))</f>
        <v/>
      </c>
      <c r="AD1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 s="77">
        <f>IF(テーブル2[[#This Row],[体重]]="",0,(テーブル2[[#This Row],[体重]]-テーブル2[[#This Row],[標準体重]])/テーブル2[[#This Row],[標準体重]]*100)</f>
        <v>0</v>
      </c>
      <c r="AF13" s="26">
        <f>COUNTA(テーブル2[[#This Row],[握力]:[ボール投げ]])</f>
        <v>0</v>
      </c>
      <c r="AG13" s="1" t="str">
        <f>IF(テーブル2[[#This Row],[判定]]=$BE$10,"○","")</f>
        <v/>
      </c>
      <c r="AH13" s="1" t="str">
        <f>IF(AG13="","",COUNTIF($AG$6:AG13,"○"))</f>
        <v/>
      </c>
      <c r="AI13" s="61">
        <v>47</v>
      </c>
      <c r="AJ13" s="62">
        <v>8</v>
      </c>
      <c r="AK13" s="61">
        <v>30</v>
      </c>
      <c r="AL13" s="62">
        <v>8</v>
      </c>
      <c r="AM13" s="61">
        <v>53</v>
      </c>
      <c r="AN13" s="62">
        <v>8</v>
      </c>
      <c r="AO13" s="61">
        <v>56</v>
      </c>
      <c r="AP13" s="62">
        <v>8</v>
      </c>
      <c r="AQ13" s="85">
        <v>451</v>
      </c>
      <c r="AR13" s="64">
        <v>3</v>
      </c>
      <c r="AS13" s="61">
        <v>102</v>
      </c>
      <c r="AT13" s="62">
        <v>8</v>
      </c>
      <c r="AU13" s="61">
        <v>8.5</v>
      </c>
      <c r="AV13" s="62">
        <v>3</v>
      </c>
      <c r="AW13" s="61">
        <v>242</v>
      </c>
      <c r="AX13" s="62">
        <v>8</v>
      </c>
      <c r="AY13" s="61">
        <v>31</v>
      </c>
      <c r="AZ13" s="62">
        <v>8</v>
      </c>
      <c r="BA13" s="54"/>
      <c r="BB13" s="54"/>
      <c r="BC13" s="54"/>
      <c r="BD13" s="54"/>
      <c r="BE13" s="54"/>
      <c r="BF13" s="54"/>
      <c r="BG13" s="54"/>
      <c r="BH13" s="54"/>
    </row>
    <row r="14" spans="1:60" ht="14.25" customHeight="1" x14ac:dyDescent="0.15">
      <c r="A14" s="44">
        <v>9</v>
      </c>
      <c r="B14" s="148"/>
      <c r="C14" s="151"/>
      <c r="D14" s="148"/>
      <c r="E14" s="152"/>
      <c r="F14" s="148"/>
      <c r="G14" s="148"/>
      <c r="H14" s="150"/>
      <c r="I14" s="150"/>
      <c r="J14" s="151"/>
      <c r="K14" s="148"/>
      <c r="L14" s="196"/>
      <c r="M14" s="151"/>
      <c r="N14" s="197"/>
      <c r="O14" s="151"/>
      <c r="P14" s="153"/>
      <c r="Q1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 s="144" t="str">
        <f>IF(テーブル2[[#This Row],[得点]]=0,"",IF(テーブル2[[#This Row],[年齢]]=17,LOOKUP(Q14,$BH$6:$BH$10,$BE$6:$BE$10),IF(テーブル2[[#This Row],[年齢]]=16,LOOKUP(Q14,$BG$6:$BG$10,$BE$6:$BE$10),IF(テーブル2[[#This Row],[年齢]]=15,LOOKUP(Q14,$BF$6:$BF$10,$BE$6:$BE$10),IF(テーブル2[[#This Row],[年齢]]=14,LOOKUP(Q14,$BD$6:$BD$10,$BE$6:$BE$10),IF(テーブル2[[#This Row],[年齢]]=13,LOOKUP(Q14,$BC$6:$BC$10,$BE$6:$BE$10),LOOKUP(Q14,$BB$6:$BB$10,$BE$6:$BE$10)))))))</f>
        <v/>
      </c>
      <c r="S14" s="145">
        <f>IF(H14="",0,(IF(テーブル2[[#This Row],[性別]]="男",LOOKUP(テーブル2[[#This Row],[握力]],$AI$6:$AJ$15),LOOKUP(テーブル2[[#This Row],[握力]],$AI$20:$AJ$29))))</f>
        <v>0</v>
      </c>
      <c r="T14" s="145">
        <f>IF(テーブル2[[#This Row],[上体]]="",0,(IF(テーブル2[[#This Row],[性別]]="男",LOOKUP(テーブル2[[#This Row],[上体]],$AK$6:$AL$15),LOOKUP(テーブル2[[#This Row],[上体]],$AK$20:$AL$29))))</f>
        <v>0</v>
      </c>
      <c r="U14" s="145">
        <f>IF(テーブル2[[#This Row],[長座]]="",0,(IF(テーブル2[[#This Row],[性別]]="男",LOOKUP(テーブル2[[#This Row],[長座]],$AM$6:$AN$15),LOOKUP(テーブル2[[#This Row],[長座]],$AM$20:$AN$29))))</f>
        <v>0</v>
      </c>
      <c r="V14" s="145">
        <f>IF(テーブル2[[#This Row],[反復]]="",0,(IF(テーブル2[[#This Row],[性別]]="男",LOOKUP(テーブル2[[#This Row],[反復]],$AO$6:$AP$15),LOOKUP(テーブル2[[#This Row],[反復]],$AO$20:$AP$29))))</f>
        <v>0</v>
      </c>
      <c r="W14" s="145">
        <f>IF(テーブル2[[#This Row],[持久走]]="",0,(IF(テーブル2[[#This Row],[性別]]="男",LOOKUP(テーブル2[[#This Row],[持久走]],$AQ$6:$AR$15),LOOKUP(テーブル2[[#This Row],[持久走]],$AQ$20:$AR$29))))</f>
        <v>0</v>
      </c>
      <c r="X14" s="145">
        <f>IF(テーブル2[[#This Row],[ｼｬﾄﾙﾗﾝ]]="",0,(IF(テーブル2[[#This Row],[性別]]="男",LOOKUP(テーブル2[[#This Row],[ｼｬﾄﾙﾗﾝ]],$AS$6:$AT$15),LOOKUP(テーブル2[[#This Row],[ｼｬﾄﾙﾗﾝ]],$AS$20:$AT$29))))</f>
        <v>0</v>
      </c>
      <c r="Y14" s="145">
        <f>IF(テーブル2[[#This Row],[50m走]]="",0,(IF(テーブル2[[#This Row],[性別]]="男",LOOKUP(テーブル2[[#This Row],[50m走]],$AU$6:$AV$15),LOOKUP(テーブル2[[#This Row],[50m走]],$AU$20:$AV$29))))</f>
        <v>0</v>
      </c>
      <c r="Z14" s="145">
        <f>IF(テーブル2[[#This Row],[立幅とび]]="",0,(IF(テーブル2[[#This Row],[性別]]="男",LOOKUP(テーブル2[[#This Row],[立幅とび]],$AW$6:$AX$15),LOOKUP(テーブル2[[#This Row],[立幅とび]],$AW$20:$AX$29))))</f>
        <v>0</v>
      </c>
      <c r="AA14" s="145">
        <f>IF(テーブル2[[#This Row],[ボール投げ]]="",0,(IF(テーブル2[[#This Row],[性別]]="男",LOOKUP(テーブル2[[#This Row],[ボール投げ]],$AY$6:$AZ$15),LOOKUP(テーブル2[[#This Row],[ボール投げ]],$AY$20:$AZ$29))))</f>
        <v>0</v>
      </c>
      <c r="AB14" s="146" t="str">
        <f>IF(テーブル2[[#This Row],[学年]]=1,12,IF(テーブル2[[#This Row],[学年]]=2,13,IF(テーブル2[[#This Row],[学年]]=3,14,"")))</f>
        <v/>
      </c>
      <c r="AC14" s="192" t="str">
        <f>IF(テーブル2[[#This Row],[肥満度数値]]=0,"",LOOKUP(AE14,$AW$39:$AW$44,$AX$39:$AX$44))</f>
        <v/>
      </c>
      <c r="AD1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 s="77">
        <f>IF(テーブル2[[#This Row],[体重]]="",0,(テーブル2[[#This Row],[体重]]-テーブル2[[#This Row],[標準体重]])/テーブル2[[#This Row],[標準体重]]*100)</f>
        <v>0</v>
      </c>
      <c r="AF14" s="26">
        <f>COUNTA(テーブル2[[#This Row],[握力]:[ボール投げ]])</f>
        <v>0</v>
      </c>
      <c r="AG14" s="1" t="str">
        <f>IF(テーブル2[[#This Row],[判定]]=$BE$10,"○","")</f>
        <v/>
      </c>
      <c r="AH14" s="1" t="str">
        <f>IF(AG14="","",COUNTIF($AG$6:AG14,"○"))</f>
        <v/>
      </c>
      <c r="AI14" s="61">
        <v>51</v>
      </c>
      <c r="AJ14" s="62">
        <v>9</v>
      </c>
      <c r="AK14" s="61">
        <v>33</v>
      </c>
      <c r="AL14" s="62">
        <v>9</v>
      </c>
      <c r="AM14" s="61">
        <v>58</v>
      </c>
      <c r="AN14" s="62">
        <v>9</v>
      </c>
      <c r="AO14" s="61">
        <v>60</v>
      </c>
      <c r="AP14" s="62">
        <v>9</v>
      </c>
      <c r="AQ14" s="85">
        <v>500</v>
      </c>
      <c r="AR14" s="64">
        <v>2</v>
      </c>
      <c r="AS14" s="61">
        <v>113</v>
      </c>
      <c r="AT14" s="62">
        <v>9</v>
      </c>
      <c r="AU14" s="61">
        <v>9.1</v>
      </c>
      <c r="AV14" s="62">
        <v>2</v>
      </c>
      <c r="AW14" s="61">
        <v>254</v>
      </c>
      <c r="AX14" s="62">
        <v>9</v>
      </c>
      <c r="AY14" s="61">
        <v>34</v>
      </c>
      <c r="AZ14" s="62">
        <v>9</v>
      </c>
      <c r="BA14" s="54"/>
      <c r="BB14" s="54"/>
      <c r="BC14" s="54"/>
      <c r="BD14" s="54"/>
      <c r="BE14" s="54"/>
      <c r="BF14" s="54"/>
      <c r="BG14" s="54"/>
      <c r="BH14" s="54"/>
    </row>
    <row r="15" spans="1:60" ht="14.25" customHeight="1" thickBot="1" x14ac:dyDescent="0.2">
      <c r="A15" s="44">
        <v>10</v>
      </c>
      <c r="B15" s="148"/>
      <c r="C15" s="151"/>
      <c r="D15" s="148"/>
      <c r="E15" s="152"/>
      <c r="F15" s="148"/>
      <c r="G15" s="148"/>
      <c r="H15" s="150"/>
      <c r="I15" s="150"/>
      <c r="J15" s="151"/>
      <c r="K15" s="148"/>
      <c r="L15" s="196"/>
      <c r="M15" s="151"/>
      <c r="N15" s="197"/>
      <c r="O15" s="151"/>
      <c r="P15" s="153"/>
      <c r="Q1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 s="144" t="str">
        <f>IF(テーブル2[[#This Row],[得点]]=0,"",IF(テーブル2[[#This Row],[年齢]]=17,LOOKUP(Q15,$BH$6:$BH$10,$BE$6:$BE$10),IF(テーブル2[[#This Row],[年齢]]=16,LOOKUP(Q15,$BG$6:$BG$10,$BE$6:$BE$10),IF(テーブル2[[#This Row],[年齢]]=15,LOOKUP(Q15,$BF$6:$BF$10,$BE$6:$BE$10),IF(テーブル2[[#This Row],[年齢]]=14,LOOKUP(Q15,$BD$6:$BD$10,$BE$6:$BE$10),IF(テーブル2[[#This Row],[年齢]]=13,LOOKUP(Q15,$BC$6:$BC$10,$BE$6:$BE$10),LOOKUP(Q15,$BB$6:$BB$10,$BE$6:$BE$10)))))))</f>
        <v/>
      </c>
      <c r="S15" s="145">
        <f>IF(H15="",0,(IF(テーブル2[[#This Row],[性別]]="男",LOOKUP(テーブル2[[#This Row],[握力]],$AI$6:$AJ$15),LOOKUP(テーブル2[[#This Row],[握力]],$AI$20:$AJ$29))))</f>
        <v>0</v>
      </c>
      <c r="T15" s="145">
        <f>IF(テーブル2[[#This Row],[上体]]="",0,(IF(テーブル2[[#This Row],[性別]]="男",LOOKUP(テーブル2[[#This Row],[上体]],$AK$6:$AL$15),LOOKUP(テーブル2[[#This Row],[上体]],$AK$20:$AL$29))))</f>
        <v>0</v>
      </c>
      <c r="U15" s="145">
        <f>IF(テーブル2[[#This Row],[長座]]="",0,(IF(テーブル2[[#This Row],[性別]]="男",LOOKUP(テーブル2[[#This Row],[長座]],$AM$6:$AN$15),LOOKUP(テーブル2[[#This Row],[長座]],$AM$20:$AN$29))))</f>
        <v>0</v>
      </c>
      <c r="V15" s="145">
        <f>IF(テーブル2[[#This Row],[反復]]="",0,(IF(テーブル2[[#This Row],[性別]]="男",LOOKUP(テーブル2[[#This Row],[反復]],$AO$6:$AP$15),LOOKUP(テーブル2[[#This Row],[反復]],$AO$20:$AP$29))))</f>
        <v>0</v>
      </c>
      <c r="W15" s="145">
        <f>IF(テーブル2[[#This Row],[持久走]]="",0,(IF(テーブル2[[#This Row],[性別]]="男",LOOKUP(テーブル2[[#This Row],[持久走]],$AQ$6:$AR$15),LOOKUP(テーブル2[[#This Row],[持久走]],$AQ$20:$AR$29))))</f>
        <v>0</v>
      </c>
      <c r="X15" s="145">
        <f>IF(テーブル2[[#This Row],[ｼｬﾄﾙﾗﾝ]]="",0,(IF(テーブル2[[#This Row],[性別]]="男",LOOKUP(テーブル2[[#This Row],[ｼｬﾄﾙﾗﾝ]],$AS$6:$AT$15),LOOKUP(テーブル2[[#This Row],[ｼｬﾄﾙﾗﾝ]],$AS$20:$AT$29))))</f>
        <v>0</v>
      </c>
      <c r="Y15" s="145">
        <f>IF(テーブル2[[#This Row],[50m走]]="",0,(IF(テーブル2[[#This Row],[性別]]="男",LOOKUP(テーブル2[[#This Row],[50m走]],$AU$6:$AV$15),LOOKUP(テーブル2[[#This Row],[50m走]],$AU$20:$AV$29))))</f>
        <v>0</v>
      </c>
      <c r="Z15" s="145">
        <f>IF(テーブル2[[#This Row],[立幅とび]]="",0,(IF(テーブル2[[#This Row],[性別]]="男",LOOKUP(テーブル2[[#This Row],[立幅とび]],$AW$6:$AX$15),LOOKUP(テーブル2[[#This Row],[立幅とび]],$AW$20:$AX$29))))</f>
        <v>0</v>
      </c>
      <c r="AA15" s="145">
        <f>IF(テーブル2[[#This Row],[ボール投げ]]="",0,(IF(テーブル2[[#This Row],[性別]]="男",LOOKUP(テーブル2[[#This Row],[ボール投げ]],$AY$6:$AZ$15),LOOKUP(テーブル2[[#This Row],[ボール投げ]],$AY$20:$AZ$29))))</f>
        <v>0</v>
      </c>
      <c r="AB15" s="146" t="str">
        <f>IF(テーブル2[[#This Row],[学年]]=1,12,IF(テーブル2[[#This Row],[学年]]=2,13,IF(テーブル2[[#This Row],[学年]]=3,14,"")))</f>
        <v/>
      </c>
      <c r="AC15" s="192" t="str">
        <f>IF(テーブル2[[#This Row],[肥満度数値]]=0,"",LOOKUP(AE15,$AW$39:$AW$44,$AX$39:$AX$44))</f>
        <v/>
      </c>
      <c r="AD1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 s="77">
        <f>IF(テーブル2[[#This Row],[体重]]="",0,(テーブル2[[#This Row],[体重]]-テーブル2[[#This Row],[標準体重]])/テーブル2[[#This Row],[標準体重]]*100)</f>
        <v>0</v>
      </c>
      <c r="AF15" s="26">
        <f>COUNTA(テーブル2[[#This Row],[握力]:[ボール投げ]])</f>
        <v>0</v>
      </c>
      <c r="AG15" s="1" t="str">
        <f>IF(テーブル2[[#This Row],[判定]]=$BE$10,"○","")</f>
        <v/>
      </c>
      <c r="AH15" s="1" t="str">
        <f>IF(AG15="","",COUNTIF($AG$6:AG15,"○"))</f>
        <v/>
      </c>
      <c r="AI15" s="69">
        <v>56</v>
      </c>
      <c r="AJ15" s="70">
        <v>10</v>
      </c>
      <c r="AK15" s="69">
        <v>35</v>
      </c>
      <c r="AL15" s="70">
        <v>10</v>
      </c>
      <c r="AM15" s="69">
        <v>64</v>
      </c>
      <c r="AN15" s="70">
        <v>10</v>
      </c>
      <c r="AO15" s="69">
        <v>63</v>
      </c>
      <c r="AP15" s="70">
        <v>10</v>
      </c>
      <c r="AQ15" s="86">
        <v>561</v>
      </c>
      <c r="AR15" s="67">
        <v>1</v>
      </c>
      <c r="AS15" s="69">
        <v>125</v>
      </c>
      <c r="AT15" s="70">
        <v>10</v>
      </c>
      <c r="AU15" s="69">
        <v>9.8000000000000007</v>
      </c>
      <c r="AV15" s="70">
        <v>1</v>
      </c>
      <c r="AW15" s="69">
        <v>265</v>
      </c>
      <c r="AX15" s="70">
        <v>10</v>
      </c>
      <c r="AY15" s="69">
        <v>37</v>
      </c>
      <c r="AZ15" s="70">
        <v>10</v>
      </c>
      <c r="BA15" s="54"/>
      <c r="BB15" s="54"/>
      <c r="BC15" s="54"/>
      <c r="BD15" s="54"/>
      <c r="BE15" s="54"/>
      <c r="BF15" s="54"/>
      <c r="BG15" s="54"/>
      <c r="BH15" s="54"/>
    </row>
    <row r="16" spans="1:60" ht="14.25" customHeight="1" x14ac:dyDescent="0.15">
      <c r="A16" s="44">
        <v>11</v>
      </c>
      <c r="B16" s="148"/>
      <c r="C16" s="151"/>
      <c r="D16" s="148"/>
      <c r="E16" s="152"/>
      <c r="F16" s="148"/>
      <c r="G16" s="148"/>
      <c r="H16" s="150"/>
      <c r="I16" s="150"/>
      <c r="J16" s="151"/>
      <c r="K16" s="148"/>
      <c r="L16" s="196"/>
      <c r="M16" s="151"/>
      <c r="N16" s="197"/>
      <c r="O16" s="151"/>
      <c r="P16" s="153"/>
      <c r="Q1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 s="144" t="str">
        <f>IF(テーブル2[[#This Row],[得点]]=0,"",IF(テーブル2[[#This Row],[年齢]]=17,LOOKUP(Q16,$BH$6:$BH$10,$BE$6:$BE$10),IF(テーブル2[[#This Row],[年齢]]=16,LOOKUP(Q16,$BG$6:$BG$10,$BE$6:$BE$10),IF(テーブル2[[#This Row],[年齢]]=15,LOOKUP(Q16,$BF$6:$BF$10,$BE$6:$BE$10),IF(テーブル2[[#This Row],[年齢]]=14,LOOKUP(Q16,$BD$6:$BD$10,$BE$6:$BE$10),IF(テーブル2[[#This Row],[年齢]]=13,LOOKUP(Q16,$BC$6:$BC$10,$BE$6:$BE$10),LOOKUP(Q16,$BB$6:$BB$10,$BE$6:$BE$10)))))))</f>
        <v/>
      </c>
      <c r="S16" s="145">
        <f>IF(H16="",0,(IF(テーブル2[[#This Row],[性別]]="男",LOOKUP(テーブル2[[#This Row],[握力]],$AI$6:$AJ$15),LOOKUP(テーブル2[[#This Row],[握力]],$AI$20:$AJ$29))))</f>
        <v>0</v>
      </c>
      <c r="T16" s="145">
        <f>IF(テーブル2[[#This Row],[上体]]="",0,(IF(テーブル2[[#This Row],[性別]]="男",LOOKUP(テーブル2[[#This Row],[上体]],$AK$6:$AL$15),LOOKUP(テーブル2[[#This Row],[上体]],$AK$20:$AL$29))))</f>
        <v>0</v>
      </c>
      <c r="U16" s="145">
        <f>IF(テーブル2[[#This Row],[長座]]="",0,(IF(テーブル2[[#This Row],[性別]]="男",LOOKUP(テーブル2[[#This Row],[長座]],$AM$6:$AN$15),LOOKUP(テーブル2[[#This Row],[長座]],$AM$20:$AN$29))))</f>
        <v>0</v>
      </c>
      <c r="V16" s="145">
        <f>IF(テーブル2[[#This Row],[反復]]="",0,(IF(テーブル2[[#This Row],[性別]]="男",LOOKUP(テーブル2[[#This Row],[反復]],$AO$6:$AP$15),LOOKUP(テーブル2[[#This Row],[反復]],$AO$20:$AP$29))))</f>
        <v>0</v>
      </c>
      <c r="W16" s="145">
        <f>IF(テーブル2[[#This Row],[持久走]]="",0,(IF(テーブル2[[#This Row],[性別]]="男",LOOKUP(テーブル2[[#This Row],[持久走]],$AQ$6:$AR$15),LOOKUP(テーブル2[[#This Row],[持久走]],$AQ$20:$AR$29))))</f>
        <v>0</v>
      </c>
      <c r="X16" s="145">
        <f>IF(テーブル2[[#This Row],[ｼｬﾄﾙﾗﾝ]]="",0,(IF(テーブル2[[#This Row],[性別]]="男",LOOKUP(テーブル2[[#This Row],[ｼｬﾄﾙﾗﾝ]],$AS$6:$AT$15),LOOKUP(テーブル2[[#This Row],[ｼｬﾄﾙﾗﾝ]],$AS$20:$AT$29))))</f>
        <v>0</v>
      </c>
      <c r="Y16" s="145">
        <f>IF(テーブル2[[#This Row],[50m走]]="",0,(IF(テーブル2[[#This Row],[性別]]="男",LOOKUP(テーブル2[[#This Row],[50m走]],$AU$6:$AV$15),LOOKUP(テーブル2[[#This Row],[50m走]],$AU$20:$AV$29))))</f>
        <v>0</v>
      </c>
      <c r="Z16" s="145">
        <f>IF(テーブル2[[#This Row],[立幅とび]]="",0,(IF(テーブル2[[#This Row],[性別]]="男",LOOKUP(テーブル2[[#This Row],[立幅とび]],$AW$6:$AX$15),LOOKUP(テーブル2[[#This Row],[立幅とび]],$AW$20:$AX$29))))</f>
        <v>0</v>
      </c>
      <c r="AA16" s="145">
        <f>IF(テーブル2[[#This Row],[ボール投げ]]="",0,(IF(テーブル2[[#This Row],[性別]]="男",LOOKUP(テーブル2[[#This Row],[ボール投げ]],$AY$6:$AZ$15),LOOKUP(テーブル2[[#This Row],[ボール投げ]],$AY$20:$AZ$29))))</f>
        <v>0</v>
      </c>
      <c r="AB16" s="146" t="str">
        <f>IF(テーブル2[[#This Row],[学年]]=1,12,IF(テーブル2[[#This Row],[学年]]=2,13,IF(テーブル2[[#This Row],[学年]]=3,14,"")))</f>
        <v/>
      </c>
      <c r="AC16" s="192" t="str">
        <f>IF(テーブル2[[#This Row],[肥満度数値]]=0,"",LOOKUP(AE16,$AW$39:$AW$44,$AX$39:$AX$44))</f>
        <v/>
      </c>
      <c r="AD1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 s="77">
        <f>IF(テーブル2[[#This Row],[体重]]="",0,(テーブル2[[#This Row],[体重]]-テーブル2[[#This Row],[標準体重]])/テーブル2[[#This Row],[標準体重]]*100)</f>
        <v>0</v>
      </c>
      <c r="AF16" s="26">
        <f>COUNTA(テーブル2[[#This Row],[握力]:[ボール投げ]])</f>
        <v>0</v>
      </c>
      <c r="AG16" s="1" t="str">
        <f>IF(テーブル2[[#This Row],[判定]]=$BE$10,"○","")</f>
        <v/>
      </c>
      <c r="AH16" s="1" t="str">
        <f>IF(AG16="","",COUNTIF($AG$6:AG16,"○"))</f>
        <v/>
      </c>
      <c r="AI16" s="54"/>
      <c r="AJ16" s="54"/>
      <c r="AK16" s="54"/>
      <c r="AL16" s="54"/>
      <c r="AM16" s="54"/>
      <c r="AN16" s="54"/>
      <c r="AO16" s="54"/>
      <c r="AP16" s="54"/>
      <c r="AQ16" s="54"/>
      <c r="AR16" s="54"/>
      <c r="AS16" s="54"/>
      <c r="AT16" s="54"/>
      <c r="AU16" s="54"/>
      <c r="AV16" s="54"/>
      <c r="AW16" s="54"/>
      <c r="AX16" s="54"/>
      <c r="AY16" s="54"/>
      <c r="AZ16" s="54"/>
      <c r="BA16" s="54"/>
      <c r="BB16" s="136" t="s">
        <v>1088</v>
      </c>
      <c r="BC16" s="54"/>
      <c r="BD16" s="54"/>
      <c r="BE16" s="54"/>
      <c r="BF16" s="54"/>
      <c r="BG16" s="54"/>
      <c r="BH16" s="54"/>
    </row>
    <row r="17" spans="1:60" ht="14.25" customHeight="1" x14ac:dyDescent="0.15">
      <c r="A17" s="44">
        <v>12</v>
      </c>
      <c r="B17" s="148"/>
      <c r="C17" s="151"/>
      <c r="D17" s="148"/>
      <c r="E17" s="152"/>
      <c r="F17" s="148"/>
      <c r="G17" s="148"/>
      <c r="H17" s="150"/>
      <c r="I17" s="150"/>
      <c r="J17" s="151"/>
      <c r="K17" s="148"/>
      <c r="L17" s="196"/>
      <c r="M17" s="151"/>
      <c r="N17" s="197"/>
      <c r="O17" s="151"/>
      <c r="P17" s="153"/>
      <c r="Q1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 s="144" t="str">
        <f>IF(テーブル2[[#This Row],[得点]]=0,"",IF(テーブル2[[#This Row],[年齢]]=17,LOOKUP(Q17,$BH$6:$BH$10,$BE$6:$BE$10),IF(テーブル2[[#This Row],[年齢]]=16,LOOKUP(Q17,$BG$6:$BG$10,$BE$6:$BE$10),IF(テーブル2[[#This Row],[年齢]]=15,LOOKUP(Q17,$BF$6:$BF$10,$BE$6:$BE$10),IF(テーブル2[[#This Row],[年齢]]=14,LOOKUP(Q17,$BD$6:$BD$10,$BE$6:$BE$10),IF(テーブル2[[#This Row],[年齢]]=13,LOOKUP(Q17,$BC$6:$BC$10,$BE$6:$BE$10),LOOKUP(Q17,$BB$6:$BB$10,$BE$6:$BE$10)))))))</f>
        <v/>
      </c>
      <c r="S17" s="145">
        <f>IF(H17="",0,(IF(テーブル2[[#This Row],[性別]]="男",LOOKUP(テーブル2[[#This Row],[握力]],$AI$6:$AJ$15),LOOKUP(テーブル2[[#This Row],[握力]],$AI$20:$AJ$29))))</f>
        <v>0</v>
      </c>
      <c r="T17" s="145">
        <f>IF(テーブル2[[#This Row],[上体]]="",0,(IF(テーブル2[[#This Row],[性別]]="男",LOOKUP(テーブル2[[#This Row],[上体]],$AK$6:$AL$15),LOOKUP(テーブル2[[#This Row],[上体]],$AK$20:$AL$29))))</f>
        <v>0</v>
      </c>
      <c r="U17" s="145">
        <f>IF(テーブル2[[#This Row],[長座]]="",0,(IF(テーブル2[[#This Row],[性別]]="男",LOOKUP(テーブル2[[#This Row],[長座]],$AM$6:$AN$15),LOOKUP(テーブル2[[#This Row],[長座]],$AM$20:$AN$29))))</f>
        <v>0</v>
      </c>
      <c r="V17" s="145">
        <f>IF(テーブル2[[#This Row],[反復]]="",0,(IF(テーブル2[[#This Row],[性別]]="男",LOOKUP(テーブル2[[#This Row],[反復]],$AO$6:$AP$15),LOOKUP(テーブル2[[#This Row],[反復]],$AO$20:$AP$29))))</f>
        <v>0</v>
      </c>
      <c r="W17" s="145">
        <f>IF(テーブル2[[#This Row],[持久走]]="",0,(IF(テーブル2[[#This Row],[性別]]="男",LOOKUP(テーブル2[[#This Row],[持久走]],$AQ$6:$AR$15),LOOKUP(テーブル2[[#This Row],[持久走]],$AQ$20:$AR$29))))</f>
        <v>0</v>
      </c>
      <c r="X17" s="145">
        <f>IF(テーブル2[[#This Row],[ｼｬﾄﾙﾗﾝ]]="",0,(IF(テーブル2[[#This Row],[性別]]="男",LOOKUP(テーブル2[[#This Row],[ｼｬﾄﾙﾗﾝ]],$AS$6:$AT$15),LOOKUP(テーブル2[[#This Row],[ｼｬﾄﾙﾗﾝ]],$AS$20:$AT$29))))</f>
        <v>0</v>
      </c>
      <c r="Y17" s="145">
        <f>IF(テーブル2[[#This Row],[50m走]]="",0,(IF(テーブル2[[#This Row],[性別]]="男",LOOKUP(テーブル2[[#This Row],[50m走]],$AU$6:$AV$15),LOOKUP(テーブル2[[#This Row],[50m走]],$AU$20:$AV$29))))</f>
        <v>0</v>
      </c>
      <c r="Z17" s="145">
        <f>IF(テーブル2[[#This Row],[立幅とび]]="",0,(IF(テーブル2[[#This Row],[性別]]="男",LOOKUP(テーブル2[[#This Row],[立幅とび]],$AW$6:$AX$15),LOOKUP(テーブル2[[#This Row],[立幅とび]],$AW$20:$AX$29))))</f>
        <v>0</v>
      </c>
      <c r="AA17" s="145">
        <f>IF(テーブル2[[#This Row],[ボール投げ]]="",0,(IF(テーブル2[[#This Row],[性別]]="男",LOOKUP(テーブル2[[#This Row],[ボール投げ]],$AY$6:$AZ$15),LOOKUP(テーブル2[[#This Row],[ボール投げ]],$AY$20:$AZ$29))))</f>
        <v>0</v>
      </c>
      <c r="AB17" s="146" t="str">
        <f>IF(テーブル2[[#This Row],[学年]]=1,12,IF(テーブル2[[#This Row],[学年]]=2,13,IF(テーブル2[[#This Row],[学年]]=3,14,"")))</f>
        <v/>
      </c>
      <c r="AC17" s="192" t="str">
        <f>IF(テーブル2[[#This Row],[肥満度数値]]=0,"",LOOKUP(AE17,$AW$39:$AW$44,$AX$39:$AX$44))</f>
        <v/>
      </c>
      <c r="AD1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 s="77">
        <f>IF(テーブル2[[#This Row],[体重]]="",0,(テーブル2[[#This Row],[体重]]-テーブル2[[#This Row],[標準体重]])/テーブル2[[#This Row],[標準体重]]*100)</f>
        <v>0</v>
      </c>
      <c r="AF17" s="26">
        <f>COUNTA(テーブル2[[#This Row],[握力]:[ボール投げ]])</f>
        <v>0</v>
      </c>
      <c r="AG17" s="1" t="str">
        <f>IF(テーブル2[[#This Row],[判定]]=$BE$10,"○","")</f>
        <v/>
      </c>
      <c r="AH17" s="1" t="str">
        <f>IF(AG17="","",COUNTIF($AG$6:AG17,"○"))</f>
        <v/>
      </c>
      <c r="AI17" s="54"/>
      <c r="AJ17" s="54"/>
      <c r="AK17" s="54"/>
      <c r="AL17" s="54"/>
      <c r="AM17" s="54"/>
      <c r="AN17" s="54"/>
      <c r="AO17" s="54"/>
      <c r="AP17" s="54"/>
      <c r="AQ17" s="54"/>
      <c r="AR17" s="54"/>
      <c r="AS17" s="54"/>
      <c r="AT17" s="54"/>
      <c r="AU17" s="54"/>
      <c r="AV17" s="54"/>
      <c r="AW17" s="54"/>
      <c r="AX17" s="54"/>
      <c r="AY17" s="54"/>
      <c r="AZ17" s="54"/>
      <c r="BA17" s="54"/>
      <c r="BB17" s="136" t="s">
        <v>1089</v>
      </c>
      <c r="BC17" s="54"/>
      <c r="BD17" s="54"/>
      <c r="BE17" s="54"/>
      <c r="BF17" s="54"/>
      <c r="BG17" s="54"/>
      <c r="BH17" s="54"/>
    </row>
    <row r="18" spans="1:60" ht="14.25" customHeight="1" thickBot="1" x14ac:dyDescent="0.2">
      <c r="A18" s="44">
        <v>13</v>
      </c>
      <c r="B18" s="148"/>
      <c r="C18" s="151"/>
      <c r="D18" s="148"/>
      <c r="E18" s="152"/>
      <c r="F18" s="148"/>
      <c r="G18" s="148"/>
      <c r="H18" s="150"/>
      <c r="I18" s="150"/>
      <c r="J18" s="151"/>
      <c r="K18" s="148"/>
      <c r="L18" s="196"/>
      <c r="M18" s="151"/>
      <c r="N18" s="197"/>
      <c r="O18" s="151"/>
      <c r="P18" s="153"/>
      <c r="Q1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 s="144" t="str">
        <f>IF(テーブル2[[#This Row],[得点]]=0,"",IF(テーブル2[[#This Row],[年齢]]=17,LOOKUP(Q18,$BH$6:$BH$10,$BE$6:$BE$10),IF(テーブル2[[#This Row],[年齢]]=16,LOOKUP(Q18,$BG$6:$BG$10,$BE$6:$BE$10),IF(テーブル2[[#This Row],[年齢]]=15,LOOKUP(Q18,$BF$6:$BF$10,$BE$6:$BE$10),IF(テーブル2[[#This Row],[年齢]]=14,LOOKUP(Q18,$BD$6:$BD$10,$BE$6:$BE$10),IF(テーブル2[[#This Row],[年齢]]=13,LOOKUP(Q18,$BC$6:$BC$10,$BE$6:$BE$10),LOOKUP(Q18,$BB$6:$BB$10,$BE$6:$BE$10)))))))</f>
        <v/>
      </c>
      <c r="S18" s="145">
        <f>IF(H18="",0,(IF(テーブル2[[#This Row],[性別]]="男",LOOKUP(テーブル2[[#This Row],[握力]],$AI$6:$AJ$15),LOOKUP(テーブル2[[#This Row],[握力]],$AI$20:$AJ$29))))</f>
        <v>0</v>
      </c>
      <c r="T18" s="145">
        <f>IF(テーブル2[[#This Row],[上体]]="",0,(IF(テーブル2[[#This Row],[性別]]="男",LOOKUP(テーブル2[[#This Row],[上体]],$AK$6:$AL$15),LOOKUP(テーブル2[[#This Row],[上体]],$AK$20:$AL$29))))</f>
        <v>0</v>
      </c>
      <c r="U18" s="145">
        <f>IF(テーブル2[[#This Row],[長座]]="",0,(IF(テーブル2[[#This Row],[性別]]="男",LOOKUP(テーブル2[[#This Row],[長座]],$AM$6:$AN$15),LOOKUP(テーブル2[[#This Row],[長座]],$AM$20:$AN$29))))</f>
        <v>0</v>
      </c>
      <c r="V18" s="145">
        <f>IF(テーブル2[[#This Row],[反復]]="",0,(IF(テーブル2[[#This Row],[性別]]="男",LOOKUP(テーブル2[[#This Row],[反復]],$AO$6:$AP$15),LOOKUP(テーブル2[[#This Row],[反復]],$AO$20:$AP$29))))</f>
        <v>0</v>
      </c>
      <c r="W18" s="145">
        <f>IF(テーブル2[[#This Row],[持久走]]="",0,(IF(テーブル2[[#This Row],[性別]]="男",LOOKUP(テーブル2[[#This Row],[持久走]],$AQ$6:$AR$15),LOOKUP(テーブル2[[#This Row],[持久走]],$AQ$20:$AR$29))))</f>
        <v>0</v>
      </c>
      <c r="X18" s="145">
        <f>IF(テーブル2[[#This Row],[ｼｬﾄﾙﾗﾝ]]="",0,(IF(テーブル2[[#This Row],[性別]]="男",LOOKUP(テーブル2[[#This Row],[ｼｬﾄﾙﾗﾝ]],$AS$6:$AT$15),LOOKUP(テーブル2[[#This Row],[ｼｬﾄﾙﾗﾝ]],$AS$20:$AT$29))))</f>
        <v>0</v>
      </c>
      <c r="Y18" s="145">
        <f>IF(テーブル2[[#This Row],[50m走]]="",0,(IF(テーブル2[[#This Row],[性別]]="男",LOOKUP(テーブル2[[#This Row],[50m走]],$AU$6:$AV$15),LOOKUP(テーブル2[[#This Row],[50m走]],$AU$20:$AV$29))))</f>
        <v>0</v>
      </c>
      <c r="Z18" s="145">
        <f>IF(テーブル2[[#This Row],[立幅とび]]="",0,(IF(テーブル2[[#This Row],[性別]]="男",LOOKUP(テーブル2[[#This Row],[立幅とび]],$AW$6:$AX$15),LOOKUP(テーブル2[[#This Row],[立幅とび]],$AW$20:$AX$29))))</f>
        <v>0</v>
      </c>
      <c r="AA18" s="145">
        <f>IF(テーブル2[[#This Row],[ボール投げ]]="",0,(IF(テーブル2[[#This Row],[性別]]="男",LOOKUP(テーブル2[[#This Row],[ボール投げ]],$AY$6:$AZ$15),LOOKUP(テーブル2[[#This Row],[ボール投げ]],$AY$20:$AZ$29))))</f>
        <v>0</v>
      </c>
      <c r="AB18" s="146" t="str">
        <f>IF(テーブル2[[#This Row],[学年]]=1,12,IF(テーブル2[[#This Row],[学年]]=2,13,IF(テーブル2[[#This Row],[学年]]=3,14,"")))</f>
        <v/>
      </c>
      <c r="AC18" s="192" t="str">
        <f>IF(テーブル2[[#This Row],[肥満度数値]]=0,"",LOOKUP(AE18,$AW$39:$AW$44,$AX$39:$AX$44))</f>
        <v/>
      </c>
      <c r="AD1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 s="77">
        <f>IF(テーブル2[[#This Row],[体重]]="",0,(テーブル2[[#This Row],[体重]]-テーブル2[[#This Row],[標準体重]])/テーブル2[[#This Row],[標準体重]]*100)</f>
        <v>0</v>
      </c>
      <c r="AF18" s="26">
        <f>COUNTA(テーブル2[[#This Row],[握力]:[ボール投げ]])</f>
        <v>0</v>
      </c>
      <c r="AG18" s="1" t="str">
        <f>IF(テーブル2[[#This Row],[判定]]=$BE$10,"○","")</f>
        <v/>
      </c>
      <c r="AH18" s="1" t="str">
        <f>IF(AG18="","",COUNTIF($AG$6:AG18,"○"))</f>
        <v/>
      </c>
      <c r="AI18" s="71" t="s">
        <v>116</v>
      </c>
      <c r="AJ18" s="54"/>
      <c r="AK18" s="54"/>
      <c r="AL18" s="54"/>
      <c r="AM18" s="54"/>
      <c r="AN18" s="54"/>
      <c r="AO18" s="54"/>
      <c r="AP18" s="54"/>
      <c r="AQ18" s="54"/>
      <c r="AR18" s="54"/>
      <c r="AS18" s="54"/>
      <c r="AT18" s="54"/>
      <c r="AU18" s="54"/>
      <c r="AV18" s="54"/>
      <c r="AW18" s="54"/>
      <c r="AX18" s="54"/>
      <c r="AY18" s="54"/>
      <c r="AZ18" s="54"/>
      <c r="BA18" s="54"/>
      <c r="BB18" s="54"/>
      <c r="BC18" s="54"/>
      <c r="BD18" s="136" t="s">
        <v>1090</v>
      </c>
      <c r="BE18" s="54"/>
      <c r="BF18" s="54"/>
      <c r="BG18" s="54"/>
      <c r="BH18" s="54"/>
    </row>
    <row r="19" spans="1:60" ht="14.25" customHeight="1" thickBot="1" x14ac:dyDescent="0.2">
      <c r="A19" s="44">
        <v>14</v>
      </c>
      <c r="B19" s="148"/>
      <c r="C19" s="151"/>
      <c r="D19" s="148"/>
      <c r="E19" s="152"/>
      <c r="F19" s="148"/>
      <c r="G19" s="148"/>
      <c r="H19" s="150"/>
      <c r="I19" s="150"/>
      <c r="J19" s="151"/>
      <c r="K19" s="148"/>
      <c r="L19" s="196"/>
      <c r="M19" s="151"/>
      <c r="N19" s="197"/>
      <c r="O19" s="151"/>
      <c r="P19" s="153"/>
      <c r="Q1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 s="144" t="str">
        <f>IF(テーブル2[[#This Row],[得点]]=0,"",IF(テーブル2[[#This Row],[年齢]]=17,LOOKUP(Q19,$BH$6:$BH$10,$BE$6:$BE$10),IF(テーブル2[[#This Row],[年齢]]=16,LOOKUP(Q19,$BG$6:$BG$10,$BE$6:$BE$10),IF(テーブル2[[#This Row],[年齢]]=15,LOOKUP(Q19,$BF$6:$BF$10,$BE$6:$BE$10),IF(テーブル2[[#This Row],[年齢]]=14,LOOKUP(Q19,$BD$6:$BD$10,$BE$6:$BE$10),IF(テーブル2[[#This Row],[年齢]]=13,LOOKUP(Q19,$BC$6:$BC$10,$BE$6:$BE$10),LOOKUP(Q19,$BB$6:$BB$10,$BE$6:$BE$10)))))))</f>
        <v/>
      </c>
      <c r="S19" s="145">
        <f>IF(H19="",0,(IF(テーブル2[[#This Row],[性別]]="男",LOOKUP(テーブル2[[#This Row],[握力]],$AI$6:$AJ$15),LOOKUP(テーブル2[[#This Row],[握力]],$AI$20:$AJ$29))))</f>
        <v>0</v>
      </c>
      <c r="T19" s="145">
        <f>IF(テーブル2[[#This Row],[上体]]="",0,(IF(テーブル2[[#This Row],[性別]]="男",LOOKUP(テーブル2[[#This Row],[上体]],$AK$6:$AL$15),LOOKUP(テーブル2[[#This Row],[上体]],$AK$20:$AL$29))))</f>
        <v>0</v>
      </c>
      <c r="U19" s="145">
        <f>IF(テーブル2[[#This Row],[長座]]="",0,(IF(テーブル2[[#This Row],[性別]]="男",LOOKUP(テーブル2[[#This Row],[長座]],$AM$6:$AN$15),LOOKUP(テーブル2[[#This Row],[長座]],$AM$20:$AN$29))))</f>
        <v>0</v>
      </c>
      <c r="V19" s="145">
        <f>IF(テーブル2[[#This Row],[反復]]="",0,(IF(テーブル2[[#This Row],[性別]]="男",LOOKUP(テーブル2[[#This Row],[反復]],$AO$6:$AP$15),LOOKUP(テーブル2[[#This Row],[反復]],$AO$20:$AP$29))))</f>
        <v>0</v>
      </c>
      <c r="W19" s="145">
        <f>IF(テーブル2[[#This Row],[持久走]]="",0,(IF(テーブル2[[#This Row],[性別]]="男",LOOKUP(テーブル2[[#This Row],[持久走]],$AQ$6:$AR$15),LOOKUP(テーブル2[[#This Row],[持久走]],$AQ$20:$AR$29))))</f>
        <v>0</v>
      </c>
      <c r="X19" s="145">
        <f>IF(テーブル2[[#This Row],[ｼｬﾄﾙﾗﾝ]]="",0,(IF(テーブル2[[#This Row],[性別]]="男",LOOKUP(テーブル2[[#This Row],[ｼｬﾄﾙﾗﾝ]],$AS$6:$AT$15),LOOKUP(テーブル2[[#This Row],[ｼｬﾄﾙﾗﾝ]],$AS$20:$AT$29))))</f>
        <v>0</v>
      </c>
      <c r="Y19" s="145">
        <f>IF(テーブル2[[#This Row],[50m走]]="",0,(IF(テーブル2[[#This Row],[性別]]="男",LOOKUP(テーブル2[[#This Row],[50m走]],$AU$6:$AV$15),LOOKUP(テーブル2[[#This Row],[50m走]],$AU$20:$AV$29))))</f>
        <v>0</v>
      </c>
      <c r="Z19" s="145">
        <f>IF(テーブル2[[#This Row],[立幅とび]]="",0,(IF(テーブル2[[#This Row],[性別]]="男",LOOKUP(テーブル2[[#This Row],[立幅とび]],$AW$6:$AX$15),LOOKUP(テーブル2[[#This Row],[立幅とび]],$AW$20:$AX$29))))</f>
        <v>0</v>
      </c>
      <c r="AA19" s="145">
        <f>IF(テーブル2[[#This Row],[ボール投げ]]="",0,(IF(テーブル2[[#This Row],[性別]]="男",LOOKUP(テーブル2[[#This Row],[ボール投げ]],$AY$6:$AZ$15),LOOKUP(テーブル2[[#This Row],[ボール投げ]],$AY$20:$AZ$29))))</f>
        <v>0</v>
      </c>
      <c r="AB19" s="146" t="str">
        <f>IF(テーブル2[[#This Row],[学年]]=1,12,IF(テーブル2[[#This Row],[学年]]=2,13,IF(テーブル2[[#This Row],[学年]]=3,14,"")))</f>
        <v/>
      </c>
      <c r="AC19" s="192" t="str">
        <f>IF(テーブル2[[#This Row],[肥満度数値]]=0,"",LOOKUP(AE19,$AW$39:$AW$44,$AX$39:$AX$44))</f>
        <v/>
      </c>
      <c r="AD1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 s="77">
        <f>IF(テーブル2[[#This Row],[体重]]="",0,(テーブル2[[#This Row],[体重]]-テーブル2[[#This Row],[標準体重]])/テーブル2[[#This Row],[標準体重]]*100)</f>
        <v>0</v>
      </c>
      <c r="AF19" s="26">
        <f>COUNTA(テーブル2[[#This Row],[握力]:[ボール投げ]])</f>
        <v>0</v>
      </c>
      <c r="AG19" s="1" t="str">
        <f>IF(テーブル2[[#This Row],[判定]]=$BE$10,"○","")</f>
        <v/>
      </c>
      <c r="AH19" s="1" t="str">
        <f>IF(AG19="","",COUNTIF($AG$6:AG19,"○"))</f>
        <v/>
      </c>
      <c r="AI19" s="52" t="s">
        <v>57</v>
      </c>
      <c r="AJ19" s="53" t="s">
        <v>103</v>
      </c>
      <c r="AK19" s="52" t="s">
        <v>112</v>
      </c>
      <c r="AL19" s="53" t="s">
        <v>103</v>
      </c>
      <c r="AM19" s="52" t="s">
        <v>113</v>
      </c>
      <c r="AN19" s="53" t="s">
        <v>103</v>
      </c>
      <c r="AO19" s="52" t="s">
        <v>114</v>
      </c>
      <c r="AP19" s="53" t="s">
        <v>103</v>
      </c>
      <c r="AQ19" s="52" t="s">
        <v>118</v>
      </c>
      <c r="AR19" s="55" t="s">
        <v>117</v>
      </c>
      <c r="AS19" s="52" t="s">
        <v>120</v>
      </c>
      <c r="AT19" s="53" t="s">
        <v>103</v>
      </c>
      <c r="AU19" s="52" t="s">
        <v>121</v>
      </c>
      <c r="AV19" s="53" t="s">
        <v>103</v>
      </c>
      <c r="AW19" s="52" t="s">
        <v>115</v>
      </c>
      <c r="AX19" s="53" t="s">
        <v>103</v>
      </c>
      <c r="AY19" s="52" t="s">
        <v>122</v>
      </c>
      <c r="AZ19" s="53" t="s">
        <v>103</v>
      </c>
      <c r="BA19" s="54"/>
      <c r="BB19" s="136" t="s">
        <v>1091</v>
      </c>
      <c r="BC19" s="54"/>
      <c r="BD19" s="54"/>
      <c r="BE19" s="54"/>
      <c r="BF19" s="54"/>
      <c r="BG19" s="54"/>
      <c r="BH19" s="54"/>
    </row>
    <row r="20" spans="1:60" ht="14.25" customHeight="1" x14ac:dyDescent="0.15">
      <c r="A20" s="44">
        <v>15</v>
      </c>
      <c r="B20" s="148"/>
      <c r="C20" s="151"/>
      <c r="D20" s="148"/>
      <c r="E20" s="152"/>
      <c r="F20" s="148"/>
      <c r="G20" s="148"/>
      <c r="H20" s="150"/>
      <c r="I20" s="150"/>
      <c r="J20" s="151"/>
      <c r="K20" s="148"/>
      <c r="L20" s="196"/>
      <c r="M20" s="151"/>
      <c r="N20" s="197"/>
      <c r="O20" s="151"/>
      <c r="P20" s="153"/>
      <c r="Q2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 s="144" t="str">
        <f>IF(テーブル2[[#This Row],[得点]]=0,"",IF(テーブル2[[#This Row],[年齢]]=17,LOOKUP(Q20,$BH$6:$BH$10,$BE$6:$BE$10),IF(テーブル2[[#This Row],[年齢]]=16,LOOKUP(Q20,$BG$6:$BG$10,$BE$6:$BE$10),IF(テーブル2[[#This Row],[年齢]]=15,LOOKUP(Q20,$BF$6:$BF$10,$BE$6:$BE$10),IF(テーブル2[[#This Row],[年齢]]=14,LOOKUP(Q20,$BD$6:$BD$10,$BE$6:$BE$10),IF(テーブル2[[#This Row],[年齢]]=13,LOOKUP(Q20,$BC$6:$BC$10,$BE$6:$BE$10),LOOKUP(Q20,$BB$6:$BB$10,$BE$6:$BE$10)))))))</f>
        <v/>
      </c>
      <c r="S20" s="145">
        <f>IF(H20="",0,(IF(テーブル2[[#This Row],[性別]]="男",LOOKUP(テーブル2[[#This Row],[握力]],$AI$6:$AJ$15),LOOKUP(テーブル2[[#This Row],[握力]],$AI$20:$AJ$29))))</f>
        <v>0</v>
      </c>
      <c r="T20" s="145">
        <f>IF(テーブル2[[#This Row],[上体]]="",0,(IF(テーブル2[[#This Row],[性別]]="男",LOOKUP(テーブル2[[#This Row],[上体]],$AK$6:$AL$15),LOOKUP(テーブル2[[#This Row],[上体]],$AK$20:$AL$29))))</f>
        <v>0</v>
      </c>
      <c r="U20" s="145">
        <f>IF(テーブル2[[#This Row],[長座]]="",0,(IF(テーブル2[[#This Row],[性別]]="男",LOOKUP(テーブル2[[#This Row],[長座]],$AM$6:$AN$15),LOOKUP(テーブル2[[#This Row],[長座]],$AM$20:$AN$29))))</f>
        <v>0</v>
      </c>
      <c r="V20" s="145">
        <f>IF(テーブル2[[#This Row],[反復]]="",0,(IF(テーブル2[[#This Row],[性別]]="男",LOOKUP(テーブル2[[#This Row],[反復]],$AO$6:$AP$15),LOOKUP(テーブル2[[#This Row],[反復]],$AO$20:$AP$29))))</f>
        <v>0</v>
      </c>
      <c r="W20" s="145">
        <f>IF(テーブル2[[#This Row],[持久走]]="",0,(IF(テーブル2[[#This Row],[性別]]="男",LOOKUP(テーブル2[[#This Row],[持久走]],$AQ$6:$AR$15),LOOKUP(テーブル2[[#This Row],[持久走]],$AQ$20:$AR$29))))</f>
        <v>0</v>
      </c>
      <c r="X20" s="145">
        <f>IF(テーブル2[[#This Row],[ｼｬﾄﾙﾗﾝ]]="",0,(IF(テーブル2[[#This Row],[性別]]="男",LOOKUP(テーブル2[[#This Row],[ｼｬﾄﾙﾗﾝ]],$AS$6:$AT$15),LOOKUP(テーブル2[[#This Row],[ｼｬﾄﾙﾗﾝ]],$AS$20:$AT$29))))</f>
        <v>0</v>
      </c>
      <c r="Y20" s="145">
        <f>IF(テーブル2[[#This Row],[50m走]]="",0,(IF(テーブル2[[#This Row],[性別]]="男",LOOKUP(テーブル2[[#This Row],[50m走]],$AU$6:$AV$15),LOOKUP(テーブル2[[#This Row],[50m走]],$AU$20:$AV$29))))</f>
        <v>0</v>
      </c>
      <c r="Z20" s="145">
        <f>IF(テーブル2[[#This Row],[立幅とび]]="",0,(IF(テーブル2[[#This Row],[性別]]="男",LOOKUP(テーブル2[[#This Row],[立幅とび]],$AW$6:$AX$15),LOOKUP(テーブル2[[#This Row],[立幅とび]],$AW$20:$AX$29))))</f>
        <v>0</v>
      </c>
      <c r="AA20" s="145">
        <f>IF(テーブル2[[#This Row],[ボール投げ]]="",0,(IF(テーブル2[[#This Row],[性別]]="男",LOOKUP(テーブル2[[#This Row],[ボール投げ]],$AY$6:$AZ$15),LOOKUP(テーブル2[[#This Row],[ボール投げ]],$AY$20:$AZ$29))))</f>
        <v>0</v>
      </c>
      <c r="AB20" s="146" t="str">
        <f>IF(テーブル2[[#This Row],[学年]]=1,12,IF(テーブル2[[#This Row],[学年]]=2,13,IF(テーブル2[[#This Row],[学年]]=3,14,"")))</f>
        <v/>
      </c>
      <c r="AC20" s="192" t="str">
        <f>IF(テーブル2[[#This Row],[肥満度数値]]=0,"",LOOKUP(AE20,$AW$39:$AW$44,$AX$39:$AX$44))</f>
        <v/>
      </c>
      <c r="AD2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 s="77">
        <f>IF(テーブル2[[#This Row],[体重]]="",0,(テーブル2[[#This Row],[体重]]-テーブル2[[#This Row],[標準体重]])/テーブル2[[#This Row],[標準体重]]*100)</f>
        <v>0</v>
      </c>
      <c r="AF20" s="26">
        <f>COUNTA(テーブル2[[#This Row],[握力]:[ボール投げ]])</f>
        <v>0</v>
      </c>
      <c r="AG20" s="1" t="str">
        <f>IF(テーブル2[[#This Row],[判定]]=$BE$10,"○","")</f>
        <v/>
      </c>
      <c r="AH20" s="1" t="str">
        <f>IF(AG20="","",COUNTIF($AG$6:AG20,"○"))</f>
        <v/>
      </c>
      <c r="AI20" s="56">
        <v>0</v>
      </c>
      <c r="AJ20" s="57">
        <v>1</v>
      </c>
      <c r="AK20" s="56">
        <v>0</v>
      </c>
      <c r="AL20" s="57">
        <v>1</v>
      </c>
      <c r="AM20" s="56">
        <v>0</v>
      </c>
      <c r="AN20" s="57">
        <v>1</v>
      </c>
      <c r="AO20" s="56">
        <v>0</v>
      </c>
      <c r="AP20" s="57">
        <v>1</v>
      </c>
      <c r="AQ20" s="84">
        <v>0</v>
      </c>
      <c r="AR20" s="59">
        <v>10</v>
      </c>
      <c r="AS20" s="56">
        <v>0</v>
      </c>
      <c r="AT20" s="57">
        <v>1</v>
      </c>
      <c r="AU20" s="56">
        <v>0</v>
      </c>
      <c r="AV20" s="57">
        <v>10</v>
      </c>
      <c r="AW20" s="56">
        <v>0</v>
      </c>
      <c r="AX20" s="57">
        <v>1</v>
      </c>
      <c r="AY20" s="56">
        <v>0</v>
      </c>
      <c r="AZ20" s="57">
        <v>1</v>
      </c>
      <c r="BA20" s="54"/>
      <c r="BB20" s="223" t="s">
        <v>1092</v>
      </c>
      <c r="BC20" s="223" t="s">
        <v>1093</v>
      </c>
      <c r="BD20" s="223"/>
      <c r="BE20" s="223" t="s">
        <v>1094</v>
      </c>
      <c r="BF20" s="223"/>
      <c r="BG20" s="54"/>
      <c r="BH20" s="54"/>
    </row>
    <row r="21" spans="1:60" ht="14.25" customHeight="1" x14ac:dyDescent="0.15">
      <c r="A21" s="44">
        <v>16</v>
      </c>
      <c r="B21" s="148"/>
      <c r="C21" s="151"/>
      <c r="D21" s="148"/>
      <c r="E21" s="152"/>
      <c r="F21" s="148"/>
      <c r="G21" s="148"/>
      <c r="H21" s="150"/>
      <c r="I21" s="150"/>
      <c r="J21" s="151"/>
      <c r="K21" s="148"/>
      <c r="L21" s="196"/>
      <c r="M21" s="151"/>
      <c r="N21" s="197"/>
      <c r="O21" s="151"/>
      <c r="P21" s="153"/>
      <c r="Q2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 s="144" t="str">
        <f>IF(テーブル2[[#This Row],[得点]]=0,"",IF(テーブル2[[#This Row],[年齢]]=17,LOOKUP(Q21,$BH$6:$BH$10,$BE$6:$BE$10),IF(テーブル2[[#This Row],[年齢]]=16,LOOKUP(Q21,$BG$6:$BG$10,$BE$6:$BE$10),IF(テーブル2[[#This Row],[年齢]]=15,LOOKUP(Q21,$BF$6:$BF$10,$BE$6:$BE$10),IF(テーブル2[[#This Row],[年齢]]=14,LOOKUP(Q21,$BD$6:$BD$10,$BE$6:$BE$10),IF(テーブル2[[#This Row],[年齢]]=13,LOOKUP(Q21,$BC$6:$BC$10,$BE$6:$BE$10),LOOKUP(Q21,$BB$6:$BB$10,$BE$6:$BE$10)))))))</f>
        <v/>
      </c>
      <c r="S21" s="145">
        <f>IF(H21="",0,(IF(テーブル2[[#This Row],[性別]]="男",LOOKUP(テーブル2[[#This Row],[握力]],$AI$6:$AJ$15),LOOKUP(テーブル2[[#This Row],[握力]],$AI$20:$AJ$29))))</f>
        <v>0</v>
      </c>
      <c r="T21" s="145">
        <f>IF(テーブル2[[#This Row],[上体]]="",0,(IF(テーブル2[[#This Row],[性別]]="男",LOOKUP(テーブル2[[#This Row],[上体]],$AK$6:$AL$15),LOOKUP(テーブル2[[#This Row],[上体]],$AK$20:$AL$29))))</f>
        <v>0</v>
      </c>
      <c r="U21" s="145">
        <f>IF(テーブル2[[#This Row],[長座]]="",0,(IF(テーブル2[[#This Row],[性別]]="男",LOOKUP(テーブル2[[#This Row],[長座]],$AM$6:$AN$15),LOOKUP(テーブル2[[#This Row],[長座]],$AM$20:$AN$29))))</f>
        <v>0</v>
      </c>
      <c r="V21" s="145">
        <f>IF(テーブル2[[#This Row],[反復]]="",0,(IF(テーブル2[[#This Row],[性別]]="男",LOOKUP(テーブル2[[#This Row],[反復]],$AO$6:$AP$15),LOOKUP(テーブル2[[#This Row],[反復]],$AO$20:$AP$29))))</f>
        <v>0</v>
      </c>
      <c r="W21" s="145">
        <f>IF(テーブル2[[#This Row],[持久走]]="",0,(IF(テーブル2[[#This Row],[性別]]="男",LOOKUP(テーブル2[[#This Row],[持久走]],$AQ$6:$AR$15),LOOKUP(テーブル2[[#This Row],[持久走]],$AQ$20:$AR$29))))</f>
        <v>0</v>
      </c>
      <c r="X21" s="145">
        <f>IF(テーブル2[[#This Row],[ｼｬﾄﾙﾗﾝ]]="",0,(IF(テーブル2[[#This Row],[性別]]="男",LOOKUP(テーブル2[[#This Row],[ｼｬﾄﾙﾗﾝ]],$AS$6:$AT$15),LOOKUP(テーブル2[[#This Row],[ｼｬﾄﾙﾗﾝ]],$AS$20:$AT$29))))</f>
        <v>0</v>
      </c>
      <c r="Y21" s="145">
        <f>IF(テーブル2[[#This Row],[50m走]]="",0,(IF(テーブル2[[#This Row],[性別]]="男",LOOKUP(テーブル2[[#This Row],[50m走]],$AU$6:$AV$15),LOOKUP(テーブル2[[#This Row],[50m走]],$AU$20:$AV$29))))</f>
        <v>0</v>
      </c>
      <c r="Z21" s="145">
        <f>IF(テーブル2[[#This Row],[立幅とび]]="",0,(IF(テーブル2[[#This Row],[性別]]="男",LOOKUP(テーブル2[[#This Row],[立幅とび]],$AW$6:$AX$15),LOOKUP(テーブル2[[#This Row],[立幅とび]],$AW$20:$AX$29))))</f>
        <v>0</v>
      </c>
      <c r="AA21" s="145">
        <f>IF(テーブル2[[#This Row],[ボール投げ]]="",0,(IF(テーブル2[[#This Row],[性別]]="男",LOOKUP(テーブル2[[#This Row],[ボール投げ]],$AY$6:$AZ$15),LOOKUP(テーブル2[[#This Row],[ボール投げ]],$AY$20:$AZ$29))))</f>
        <v>0</v>
      </c>
      <c r="AB21" s="146" t="str">
        <f>IF(テーブル2[[#This Row],[学年]]=1,12,IF(テーブル2[[#This Row],[学年]]=2,13,IF(テーブル2[[#This Row],[学年]]=3,14,"")))</f>
        <v/>
      </c>
      <c r="AC21" s="192" t="str">
        <f>IF(テーブル2[[#This Row],[肥満度数値]]=0,"",LOOKUP(AE21,$AW$39:$AW$44,$AX$39:$AX$44))</f>
        <v/>
      </c>
      <c r="AD2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 s="77">
        <f>IF(テーブル2[[#This Row],[体重]]="",0,(テーブル2[[#This Row],[体重]]-テーブル2[[#This Row],[標準体重]])/テーブル2[[#This Row],[標準体重]]*100)</f>
        <v>0</v>
      </c>
      <c r="AF21" s="26">
        <f>COUNTA(テーブル2[[#This Row],[握力]:[ボール投げ]])</f>
        <v>0</v>
      </c>
      <c r="AG21" s="1" t="str">
        <f>IF(テーブル2[[#This Row],[判定]]=$BE$10,"○","")</f>
        <v/>
      </c>
      <c r="AH21" s="1" t="str">
        <f>IF(AG21="","",COUNTIF($AG$6:AG21,"○"))</f>
        <v/>
      </c>
      <c r="AI21" s="61">
        <v>14</v>
      </c>
      <c r="AJ21" s="62">
        <v>2</v>
      </c>
      <c r="AK21" s="61">
        <v>8</v>
      </c>
      <c r="AL21" s="62">
        <v>2</v>
      </c>
      <c r="AM21" s="61">
        <v>23</v>
      </c>
      <c r="AN21" s="62">
        <v>2</v>
      </c>
      <c r="AO21" s="61">
        <v>27</v>
      </c>
      <c r="AP21" s="62">
        <v>2</v>
      </c>
      <c r="AQ21" s="85">
        <v>230</v>
      </c>
      <c r="AR21" s="64">
        <v>9</v>
      </c>
      <c r="AS21" s="61">
        <v>15</v>
      </c>
      <c r="AT21" s="62">
        <v>2</v>
      </c>
      <c r="AU21" s="61">
        <v>7.8</v>
      </c>
      <c r="AV21" s="62">
        <v>9</v>
      </c>
      <c r="AW21" s="61">
        <v>118</v>
      </c>
      <c r="AX21" s="62">
        <v>2</v>
      </c>
      <c r="AY21" s="61">
        <v>8</v>
      </c>
      <c r="AZ21" s="62">
        <v>2</v>
      </c>
      <c r="BA21" s="54"/>
      <c r="BB21" s="223"/>
      <c r="BC21" s="137" t="s">
        <v>1095</v>
      </c>
      <c r="BD21" s="137" t="s">
        <v>1096</v>
      </c>
      <c r="BE21" s="137" t="s">
        <v>1095</v>
      </c>
      <c r="BF21" s="137" t="s">
        <v>1096</v>
      </c>
      <c r="BG21" s="54"/>
      <c r="BH21" s="54"/>
    </row>
    <row r="22" spans="1:60" ht="14.25" customHeight="1" x14ac:dyDescent="0.15">
      <c r="A22" s="44">
        <v>17</v>
      </c>
      <c r="B22" s="148"/>
      <c r="C22" s="151"/>
      <c r="D22" s="148"/>
      <c r="E22" s="152"/>
      <c r="F22" s="148"/>
      <c r="G22" s="148"/>
      <c r="H22" s="150"/>
      <c r="I22" s="150"/>
      <c r="J22" s="151"/>
      <c r="K22" s="148"/>
      <c r="L22" s="196"/>
      <c r="M22" s="151"/>
      <c r="N22" s="197"/>
      <c r="O22" s="151"/>
      <c r="P22" s="153"/>
      <c r="Q2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 s="144" t="str">
        <f>IF(テーブル2[[#This Row],[得点]]=0,"",IF(テーブル2[[#This Row],[年齢]]=17,LOOKUP(Q22,$BH$6:$BH$10,$BE$6:$BE$10),IF(テーブル2[[#This Row],[年齢]]=16,LOOKUP(Q22,$BG$6:$BG$10,$BE$6:$BE$10),IF(テーブル2[[#This Row],[年齢]]=15,LOOKUP(Q22,$BF$6:$BF$10,$BE$6:$BE$10),IF(テーブル2[[#This Row],[年齢]]=14,LOOKUP(Q22,$BD$6:$BD$10,$BE$6:$BE$10),IF(テーブル2[[#This Row],[年齢]]=13,LOOKUP(Q22,$BC$6:$BC$10,$BE$6:$BE$10),LOOKUP(Q22,$BB$6:$BB$10,$BE$6:$BE$10)))))))</f>
        <v/>
      </c>
      <c r="S22" s="145">
        <f>IF(H22="",0,(IF(テーブル2[[#This Row],[性別]]="男",LOOKUP(テーブル2[[#This Row],[握力]],$AI$6:$AJ$15),LOOKUP(テーブル2[[#This Row],[握力]],$AI$20:$AJ$29))))</f>
        <v>0</v>
      </c>
      <c r="T22" s="145">
        <f>IF(テーブル2[[#This Row],[上体]]="",0,(IF(テーブル2[[#This Row],[性別]]="男",LOOKUP(テーブル2[[#This Row],[上体]],$AK$6:$AL$15),LOOKUP(テーブル2[[#This Row],[上体]],$AK$20:$AL$29))))</f>
        <v>0</v>
      </c>
      <c r="U22" s="145">
        <f>IF(テーブル2[[#This Row],[長座]]="",0,(IF(テーブル2[[#This Row],[性別]]="男",LOOKUP(テーブル2[[#This Row],[長座]],$AM$6:$AN$15),LOOKUP(テーブル2[[#This Row],[長座]],$AM$20:$AN$29))))</f>
        <v>0</v>
      </c>
      <c r="V22" s="145">
        <f>IF(テーブル2[[#This Row],[反復]]="",0,(IF(テーブル2[[#This Row],[性別]]="男",LOOKUP(テーブル2[[#This Row],[反復]],$AO$6:$AP$15),LOOKUP(テーブル2[[#This Row],[反復]],$AO$20:$AP$29))))</f>
        <v>0</v>
      </c>
      <c r="W22" s="145">
        <f>IF(テーブル2[[#This Row],[持久走]]="",0,(IF(テーブル2[[#This Row],[性別]]="男",LOOKUP(テーブル2[[#This Row],[持久走]],$AQ$6:$AR$15),LOOKUP(テーブル2[[#This Row],[持久走]],$AQ$20:$AR$29))))</f>
        <v>0</v>
      </c>
      <c r="X22" s="145">
        <f>IF(テーブル2[[#This Row],[ｼｬﾄﾙﾗﾝ]]="",0,(IF(テーブル2[[#This Row],[性別]]="男",LOOKUP(テーブル2[[#This Row],[ｼｬﾄﾙﾗﾝ]],$AS$6:$AT$15),LOOKUP(テーブル2[[#This Row],[ｼｬﾄﾙﾗﾝ]],$AS$20:$AT$29))))</f>
        <v>0</v>
      </c>
      <c r="Y22" s="145">
        <f>IF(テーブル2[[#This Row],[50m走]]="",0,(IF(テーブル2[[#This Row],[性別]]="男",LOOKUP(テーブル2[[#This Row],[50m走]],$AU$6:$AV$15),LOOKUP(テーブル2[[#This Row],[50m走]],$AU$20:$AV$29))))</f>
        <v>0</v>
      </c>
      <c r="Z22" s="145">
        <f>IF(テーブル2[[#This Row],[立幅とび]]="",0,(IF(テーブル2[[#This Row],[性別]]="男",LOOKUP(テーブル2[[#This Row],[立幅とび]],$AW$6:$AX$15),LOOKUP(テーブル2[[#This Row],[立幅とび]],$AW$20:$AX$29))))</f>
        <v>0</v>
      </c>
      <c r="AA22" s="145">
        <f>IF(テーブル2[[#This Row],[ボール投げ]]="",0,(IF(テーブル2[[#This Row],[性別]]="男",LOOKUP(テーブル2[[#This Row],[ボール投げ]],$AY$6:$AZ$15),LOOKUP(テーブル2[[#This Row],[ボール投げ]],$AY$20:$AZ$29))))</f>
        <v>0</v>
      </c>
      <c r="AB22" s="146" t="str">
        <f>IF(テーブル2[[#This Row],[学年]]=1,12,IF(テーブル2[[#This Row],[学年]]=2,13,IF(テーブル2[[#This Row],[学年]]=3,14,"")))</f>
        <v/>
      </c>
      <c r="AC22" s="192" t="str">
        <f>IF(テーブル2[[#This Row],[肥満度数値]]=0,"",LOOKUP(AE22,$AW$39:$AW$44,$AX$39:$AX$44))</f>
        <v/>
      </c>
      <c r="AD2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 s="77">
        <f>IF(テーブル2[[#This Row],[体重]]="",0,(テーブル2[[#This Row],[体重]]-テーブル2[[#This Row],[標準体重]])/テーブル2[[#This Row],[標準体重]]*100)</f>
        <v>0</v>
      </c>
      <c r="AF22" s="26">
        <f>COUNTA(テーブル2[[#This Row],[握力]:[ボール投げ]])</f>
        <v>0</v>
      </c>
      <c r="AG22" s="1" t="str">
        <f>IF(テーブル2[[#This Row],[判定]]=$BE$10,"○","")</f>
        <v/>
      </c>
      <c r="AH22" s="1" t="str">
        <f>IF(AG22="","",COUNTIF($AG$6:AG22,"○"))</f>
        <v/>
      </c>
      <c r="AI22" s="61">
        <v>17</v>
      </c>
      <c r="AJ22" s="62">
        <v>3</v>
      </c>
      <c r="AK22" s="61">
        <v>11</v>
      </c>
      <c r="AL22" s="62">
        <v>3</v>
      </c>
      <c r="AM22" s="61">
        <v>30</v>
      </c>
      <c r="AN22" s="62">
        <v>3</v>
      </c>
      <c r="AO22" s="61">
        <v>32</v>
      </c>
      <c r="AP22" s="62">
        <v>3</v>
      </c>
      <c r="AQ22" s="85">
        <v>243</v>
      </c>
      <c r="AR22" s="64">
        <v>8</v>
      </c>
      <c r="AS22" s="61">
        <v>21</v>
      </c>
      <c r="AT22" s="62">
        <v>3</v>
      </c>
      <c r="AU22" s="61">
        <v>8.1</v>
      </c>
      <c r="AV22" s="62">
        <v>8</v>
      </c>
      <c r="AW22" s="61">
        <v>132</v>
      </c>
      <c r="AX22" s="62">
        <v>3</v>
      </c>
      <c r="AY22" s="61">
        <v>10</v>
      </c>
      <c r="AZ22" s="62">
        <v>3</v>
      </c>
      <c r="BA22" s="54"/>
      <c r="BB22" s="137">
        <v>5</v>
      </c>
      <c r="BC22" s="137" t="s">
        <v>1097</v>
      </c>
      <c r="BD22" s="137" t="s">
        <v>1098</v>
      </c>
      <c r="BE22" s="137" t="s">
        <v>1099</v>
      </c>
      <c r="BF22" s="137" t="s">
        <v>1100</v>
      </c>
      <c r="BG22" s="54"/>
      <c r="BH22" s="54"/>
    </row>
    <row r="23" spans="1:60" ht="14.25" customHeight="1" x14ac:dyDescent="0.15">
      <c r="A23" s="44">
        <v>18</v>
      </c>
      <c r="B23" s="148"/>
      <c r="C23" s="151"/>
      <c r="D23" s="148"/>
      <c r="E23" s="152"/>
      <c r="F23" s="148"/>
      <c r="G23" s="148"/>
      <c r="H23" s="150"/>
      <c r="I23" s="150"/>
      <c r="J23" s="151"/>
      <c r="K23" s="148"/>
      <c r="L23" s="196"/>
      <c r="M23" s="151"/>
      <c r="N23" s="197"/>
      <c r="O23" s="151"/>
      <c r="P23" s="153"/>
      <c r="Q2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 s="144" t="str">
        <f>IF(テーブル2[[#This Row],[得点]]=0,"",IF(テーブル2[[#This Row],[年齢]]=17,LOOKUP(Q23,$BH$6:$BH$10,$BE$6:$BE$10),IF(テーブル2[[#This Row],[年齢]]=16,LOOKUP(Q23,$BG$6:$BG$10,$BE$6:$BE$10),IF(テーブル2[[#This Row],[年齢]]=15,LOOKUP(Q23,$BF$6:$BF$10,$BE$6:$BE$10),IF(テーブル2[[#This Row],[年齢]]=14,LOOKUP(Q23,$BD$6:$BD$10,$BE$6:$BE$10),IF(テーブル2[[#This Row],[年齢]]=13,LOOKUP(Q23,$BC$6:$BC$10,$BE$6:$BE$10),LOOKUP(Q23,$BB$6:$BB$10,$BE$6:$BE$10)))))))</f>
        <v/>
      </c>
      <c r="S23" s="145">
        <f>IF(H23="",0,(IF(テーブル2[[#This Row],[性別]]="男",LOOKUP(テーブル2[[#This Row],[握力]],$AI$6:$AJ$15),LOOKUP(テーブル2[[#This Row],[握力]],$AI$20:$AJ$29))))</f>
        <v>0</v>
      </c>
      <c r="T23" s="145">
        <f>IF(テーブル2[[#This Row],[上体]]="",0,(IF(テーブル2[[#This Row],[性別]]="男",LOOKUP(テーブル2[[#This Row],[上体]],$AK$6:$AL$15),LOOKUP(テーブル2[[#This Row],[上体]],$AK$20:$AL$29))))</f>
        <v>0</v>
      </c>
      <c r="U23" s="145">
        <f>IF(テーブル2[[#This Row],[長座]]="",0,(IF(テーブル2[[#This Row],[性別]]="男",LOOKUP(テーブル2[[#This Row],[長座]],$AM$6:$AN$15),LOOKUP(テーブル2[[#This Row],[長座]],$AM$20:$AN$29))))</f>
        <v>0</v>
      </c>
      <c r="V23" s="145">
        <f>IF(テーブル2[[#This Row],[反復]]="",0,(IF(テーブル2[[#This Row],[性別]]="男",LOOKUP(テーブル2[[#This Row],[反復]],$AO$6:$AP$15),LOOKUP(テーブル2[[#This Row],[反復]],$AO$20:$AP$29))))</f>
        <v>0</v>
      </c>
      <c r="W23" s="145">
        <f>IF(テーブル2[[#This Row],[持久走]]="",0,(IF(テーブル2[[#This Row],[性別]]="男",LOOKUP(テーブル2[[#This Row],[持久走]],$AQ$6:$AR$15),LOOKUP(テーブル2[[#This Row],[持久走]],$AQ$20:$AR$29))))</f>
        <v>0</v>
      </c>
      <c r="X23" s="145">
        <f>IF(テーブル2[[#This Row],[ｼｬﾄﾙﾗﾝ]]="",0,(IF(テーブル2[[#This Row],[性別]]="男",LOOKUP(テーブル2[[#This Row],[ｼｬﾄﾙﾗﾝ]],$AS$6:$AT$15),LOOKUP(テーブル2[[#This Row],[ｼｬﾄﾙﾗﾝ]],$AS$20:$AT$29))))</f>
        <v>0</v>
      </c>
      <c r="Y23" s="145">
        <f>IF(テーブル2[[#This Row],[50m走]]="",0,(IF(テーブル2[[#This Row],[性別]]="男",LOOKUP(テーブル2[[#This Row],[50m走]],$AU$6:$AV$15),LOOKUP(テーブル2[[#This Row],[50m走]],$AU$20:$AV$29))))</f>
        <v>0</v>
      </c>
      <c r="Z23" s="145">
        <f>IF(テーブル2[[#This Row],[立幅とび]]="",0,(IF(テーブル2[[#This Row],[性別]]="男",LOOKUP(テーブル2[[#This Row],[立幅とび]],$AW$6:$AX$15),LOOKUP(テーブル2[[#This Row],[立幅とび]],$AW$20:$AX$29))))</f>
        <v>0</v>
      </c>
      <c r="AA23" s="145">
        <f>IF(テーブル2[[#This Row],[ボール投げ]]="",0,(IF(テーブル2[[#This Row],[性別]]="男",LOOKUP(テーブル2[[#This Row],[ボール投げ]],$AY$6:$AZ$15),LOOKUP(テーブル2[[#This Row],[ボール投げ]],$AY$20:$AZ$29))))</f>
        <v>0</v>
      </c>
      <c r="AB23" s="146" t="str">
        <f>IF(テーブル2[[#This Row],[学年]]=1,12,IF(テーブル2[[#This Row],[学年]]=2,13,IF(テーブル2[[#This Row],[学年]]=3,14,"")))</f>
        <v/>
      </c>
      <c r="AC23" s="192" t="str">
        <f>IF(テーブル2[[#This Row],[肥満度数値]]=0,"",LOOKUP(AE23,$AW$39:$AW$44,$AX$39:$AX$44))</f>
        <v/>
      </c>
      <c r="AD2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 s="77">
        <f>IF(テーブル2[[#This Row],[体重]]="",0,(テーブル2[[#This Row],[体重]]-テーブル2[[#This Row],[標準体重]])/テーブル2[[#This Row],[標準体重]]*100)</f>
        <v>0</v>
      </c>
      <c r="AF23" s="26">
        <f>COUNTA(テーブル2[[#This Row],[握力]:[ボール投げ]])</f>
        <v>0</v>
      </c>
      <c r="AG23" s="1" t="str">
        <f>IF(テーブル2[[#This Row],[判定]]=$BE$10,"○","")</f>
        <v/>
      </c>
      <c r="AH23" s="1" t="str">
        <f>IF(AG23="","",COUNTIF($AG$6:AG23,"○"))</f>
        <v/>
      </c>
      <c r="AI23" s="61">
        <v>20</v>
      </c>
      <c r="AJ23" s="62">
        <v>4</v>
      </c>
      <c r="AK23" s="61">
        <v>13</v>
      </c>
      <c r="AL23" s="62">
        <v>4</v>
      </c>
      <c r="AM23" s="61">
        <v>35</v>
      </c>
      <c r="AN23" s="62">
        <v>4</v>
      </c>
      <c r="AO23" s="61">
        <v>36</v>
      </c>
      <c r="AP23" s="62">
        <v>4</v>
      </c>
      <c r="AQ23" s="85">
        <v>260</v>
      </c>
      <c r="AR23" s="64">
        <v>7</v>
      </c>
      <c r="AS23" s="61">
        <v>27</v>
      </c>
      <c r="AT23" s="62">
        <v>4</v>
      </c>
      <c r="AU23" s="61">
        <v>8.4</v>
      </c>
      <c r="AV23" s="62">
        <v>7</v>
      </c>
      <c r="AW23" s="61">
        <v>145</v>
      </c>
      <c r="AX23" s="62">
        <v>4</v>
      </c>
      <c r="AY23" s="61">
        <v>11</v>
      </c>
      <c r="AZ23" s="62">
        <v>4</v>
      </c>
      <c r="BA23" s="54"/>
      <c r="BB23" s="137" t="s">
        <v>1101</v>
      </c>
      <c r="BC23" s="137" t="s">
        <v>1102</v>
      </c>
      <c r="BD23" s="137" t="s">
        <v>1103</v>
      </c>
      <c r="BE23" s="137" t="s">
        <v>1104</v>
      </c>
      <c r="BF23" s="137" t="s">
        <v>1105</v>
      </c>
      <c r="BG23" s="54"/>
      <c r="BH23" s="54"/>
    </row>
    <row r="24" spans="1:60" ht="14.25" customHeight="1" x14ac:dyDescent="0.15">
      <c r="A24" s="44">
        <v>19</v>
      </c>
      <c r="B24" s="148"/>
      <c r="C24" s="151"/>
      <c r="D24" s="148"/>
      <c r="E24" s="152"/>
      <c r="F24" s="148"/>
      <c r="G24" s="148"/>
      <c r="H24" s="150"/>
      <c r="I24" s="150"/>
      <c r="J24" s="151"/>
      <c r="K24" s="148"/>
      <c r="L24" s="196"/>
      <c r="M24" s="151"/>
      <c r="N24" s="197"/>
      <c r="O24" s="151"/>
      <c r="P24" s="153"/>
      <c r="Q2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 s="144" t="str">
        <f>IF(テーブル2[[#This Row],[得点]]=0,"",IF(テーブル2[[#This Row],[年齢]]=17,LOOKUP(Q24,$BH$6:$BH$10,$BE$6:$BE$10),IF(テーブル2[[#This Row],[年齢]]=16,LOOKUP(Q24,$BG$6:$BG$10,$BE$6:$BE$10),IF(テーブル2[[#This Row],[年齢]]=15,LOOKUP(Q24,$BF$6:$BF$10,$BE$6:$BE$10),IF(テーブル2[[#This Row],[年齢]]=14,LOOKUP(Q24,$BD$6:$BD$10,$BE$6:$BE$10),IF(テーブル2[[#This Row],[年齢]]=13,LOOKUP(Q24,$BC$6:$BC$10,$BE$6:$BE$10),LOOKUP(Q24,$BB$6:$BB$10,$BE$6:$BE$10)))))))</f>
        <v/>
      </c>
      <c r="S24" s="145">
        <f>IF(H24="",0,(IF(テーブル2[[#This Row],[性別]]="男",LOOKUP(テーブル2[[#This Row],[握力]],$AI$6:$AJ$15),LOOKUP(テーブル2[[#This Row],[握力]],$AI$20:$AJ$29))))</f>
        <v>0</v>
      </c>
      <c r="T24" s="145">
        <f>IF(テーブル2[[#This Row],[上体]]="",0,(IF(テーブル2[[#This Row],[性別]]="男",LOOKUP(テーブル2[[#This Row],[上体]],$AK$6:$AL$15),LOOKUP(テーブル2[[#This Row],[上体]],$AK$20:$AL$29))))</f>
        <v>0</v>
      </c>
      <c r="U24" s="145">
        <f>IF(テーブル2[[#This Row],[長座]]="",0,(IF(テーブル2[[#This Row],[性別]]="男",LOOKUP(テーブル2[[#This Row],[長座]],$AM$6:$AN$15),LOOKUP(テーブル2[[#This Row],[長座]],$AM$20:$AN$29))))</f>
        <v>0</v>
      </c>
      <c r="V24" s="145">
        <f>IF(テーブル2[[#This Row],[反復]]="",0,(IF(テーブル2[[#This Row],[性別]]="男",LOOKUP(テーブル2[[#This Row],[反復]],$AO$6:$AP$15),LOOKUP(テーブル2[[#This Row],[反復]],$AO$20:$AP$29))))</f>
        <v>0</v>
      </c>
      <c r="W24" s="145">
        <f>IF(テーブル2[[#This Row],[持久走]]="",0,(IF(テーブル2[[#This Row],[性別]]="男",LOOKUP(テーブル2[[#This Row],[持久走]],$AQ$6:$AR$15),LOOKUP(テーブル2[[#This Row],[持久走]],$AQ$20:$AR$29))))</f>
        <v>0</v>
      </c>
      <c r="X24" s="145">
        <f>IF(テーブル2[[#This Row],[ｼｬﾄﾙﾗﾝ]]="",0,(IF(テーブル2[[#This Row],[性別]]="男",LOOKUP(テーブル2[[#This Row],[ｼｬﾄﾙﾗﾝ]],$AS$6:$AT$15),LOOKUP(テーブル2[[#This Row],[ｼｬﾄﾙﾗﾝ]],$AS$20:$AT$29))))</f>
        <v>0</v>
      </c>
      <c r="Y24" s="145">
        <f>IF(テーブル2[[#This Row],[50m走]]="",0,(IF(テーブル2[[#This Row],[性別]]="男",LOOKUP(テーブル2[[#This Row],[50m走]],$AU$6:$AV$15),LOOKUP(テーブル2[[#This Row],[50m走]],$AU$20:$AV$29))))</f>
        <v>0</v>
      </c>
      <c r="Z24" s="145">
        <f>IF(テーブル2[[#This Row],[立幅とび]]="",0,(IF(テーブル2[[#This Row],[性別]]="男",LOOKUP(テーブル2[[#This Row],[立幅とび]],$AW$6:$AX$15),LOOKUP(テーブル2[[#This Row],[立幅とび]],$AW$20:$AX$29))))</f>
        <v>0</v>
      </c>
      <c r="AA24" s="145">
        <f>IF(テーブル2[[#This Row],[ボール投げ]]="",0,(IF(テーブル2[[#This Row],[性別]]="男",LOOKUP(テーブル2[[#This Row],[ボール投げ]],$AY$6:$AZ$15),LOOKUP(テーブル2[[#This Row],[ボール投げ]],$AY$20:$AZ$29))))</f>
        <v>0</v>
      </c>
      <c r="AB24" s="146" t="str">
        <f>IF(テーブル2[[#This Row],[学年]]=1,12,IF(テーブル2[[#This Row],[学年]]=2,13,IF(テーブル2[[#This Row],[学年]]=3,14,"")))</f>
        <v/>
      </c>
      <c r="AC24" s="192" t="str">
        <f>IF(テーブル2[[#This Row],[肥満度数値]]=0,"",LOOKUP(AE24,$AW$39:$AW$44,$AX$39:$AX$44))</f>
        <v/>
      </c>
      <c r="AD2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 s="77">
        <f>IF(テーブル2[[#This Row],[体重]]="",0,(テーブル2[[#This Row],[体重]]-テーブル2[[#This Row],[標準体重]])/テーブル2[[#This Row],[標準体重]]*100)</f>
        <v>0</v>
      </c>
      <c r="AF24" s="26">
        <f>COUNTA(テーブル2[[#This Row],[握力]:[ボール投げ]])</f>
        <v>0</v>
      </c>
      <c r="AG24" s="1" t="str">
        <f>IF(テーブル2[[#This Row],[判定]]=$BE$10,"○","")</f>
        <v/>
      </c>
      <c r="AH24" s="1" t="str">
        <f>IF(AG24="","",COUNTIF($AG$6:AG24,"○"))</f>
        <v/>
      </c>
      <c r="AI24" s="61">
        <v>23</v>
      </c>
      <c r="AJ24" s="62">
        <v>5</v>
      </c>
      <c r="AK24" s="61">
        <v>15</v>
      </c>
      <c r="AL24" s="62">
        <v>5</v>
      </c>
      <c r="AM24" s="61">
        <v>40</v>
      </c>
      <c r="AN24" s="62">
        <v>5</v>
      </c>
      <c r="AO24" s="61">
        <v>39</v>
      </c>
      <c r="AP24" s="62">
        <v>5</v>
      </c>
      <c r="AQ24" s="85">
        <v>278</v>
      </c>
      <c r="AR24" s="64">
        <v>6</v>
      </c>
      <c r="AS24" s="61">
        <v>35</v>
      </c>
      <c r="AT24" s="62">
        <v>5</v>
      </c>
      <c r="AU24" s="61">
        <v>8.6999999999999993</v>
      </c>
      <c r="AV24" s="62">
        <v>6</v>
      </c>
      <c r="AW24" s="61">
        <v>157</v>
      </c>
      <c r="AX24" s="62">
        <v>5</v>
      </c>
      <c r="AY24" s="61">
        <v>12</v>
      </c>
      <c r="AZ24" s="62">
        <v>5</v>
      </c>
      <c r="BA24" s="54"/>
      <c r="BB24" s="137" t="s">
        <v>1106</v>
      </c>
      <c r="BC24" s="137" t="s">
        <v>1107</v>
      </c>
      <c r="BD24" s="137" t="s">
        <v>1108</v>
      </c>
      <c r="BE24" s="137" t="s">
        <v>1109</v>
      </c>
      <c r="BF24" s="137" t="s">
        <v>1110</v>
      </c>
      <c r="BG24" s="54"/>
      <c r="BH24" s="54"/>
    </row>
    <row r="25" spans="1:60" ht="14.25" customHeight="1" x14ac:dyDescent="0.15">
      <c r="A25" s="44">
        <v>20</v>
      </c>
      <c r="B25" s="148"/>
      <c r="C25" s="151"/>
      <c r="D25" s="148"/>
      <c r="E25" s="152"/>
      <c r="F25" s="148"/>
      <c r="G25" s="148"/>
      <c r="H25" s="150"/>
      <c r="I25" s="150"/>
      <c r="J25" s="151"/>
      <c r="K25" s="148"/>
      <c r="L25" s="196"/>
      <c r="M25" s="151"/>
      <c r="N25" s="197"/>
      <c r="O25" s="151"/>
      <c r="P25" s="153"/>
      <c r="Q2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 s="144" t="str">
        <f>IF(テーブル2[[#This Row],[得点]]=0,"",IF(テーブル2[[#This Row],[年齢]]=17,LOOKUP(Q25,$BH$6:$BH$10,$BE$6:$BE$10),IF(テーブル2[[#This Row],[年齢]]=16,LOOKUP(Q25,$BG$6:$BG$10,$BE$6:$BE$10),IF(テーブル2[[#This Row],[年齢]]=15,LOOKUP(Q25,$BF$6:$BF$10,$BE$6:$BE$10),IF(テーブル2[[#This Row],[年齢]]=14,LOOKUP(Q25,$BD$6:$BD$10,$BE$6:$BE$10),IF(テーブル2[[#This Row],[年齢]]=13,LOOKUP(Q25,$BC$6:$BC$10,$BE$6:$BE$10),LOOKUP(Q25,$BB$6:$BB$10,$BE$6:$BE$10)))))))</f>
        <v/>
      </c>
      <c r="S25" s="145">
        <f>IF(H25="",0,(IF(テーブル2[[#This Row],[性別]]="男",LOOKUP(テーブル2[[#This Row],[握力]],$AI$6:$AJ$15),LOOKUP(テーブル2[[#This Row],[握力]],$AI$20:$AJ$29))))</f>
        <v>0</v>
      </c>
      <c r="T25" s="145">
        <f>IF(テーブル2[[#This Row],[上体]]="",0,(IF(テーブル2[[#This Row],[性別]]="男",LOOKUP(テーブル2[[#This Row],[上体]],$AK$6:$AL$15),LOOKUP(テーブル2[[#This Row],[上体]],$AK$20:$AL$29))))</f>
        <v>0</v>
      </c>
      <c r="U25" s="145">
        <f>IF(テーブル2[[#This Row],[長座]]="",0,(IF(テーブル2[[#This Row],[性別]]="男",LOOKUP(テーブル2[[#This Row],[長座]],$AM$6:$AN$15),LOOKUP(テーブル2[[#This Row],[長座]],$AM$20:$AN$29))))</f>
        <v>0</v>
      </c>
      <c r="V25" s="145">
        <f>IF(テーブル2[[#This Row],[反復]]="",0,(IF(テーブル2[[#This Row],[性別]]="男",LOOKUP(テーブル2[[#This Row],[反復]],$AO$6:$AP$15),LOOKUP(テーブル2[[#This Row],[反復]],$AO$20:$AP$29))))</f>
        <v>0</v>
      </c>
      <c r="W25" s="145">
        <f>IF(テーブル2[[#This Row],[持久走]]="",0,(IF(テーブル2[[#This Row],[性別]]="男",LOOKUP(テーブル2[[#This Row],[持久走]],$AQ$6:$AR$15),LOOKUP(テーブル2[[#This Row],[持久走]],$AQ$20:$AR$29))))</f>
        <v>0</v>
      </c>
      <c r="X25" s="145">
        <f>IF(テーブル2[[#This Row],[ｼｬﾄﾙﾗﾝ]]="",0,(IF(テーブル2[[#This Row],[性別]]="男",LOOKUP(テーブル2[[#This Row],[ｼｬﾄﾙﾗﾝ]],$AS$6:$AT$15),LOOKUP(テーブル2[[#This Row],[ｼｬﾄﾙﾗﾝ]],$AS$20:$AT$29))))</f>
        <v>0</v>
      </c>
      <c r="Y25" s="145">
        <f>IF(テーブル2[[#This Row],[50m走]]="",0,(IF(テーブル2[[#This Row],[性別]]="男",LOOKUP(テーブル2[[#This Row],[50m走]],$AU$6:$AV$15),LOOKUP(テーブル2[[#This Row],[50m走]],$AU$20:$AV$29))))</f>
        <v>0</v>
      </c>
      <c r="Z25" s="145">
        <f>IF(テーブル2[[#This Row],[立幅とび]]="",0,(IF(テーブル2[[#This Row],[性別]]="男",LOOKUP(テーブル2[[#This Row],[立幅とび]],$AW$6:$AX$15),LOOKUP(テーブル2[[#This Row],[立幅とび]],$AW$20:$AX$29))))</f>
        <v>0</v>
      </c>
      <c r="AA25" s="145">
        <f>IF(テーブル2[[#This Row],[ボール投げ]]="",0,(IF(テーブル2[[#This Row],[性別]]="男",LOOKUP(テーブル2[[#This Row],[ボール投げ]],$AY$6:$AZ$15),LOOKUP(テーブル2[[#This Row],[ボール投げ]],$AY$20:$AZ$29))))</f>
        <v>0</v>
      </c>
      <c r="AB25" s="146" t="str">
        <f>IF(テーブル2[[#This Row],[学年]]=1,12,IF(テーブル2[[#This Row],[学年]]=2,13,IF(テーブル2[[#This Row],[学年]]=3,14,"")))</f>
        <v/>
      </c>
      <c r="AC25" s="192" t="str">
        <f>IF(テーブル2[[#This Row],[肥満度数値]]=0,"",LOOKUP(AE25,$AW$39:$AW$44,$AX$39:$AX$44))</f>
        <v/>
      </c>
      <c r="AD2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 s="77">
        <f>IF(テーブル2[[#This Row],[体重]]="",0,(テーブル2[[#This Row],[体重]]-テーブル2[[#This Row],[標準体重]])/テーブル2[[#This Row],[標準体重]]*100)</f>
        <v>0</v>
      </c>
      <c r="AF25" s="26">
        <f>COUNTA(テーブル2[[#This Row],[握力]:[ボール投げ]])</f>
        <v>0</v>
      </c>
      <c r="AG25" s="1" t="str">
        <f>IF(テーブル2[[#This Row],[判定]]=$BE$10,"○","")</f>
        <v/>
      </c>
      <c r="AH25" s="1" t="str">
        <f>IF(AG25="","",COUNTIF($AG$6:AG25,"○"))</f>
        <v/>
      </c>
      <c r="AI25" s="61">
        <v>25</v>
      </c>
      <c r="AJ25" s="62">
        <v>6</v>
      </c>
      <c r="AK25" s="61">
        <v>18</v>
      </c>
      <c r="AL25" s="62">
        <v>6</v>
      </c>
      <c r="AM25" s="61">
        <v>45</v>
      </c>
      <c r="AN25" s="62">
        <v>6</v>
      </c>
      <c r="AO25" s="61">
        <v>42</v>
      </c>
      <c r="AP25" s="62">
        <v>6</v>
      </c>
      <c r="AQ25" s="85">
        <v>297</v>
      </c>
      <c r="AR25" s="64">
        <v>5</v>
      </c>
      <c r="AS25" s="61">
        <v>44</v>
      </c>
      <c r="AT25" s="62">
        <v>6</v>
      </c>
      <c r="AU25" s="61">
        <v>9</v>
      </c>
      <c r="AV25" s="62">
        <v>5</v>
      </c>
      <c r="AW25" s="61">
        <v>168</v>
      </c>
      <c r="AX25" s="62">
        <v>6</v>
      </c>
      <c r="AY25" s="61">
        <v>14</v>
      </c>
      <c r="AZ25" s="62">
        <v>6</v>
      </c>
      <c r="BA25" s="54"/>
      <c r="BB25" s="137" t="s">
        <v>1111</v>
      </c>
      <c r="BC25" s="137" t="s">
        <v>1112</v>
      </c>
      <c r="BD25" s="137" t="s">
        <v>1113</v>
      </c>
      <c r="BE25" s="137" t="s">
        <v>1114</v>
      </c>
      <c r="BF25" s="137" t="s">
        <v>1115</v>
      </c>
      <c r="BG25" s="54"/>
      <c r="BH25" s="54"/>
    </row>
    <row r="26" spans="1:60" ht="14.25" customHeight="1" x14ac:dyDescent="0.15">
      <c r="A26" s="44">
        <v>21</v>
      </c>
      <c r="B26" s="148"/>
      <c r="C26" s="151"/>
      <c r="D26" s="148"/>
      <c r="E26" s="152"/>
      <c r="F26" s="148"/>
      <c r="G26" s="148"/>
      <c r="H26" s="150"/>
      <c r="I26" s="150"/>
      <c r="J26" s="151"/>
      <c r="K26" s="148"/>
      <c r="L26" s="196"/>
      <c r="M26" s="151"/>
      <c r="N26" s="197"/>
      <c r="O26" s="151"/>
      <c r="P26" s="153"/>
      <c r="Q2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 s="144" t="str">
        <f>IF(テーブル2[[#This Row],[得点]]=0,"",IF(テーブル2[[#This Row],[年齢]]=17,LOOKUP(Q26,$BH$6:$BH$10,$BE$6:$BE$10),IF(テーブル2[[#This Row],[年齢]]=16,LOOKUP(Q26,$BG$6:$BG$10,$BE$6:$BE$10),IF(テーブル2[[#This Row],[年齢]]=15,LOOKUP(Q26,$BF$6:$BF$10,$BE$6:$BE$10),IF(テーブル2[[#This Row],[年齢]]=14,LOOKUP(Q26,$BD$6:$BD$10,$BE$6:$BE$10),IF(テーブル2[[#This Row],[年齢]]=13,LOOKUP(Q26,$BC$6:$BC$10,$BE$6:$BE$10),LOOKUP(Q26,$BB$6:$BB$10,$BE$6:$BE$10)))))))</f>
        <v/>
      </c>
      <c r="S26" s="145">
        <f>IF(H26="",0,(IF(テーブル2[[#This Row],[性別]]="男",LOOKUP(テーブル2[[#This Row],[握力]],$AI$6:$AJ$15),LOOKUP(テーブル2[[#This Row],[握力]],$AI$20:$AJ$29))))</f>
        <v>0</v>
      </c>
      <c r="T26" s="145">
        <f>IF(テーブル2[[#This Row],[上体]]="",0,(IF(テーブル2[[#This Row],[性別]]="男",LOOKUP(テーブル2[[#This Row],[上体]],$AK$6:$AL$15),LOOKUP(テーブル2[[#This Row],[上体]],$AK$20:$AL$29))))</f>
        <v>0</v>
      </c>
      <c r="U26" s="145">
        <f>IF(テーブル2[[#This Row],[長座]]="",0,(IF(テーブル2[[#This Row],[性別]]="男",LOOKUP(テーブル2[[#This Row],[長座]],$AM$6:$AN$15),LOOKUP(テーブル2[[#This Row],[長座]],$AM$20:$AN$29))))</f>
        <v>0</v>
      </c>
      <c r="V26" s="145">
        <f>IF(テーブル2[[#This Row],[反復]]="",0,(IF(テーブル2[[#This Row],[性別]]="男",LOOKUP(テーブル2[[#This Row],[反復]],$AO$6:$AP$15),LOOKUP(テーブル2[[#This Row],[反復]],$AO$20:$AP$29))))</f>
        <v>0</v>
      </c>
      <c r="W26" s="145">
        <f>IF(テーブル2[[#This Row],[持久走]]="",0,(IF(テーブル2[[#This Row],[性別]]="男",LOOKUP(テーブル2[[#This Row],[持久走]],$AQ$6:$AR$15),LOOKUP(テーブル2[[#This Row],[持久走]],$AQ$20:$AR$29))))</f>
        <v>0</v>
      </c>
      <c r="X26" s="145">
        <f>IF(テーブル2[[#This Row],[ｼｬﾄﾙﾗﾝ]]="",0,(IF(テーブル2[[#This Row],[性別]]="男",LOOKUP(テーブル2[[#This Row],[ｼｬﾄﾙﾗﾝ]],$AS$6:$AT$15),LOOKUP(テーブル2[[#This Row],[ｼｬﾄﾙﾗﾝ]],$AS$20:$AT$29))))</f>
        <v>0</v>
      </c>
      <c r="Y26" s="145">
        <f>IF(テーブル2[[#This Row],[50m走]]="",0,(IF(テーブル2[[#This Row],[性別]]="男",LOOKUP(テーブル2[[#This Row],[50m走]],$AU$6:$AV$15),LOOKUP(テーブル2[[#This Row],[50m走]],$AU$20:$AV$29))))</f>
        <v>0</v>
      </c>
      <c r="Z26" s="145">
        <f>IF(テーブル2[[#This Row],[立幅とび]]="",0,(IF(テーブル2[[#This Row],[性別]]="男",LOOKUP(テーブル2[[#This Row],[立幅とび]],$AW$6:$AX$15),LOOKUP(テーブル2[[#This Row],[立幅とび]],$AW$20:$AX$29))))</f>
        <v>0</v>
      </c>
      <c r="AA26" s="145">
        <f>IF(テーブル2[[#This Row],[ボール投げ]]="",0,(IF(テーブル2[[#This Row],[性別]]="男",LOOKUP(テーブル2[[#This Row],[ボール投げ]],$AY$6:$AZ$15),LOOKUP(テーブル2[[#This Row],[ボール投げ]],$AY$20:$AZ$29))))</f>
        <v>0</v>
      </c>
      <c r="AB26" s="146" t="str">
        <f>IF(テーブル2[[#This Row],[学年]]=1,12,IF(テーブル2[[#This Row],[学年]]=2,13,IF(テーブル2[[#This Row],[学年]]=3,14,"")))</f>
        <v/>
      </c>
      <c r="AC26" s="192" t="str">
        <f>IF(テーブル2[[#This Row],[肥満度数値]]=0,"",LOOKUP(AE26,$AW$39:$AW$44,$AX$39:$AX$44))</f>
        <v/>
      </c>
      <c r="AD2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 s="77">
        <f>IF(テーブル2[[#This Row],[体重]]="",0,(テーブル2[[#This Row],[体重]]-テーブル2[[#This Row],[標準体重]])/テーブル2[[#This Row],[標準体重]]*100)</f>
        <v>0</v>
      </c>
      <c r="AF26" s="26">
        <f>COUNTA(テーブル2[[#This Row],[握力]:[ボール投げ]])</f>
        <v>0</v>
      </c>
      <c r="AG26" s="1" t="str">
        <f>IF(テーブル2[[#This Row],[判定]]=$BE$10,"○","")</f>
        <v/>
      </c>
      <c r="AH26" s="1" t="str">
        <f>IF(AG26="","",COUNTIF($AG$6:AG26,"○"))</f>
        <v/>
      </c>
      <c r="AI26" s="61">
        <v>28</v>
      </c>
      <c r="AJ26" s="62">
        <v>7</v>
      </c>
      <c r="AK26" s="61">
        <v>20</v>
      </c>
      <c r="AL26" s="62">
        <v>7</v>
      </c>
      <c r="AM26" s="61">
        <v>50</v>
      </c>
      <c r="AN26" s="62">
        <v>7</v>
      </c>
      <c r="AO26" s="61">
        <v>45</v>
      </c>
      <c r="AP26" s="62">
        <v>7</v>
      </c>
      <c r="AQ26" s="85">
        <v>319</v>
      </c>
      <c r="AR26" s="64">
        <v>4</v>
      </c>
      <c r="AS26" s="61">
        <v>54</v>
      </c>
      <c r="AT26" s="62">
        <v>7</v>
      </c>
      <c r="AU26" s="61">
        <v>9.4</v>
      </c>
      <c r="AV26" s="62">
        <v>4</v>
      </c>
      <c r="AW26" s="61">
        <v>179</v>
      </c>
      <c r="AX26" s="62">
        <v>7</v>
      </c>
      <c r="AY26" s="61">
        <v>16</v>
      </c>
      <c r="AZ26" s="62">
        <v>7</v>
      </c>
      <c r="BA26" s="54"/>
      <c r="BB26" s="137" t="s">
        <v>1116</v>
      </c>
      <c r="BC26" s="137" t="s">
        <v>1117</v>
      </c>
      <c r="BD26" s="137" t="s">
        <v>1118</v>
      </c>
      <c r="BE26" s="137" t="s">
        <v>1119</v>
      </c>
      <c r="BF26" s="137" t="s">
        <v>1120</v>
      </c>
      <c r="BG26" s="54"/>
      <c r="BH26" s="54"/>
    </row>
    <row r="27" spans="1:60" ht="14.25" customHeight="1" x14ac:dyDescent="0.15">
      <c r="A27" s="44">
        <v>22</v>
      </c>
      <c r="B27" s="148"/>
      <c r="C27" s="151"/>
      <c r="D27" s="148"/>
      <c r="E27" s="152"/>
      <c r="F27" s="148"/>
      <c r="G27" s="148"/>
      <c r="H27" s="150"/>
      <c r="I27" s="150"/>
      <c r="J27" s="151"/>
      <c r="K27" s="148"/>
      <c r="L27" s="196"/>
      <c r="M27" s="151"/>
      <c r="N27" s="197"/>
      <c r="O27" s="151"/>
      <c r="P27" s="153"/>
      <c r="Q2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 s="144" t="str">
        <f>IF(テーブル2[[#This Row],[得点]]=0,"",IF(テーブル2[[#This Row],[年齢]]=17,LOOKUP(Q27,$BH$6:$BH$10,$BE$6:$BE$10),IF(テーブル2[[#This Row],[年齢]]=16,LOOKUP(Q27,$BG$6:$BG$10,$BE$6:$BE$10),IF(テーブル2[[#This Row],[年齢]]=15,LOOKUP(Q27,$BF$6:$BF$10,$BE$6:$BE$10),IF(テーブル2[[#This Row],[年齢]]=14,LOOKUP(Q27,$BD$6:$BD$10,$BE$6:$BE$10),IF(テーブル2[[#This Row],[年齢]]=13,LOOKUP(Q27,$BC$6:$BC$10,$BE$6:$BE$10),LOOKUP(Q27,$BB$6:$BB$10,$BE$6:$BE$10)))))))</f>
        <v/>
      </c>
      <c r="S27" s="145">
        <f>IF(H27="",0,(IF(テーブル2[[#This Row],[性別]]="男",LOOKUP(テーブル2[[#This Row],[握力]],$AI$6:$AJ$15),LOOKUP(テーブル2[[#This Row],[握力]],$AI$20:$AJ$29))))</f>
        <v>0</v>
      </c>
      <c r="T27" s="145">
        <f>IF(テーブル2[[#This Row],[上体]]="",0,(IF(テーブル2[[#This Row],[性別]]="男",LOOKUP(テーブル2[[#This Row],[上体]],$AK$6:$AL$15),LOOKUP(テーブル2[[#This Row],[上体]],$AK$20:$AL$29))))</f>
        <v>0</v>
      </c>
      <c r="U27" s="145">
        <f>IF(テーブル2[[#This Row],[長座]]="",0,(IF(テーブル2[[#This Row],[性別]]="男",LOOKUP(テーブル2[[#This Row],[長座]],$AM$6:$AN$15),LOOKUP(テーブル2[[#This Row],[長座]],$AM$20:$AN$29))))</f>
        <v>0</v>
      </c>
      <c r="V27" s="145">
        <f>IF(テーブル2[[#This Row],[反復]]="",0,(IF(テーブル2[[#This Row],[性別]]="男",LOOKUP(テーブル2[[#This Row],[反復]],$AO$6:$AP$15),LOOKUP(テーブル2[[#This Row],[反復]],$AO$20:$AP$29))))</f>
        <v>0</v>
      </c>
      <c r="W27" s="145">
        <f>IF(テーブル2[[#This Row],[持久走]]="",0,(IF(テーブル2[[#This Row],[性別]]="男",LOOKUP(テーブル2[[#This Row],[持久走]],$AQ$6:$AR$15),LOOKUP(テーブル2[[#This Row],[持久走]],$AQ$20:$AR$29))))</f>
        <v>0</v>
      </c>
      <c r="X27" s="145">
        <f>IF(テーブル2[[#This Row],[ｼｬﾄﾙﾗﾝ]]="",0,(IF(テーブル2[[#This Row],[性別]]="男",LOOKUP(テーブル2[[#This Row],[ｼｬﾄﾙﾗﾝ]],$AS$6:$AT$15),LOOKUP(テーブル2[[#This Row],[ｼｬﾄﾙﾗﾝ]],$AS$20:$AT$29))))</f>
        <v>0</v>
      </c>
      <c r="Y27" s="145">
        <f>IF(テーブル2[[#This Row],[50m走]]="",0,(IF(テーブル2[[#This Row],[性別]]="男",LOOKUP(テーブル2[[#This Row],[50m走]],$AU$6:$AV$15),LOOKUP(テーブル2[[#This Row],[50m走]],$AU$20:$AV$29))))</f>
        <v>0</v>
      </c>
      <c r="Z27" s="145">
        <f>IF(テーブル2[[#This Row],[立幅とび]]="",0,(IF(テーブル2[[#This Row],[性別]]="男",LOOKUP(テーブル2[[#This Row],[立幅とび]],$AW$6:$AX$15),LOOKUP(テーブル2[[#This Row],[立幅とび]],$AW$20:$AX$29))))</f>
        <v>0</v>
      </c>
      <c r="AA27" s="145">
        <f>IF(テーブル2[[#This Row],[ボール投げ]]="",0,(IF(テーブル2[[#This Row],[性別]]="男",LOOKUP(テーブル2[[#This Row],[ボール投げ]],$AY$6:$AZ$15),LOOKUP(テーブル2[[#This Row],[ボール投げ]],$AY$20:$AZ$29))))</f>
        <v>0</v>
      </c>
      <c r="AB27" s="146" t="str">
        <f>IF(テーブル2[[#This Row],[学年]]=1,12,IF(テーブル2[[#This Row],[学年]]=2,13,IF(テーブル2[[#This Row],[学年]]=3,14,"")))</f>
        <v/>
      </c>
      <c r="AC27" s="192" t="str">
        <f>IF(テーブル2[[#This Row],[肥満度数値]]=0,"",LOOKUP(AE27,$AW$39:$AW$44,$AX$39:$AX$44))</f>
        <v/>
      </c>
      <c r="AD2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 s="77">
        <f>IF(テーブル2[[#This Row],[体重]]="",0,(テーブル2[[#This Row],[体重]]-テーブル2[[#This Row],[標準体重]])/テーブル2[[#This Row],[標準体重]]*100)</f>
        <v>0</v>
      </c>
      <c r="AF27" s="26">
        <f>COUNTA(テーブル2[[#This Row],[握力]:[ボール投げ]])</f>
        <v>0</v>
      </c>
      <c r="AG27" s="1" t="str">
        <f>IF(テーブル2[[#This Row],[判定]]=$BE$10,"○","")</f>
        <v/>
      </c>
      <c r="AH27" s="1" t="str">
        <f>IF(AG27="","",COUNTIF($AG$6:AG27,"○"))</f>
        <v/>
      </c>
      <c r="AI27" s="61">
        <v>30</v>
      </c>
      <c r="AJ27" s="62">
        <v>8</v>
      </c>
      <c r="AK27" s="61">
        <v>23</v>
      </c>
      <c r="AL27" s="62">
        <v>8</v>
      </c>
      <c r="AM27" s="61">
        <v>54</v>
      </c>
      <c r="AN27" s="62">
        <v>8</v>
      </c>
      <c r="AO27" s="61">
        <v>48</v>
      </c>
      <c r="AP27" s="62">
        <v>8</v>
      </c>
      <c r="AQ27" s="85">
        <v>343</v>
      </c>
      <c r="AR27" s="64">
        <v>3</v>
      </c>
      <c r="AS27" s="61">
        <v>64</v>
      </c>
      <c r="AT27" s="62">
        <v>8</v>
      </c>
      <c r="AU27" s="61">
        <v>9.9</v>
      </c>
      <c r="AV27" s="62">
        <v>3</v>
      </c>
      <c r="AW27" s="61">
        <v>190</v>
      </c>
      <c r="AX27" s="62">
        <v>8</v>
      </c>
      <c r="AY27" s="61">
        <v>18</v>
      </c>
      <c r="AZ27" s="62">
        <v>8</v>
      </c>
      <c r="BA27" s="54"/>
      <c r="BB27" s="137" t="s">
        <v>1121</v>
      </c>
      <c r="BC27" s="137" t="s">
        <v>1122</v>
      </c>
      <c r="BD27" s="137" t="s">
        <v>1123</v>
      </c>
      <c r="BE27" s="137" t="s">
        <v>1124</v>
      </c>
      <c r="BF27" s="137" t="s">
        <v>1125</v>
      </c>
      <c r="BG27" s="54"/>
      <c r="BH27" s="54"/>
    </row>
    <row r="28" spans="1:60" ht="14.25" customHeight="1" x14ac:dyDescent="0.15">
      <c r="A28" s="44">
        <v>23</v>
      </c>
      <c r="B28" s="148"/>
      <c r="C28" s="151"/>
      <c r="D28" s="148"/>
      <c r="E28" s="152"/>
      <c r="F28" s="148"/>
      <c r="G28" s="148"/>
      <c r="H28" s="150"/>
      <c r="I28" s="150"/>
      <c r="J28" s="151"/>
      <c r="K28" s="148"/>
      <c r="L28" s="196"/>
      <c r="M28" s="151"/>
      <c r="N28" s="197"/>
      <c r="O28" s="151"/>
      <c r="P28" s="153"/>
      <c r="Q2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 s="144" t="str">
        <f>IF(テーブル2[[#This Row],[得点]]=0,"",IF(テーブル2[[#This Row],[年齢]]=17,LOOKUP(Q28,$BH$6:$BH$10,$BE$6:$BE$10),IF(テーブル2[[#This Row],[年齢]]=16,LOOKUP(Q28,$BG$6:$BG$10,$BE$6:$BE$10),IF(テーブル2[[#This Row],[年齢]]=15,LOOKUP(Q28,$BF$6:$BF$10,$BE$6:$BE$10),IF(テーブル2[[#This Row],[年齢]]=14,LOOKUP(Q28,$BD$6:$BD$10,$BE$6:$BE$10),IF(テーブル2[[#This Row],[年齢]]=13,LOOKUP(Q28,$BC$6:$BC$10,$BE$6:$BE$10),LOOKUP(Q28,$BB$6:$BB$10,$BE$6:$BE$10)))))))</f>
        <v/>
      </c>
      <c r="S28" s="145">
        <f>IF(H28="",0,(IF(テーブル2[[#This Row],[性別]]="男",LOOKUP(テーブル2[[#This Row],[握力]],$AI$6:$AJ$15),LOOKUP(テーブル2[[#This Row],[握力]],$AI$20:$AJ$29))))</f>
        <v>0</v>
      </c>
      <c r="T28" s="145">
        <f>IF(テーブル2[[#This Row],[上体]]="",0,(IF(テーブル2[[#This Row],[性別]]="男",LOOKUP(テーブル2[[#This Row],[上体]],$AK$6:$AL$15),LOOKUP(テーブル2[[#This Row],[上体]],$AK$20:$AL$29))))</f>
        <v>0</v>
      </c>
      <c r="U28" s="145">
        <f>IF(テーブル2[[#This Row],[長座]]="",0,(IF(テーブル2[[#This Row],[性別]]="男",LOOKUP(テーブル2[[#This Row],[長座]],$AM$6:$AN$15),LOOKUP(テーブル2[[#This Row],[長座]],$AM$20:$AN$29))))</f>
        <v>0</v>
      </c>
      <c r="V28" s="145">
        <f>IF(テーブル2[[#This Row],[反復]]="",0,(IF(テーブル2[[#This Row],[性別]]="男",LOOKUP(テーブル2[[#This Row],[反復]],$AO$6:$AP$15),LOOKUP(テーブル2[[#This Row],[反復]],$AO$20:$AP$29))))</f>
        <v>0</v>
      </c>
      <c r="W28" s="145">
        <f>IF(テーブル2[[#This Row],[持久走]]="",0,(IF(テーブル2[[#This Row],[性別]]="男",LOOKUP(テーブル2[[#This Row],[持久走]],$AQ$6:$AR$15),LOOKUP(テーブル2[[#This Row],[持久走]],$AQ$20:$AR$29))))</f>
        <v>0</v>
      </c>
      <c r="X28" s="145">
        <f>IF(テーブル2[[#This Row],[ｼｬﾄﾙﾗﾝ]]="",0,(IF(テーブル2[[#This Row],[性別]]="男",LOOKUP(テーブル2[[#This Row],[ｼｬﾄﾙﾗﾝ]],$AS$6:$AT$15),LOOKUP(テーブル2[[#This Row],[ｼｬﾄﾙﾗﾝ]],$AS$20:$AT$29))))</f>
        <v>0</v>
      </c>
      <c r="Y28" s="145">
        <f>IF(テーブル2[[#This Row],[50m走]]="",0,(IF(テーブル2[[#This Row],[性別]]="男",LOOKUP(テーブル2[[#This Row],[50m走]],$AU$6:$AV$15),LOOKUP(テーブル2[[#This Row],[50m走]],$AU$20:$AV$29))))</f>
        <v>0</v>
      </c>
      <c r="Z28" s="145">
        <f>IF(テーブル2[[#This Row],[立幅とび]]="",0,(IF(テーブル2[[#This Row],[性別]]="男",LOOKUP(テーブル2[[#This Row],[立幅とび]],$AW$6:$AX$15),LOOKUP(テーブル2[[#This Row],[立幅とび]],$AW$20:$AX$29))))</f>
        <v>0</v>
      </c>
      <c r="AA28" s="145">
        <f>IF(テーブル2[[#This Row],[ボール投げ]]="",0,(IF(テーブル2[[#This Row],[性別]]="男",LOOKUP(テーブル2[[#This Row],[ボール投げ]],$AY$6:$AZ$15),LOOKUP(テーブル2[[#This Row],[ボール投げ]],$AY$20:$AZ$29))))</f>
        <v>0</v>
      </c>
      <c r="AB28" s="146" t="str">
        <f>IF(テーブル2[[#This Row],[学年]]=1,12,IF(テーブル2[[#This Row],[学年]]=2,13,IF(テーブル2[[#This Row],[学年]]=3,14,"")))</f>
        <v/>
      </c>
      <c r="AC28" s="192" t="str">
        <f>IF(テーブル2[[#This Row],[肥満度数値]]=0,"",LOOKUP(AE28,$AW$39:$AW$44,$AX$39:$AX$44))</f>
        <v/>
      </c>
      <c r="AD2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 s="77">
        <f>IF(テーブル2[[#This Row],[体重]]="",0,(テーブル2[[#This Row],[体重]]-テーブル2[[#This Row],[標準体重]])/テーブル2[[#This Row],[標準体重]]*100)</f>
        <v>0</v>
      </c>
      <c r="AF28" s="26">
        <f>COUNTA(テーブル2[[#This Row],[握力]:[ボール投げ]])</f>
        <v>0</v>
      </c>
      <c r="AG28" s="1" t="str">
        <f>IF(テーブル2[[#This Row],[判定]]=$BE$10,"○","")</f>
        <v/>
      </c>
      <c r="AH28" s="1" t="str">
        <f>IF(AG28="","",COUNTIF($AG$6:AG28,"○"))</f>
        <v/>
      </c>
      <c r="AI28" s="61">
        <v>33</v>
      </c>
      <c r="AJ28" s="62">
        <v>9</v>
      </c>
      <c r="AK28" s="61">
        <v>26</v>
      </c>
      <c r="AL28" s="62">
        <v>9</v>
      </c>
      <c r="AM28" s="61">
        <v>58</v>
      </c>
      <c r="AN28" s="62">
        <v>9</v>
      </c>
      <c r="AO28" s="61">
        <v>50</v>
      </c>
      <c r="AP28" s="62">
        <v>9</v>
      </c>
      <c r="AQ28" s="85">
        <v>375</v>
      </c>
      <c r="AR28" s="64">
        <v>2</v>
      </c>
      <c r="AS28" s="61">
        <v>76</v>
      </c>
      <c r="AT28" s="62">
        <v>9</v>
      </c>
      <c r="AU28" s="61">
        <v>10.4</v>
      </c>
      <c r="AV28" s="62">
        <v>2</v>
      </c>
      <c r="AW28" s="61">
        <v>200</v>
      </c>
      <c r="AX28" s="62">
        <v>9</v>
      </c>
      <c r="AY28" s="61">
        <v>20</v>
      </c>
      <c r="AZ28" s="62">
        <v>9</v>
      </c>
      <c r="BA28" s="54"/>
      <c r="BB28" s="137" t="s">
        <v>1126</v>
      </c>
      <c r="BC28" s="137" t="s">
        <v>1127</v>
      </c>
      <c r="BD28" s="137" t="s">
        <v>1128</v>
      </c>
      <c r="BE28" s="137" t="s">
        <v>1129</v>
      </c>
      <c r="BF28" s="137" t="s">
        <v>1130</v>
      </c>
      <c r="BG28" s="54"/>
      <c r="BH28" s="54"/>
    </row>
    <row r="29" spans="1:60" ht="14.25" customHeight="1" thickBot="1" x14ac:dyDescent="0.2">
      <c r="A29" s="44">
        <v>24</v>
      </c>
      <c r="B29" s="148"/>
      <c r="C29" s="151"/>
      <c r="D29" s="148"/>
      <c r="E29" s="152"/>
      <c r="F29" s="148"/>
      <c r="G29" s="148"/>
      <c r="H29" s="150"/>
      <c r="I29" s="150"/>
      <c r="J29" s="151"/>
      <c r="K29" s="148"/>
      <c r="L29" s="196"/>
      <c r="M29" s="151"/>
      <c r="N29" s="197"/>
      <c r="O29" s="151"/>
      <c r="P29" s="153"/>
      <c r="Q2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 s="144" t="str">
        <f>IF(テーブル2[[#This Row],[得点]]=0,"",IF(テーブル2[[#This Row],[年齢]]=17,LOOKUP(Q29,$BH$6:$BH$10,$BE$6:$BE$10),IF(テーブル2[[#This Row],[年齢]]=16,LOOKUP(Q29,$BG$6:$BG$10,$BE$6:$BE$10),IF(テーブル2[[#This Row],[年齢]]=15,LOOKUP(Q29,$BF$6:$BF$10,$BE$6:$BE$10),IF(テーブル2[[#This Row],[年齢]]=14,LOOKUP(Q29,$BD$6:$BD$10,$BE$6:$BE$10),IF(テーブル2[[#This Row],[年齢]]=13,LOOKUP(Q29,$BC$6:$BC$10,$BE$6:$BE$10),LOOKUP(Q29,$BB$6:$BB$10,$BE$6:$BE$10)))))))</f>
        <v/>
      </c>
      <c r="S29" s="145">
        <f>IF(H29="",0,(IF(テーブル2[[#This Row],[性別]]="男",LOOKUP(テーブル2[[#This Row],[握力]],$AI$6:$AJ$15),LOOKUP(テーブル2[[#This Row],[握力]],$AI$20:$AJ$29))))</f>
        <v>0</v>
      </c>
      <c r="T29" s="145">
        <f>IF(テーブル2[[#This Row],[上体]]="",0,(IF(テーブル2[[#This Row],[性別]]="男",LOOKUP(テーブル2[[#This Row],[上体]],$AK$6:$AL$15),LOOKUP(テーブル2[[#This Row],[上体]],$AK$20:$AL$29))))</f>
        <v>0</v>
      </c>
      <c r="U29" s="145">
        <f>IF(テーブル2[[#This Row],[長座]]="",0,(IF(テーブル2[[#This Row],[性別]]="男",LOOKUP(テーブル2[[#This Row],[長座]],$AM$6:$AN$15),LOOKUP(テーブル2[[#This Row],[長座]],$AM$20:$AN$29))))</f>
        <v>0</v>
      </c>
      <c r="V29" s="145">
        <f>IF(テーブル2[[#This Row],[反復]]="",0,(IF(テーブル2[[#This Row],[性別]]="男",LOOKUP(テーブル2[[#This Row],[反復]],$AO$6:$AP$15),LOOKUP(テーブル2[[#This Row],[反復]],$AO$20:$AP$29))))</f>
        <v>0</v>
      </c>
      <c r="W29" s="145">
        <f>IF(テーブル2[[#This Row],[持久走]]="",0,(IF(テーブル2[[#This Row],[性別]]="男",LOOKUP(テーブル2[[#This Row],[持久走]],$AQ$6:$AR$15),LOOKUP(テーブル2[[#This Row],[持久走]],$AQ$20:$AR$29))))</f>
        <v>0</v>
      </c>
      <c r="X29" s="145">
        <f>IF(テーブル2[[#This Row],[ｼｬﾄﾙﾗﾝ]]="",0,(IF(テーブル2[[#This Row],[性別]]="男",LOOKUP(テーブル2[[#This Row],[ｼｬﾄﾙﾗﾝ]],$AS$6:$AT$15),LOOKUP(テーブル2[[#This Row],[ｼｬﾄﾙﾗﾝ]],$AS$20:$AT$29))))</f>
        <v>0</v>
      </c>
      <c r="Y29" s="145">
        <f>IF(テーブル2[[#This Row],[50m走]]="",0,(IF(テーブル2[[#This Row],[性別]]="男",LOOKUP(テーブル2[[#This Row],[50m走]],$AU$6:$AV$15),LOOKUP(テーブル2[[#This Row],[50m走]],$AU$20:$AV$29))))</f>
        <v>0</v>
      </c>
      <c r="Z29" s="145">
        <f>IF(テーブル2[[#This Row],[立幅とび]]="",0,(IF(テーブル2[[#This Row],[性別]]="男",LOOKUP(テーブル2[[#This Row],[立幅とび]],$AW$6:$AX$15),LOOKUP(テーブル2[[#This Row],[立幅とび]],$AW$20:$AX$29))))</f>
        <v>0</v>
      </c>
      <c r="AA29" s="145">
        <f>IF(テーブル2[[#This Row],[ボール投げ]]="",0,(IF(テーブル2[[#This Row],[性別]]="男",LOOKUP(テーブル2[[#This Row],[ボール投げ]],$AY$6:$AZ$15),LOOKUP(テーブル2[[#This Row],[ボール投げ]],$AY$20:$AZ$29))))</f>
        <v>0</v>
      </c>
      <c r="AB29" s="146" t="str">
        <f>IF(テーブル2[[#This Row],[学年]]=1,12,IF(テーブル2[[#This Row],[学年]]=2,13,IF(テーブル2[[#This Row],[学年]]=3,14,"")))</f>
        <v/>
      </c>
      <c r="AC29" s="192" t="str">
        <f>IF(テーブル2[[#This Row],[肥満度数値]]=0,"",LOOKUP(AE29,$AW$39:$AW$44,$AX$39:$AX$44))</f>
        <v/>
      </c>
      <c r="AD2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 s="77">
        <f>IF(テーブル2[[#This Row],[体重]]="",0,(テーブル2[[#This Row],[体重]]-テーブル2[[#This Row],[標準体重]])/テーブル2[[#This Row],[標準体重]]*100)</f>
        <v>0</v>
      </c>
      <c r="AF29" s="26">
        <f>COUNTA(テーブル2[[#This Row],[握力]:[ボール投げ]])</f>
        <v>0</v>
      </c>
      <c r="AG29" s="1" t="str">
        <f>IF(テーブル2[[#This Row],[判定]]=$BE$10,"○","")</f>
        <v/>
      </c>
      <c r="AH29" s="1" t="str">
        <f>IF(AG29="","",COUNTIF($AG$6:AG29,"○"))</f>
        <v/>
      </c>
      <c r="AI29" s="69">
        <v>36</v>
      </c>
      <c r="AJ29" s="70">
        <v>10</v>
      </c>
      <c r="AK29" s="69">
        <v>29</v>
      </c>
      <c r="AL29" s="70">
        <v>10</v>
      </c>
      <c r="AM29" s="69">
        <v>63</v>
      </c>
      <c r="AN29" s="70">
        <v>10</v>
      </c>
      <c r="AO29" s="69">
        <v>53</v>
      </c>
      <c r="AP29" s="70">
        <v>10</v>
      </c>
      <c r="AQ29" s="86">
        <v>418</v>
      </c>
      <c r="AR29" s="67">
        <v>1</v>
      </c>
      <c r="AS29" s="69">
        <v>88</v>
      </c>
      <c r="AT29" s="70">
        <v>10</v>
      </c>
      <c r="AU29" s="69">
        <v>11.3</v>
      </c>
      <c r="AV29" s="70">
        <v>1</v>
      </c>
      <c r="AW29" s="69">
        <v>210</v>
      </c>
      <c r="AX29" s="70">
        <v>10</v>
      </c>
      <c r="AY29" s="69">
        <v>23</v>
      </c>
      <c r="AZ29" s="70">
        <v>10</v>
      </c>
      <c r="BA29" s="54"/>
      <c r="BB29" s="137" t="s">
        <v>1131</v>
      </c>
      <c r="BC29" s="137" t="s">
        <v>1132</v>
      </c>
      <c r="BD29" s="137" t="s">
        <v>1133</v>
      </c>
      <c r="BE29" s="137" t="s">
        <v>1134</v>
      </c>
      <c r="BF29" s="137" t="s">
        <v>1135</v>
      </c>
      <c r="BG29" s="54"/>
      <c r="BH29" s="54"/>
    </row>
    <row r="30" spans="1:60" ht="14.25" customHeight="1" x14ac:dyDescent="0.15">
      <c r="A30" s="44">
        <v>25</v>
      </c>
      <c r="B30" s="148"/>
      <c r="C30" s="151"/>
      <c r="D30" s="148"/>
      <c r="E30" s="152"/>
      <c r="F30" s="148"/>
      <c r="G30" s="148"/>
      <c r="H30" s="150"/>
      <c r="I30" s="150"/>
      <c r="J30" s="151"/>
      <c r="K30" s="148"/>
      <c r="L30" s="196"/>
      <c r="M30" s="151"/>
      <c r="N30" s="197"/>
      <c r="O30" s="151"/>
      <c r="P30" s="153"/>
      <c r="Q3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 s="144" t="str">
        <f>IF(テーブル2[[#This Row],[得点]]=0,"",IF(テーブル2[[#This Row],[年齢]]=17,LOOKUP(Q30,$BH$6:$BH$10,$BE$6:$BE$10),IF(テーブル2[[#This Row],[年齢]]=16,LOOKUP(Q30,$BG$6:$BG$10,$BE$6:$BE$10),IF(テーブル2[[#This Row],[年齢]]=15,LOOKUP(Q30,$BF$6:$BF$10,$BE$6:$BE$10),IF(テーブル2[[#This Row],[年齢]]=14,LOOKUP(Q30,$BD$6:$BD$10,$BE$6:$BE$10),IF(テーブル2[[#This Row],[年齢]]=13,LOOKUP(Q30,$BC$6:$BC$10,$BE$6:$BE$10),LOOKUP(Q30,$BB$6:$BB$10,$BE$6:$BE$10)))))))</f>
        <v/>
      </c>
      <c r="S30" s="145">
        <f>IF(H30="",0,(IF(テーブル2[[#This Row],[性別]]="男",LOOKUP(テーブル2[[#This Row],[握力]],$AI$6:$AJ$15),LOOKUP(テーブル2[[#This Row],[握力]],$AI$20:$AJ$29))))</f>
        <v>0</v>
      </c>
      <c r="T30" s="145">
        <f>IF(テーブル2[[#This Row],[上体]]="",0,(IF(テーブル2[[#This Row],[性別]]="男",LOOKUP(テーブル2[[#This Row],[上体]],$AK$6:$AL$15),LOOKUP(テーブル2[[#This Row],[上体]],$AK$20:$AL$29))))</f>
        <v>0</v>
      </c>
      <c r="U30" s="145">
        <f>IF(テーブル2[[#This Row],[長座]]="",0,(IF(テーブル2[[#This Row],[性別]]="男",LOOKUP(テーブル2[[#This Row],[長座]],$AM$6:$AN$15),LOOKUP(テーブル2[[#This Row],[長座]],$AM$20:$AN$29))))</f>
        <v>0</v>
      </c>
      <c r="V30" s="145">
        <f>IF(テーブル2[[#This Row],[反復]]="",0,(IF(テーブル2[[#This Row],[性別]]="男",LOOKUP(テーブル2[[#This Row],[反復]],$AO$6:$AP$15),LOOKUP(テーブル2[[#This Row],[反復]],$AO$20:$AP$29))))</f>
        <v>0</v>
      </c>
      <c r="W30" s="145">
        <f>IF(テーブル2[[#This Row],[持久走]]="",0,(IF(テーブル2[[#This Row],[性別]]="男",LOOKUP(テーブル2[[#This Row],[持久走]],$AQ$6:$AR$15),LOOKUP(テーブル2[[#This Row],[持久走]],$AQ$20:$AR$29))))</f>
        <v>0</v>
      </c>
      <c r="X30" s="145">
        <f>IF(テーブル2[[#This Row],[ｼｬﾄﾙﾗﾝ]]="",0,(IF(テーブル2[[#This Row],[性別]]="男",LOOKUP(テーブル2[[#This Row],[ｼｬﾄﾙﾗﾝ]],$AS$6:$AT$15),LOOKUP(テーブル2[[#This Row],[ｼｬﾄﾙﾗﾝ]],$AS$20:$AT$29))))</f>
        <v>0</v>
      </c>
      <c r="Y30" s="145">
        <f>IF(テーブル2[[#This Row],[50m走]]="",0,(IF(テーブル2[[#This Row],[性別]]="男",LOOKUP(テーブル2[[#This Row],[50m走]],$AU$6:$AV$15),LOOKUP(テーブル2[[#This Row],[50m走]],$AU$20:$AV$29))))</f>
        <v>0</v>
      </c>
      <c r="Z30" s="145">
        <f>IF(テーブル2[[#This Row],[立幅とび]]="",0,(IF(テーブル2[[#This Row],[性別]]="男",LOOKUP(テーブル2[[#This Row],[立幅とび]],$AW$6:$AX$15),LOOKUP(テーブル2[[#This Row],[立幅とび]],$AW$20:$AX$29))))</f>
        <v>0</v>
      </c>
      <c r="AA30" s="145">
        <f>IF(テーブル2[[#This Row],[ボール投げ]]="",0,(IF(テーブル2[[#This Row],[性別]]="男",LOOKUP(テーブル2[[#This Row],[ボール投げ]],$AY$6:$AZ$15),LOOKUP(テーブル2[[#This Row],[ボール投げ]],$AY$20:$AZ$29))))</f>
        <v>0</v>
      </c>
      <c r="AB30" s="146" t="str">
        <f>IF(テーブル2[[#This Row],[学年]]=1,12,IF(テーブル2[[#This Row],[学年]]=2,13,IF(テーブル2[[#This Row],[学年]]=3,14,"")))</f>
        <v/>
      </c>
      <c r="AC30" s="192" t="str">
        <f>IF(テーブル2[[#This Row],[肥満度数値]]=0,"",LOOKUP(AE30,$AW$39:$AW$44,$AX$39:$AX$44))</f>
        <v/>
      </c>
      <c r="AD3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 s="77">
        <f>IF(テーブル2[[#This Row],[体重]]="",0,(テーブル2[[#This Row],[体重]]-テーブル2[[#This Row],[標準体重]])/テーブル2[[#This Row],[標準体重]]*100)</f>
        <v>0</v>
      </c>
      <c r="AF30" s="26">
        <f>COUNTA(テーブル2[[#This Row],[握力]:[ボール投げ]])</f>
        <v>0</v>
      </c>
      <c r="AG30" s="1" t="str">
        <f>IF(テーブル2[[#This Row],[判定]]=$BE$10,"○","")</f>
        <v/>
      </c>
      <c r="AH30" s="1" t="str">
        <f>IF(AG30="","",COUNTIF($AG$6:AG30,"○"))</f>
        <v/>
      </c>
      <c r="BB30" s="137" t="s">
        <v>1136</v>
      </c>
      <c r="BC30" s="137" t="s">
        <v>1137</v>
      </c>
      <c r="BD30" s="137" t="s">
        <v>1138</v>
      </c>
      <c r="BE30" s="137" t="s">
        <v>1139</v>
      </c>
      <c r="BF30" s="137" t="s">
        <v>1140</v>
      </c>
    </row>
    <row r="31" spans="1:60" ht="14.25" customHeight="1" x14ac:dyDescent="0.15">
      <c r="A31" s="44">
        <v>26</v>
      </c>
      <c r="B31" s="148"/>
      <c r="C31" s="151"/>
      <c r="D31" s="148"/>
      <c r="E31" s="152"/>
      <c r="F31" s="148"/>
      <c r="G31" s="148"/>
      <c r="H31" s="150"/>
      <c r="I31" s="150"/>
      <c r="J31" s="151"/>
      <c r="K31" s="148"/>
      <c r="L31" s="196"/>
      <c r="M31" s="151"/>
      <c r="N31" s="197"/>
      <c r="O31" s="151"/>
      <c r="P31" s="153"/>
      <c r="Q3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 s="144" t="str">
        <f>IF(テーブル2[[#This Row],[得点]]=0,"",IF(テーブル2[[#This Row],[年齢]]=17,LOOKUP(Q31,$BH$6:$BH$10,$BE$6:$BE$10),IF(テーブル2[[#This Row],[年齢]]=16,LOOKUP(Q31,$BG$6:$BG$10,$BE$6:$BE$10),IF(テーブル2[[#This Row],[年齢]]=15,LOOKUP(Q31,$BF$6:$BF$10,$BE$6:$BE$10),IF(テーブル2[[#This Row],[年齢]]=14,LOOKUP(Q31,$BD$6:$BD$10,$BE$6:$BE$10),IF(テーブル2[[#This Row],[年齢]]=13,LOOKUP(Q31,$BC$6:$BC$10,$BE$6:$BE$10),LOOKUP(Q31,$BB$6:$BB$10,$BE$6:$BE$10)))))))</f>
        <v/>
      </c>
      <c r="S31" s="145">
        <f>IF(H31="",0,(IF(テーブル2[[#This Row],[性別]]="男",LOOKUP(テーブル2[[#This Row],[握力]],$AI$6:$AJ$15),LOOKUP(テーブル2[[#This Row],[握力]],$AI$20:$AJ$29))))</f>
        <v>0</v>
      </c>
      <c r="T31" s="145">
        <f>IF(テーブル2[[#This Row],[上体]]="",0,(IF(テーブル2[[#This Row],[性別]]="男",LOOKUP(テーブル2[[#This Row],[上体]],$AK$6:$AL$15),LOOKUP(テーブル2[[#This Row],[上体]],$AK$20:$AL$29))))</f>
        <v>0</v>
      </c>
      <c r="U31" s="145">
        <f>IF(テーブル2[[#This Row],[長座]]="",0,(IF(テーブル2[[#This Row],[性別]]="男",LOOKUP(テーブル2[[#This Row],[長座]],$AM$6:$AN$15),LOOKUP(テーブル2[[#This Row],[長座]],$AM$20:$AN$29))))</f>
        <v>0</v>
      </c>
      <c r="V31" s="145">
        <f>IF(テーブル2[[#This Row],[反復]]="",0,(IF(テーブル2[[#This Row],[性別]]="男",LOOKUP(テーブル2[[#This Row],[反復]],$AO$6:$AP$15),LOOKUP(テーブル2[[#This Row],[反復]],$AO$20:$AP$29))))</f>
        <v>0</v>
      </c>
      <c r="W31" s="145">
        <f>IF(テーブル2[[#This Row],[持久走]]="",0,(IF(テーブル2[[#This Row],[性別]]="男",LOOKUP(テーブル2[[#This Row],[持久走]],$AQ$6:$AR$15),LOOKUP(テーブル2[[#This Row],[持久走]],$AQ$20:$AR$29))))</f>
        <v>0</v>
      </c>
      <c r="X31" s="145">
        <f>IF(テーブル2[[#This Row],[ｼｬﾄﾙﾗﾝ]]="",0,(IF(テーブル2[[#This Row],[性別]]="男",LOOKUP(テーブル2[[#This Row],[ｼｬﾄﾙﾗﾝ]],$AS$6:$AT$15),LOOKUP(テーブル2[[#This Row],[ｼｬﾄﾙﾗﾝ]],$AS$20:$AT$29))))</f>
        <v>0</v>
      </c>
      <c r="Y31" s="145">
        <f>IF(テーブル2[[#This Row],[50m走]]="",0,(IF(テーブル2[[#This Row],[性別]]="男",LOOKUP(テーブル2[[#This Row],[50m走]],$AU$6:$AV$15),LOOKUP(テーブル2[[#This Row],[50m走]],$AU$20:$AV$29))))</f>
        <v>0</v>
      </c>
      <c r="Z31" s="145">
        <f>IF(テーブル2[[#This Row],[立幅とび]]="",0,(IF(テーブル2[[#This Row],[性別]]="男",LOOKUP(テーブル2[[#This Row],[立幅とび]],$AW$6:$AX$15),LOOKUP(テーブル2[[#This Row],[立幅とび]],$AW$20:$AX$29))))</f>
        <v>0</v>
      </c>
      <c r="AA31" s="145">
        <f>IF(テーブル2[[#This Row],[ボール投げ]]="",0,(IF(テーブル2[[#This Row],[性別]]="男",LOOKUP(テーブル2[[#This Row],[ボール投げ]],$AY$6:$AZ$15),LOOKUP(テーブル2[[#This Row],[ボール投げ]],$AY$20:$AZ$29))))</f>
        <v>0</v>
      </c>
      <c r="AB31" s="146" t="str">
        <f>IF(テーブル2[[#This Row],[学年]]=1,12,IF(テーブル2[[#This Row],[学年]]=2,13,IF(テーブル2[[#This Row],[学年]]=3,14,"")))</f>
        <v/>
      </c>
      <c r="AC31" s="192" t="str">
        <f>IF(テーブル2[[#This Row],[肥満度数値]]=0,"",LOOKUP(AE31,$AW$39:$AW$44,$AX$39:$AX$44))</f>
        <v/>
      </c>
      <c r="AD3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 s="77">
        <f>IF(テーブル2[[#This Row],[体重]]="",0,(テーブル2[[#This Row],[体重]]-テーブル2[[#This Row],[標準体重]])/テーブル2[[#This Row],[標準体重]]*100)</f>
        <v>0</v>
      </c>
      <c r="AF31" s="26">
        <f>COUNTA(テーブル2[[#This Row],[握力]:[ボール投げ]])</f>
        <v>0</v>
      </c>
      <c r="AG31" s="1" t="str">
        <f>IF(テーブル2[[#This Row],[判定]]=$BE$10,"○","")</f>
        <v/>
      </c>
      <c r="AH31" s="1" t="str">
        <f>IF(AG31="","",COUNTIF($AG$6:AG31,"○"))</f>
        <v/>
      </c>
      <c r="BB31" s="137" t="s">
        <v>1141</v>
      </c>
      <c r="BC31" s="137" t="s">
        <v>1142</v>
      </c>
      <c r="BD31" s="137" t="s">
        <v>1143</v>
      </c>
      <c r="BE31" s="137" t="s">
        <v>1144</v>
      </c>
      <c r="BF31" s="137" t="s">
        <v>1145</v>
      </c>
    </row>
    <row r="32" spans="1:60" ht="14.25" customHeight="1" x14ac:dyDescent="0.15">
      <c r="A32" s="44">
        <v>27</v>
      </c>
      <c r="B32" s="148"/>
      <c r="C32" s="151"/>
      <c r="D32" s="148"/>
      <c r="E32" s="152"/>
      <c r="F32" s="148"/>
      <c r="G32" s="148"/>
      <c r="H32" s="150"/>
      <c r="I32" s="150"/>
      <c r="J32" s="151"/>
      <c r="K32" s="148"/>
      <c r="L32" s="196"/>
      <c r="M32" s="151"/>
      <c r="N32" s="197"/>
      <c r="O32" s="151"/>
      <c r="P32" s="153"/>
      <c r="Q3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 s="144" t="str">
        <f>IF(テーブル2[[#This Row],[得点]]=0,"",IF(テーブル2[[#This Row],[年齢]]=17,LOOKUP(Q32,$BH$6:$BH$10,$BE$6:$BE$10),IF(テーブル2[[#This Row],[年齢]]=16,LOOKUP(Q32,$BG$6:$BG$10,$BE$6:$BE$10),IF(テーブル2[[#This Row],[年齢]]=15,LOOKUP(Q32,$BF$6:$BF$10,$BE$6:$BE$10),IF(テーブル2[[#This Row],[年齢]]=14,LOOKUP(Q32,$BD$6:$BD$10,$BE$6:$BE$10),IF(テーブル2[[#This Row],[年齢]]=13,LOOKUP(Q32,$BC$6:$BC$10,$BE$6:$BE$10),LOOKUP(Q32,$BB$6:$BB$10,$BE$6:$BE$10)))))))</f>
        <v/>
      </c>
      <c r="S32" s="145">
        <f>IF(H32="",0,(IF(テーブル2[[#This Row],[性別]]="男",LOOKUP(テーブル2[[#This Row],[握力]],$AI$6:$AJ$15),LOOKUP(テーブル2[[#This Row],[握力]],$AI$20:$AJ$29))))</f>
        <v>0</v>
      </c>
      <c r="T32" s="145">
        <f>IF(テーブル2[[#This Row],[上体]]="",0,(IF(テーブル2[[#This Row],[性別]]="男",LOOKUP(テーブル2[[#This Row],[上体]],$AK$6:$AL$15),LOOKUP(テーブル2[[#This Row],[上体]],$AK$20:$AL$29))))</f>
        <v>0</v>
      </c>
      <c r="U32" s="145">
        <f>IF(テーブル2[[#This Row],[長座]]="",0,(IF(テーブル2[[#This Row],[性別]]="男",LOOKUP(テーブル2[[#This Row],[長座]],$AM$6:$AN$15),LOOKUP(テーブル2[[#This Row],[長座]],$AM$20:$AN$29))))</f>
        <v>0</v>
      </c>
      <c r="V32" s="145">
        <f>IF(テーブル2[[#This Row],[反復]]="",0,(IF(テーブル2[[#This Row],[性別]]="男",LOOKUP(テーブル2[[#This Row],[反復]],$AO$6:$AP$15),LOOKUP(テーブル2[[#This Row],[反復]],$AO$20:$AP$29))))</f>
        <v>0</v>
      </c>
      <c r="W32" s="145">
        <f>IF(テーブル2[[#This Row],[持久走]]="",0,(IF(テーブル2[[#This Row],[性別]]="男",LOOKUP(テーブル2[[#This Row],[持久走]],$AQ$6:$AR$15),LOOKUP(テーブル2[[#This Row],[持久走]],$AQ$20:$AR$29))))</f>
        <v>0</v>
      </c>
      <c r="X32" s="145">
        <f>IF(テーブル2[[#This Row],[ｼｬﾄﾙﾗﾝ]]="",0,(IF(テーブル2[[#This Row],[性別]]="男",LOOKUP(テーブル2[[#This Row],[ｼｬﾄﾙﾗﾝ]],$AS$6:$AT$15),LOOKUP(テーブル2[[#This Row],[ｼｬﾄﾙﾗﾝ]],$AS$20:$AT$29))))</f>
        <v>0</v>
      </c>
      <c r="Y32" s="145">
        <f>IF(テーブル2[[#This Row],[50m走]]="",0,(IF(テーブル2[[#This Row],[性別]]="男",LOOKUP(テーブル2[[#This Row],[50m走]],$AU$6:$AV$15),LOOKUP(テーブル2[[#This Row],[50m走]],$AU$20:$AV$29))))</f>
        <v>0</v>
      </c>
      <c r="Z32" s="145">
        <f>IF(テーブル2[[#This Row],[立幅とび]]="",0,(IF(テーブル2[[#This Row],[性別]]="男",LOOKUP(テーブル2[[#This Row],[立幅とび]],$AW$6:$AX$15),LOOKUP(テーブル2[[#This Row],[立幅とび]],$AW$20:$AX$29))))</f>
        <v>0</v>
      </c>
      <c r="AA32" s="145">
        <f>IF(テーブル2[[#This Row],[ボール投げ]]="",0,(IF(テーブル2[[#This Row],[性別]]="男",LOOKUP(テーブル2[[#This Row],[ボール投げ]],$AY$6:$AZ$15),LOOKUP(テーブル2[[#This Row],[ボール投げ]],$AY$20:$AZ$29))))</f>
        <v>0</v>
      </c>
      <c r="AB32" s="146" t="str">
        <f>IF(テーブル2[[#This Row],[学年]]=1,12,IF(テーブル2[[#This Row],[学年]]=2,13,IF(テーブル2[[#This Row],[学年]]=3,14,"")))</f>
        <v/>
      </c>
      <c r="AC32" s="192" t="str">
        <f>IF(テーブル2[[#This Row],[肥満度数値]]=0,"",LOOKUP(AE32,$AW$39:$AW$44,$AX$39:$AX$44))</f>
        <v/>
      </c>
      <c r="AD3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 s="77">
        <f>IF(テーブル2[[#This Row],[体重]]="",0,(テーブル2[[#This Row],[体重]]-テーブル2[[#This Row],[標準体重]])/テーブル2[[#This Row],[標準体重]]*100)</f>
        <v>0</v>
      </c>
      <c r="AF32" s="26">
        <f>COUNTA(テーブル2[[#This Row],[握力]:[ボール投げ]])</f>
        <v>0</v>
      </c>
      <c r="AG32" s="1" t="str">
        <f>IF(テーブル2[[#This Row],[判定]]=$BE$10,"○","")</f>
        <v/>
      </c>
      <c r="AH32" s="1" t="str">
        <f>IF(AG32="","",COUNTIF($AG$6:AG32,"○"))</f>
        <v/>
      </c>
      <c r="BB32" s="137" t="s">
        <v>1146</v>
      </c>
      <c r="BC32" s="137" t="s">
        <v>1147</v>
      </c>
      <c r="BD32" s="137" t="s">
        <v>1148</v>
      </c>
      <c r="BE32" s="137" t="s">
        <v>1149</v>
      </c>
      <c r="BF32" s="137" t="s">
        <v>1150</v>
      </c>
    </row>
    <row r="33" spans="1:58" ht="14.25" customHeight="1" x14ac:dyDescent="0.15">
      <c r="A33" s="44">
        <v>28</v>
      </c>
      <c r="B33" s="148"/>
      <c r="C33" s="151"/>
      <c r="D33" s="148"/>
      <c r="E33" s="152"/>
      <c r="F33" s="148"/>
      <c r="G33" s="148"/>
      <c r="H33" s="150"/>
      <c r="I33" s="150"/>
      <c r="J33" s="151"/>
      <c r="K33" s="148"/>
      <c r="L33" s="196"/>
      <c r="M33" s="151"/>
      <c r="N33" s="197"/>
      <c r="O33" s="151"/>
      <c r="P33" s="153"/>
      <c r="Q3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 s="144" t="str">
        <f>IF(テーブル2[[#This Row],[得点]]=0,"",IF(テーブル2[[#This Row],[年齢]]=17,LOOKUP(Q33,$BH$6:$BH$10,$BE$6:$BE$10),IF(テーブル2[[#This Row],[年齢]]=16,LOOKUP(Q33,$BG$6:$BG$10,$BE$6:$BE$10),IF(テーブル2[[#This Row],[年齢]]=15,LOOKUP(Q33,$BF$6:$BF$10,$BE$6:$BE$10),IF(テーブル2[[#This Row],[年齢]]=14,LOOKUP(Q33,$BD$6:$BD$10,$BE$6:$BE$10),IF(テーブル2[[#This Row],[年齢]]=13,LOOKUP(Q33,$BC$6:$BC$10,$BE$6:$BE$10),LOOKUP(Q33,$BB$6:$BB$10,$BE$6:$BE$10)))))))</f>
        <v/>
      </c>
      <c r="S33" s="145">
        <f>IF(H33="",0,(IF(テーブル2[[#This Row],[性別]]="男",LOOKUP(テーブル2[[#This Row],[握力]],$AI$6:$AJ$15),LOOKUP(テーブル2[[#This Row],[握力]],$AI$20:$AJ$29))))</f>
        <v>0</v>
      </c>
      <c r="T33" s="145">
        <f>IF(テーブル2[[#This Row],[上体]]="",0,(IF(テーブル2[[#This Row],[性別]]="男",LOOKUP(テーブル2[[#This Row],[上体]],$AK$6:$AL$15),LOOKUP(テーブル2[[#This Row],[上体]],$AK$20:$AL$29))))</f>
        <v>0</v>
      </c>
      <c r="U33" s="145">
        <f>IF(テーブル2[[#This Row],[長座]]="",0,(IF(テーブル2[[#This Row],[性別]]="男",LOOKUP(テーブル2[[#This Row],[長座]],$AM$6:$AN$15),LOOKUP(テーブル2[[#This Row],[長座]],$AM$20:$AN$29))))</f>
        <v>0</v>
      </c>
      <c r="V33" s="145">
        <f>IF(テーブル2[[#This Row],[反復]]="",0,(IF(テーブル2[[#This Row],[性別]]="男",LOOKUP(テーブル2[[#This Row],[反復]],$AO$6:$AP$15),LOOKUP(テーブル2[[#This Row],[反復]],$AO$20:$AP$29))))</f>
        <v>0</v>
      </c>
      <c r="W33" s="145">
        <f>IF(テーブル2[[#This Row],[持久走]]="",0,(IF(テーブル2[[#This Row],[性別]]="男",LOOKUP(テーブル2[[#This Row],[持久走]],$AQ$6:$AR$15),LOOKUP(テーブル2[[#This Row],[持久走]],$AQ$20:$AR$29))))</f>
        <v>0</v>
      </c>
      <c r="X33" s="145">
        <f>IF(テーブル2[[#This Row],[ｼｬﾄﾙﾗﾝ]]="",0,(IF(テーブル2[[#This Row],[性別]]="男",LOOKUP(テーブル2[[#This Row],[ｼｬﾄﾙﾗﾝ]],$AS$6:$AT$15),LOOKUP(テーブル2[[#This Row],[ｼｬﾄﾙﾗﾝ]],$AS$20:$AT$29))))</f>
        <v>0</v>
      </c>
      <c r="Y33" s="145">
        <f>IF(テーブル2[[#This Row],[50m走]]="",0,(IF(テーブル2[[#This Row],[性別]]="男",LOOKUP(テーブル2[[#This Row],[50m走]],$AU$6:$AV$15),LOOKUP(テーブル2[[#This Row],[50m走]],$AU$20:$AV$29))))</f>
        <v>0</v>
      </c>
      <c r="Z33" s="145">
        <f>IF(テーブル2[[#This Row],[立幅とび]]="",0,(IF(テーブル2[[#This Row],[性別]]="男",LOOKUP(テーブル2[[#This Row],[立幅とび]],$AW$6:$AX$15),LOOKUP(テーブル2[[#This Row],[立幅とび]],$AW$20:$AX$29))))</f>
        <v>0</v>
      </c>
      <c r="AA33" s="145">
        <f>IF(テーブル2[[#This Row],[ボール投げ]]="",0,(IF(テーブル2[[#This Row],[性別]]="男",LOOKUP(テーブル2[[#This Row],[ボール投げ]],$AY$6:$AZ$15),LOOKUP(テーブル2[[#This Row],[ボール投げ]],$AY$20:$AZ$29))))</f>
        <v>0</v>
      </c>
      <c r="AB33" s="146" t="str">
        <f>IF(テーブル2[[#This Row],[学年]]=1,12,IF(テーブル2[[#This Row],[学年]]=2,13,IF(テーブル2[[#This Row],[学年]]=3,14,"")))</f>
        <v/>
      </c>
      <c r="AC33" s="192" t="str">
        <f>IF(テーブル2[[#This Row],[肥満度数値]]=0,"",LOOKUP(AE33,$AW$39:$AW$44,$AX$39:$AX$44))</f>
        <v/>
      </c>
      <c r="AD3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 s="77">
        <f>IF(テーブル2[[#This Row],[体重]]="",0,(テーブル2[[#This Row],[体重]]-テーブル2[[#This Row],[標準体重]])/テーブル2[[#This Row],[標準体重]]*100)</f>
        <v>0</v>
      </c>
      <c r="AF33" s="26">
        <f>COUNTA(テーブル2[[#This Row],[握力]:[ボール投げ]])</f>
        <v>0</v>
      </c>
      <c r="AG33" s="1" t="str">
        <f>IF(テーブル2[[#This Row],[判定]]=$BE$10,"○","")</f>
        <v/>
      </c>
      <c r="AH33" s="1" t="str">
        <f>IF(AG33="","",COUNTIF($AG$6:AG33,"○"))</f>
        <v/>
      </c>
      <c r="BB33" s="137" t="s">
        <v>1151</v>
      </c>
      <c r="BC33" s="137" t="s">
        <v>1152</v>
      </c>
      <c r="BD33" s="137" t="s">
        <v>1153</v>
      </c>
      <c r="BE33" s="137" t="s">
        <v>1154</v>
      </c>
      <c r="BF33" s="137" t="s">
        <v>1155</v>
      </c>
    </row>
    <row r="34" spans="1:58" ht="14.25" customHeight="1" x14ac:dyDescent="0.15">
      <c r="A34" s="44">
        <v>29</v>
      </c>
      <c r="B34" s="148"/>
      <c r="C34" s="151"/>
      <c r="D34" s="148"/>
      <c r="E34" s="152"/>
      <c r="F34" s="148"/>
      <c r="G34" s="148"/>
      <c r="H34" s="150"/>
      <c r="I34" s="150"/>
      <c r="J34" s="151"/>
      <c r="K34" s="148"/>
      <c r="L34" s="196"/>
      <c r="M34" s="151"/>
      <c r="N34" s="197"/>
      <c r="O34" s="151"/>
      <c r="P34" s="153"/>
      <c r="Q3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 s="144" t="str">
        <f>IF(テーブル2[[#This Row],[得点]]=0,"",IF(テーブル2[[#This Row],[年齢]]=17,LOOKUP(Q34,$BH$6:$BH$10,$BE$6:$BE$10),IF(テーブル2[[#This Row],[年齢]]=16,LOOKUP(Q34,$BG$6:$BG$10,$BE$6:$BE$10),IF(テーブル2[[#This Row],[年齢]]=15,LOOKUP(Q34,$BF$6:$BF$10,$BE$6:$BE$10),IF(テーブル2[[#This Row],[年齢]]=14,LOOKUP(Q34,$BD$6:$BD$10,$BE$6:$BE$10),IF(テーブル2[[#This Row],[年齢]]=13,LOOKUP(Q34,$BC$6:$BC$10,$BE$6:$BE$10),LOOKUP(Q34,$BB$6:$BB$10,$BE$6:$BE$10)))))))</f>
        <v/>
      </c>
      <c r="S34" s="145">
        <f>IF(H34="",0,(IF(テーブル2[[#This Row],[性別]]="男",LOOKUP(テーブル2[[#This Row],[握力]],$AI$6:$AJ$15),LOOKUP(テーブル2[[#This Row],[握力]],$AI$20:$AJ$29))))</f>
        <v>0</v>
      </c>
      <c r="T34" s="145">
        <f>IF(テーブル2[[#This Row],[上体]]="",0,(IF(テーブル2[[#This Row],[性別]]="男",LOOKUP(テーブル2[[#This Row],[上体]],$AK$6:$AL$15),LOOKUP(テーブル2[[#This Row],[上体]],$AK$20:$AL$29))))</f>
        <v>0</v>
      </c>
      <c r="U34" s="145">
        <f>IF(テーブル2[[#This Row],[長座]]="",0,(IF(テーブル2[[#This Row],[性別]]="男",LOOKUP(テーブル2[[#This Row],[長座]],$AM$6:$AN$15),LOOKUP(テーブル2[[#This Row],[長座]],$AM$20:$AN$29))))</f>
        <v>0</v>
      </c>
      <c r="V34" s="145">
        <f>IF(テーブル2[[#This Row],[反復]]="",0,(IF(テーブル2[[#This Row],[性別]]="男",LOOKUP(テーブル2[[#This Row],[反復]],$AO$6:$AP$15),LOOKUP(テーブル2[[#This Row],[反復]],$AO$20:$AP$29))))</f>
        <v>0</v>
      </c>
      <c r="W34" s="145">
        <f>IF(テーブル2[[#This Row],[持久走]]="",0,(IF(テーブル2[[#This Row],[性別]]="男",LOOKUP(テーブル2[[#This Row],[持久走]],$AQ$6:$AR$15),LOOKUP(テーブル2[[#This Row],[持久走]],$AQ$20:$AR$29))))</f>
        <v>0</v>
      </c>
      <c r="X34" s="145">
        <f>IF(テーブル2[[#This Row],[ｼｬﾄﾙﾗﾝ]]="",0,(IF(テーブル2[[#This Row],[性別]]="男",LOOKUP(テーブル2[[#This Row],[ｼｬﾄﾙﾗﾝ]],$AS$6:$AT$15),LOOKUP(テーブル2[[#This Row],[ｼｬﾄﾙﾗﾝ]],$AS$20:$AT$29))))</f>
        <v>0</v>
      </c>
      <c r="Y34" s="145">
        <f>IF(テーブル2[[#This Row],[50m走]]="",0,(IF(テーブル2[[#This Row],[性別]]="男",LOOKUP(テーブル2[[#This Row],[50m走]],$AU$6:$AV$15),LOOKUP(テーブル2[[#This Row],[50m走]],$AU$20:$AV$29))))</f>
        <v>0</v>
      </c>
      <c r="Z34" s="145">
        <f>IF(テーブル2[[#This Row],[立幅とび]]="",0,(IF(テーブル2[[#This Row],[性別]]="男",LOOKUP(テーブル2[[#This Row],[立幅とび]],$AW$6:$AX$15),LOOKUP(テーブル2[[#This Row],[立幅とび]],$AW$20:$AX$29))))</f>
        <v>0</v>
      </c>
      <c r="AA34" s="145">
        <f>IF(テーブル2[[#This Row],[ボール投げ]]="",0,(IF(テーブル2[[#This Row],[性別]]="男",LOOKUP(テーブル2[[#This Row],[ボール投げ]],$AY$6:$AZ$15),LOOKUP(テーブル2[[#This Row],[ボール投げ]],$AY$20:$AZ$29))))</f>
        <v>0</v>
      </c>
      <c r="AB34" s="146" t="str">
        <f>IF(テーブル2[[#This Row],[学年]]=1,12,IF(テーブル2[[#This Row],[学年]]=2,13,IF(テーブル2[[#This Row],[学年]]=3,14,"")))</f>
        <v/>
      </c>
      <c r="AC34" s="192" t="str">
        <f>IF(テーブル2[[#This Row],[肥満度数値]]=0,"",LOOKUP(AE34,$AW$39:$AW$44,$AX$39:$AX$44))</f>
        <v/>
      </c>
      <c r="AD3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 s="77">
        <f>IF(テーブル2[[#This Row],[体重]]="",0,(テーブル2[[#This Row],[体重]]-テーブル2[[#This Row],[標準体重]])/テーブル2[[#This Row],[標準体重]]*100)</f>
        <v>0</v>
      </c>
      <c r="AF34" s="26">
        <f>COUNTA(テーブル2[[#This Row],[握力]:[ボール投げ]])</f>
        <v>0</v>
      </c>
      <c r="AG34" s="1" t="str">
        <f>IF(テーブル2[[#This Row],[判定]]=$BE$10,"○","")</f>
        <v/>
      </c>
      <c r="AH34" s="1" t="str">
        <f>IF(AG34="","",COUNTIF($AG$6:AG34,"○"))</f>
        <v/>
      </c>
      <c r="BB34" s="137" t="s">
        <v>1156</v>
      </c>
      <c r="BC34" s="137" t="s">
        <v>1157</v>
      </c>
      <c r="BD34" s="137" t="s">
        <v>1158</v>
      </c>
      <c r="BE34" s="137" t="s">
        <v>1159</v>
      </c>
      <c r="BF34" s="137" t="s">
        <v>1160</v>
      </c>
    </row>
    <row r="35" spans="1:58" ht="14.25" customHeight="1" x14ac:dyDescent="0.15">
      <c r="A35" s="44">
        <v>30</v>
      </c>
      <c r="B35" s="148"/>
      <c r="C35" s="151"/>
      <c r="D35" s="148"/>
      <c r="E35" s="152"/>
      <c r="F35" s="148"/>
      <c r="G35" s="148"/>
      <c r="H35" s="150"/>
      <c r="I35" s="150"/>
      <c r="J35" s="151"/>
      <c r="K35" s="148"/>
      <c r="L35" s="196"/>
      <c r="M35" s="151"/>
      <c r="N35" s="197"/>
      <c r="O35" s="151"/>
      <c r="P35" s="153"/>
      <c r="Q3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 s="144" t="str">
        <f>IF(テーブル2[[#This Row],[得点]]=0,"",IF(テーブル2[[#This Row],[年齢]]=17,LOOKUP(Q35,$BH$6:$BH$10,$BE$6:$BE$10),IF(テーブル2[[#This Row],[年齢]]=16,LOOKUP(Q35,$BG$6:$BG$10,$BE$6:$BE$10),IF(テーブル2[[#This Row],[年齢]]=15,LOOKUP(Q35,$BF$6:$BF$10,$BE$6:$BE$10),IF(テーブル2[[#This Row],[年齢]]=14,LOOKUP(Q35,$BD$6:$BD$10,$BE$6:$BE$10),IF(テーブル2[[#This Row],[年齢]]=13,LOOKUP(Q35,$BC$6:$BC$10,$BE$6:$BE$10),LOOKUP(Q35,$BB$6:$BB$10,$BE$6:$BE$10)))))))</f>
        <v/>
      </c>
      <c r="S35" s="145">
        <f>IF(H35="",0,(IF(テーブル2[[#This Row],[性別]]="男",LOOKUP(テーブル2[[#This Row],[握力]],$AI$6:$AJ$15),LOOKUP(テーブル2[[#This Row],[握力]],$AI$20:$AJ$29))))</f>
        <v>0</v>
      </c>
      <c r="T35" s="145">
        <f>IF(テーブル2[[#This Row],[上体]]="",0,(IF(テーブル2[[#This Row],[性別]]="男",LOOKUP(テーブル2[[#This Row],[上体]],$AK$6:$AL$15),LOOKUP(テーブル2[[#This Row],[上体]],$AK$20:$AL$29))))</f>
        <v>0</v>
      </c>
      <c r="U35" s="145">
        <f>IF(テーブル2[[#This Row],[長座]]="",0,(IF(テーブル2[[#This Row],[性別]]="男",LOOKUP(テーブル2[[#This Row],[長座]],$AM$6:$AN$15),LOOKUP(テーブル2[[#This Row],[長座]],$AM$20:$AN$29))))</f>
        <v>0</v>
      </c>
      <c r="V35" s="145">
        <f>IF(テーブル2[[#This Row],[反復]]="",0,(IF(テーブル2[[#This Row],[性別]]="男",LOOKUP(テーブル2[[#This Row],[反復]],$AO$6:$AP$15),LOOKUP(テーブル2[[#This Row],[反復]],$AO$20:$AP$29))))</f>
        <v>0</v>
      </c>
      <c r="W35" s="145">
        <f>IF(テーブル2[[#This Row],[持久走]]="",0,(IF(テーブル2[[#This Row],[性別]]="男",LOOKUP(テーブル2[[#This Row],[持久走]],$AQ$6:$AR$15),LOOKUP(テーブル2[[#This Row],[持久走]],$AQ$20:$AR$29))))</f>
        <v>0</v>
      </c>
      <c r="X35" s="145">
        <f>IF(テーブル2[[#This Row],[ｼｬﾄﾙﾗﾝ]]="",0,(IF(テーブル2[[#This Row],[性別]]="男",LOOKUP(テーブル2[[#This Row],[ｼｬﾄﾙﾗﾝ]],$AS$6:$AT$15),LOOKUP(テーブル2[[#This Row],[ｼｬﾄﾙﾗﾝ]],$AS$20:$AT$29))))</f>
        <v>0</v>
      </c>
      <c r="Y35" s="145">
        <f>IF(テーブル2[[#This Row],[50m走]]="",0,(IF(テーブル2[[#This Row],[性別]]="男",LOOKUP(テーブル2[[#This Row],[50m走]],$AU$6:$AV$15),LOOKUP(テーブル2[[#This Row],[50m走]],$AU$20:$AV$29))))</f>
        <v>0</v>
      </c>
      <c r="Z35" s="145">
        <f>IF(テーブル2[[#This Row],[立幅とび]]="",0,(IF(テーブル2[[#This Row],[性別]]="男",LOOKUP(テーブル2[[#This Row],[立幅とび]],$AW$6:$AX$15),LOOKUP(テーブル2[[#This Row],[立幅とび]],$AW$20:$AX$29))))</f>
        <v>0</v>
      </c>
      <c r="AA35" s="145">
        <f>IF(テーブル2[[#This Row],[ボール投げ]]="",0,(IF(テーブル2[[#This Row],[性別]]="男",LOOKUP(テーブル2[[#This Row],[ボール投げ]],$AY$6:$AZ$15),LOOKUP(テーブル2[[#This Row],[ボール投げ]],$AY$20:$AZ$29))))</f>
        <v>0</v>
      </c>
      <c r="AB35" s="146" t="str">
        <f>IF(テーブル2[[#This Row],[学年]]=1,12,IF(テーブル2[[#This Row],[学年]]=2,13,IF(テーブル2[[#This Row],[学年]]=3,14,"")))</f>
        <v/>
      </c>
      <c r="AC35" s="192" t="str">
        <f>IF(テーブル2[[#This Row],[肥満度数値]]=0,"",LOOKUP(AE35,$AW$39:$AW$44,$AX$39:$AX$44))</f>
        <v/>
      </c>
      <c r="AD3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 s="77">
        <f>IF(テーブル2[[#This Row],[体重]]="",0,(テーブル2[[#This Row],[体重]]-テーブル2[[#This Row],[標準体重]])/テーブル2[[#This Row],[標準体重]]*100)</f>
        <v>0</v>
      </c>
      <c r="AF35" s="26">
        <f>COUNTA(テーブル2[[#This Row],[握力]:[ボール投げ]])</f>
        <v>0</v>
      </c>
      <c r="AG35" s="1" t="str">
        <f>IF(テーブル2[[#This Row],[判定]]=$BE$10,"○","")</f>
        <v/>
      </c>
      <c r="AH35" s="1" t="str">
        <f>IF(AG35="","",COUNTIF($AG$6:AG35,"○"))</f>
        <v/>
      </c>
      <c r="BB35" s="54" t="s">
        <v>1161</v>
      </c>
      <c r="BC35" s="54"/>
      <c r="BD35" s="54"/>
      <c r="BE35" s="54"/>
      <c r="BF35" s="54"/>
    </row>
    <row r="36" spans="1:58" ht="14.25" customHeight="1" x14ac:dyDescent="0.15">
      <c r="A36" s="44">
        <v>31</v>
      </c>
      <c r="B36" s="148"/>
      <c r="C36" s="151"/>
      <c r="D36" s="148"/>
      <c r="E36" s="152"/>
      <c r="F36" s="148"/>
      <c r="G36" s="148"/>
      <c r="H36" s="150"/>
      <c r="I36" s="150"/>
      <c r="J36" s="151"/>
      <c r="K36" s="148"/>
      <c r="L36" s="196"/>
      <c r="M36" s="151"/>
      <c r="N36" s="197"/>
      <c r="O36" s="151"/>
      <c r="P36" s="153"/>
      <c r="Q3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 s="144" t="str">
        <f>IF(テーブル2[[#This Row],[得点]]=0,"",IF(テーブル2[[#This Row],[年齢]]=17,LOOKUP(Q36,$BH$6:$BH$10,$BE$6:$BE$10),IF(テーブル2[[#This Row],[年齢]]=16,LOOKUP(Q36,$BG$6:$BG$10,$BE$6:$BE$10),IF(テーブル2[[#This Row],[年齢]]=15,LOOKUP(Q36,$BF$6:$BF$10,$BE$6:$BE$10),IF(テーブル2[[#This Row],[年齢]]=14,LOOKUP(Q36,$BD$6:$BD$10,$BE$6:$BE$10),IF(テーブル2[[#This Row],[年齢]]=13,LOOKUP(Q36,$BC$6:$BC$10,$BE$6:$BE$10),LOOKUP(Q36,$BB$6:$BB$10,$BE$6:$BE$10)))))))</f>
        <v/>
      </c>
      <c r="S36" s="145">
        <f>IF(H36="",0,(IF(テーブル2[[#This Row],[性別]]="男",LOOKUP(テーブル2[[#This Row],[握力]],$AI$6:$AJ$15),LOOKUP(テーブル2[[#This Row],[握力]],$AI$20:$AJ$29))))</f>
        <v>0</v>
      </c>
      <c r="T36" s="145">
        <f>IF(テーブル2[[#This Row],[上体]]="",0,(IF(テーブル2[[#This Row],[性別]]="男",LOOKUP(テーブル2[[#This Row],[上体]],$AK$6:$AL$15),LOOKUP(テーブル2[[#This Row],[上体]],$AK$20:$AL$29))))</f>
        <v>0</v>
      </c>
      <c r="U36" s="145">
        <f>IF(テーブル2[[#This Row],[長座]]="",0,(IF(テーブル2[[#This Row],[性別]]="男",LOOKUP(テーブル2[[#This Row],[長座]],$AM$6:$AN$15),LOOKUP(テーブル2[[#This Row],[長座]],$AM$20:$AN$29))))</f>
        <v>0</v>
      </c>
      <c r="V36" s="145">
        <f>IF(テーブル2[[#This Row],[反復]]="",0,(IF(テーブル2[[#This Row],[性別]]="男",LOOKUP(テーブル2[[#This Row],[反復]],$AO$6:$AP$15),LOOKUP(テーブル2[[#This Row],[反復]],$AO$20:$AP$29))))</f>
        <v>0</v>
      </c>
      <c r="W36" s="145">
        <f>IF(テーブル2[[#This Row],[持久走]]="",0,(IF(テーブル2[[#This Row],[性別]]="男",LOOKUP(テーブル2[[#This Row],[持久走]],$AQ$6:$AR$15),LOOKUP(テーブル2[[#This Row],[持久走]],$AQ$20:$AR$29))))</f>
        <v>0</v>
      </c>
      <c r="X36" s="145">
        <f>IF(テーブル2[[#This Row],[ｼｬﾄﾙﾗﾝ]]="",0,(IF(テーブル2[[#This Row],[性別]]="男",LOOKUP(テーブル2[[#This Row],[ｼｬﾄﾙﾗﾝ]],$AS$6:$AT$15),LOOKUP(テーブル2[[#This Row],[ｼｬﾄﾙﾗﾝ]],$AS$20:$AT$29))))</f>
        <v>0</v>
      </c>
      <c r="Y36" s="145">
        <f>IF(テーブル2[[#This Row],[50m走]]="",0,(IF(テーブル2[[#This Row],[性別]]="男",LOOKUP(テーブル2[[#This Row],[50m走]],$AU$6:$AV$15),LOOKUP(テーブル2[[#This Row],[50m走]],$AU$20:$AV$29))))</f>
        <v>0</v>
      </c>
      <c r="Z36" s="145">
        <f>IF(テーブル2[[#This Row],[立幅とび]]="",0,(IF(テーブル2[[#This Row],[性別]]="男",LOOKUP(テーブル2[[#This Row],[立幅とび]],$AW$6:$AX$15),LOOKUP(テーブル2[[#This Row],[立幅とび]],$AW$20:$AX$29))))</f>
        <v>0</v>
      </c>
      <c r="AA36" s="145">
        <f>IF(テーブル2[[#This Row],[ボール投げ]]="",0,(IF(テーブル2[[#This Row],[性別]]="男",LOOKUP(テーブル2[[#This Row],[ボール投げ]],$AY$6:$AZ$15),LOOKUP(テーブル2[[#This Row],[ボール投げ]],$AY$20:$AZ$29))))</f>
        <v>0</v>
      </c>
      <c r="AB36" s="146" t="str">
        <f>IF(テーブル2[[#This Row],[学年]]=1,12,IF(テーブル2[[#This Row],[学年]]=2,13,IF(テーブル2[[#This Row],[学年]]=3,14,"")))</f>
        <v/>
      </c>
      <c r="AC36" s="192" t="str">
        <f>IF(テーブル2[[#This Row],[肥満度数値]]=0,"",LOOKUP(AE36,$AW$39:$AW$44,$AX$39:$AX$44))</f>
        <v/>
      </c>
      <c r="AD3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 s="77">
        <f>IF(テーブル2[[#This Row],[体重]]="",0,(テーブル2[[#This Row],[体重]]-テーブル2[[#This Row],[標準体重]])/テーブル2[[#This Row],[標準体重]]*100)</f>
        <v>0</v>
      </c>
      <c r="AF36" s="26">
        <f>COUNTA(テーブル2[[#This Row],[握力]:[ボール投げ]])</f>
        <v>0</v>
      </c>
      <c r="AG36" s="1" t="str">
        <f>IF(テーブル2[[#This Row],[判定]]=$BE$10,"○","")</f>
        <v/>
      </c>
      <c r="AH36" s="1" t="str">
        <f>IF(AG36="","",COUNTIF($AG$6:AG36,"○"))</f>
        <v/>
      </c>
      <c r="BB36" s="54"/>
      <c r="BC36" s="54"/>
      <c r="BD36" s="54" t="s">
        <v>1162</v>
      </c>
      <c r="BE36" s="54"/>
      <c r="BF36" s="54"/>
    </row>
    <row r="37" spans="1:58" ht="14.25" customHeight="1" x14ac:dyDescent="0.15">
      <c r="A37" s="44">
        <v>32</v>
      </c>
      <c r="B37" s="148"/>
      <c r="C37" s="151"/>
      <c r="D37" s="148"/>
      <c r="E37" s="152"/>
      <c r="F37" s="148"/>
      <c r="G37" s="148"/>
      <c r="H37" s="150"/>
      <c r="I37" s="150"/>
      <c r="J37" s="151"/>
      <c r="K37" s="148"/>
      <c r="L37" s="196"/>
      <c r="M37" s="151"/>
      <c r="N37" s="197"/>
      <c r="O37" s="151"/>
      <c r="P37" s="153"/>
      <c r="Q3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 s="144" t="str">
        <f>IF(テーブル2[[#This Row],[得点]]=0,"",IF(テーブル2[[#This Row],[年齢]]=17,LOOKUP(Q37,$BH$6:$BH$10,$BE$6:$BE$10),IF(テーブル2[[#This Row],[年齢]]=16,LOOKUP(Q37,$BG$6:$BG$10,$BE$6:$BE$10),IF(テーブル2[[#This Row],[年齢]]=15,LOOKUP(Q37,$BF$6:$BF$10,$BE$6:$BE$10),IF(テーブル2[[#This Row],[年齢]]=14,LOOKUP(Q37,$BD$6:$BD$10,$BE$6:$BE$10),IF(テーブル2[[#This Row],[年齢]]=13,LOOKUP(Q37,$BC$6:$BC$10,$BE$6:$BE$10),LOOKUP(Q37,$BB$6:$BB$10,$BE$6:$BE$10)))))))</f>
        <v/>
      </c>
      <c r="S37" s="145">
        <f>IF(H37="",0,(IF(テーブル2[[#This Row],[性別]]="男",LOOKUP(テーブル2[[#This Row],[握力]],$AI$6:$AJ$15),LOOKUP(テーブル2[[#This Row],[握力]],$AI$20:$AJ$29))))</f>
        <v>0</v>
      </c>
      <c r="T37" s="145">
        <f>IF(テーブル2[[#This Row],[上体]]="",0,(IF(テーブル2[[#This Row],[性別]]="男",LOOKUP(テーブル2[[#This Row],[上体]],$AK$6:$AL$15),LOOKUP(テーブル2[[#This Row],[上体]],$AK$20:$AL$29))))</f>
        <v>0</v>
      </c>
      <c r="U37" s="145">
        <f>IF(テーブル2[[#This Row],[長座]]="",0,(IF(テーブル2[[#This Row],[性別]]="男",LOOKUP(テーブル2[[#This Row],[長座]],$AM$6:$AN$15),LOOKUP(テーブル2[[#This Row],[長座]],$AM$20:$AN$29))))</f>
        <v>0</v>
      </c>
      <c r="V37" s="145">
        <f>IF(テーブル2[[#This Row],[反復]]="",0,(IF(テーブル2[[#This Row],[性別]]="男",LOOKUP(テーブル2[[#This Row],[反復]],$AO$6:$AP$15),LOOKUP(テーブル2[[#This Row],[反復]],$AO$20:$AP$29))))</f>
        <v>0</v>
      </c>
      <c r="W37" s="145">
        <f>IF(テーブル2[[#This Row],[持久走]]="",0,(IF(テーブル2[[#This Row],[性別]]="男",LOOKUP(テーブル2[[#This Row],[持久走]],$AQ$6:$AR$15),LOOKUP(テーブル2[[#This Row],[持久走]],$AQ$20:$AR$29))))</f>
        <v>0</v>
      </c>
      <c r="X37" s="145">
        <f>IF(テーブル2[[#This Row],[ｼｬﾄﾙﾗﾝ]]="",0,(IF(テーブル2[[#This Row],[性別]]="男",LOOKUP(テーブル2[[#This Row],[ｼｬﾄﾙﾗﾝ]],$AS$6:$AT$15),LOOKUP(テーブル2[[#This Row],[ｼｬﾄﾙﾗﾝ]],$AS$20:$AT$29))))</f>
        <v>0</v>
      </c>
      <c r="Y37" s="145">
        <f>IF(テーブル2[[#This Row],[50m走]]="",0,(IF(テーブル2[[#This Row],[性別]]="男",LOOKUP(テーブル2[[#This Row],[50m走]],$AU$6:$AV$15),LOOKUP(テーブル2[[#This Row],[50m走]],$AU$20:$AV$29))))</f>
        <v>0</v>
      </c>
      <c r="Z37" s="145">
        <f>IF(テーブル2[[#This Row],[立幅とび]]="",0,(IF(テーブル2[[#This Row],[性別]]="男",LOOKUP(テーブル2[[#This Row],[立幅とび]],$AW$6:$AX$15),LOOKUP(テーブル2[[#This Row],[立幅とび]],$AW$20:$AX$29))))</f>
        <v>0</v>
      </c>
      <c r="AA37" s="145">
        <f>IF(テーブル2[[#This Row],[ボール投げ]]="",0,(IF(テーブル2[[#This Row],[性別]]="男",LOOKUP(テーブル2[[#This Row],[ボール投げ]],$AY$6:$AZ$15),LOOKUP(テーブル2[[#This Row],[ボール投げ]],$AY$20:$AZ$29))))</f>
        <v>0</v>
      </c>
      <c r="AB37" s="146" t="str">
        <f>IF(テーブル2[[#This Row],[学年]]=1,12,IF(テーブル2[[#This Row],[学年]]=2,13,IF(テーブル2[[#This Row],[学年]]=3,14,"")))</f>
        <v/>
      </c>
      <c r="AC37" s="192" t="str">
        <f>IF(テーブル2[[#This Row],[肥満度数値]]=0,"",LOOKUP(AE37,$AW$39:$AW$44,$AX$39:$AX$44))</f>
        <v/>
      </c>
      <c r="AD3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 s="77">
        <f>IF(テーブル2[[#This Row],[体重]]="",0,(テーブル2[[#This Row],[体重]]-テーブル2[[#This Row],[標準体重]])/テーブル2[[#This Row],[標準体重]]*100)</f>
        <v>0</v>
      </c>
      <c r="AF37" s="26">
        <f>COUNTA(テーブル2[[#This Row],[握力]:[ボール投げ]])</f>
        <v>0</v>
      </c>
      <c r="AG37" s="1" t="str">
        <f>IF(テーブル2[[#This Row],[判定]]=$BE$10,"○","")</f>
        <v/>
      </c>
      <c r="AH37" s="1" t="str">
        <f>IF(AG37="","",COUNTIF($AG$6:AG37,"○"))</f>
        <v/>
      </c>
      <c r="BB37" s="54"/>
      <c r="BC37" s="138" t="s">
        <v>1163</v>
      </c>
      <c r="BD37" s="54"/>
      <c r="BE37" s="54"/>
      <c r="BF37" s="54"/>
    </row>
    <row r="38" spans="1:58" ht="14.25" customHeight="1" x14ac:dyDescent="0.15">
      <c r="A38" s="44">
        <v>33</v>
      </c>
      <c r="B38" s="148"/>
      <c r="C38" s="151"/>
      <c r="D38" s="148"/>
      <c r="E38" s="152"/>
      <c r="F38" s="148"/>
      <c r="G38" s="148"/>
      <c r="H38" s="150"/>
      <c r="I38" s="150"/>
      <c r="J38" s="151"/>
      <c r="K38" s="148"/>
      <c r="L38" s="196"/>
      <c r="M38" s="151"/>
      <c r="N38" s="197"/>
      <c r="O38" s="151"/>
      <c r="P38" s="153"/>
      <c r="Q3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 s="144" t="str">
        <f>IF(テーブル2[[#This Row],[得点]]=0,"",IF(テーブル2[[#This Row],[年齢]]=17,LOOKUP(Q38,$BH$6:$BH$10,$BE$6:$BE$10),IF(テーブル2[[#This Row],[年齢]]=16,LOOKUP(Q38,$BG$6:$BG$10,$BE$6:$BE$10),IF(テーブル2[[#This Row],[年齢]]=15,LOOKUP(Q38,$BF$6:$BF$10,$BE$6:$BE$10),IF(テーブル2[[#This Row],[年齢]]=14,LOOKUP(Q38,$BD$6:$BD$10,$BE$6:$BE$10),IF(テーブル2[[#This Row],[年齢]]=13,LOOKUP(Q38,$BC$6:$BC$10,$BE$6:$BE$10),LOOKUP(Q38,$BB$6:$BB$10,$BE$6:$BE$10)))))))</f>
        <v/>
      </c>
      <c r="S38" s="145">
        <f>IF(H38="",0,(IF(テーブル2[[#This Row],[性別]]="男",LOOKUP(テーブル2[[#This Row],[握力]],$AI$6:$AJ$15),LOOKUP(テーブル2[[#This Row],[握力]],$AI$20:$AJ$29))))</f>
        <v>0</v>
      </c>
      <c r="T38" s="145">
        <f>IF(テーブル2[[#This Row],[上体]]="",0,(IF(テーブル2[[#This Row],[性別]]="男",LOOKUP(テーブル2[[#This Row],[上体]],$AK$6:$AL$15),LOOKUP(テーブル2[[#This Row],[上体]],$AK$20:$AL$29))))</f>
        <v>0</v>
      </c>
      <c r="U38" s="145">
        <f>IF(テーブル2[[#This Row],[長座]]="",0,(IF(テーブル2[[#This Row],[性別]]="男",LOOKUP(テーブル2[[#This Row],[長座]],$AM$6:$AN$15),LOOKUP(テーブル2[[#This Row],[長座]],$AM$20:$AN$29))))</f>
        <v>0</v>
      </c>
      <c r="V38" s="145">
        <f>IF(テーブル2[[#This Row],[反復]]="",0,(IF(テーブル2[[#This Row],[性別]]="男",LOOKUP(テーブル2[[#This Row],[反復]],$AO$6:$AP$15),LOOKUP(テーブル2[[#This Row],[反復]],$AO$20:$AP$29))))</f>
        <v>0</v>
      </c>
      <c r="W38" s="145">
        <f>IF(テーブル2[[#This Row],[持久走]]="",0,(IF(テーブル2[[#This Row],[性別]]="男",LOOKUP(テーブル2[[#This Row],[持久走]],$AQ$6:$AR$15),LOOKUP(テーブル2[[#This Row],[持久走]],$AQ$20:$AR$29))))</f>
        <v>0</v>
      </c>
      <c r="X38" s="145">
        <f>IF(テーブル2[[#This Row],[ｼｬﾄﾙﾗﾝ]]="",0,(IF(テーブル2[[#This Row],[性別]]="男",LOOKUP(テーブル2[[#This Row],[ｼｬﾄﾙﾗﾝ]],$AS$6:$AT$15),LOOKUP(テーブル2[[#This Row],[ｼｬﾄﾙﾗﾝ]],$AS$20:$AT$29))))</f>
        <v>0</v>
      </c>
      <c r="Y38" s="145">
        <f>IF(テーブル2[[#This Row],[50m走]]="",0,(IF(テーブル2[[#This Row],[性別]]="男",LOOKUP(テーブル2[[#This Row],[50m走]],$AU$6:$AV$15),LOOKUP(テーブル2[[#This Row],[50m走]],$AU$20:$AV$29))))</f>
        <v>0</v>
      </c>
      <c r="Z38" s="145">
        <f>IF(テーブル2[[#This Row],[立幅とび]]="",0,(IF(テーブル2[[#This Row],[性別]]="男",LOOKUP(テーブル2[[#This Row],[立幅とび]],$AW$6:$AX$15),LOOKUP(テーブル2[[#This Row],[立幅とび]],$AW$20:$AX$29))))</f>
        <v>0</v>
      </c>
      <c r="AA38" s="145">
        <f>IF(テーブル2[[#This Row],[ボール投げ]]="",0,(IF(テーブル2[[#This Row],[性別]]="男",LOOKUP(テーブル2[[#This Row],[ボール投げ]],$AY$6:$AZ$15),LOOKUP(テーブル2[[#This Row],[ボール投げ]],$AY$20:$AZ$29))))</f>
        <v>0</v>
      </c>
      <c r="AB38" s="146" t="str">
        <f>IF(テーブル2[[#This Row],[学年]]=1,12,IF(テーブル2[[#This Row],[学年]]=2,13,IF(テーブル2[[#This Row],[学年]]=3,14,"")))</f>
        <v/>
      </c>
      <c r="AC38" s="192" t="str">
        <f>IF(テーブル2[[#This Row],[肥満度数値]]=0,"",LOOKUP(AE38,$AW$39:$AW$44,$AX$39:$AX$44))</f>
        <v/>
      </c>
      <c r="AD3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 s="77">
        <f>IF(テーブル2[[#This Row],[体重]]="",0,(テーブル2[[#This Row],[体重]]-テーブル2[[#This Row],[標準体重]])/テーブル2[[#This Row],[標準体重]]*100)</f>
        <v>0</v>
      </c>
      <c r="AF38" s="26">
        <f>COUNTA(テーブル2[[#This Row],[握力]:[ボール投げ]])</f>
        <v>0</v>
      </c>
      <c r="AG38" s="1" t="str">
        <f>IF(テーブル2[[#This Row],[判定]]=$BE$10,"○","")</f>
        <v/>
      </c>
      <c r="AH38" s="1" t="str">
        <f>IF(AG38="","",COUNTIF($AG$6:AG38,"○"))</f>
        <v/>
      </c>
      <c r="BB38" s="54"/>
      <c r="BC38" s="137" t="s">
        <v>1164</v>
      </c>
      <c r="BD38" s="137" t="s">
        <v>1165</v>
      </c>
      <c r="BE38" s="54"/>
      <c r="BF38" s="54"/>
    </row>
    <row r="39" spans="1:58" ht="14.25" customHeight="1" x14ac:dyDescent="0.15">
      <c r="A39" s="44">
        <v>34</v>
      </c>
      <c r="B39" s="148"/>
      <c r="C39" s="151"/>
      <c r="D39" s="148"/>
      <c r="E39" s="152"/>
      <c r="F39" s="148"/>
      <c r="G39" s="148"/>
      <c r="H39" s="150"/>
      <c r="I39" s="150"/>
      <c r="J39" s="151"/>
      <c r="K39" s="148"/>
      <c r="L39" s="196"/>
      <c r="M39" s="151"/>
      <c r="N39" s="197"/>
      <c r="O39" s="151"/>
      <c r="P39" s="153"/>
      <c r="Q3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 s="144" t="str">
        <f>IF(テーブル2[[#This Row],[得点]]=0,"",IF(テーブル2[[#This Row],[年齢]]=17,LOOKUP(Q39,$BH$6:$BH$10,$BE$6:$BE$10),IF(テーブル2[[#This Row],[年齢]]=16,LOOKUP(Q39,$BG$6:$BG$10,$BE$6:$BE$10),IF(テーブル2[[#This Row],[年齢]]=15,LOOKUP(Q39,$BF$6:$BF$10,$BE$6:$BE$10),IF(テーブル2[[#This Row],[年齢]]=14,LOOKUP(Q39,$BD$6:$BD$10,$BE$6:$BE$10),IF(テーブル2[[#This Row],[年齢]]=13,LOOKUP(Q39,$BC$6:$BC$10,$BE$6:$BE$10),LOOKUP(Q39,$BB$6:$BB$10,$BE$6:$BE$10)))))))</f>
        <v/>
      </c>
      <c r="S39" s="145">
        <f>IF(H39="",0,(IF(テーブル2[[#This Row],[性別]]="男",LOOKUP(テーブル2[[#This Row],[握力]],$AI$6:$AJ$15),LOOKUP(テーブル2[[#This Row],[握力]],$AI$20:$AJ$29))))</f>
        <v>0</v>
      </c>
      <c r="T39" s="145">
        <f>IF(テーブル2[[#This Row],[上体]]="",0,(IF(テーブル2[[#This Row],[性別]]="男",LOOKUP(テーブル2[[#This Row],[上体]],$AK$6:$AL$15),LOOKUP(テーブル2[[#This Row],[上体]],$AK$20:$AL$29))))</f>
        <v>0</v>
      </c>
      <c r="U39" s="145">
        <f>IF(テーブル2[[#This Row],[長座]]="",0,(IF(テーブル2[[#This Row],[性別]]="男",LOOKUP(テーブル2[[#This Row],[長座]],$AM$6:$AN$15),LOOKUP(テーブル2[[#This Row],[長座]],$AM$20:$AN$29))))</f>
        <v>0</v>
      </c>
      <c r="V39" s="145">
        <f>IF(テーブル2[[#This Row],[反復]]="",0,(IF(テーブル2[[#This Row],[性別]]="男",LOOKUP(テーブル2[[#This Row],[反復]],$AO$6:$AP$15),LOOKUP(テーブル2[[#This Row],[反復]],$AO$20:$AP$29))))</f>
        <v>0</v>
      </c>
      <c r="W39" s="145">
        <f>IF(テーブル2[[#This Row],[持久走]]="",0,(IF(テーブル2[[#This Row],[性別]]="男",LOOKUP(テーブル2[[#This Row],[持久走]],$AQ$6:$AR$15),LOOKUP(テーブル2[[#This Row],[持久走]],$AQ$20:$AR$29))))</f>
        <v>0</v>
      </c>
      <c r="X39" s="145">
        <f>IF(テーブル2[[#This Row],[ｼｬﾄﾙﾗﾝ]]="",0,(IF(テーブル2[[#This Row],[性別]]="男",LOOKUP(テーブル2[[#This Row],[ｼｬﾄﾙﾗﾝ]],$AS$6:$AT$15),LOOKUP(テーブル2[[#This Row],[ｼｬﾄﾙﾗﾝ]],$AS$20:$AT$29))))</f>
        <v>0</v>
      </c>
      <c r="Y39" s="145">
        <f>IF(テーブル2[[#This Row],[50m走]]="",0,(IF(テーブル2[[#This Row],[性別]]="男",LOOKUP(テーブル2[[#This Row],[50m走]],$AU$6:$AV$15),LOOKUP(テーブル2[[#This Row],[50m走]],$AU$20:$AV$29))))</f>
        <v>0</v>
      </c>
      <c r="Z39" s="145">
        <f>IF(テーブル2[[#This Row],[立幅とび]]="",0,(IF(テーブル2[[#This Row],[性別]]="男",LOOKUP(テーブル2[[#This Row],[立幅とび]],$AW$6:$AX$15),LOOKUP(テーブル2[[#This Row],[立幅とび]],$AW$20:$AX$29))))</f>
        <v>0</v>
      </c>
      <c r="AA39" s="145">
        <f>IF(テーブル2[[#This Row],[ボール投げ]]="",0,(IF(テーブル2[[#This Row],[性別]]="男",LOOKUP(テーブル2[[#This Row],[ボール投げ]],$AY$6:$AZ$15),LOOKUP(テーブル2[[#This Row],[ボール投げ]],$AY$20:$AZ$29))))</f>
        <v>0</v>
      </c>
      <c r="AB39" s="146" t="str">
        <f>IF(テーブル2[[#This Row],[学年]]=1,12,IF(テーブル2[[#This Row],[学年]]=2,13,IF(テーブル2[[#This Row],[学年]]=3,14,"")))</f>
        <v/>
      </c>
      <c r="AC39" s="192" t="str">
        <f>IF(テーブル2[[#This Row],[肥満度数値]]=0,"",LOOKUP(AE39,$AW$39:$AW$44,$AX$39:$AX$44))</f>
        <v/>
      </c>
      <c r="AD3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 s="77">
        <f>IF(テーブル2[[#This Row],[体重]]="",0,(テーブル2[[#This Row],[体重]]-テーブル2[[#This Row],[標準体重]])/テーブル2[[#This Row],[標準体重]]*100)</f>
        <v>0</v>
      </c>
      <c r="AF39" s="26">
        <f>COUNTA(テーブル2[[#This Row],[握力]:[ボール投げ]])</f>
        <v>0</v>
      </c>
      <c r="AG39" s="1" t="str">
        <f>IF(テーブル2[[#This Row],[判定]]=$BE$10,"○","")</f>
        <v/>
      </c>
      <c r="AH39" s="1" t="str">
        <f>IF(AG39="","",COUNTIF($AG$6:AG39,"○"))</f>
        <v/>
      </c>
      <c r="AW39">
        <v>-100</v>
      </c>
      <c r="AX39" t="s">
        <v>1172</v>
      </c>
      <c r="BB39" s="54">
        <v>1</v>
      </c>
      <c r="BC39" s="137">
        <v>50</v>
      </c>
      <c r="BD39" s="139" t="s">
        <v>1166</v>
      </c>
      <c r="BE39" s="54"/>
      <c r="BF39" s="54"/>
    </row>
    <row r="40" spans="1:58" ht="14.25" customHeight="1" x14ac:dyDescent="0.15">
      <c r="A40" s="44">
        <v>35</v>
      </c>
      <c r="B40" s="148"/>
      <c r="C40" s="151"/>
      <c r="D40" s="148"/>
      <c r="E40" s="152"/>
      <c r="F40" s="148"/>
      <c r="G40" s="148"/>
      <c r="H40" s="150"/>
      <c r="I40" s="150"/>
      <c r="J40" s="151"/>
      <c r="K40" s="148"/>
      <c r="L40" s="196"/>
      <c r="M40" s="151"/>
      <c r="N40" s="197"/>
      <c r="O40" s="151"/>
      <c r="P40" s="153"/>
      <c r="Q4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 s="144" t="str">
        <f>IF(テーブル2[[#This Row],[得点]]=0,"",IF(テーブル2[[#This Row],[年齢]]=17,LOOKUP(Q40,$BH$6:$BH$10,$BE$6:$BE$10),IF(テーブル2[[#This Row],[年齢]]=16,LOOKUP(Q40,$BG$6:$BG$10,$BE$6:$BE$10),IF(テーブル2[[#This Row],[年齢]]=15,LOOKUP(Q40,$BF$6:$BF$10,$BE$6:$BE$10),IF(テーブル2[[#This Row],[年齢]]=14,LOOKUP(Q40,$BD$6:$BD$10,$BE$6:$BE$10),IF(テーブル2[[#This Row],[年齢]]=13,LOOKUP(Q40,$BC$6:$BC$10,$BE$6:$BE$10),LOOKUP(Q40,$BB$6:$BB$10,$BE$6:$BE$10)))))))</f>
        <v/>
      </c>
      <c r="S40" s="145">
        <f>IF(H40="",0,(IF(テーブル2[[#This Row],[性別]]="男",LOOKUP(テーブル2[[#This Row],[握力]],$AI$6:$AJ$15),LOOKUP(テーブル2[[#This Row],[握力]],$AI$20:$AJ$29))))</f>
        <v>0</v>
      </c>
      <c r="T40" s="145">
        <f>IF(テーブル2[[#This Row],[上体]]="",0,(IF(テーブル2[[#This Row],[性別]]="男",LOOKUP(テーブル2[[#This Row],[上体]],$AK$6:$AL$15),LOOKUP(テーブル2[[#This Row],[上体]],$AK$20:$AL$29))))</f>
        <v>0</v>
      </c>
      <c r="U40" s="145">
        <f>IF(テーブル2[[#This Row],[長座]]="",0,(IF(テーブル2[[#This Row],[性別]]="男",LOOKUP(テーブル2[[#This Row],[長座]],$AM$6:$AN$15),LOOKUP(テーブル2[[#This Row],[長座]],$AM$20:$AN$29))))</f>
        <v>0</v>
      </c>
      <c r="V40" s="145">
        <f>IF(テーブル2[[#This Row],[反復]]="",0,(IF(テーブル2[[#This Row],[性別]]="男",LOOKUP(テーブル2[[#This Row],[反復]],$AO$6:$AP$15),LOOKUP(テーブル2[[#This Row],[反復]],$AO$20:$AP$29))))</f>
        <v>0</v>
      </c>
      <c r="W40" s="145">
        <f>IF(テーブル2[[#This Row],[持久走]]="",0,(IF(テーブル2[[#This Row],[性別]]="男",LOOKUP(テーブル2[[#This Row],[持久走]],$AQ$6:$AR$15),LOOKUP(テーブル2[[#This Row],[持久走]],$AQ$20:$AR$29))))</f>
        <v>0</v>
      </c>
      <c r="X40" s="145">
        <f>IF(テーブル2[[#This Row],[ｼｬﾄﾙﾗﾝ]]="",0,(IF(テーブル2[[#This Row],[性別]]="男",LOOKUP(テーブル2[[#This Row],[ｼｬﾄﾙﾗﾝ]],$AS$6:$AT$15),LOOKUP(テーブル2[[#This Row],[ｼｬﾄﾙﾗﾝ]],$AS$20:$AT$29))))</f>
        <v>0</v>
      </c>
      <c r="Y40" s="145">
        <f>IF(テーブル2[[#This Row],[50m走]]="",0,(IF(テーブル2[[#This Row],[性別]]="男",LOOKUP(テーブル2[[#This Row],[50m走]],$AU$6:$AV$15),LOOKUP(テーブル2[[#This Row],[50m走]],$AU$20:$AV$29))))</f>
        <v>0</v>
      </c>
      <c r="Z40" s="145">
        <f>IF(テーブル2[[#This Row],[立幅とび]]="",0,(IF(テーブル2[[#This Row],[性別]]="男",LOOKUP(テーブル2[[#This Row],[立幅とび]],$AW$6:$AX$15),LOOKUP(テーブル2[[#This Row],[立幅とび]],$AW$20:$AX$29))))</f>
        <v>0</v>
      </c>
      <c r="AA40" s="145">
        <f>IF(テーブル2[[#This Row],[ボール投げ]]="",0,(IF(テーブル2[[#This Row],[性別]]="男",LOOKUP(テーブル2[[#This Row],[ボール投げ]],$AY$6:$AZ$15),LOOKUP(テーブル2[[#This Row],[ボール投げ]],$AY$20:$AZ$29))))</f>
        <v>0</v>
      </c>
      <c r="AB40" s="146" t="str">
        <f>IF(テーブル2[[#This Row],[学年]]=1,12,IF(テーブル2[[#This Row],[学年]]=2,13,IF(テーブル2[[#This Row],[学年]]=3,14,"")))</f>
        <v/>
      </c>
      <c r="AC40" s="192" t="str">
        <f>IF(テーブル2[[#This Row],[肥満度数値]]=0,"",LOOKUP(AE40,$AW$39:$AW$44,$AX$39:$AX$44))</f>
        <v/>
      </c>
      <c r="AD4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 s="77">
        <f>IF(テーブル2[[#This Row],[体重]]="",0,(テーブル2[[#This Row],[体重]]-テーブル2[[#This Row],[標準体重]])/テーブル2[[#This Row],[標準体重]]*100)</f>
        <v>0</v>
      </c>
      <c r="AF40" s="26">
        <f>COUNTA(テーブル2[[#This Row],[握力]:[ボール投げ]])</f>
        <v>0</v>
      </c>
      <c r="AG40" s="1" t="str">
        <f>IF(テーブル2[[#This Row],[判定]]=$BE$10,"○","")</f>
        <v/>
      </c>
      <c r="AH40" s="1" t="str">
        <f>IF(AG40="","",COUNTIF($AG$6:AG40,"○"))</f>
        <v/>
      </c>
      <c r="AW40">
        <v>-29.9</v>
      </c>
      <c r="AX40" t="s">
        <v>1177</v>
      </c>
      <c r="BB40" s="54">
        <v>2</v>
      </c>
      <c r="BC40" s="137">
        <v>30</v>
      </c>
      <c r="BD40" s="139" t="s">
        <v>1167</v>
      </c>
      <c r="BE40" s="54"/>
      <c r="BF40" s="54"/>
    </row>
    <row r="41" spans="1:58" ht="14.25" customHeight="1" x14ac:dyDescent="0.15">
      <c r="A41" s="44">
        <v>36</v>
      </c>
      <c r="B41" s="148"/>
      <c r="C41" s="151"/>
      <c r="D41" s="148"/>
      <c r="E41" s="152"/>
      <c r="F41" s="148"/>
      <c r="G41" s="148"/>
      <c r="H41" s="150"/>
      <c r="I41" s="150"/>
      <c r="J41" s="151"/>
      <c r="K41" s="148"/>
      <c r="L41" s="196"/>
      <c r="M41" s="151"/>
      <c r="N41" s="197"/>
      <c r="O41" s="151"/>
      <c r="P41" s="153"/>
      <c r="Q4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 s="144" t="str">
        <f>IF(テーブル2[[#This Row],[得点]]=0,"",IF(テーブル2[[#This Row],[年齢]]=17,LOOKUP(Q41,$BH$6:$BH$10,$BE$6:$BE$10),IF(テーブル2[[#This Row],[年齢]]=16,LOOKUP(Q41,$BG$6:$BG$10,$BE$6:$BE$10),IF(テーブル2[[#This Row],[年齢]]=15,LOOKUP(Q41,$BF$6:$BF$10,$BE$6:$BE$10),IF(テーブル2[[#This Row],[年齢]]=14,LOOKUP(Q41,$BD$6:$BD$10,$BE$6:$BE$10),IF(テーブル2[[#This Row],[年齢]]=13,LOOKUP(Q41,$BC$6:$BC$10,$BE$6:$BE$10),LOOKUP(Q41,$BB$6:$BB$10,$BE$6:$BE$10)))))))</f>
        <v/>
      </c>
      <c r="S41" s="145">
        <f>IF(H41="",0,(IF(テーブル2[[#This Row],[性別]]="男",LOOKUP(テーブル2[[#This Row],[握力]],$AI$6:$AJ$15),LOOKUP(テーブル2[[#This Row],[握力]],$AI$20:$AJ$29))))</f>
        <v>0</v>
      </c>
      <c r="T41" s="145">
        <f>IF(テーブル2[[#This Row],[上体]]="",0,(IF(テーブル2[[#This Row],[性別]]="男",LOOKUP(テーブル2[[#This Row],[上体]],$AK$6:$AL$15),LOOKUP(テーブル2[[#This Row],[上体]],$AK$20:$AL$29))))</f>
        <v>0</v>
      </c>
      <c r="U41" s="145">
        <f>IF(テーブル2[[#This Row],[長座]]="",0,(IF(テーブル2[[#This Row],[性別]]="男",LOOKUP(テーブル2[[#This Row],[長座]],$AM$6:$AN$15),LOOKUP(テーブル2[[#This Row],[長座]],$AM$20:$AN$29))))</f>
        <v>0</v>
      </c>
      <c r="V41" s="145">
        <f>IF(テーブル2[[#This Row],[反復]]="",0,(IF(テーブル2[[#This Row],[性別]]="男",LOOKUP(テーブル2[[#This Row],[反復]],$AO$6:$AP$15),LOOKUP(テーブル2[[#This Row],[反復]],$AO$20:$AP$29))))</f>
        <v>0</v>
      </c>
      <c r="W41" s="145">
        <f>IF(テーブル2[[#This Row],[持久走]]="",0,(IF(テーブル2[[#This Row],[性別]]="男",LOOKUP(テーブル2[[#This Row],[持久走]],$AQ$6:$AR$15),LOOKUP(テーブル2[[#This Row],[持久走]],$AQ$20:$AR$29))))</f>
        <v>0</v>
      </c>
      <c r="X41" s="145">
        <f>IF(テーブル2[[#This Row],[ｼｬﾄﾙﾗﾝ]]="",0,(IF(テーブル2[[#This Row],[性別]]="男",LOOKUP(テーブル2[[#This Row],[ｼｬﾄﾙﾗﾝ]],$AS$6:$AT$15),LOOKUP(テーブル2[[#This Row],[ｼｬﾄﾙﾗﾝ]],$AS$20:$AT$29))))</f>
        <v>0</v>
      </c>
      <c r="Y41" s="145">
        <f>IF(テーブル2[[#This Row],[50m走]]="",0,(IF(テーブル2[[#This Row],[性別]]="男",LOOKUP(テーブル2[[#This Row],[50m走]],$AU$6:$AV$15),LOOKUP(テーブル2[[#This Row],[50m走]],$AU$20:$AV$29))))</f>
        <v>0</v>
      </c>
      <c r="Z41" s="145">
        <f>IF(テーブル2[[#This Row],[立幅とび]]="",0,(IF(テーブル2[[#This Row],[性別]]="男",LOOKUP(テーブル2[[#This Row],[立幅とび]],$AW$6:$AX$15),LOOKUP(テーブル2[[#This Row],[立幅とび]],$AW$20:$AX$29))))</f>
        <v>0</v>
      </c>
      <c r="AA41" s="145">
        <f>IF(テーブル2[[#This Row],[ボール投げ]]="",0,(IF(テーブル2[[#This Row],[性別]]="男",LOOKUP(テーブル2[[#This Row],[ボール投げ]],$AY$6:$AZ$15),LOOKUP(テーブル2[[#This Row],[ボール投げ]],$AY$20:$AZ$29))))</f>
        <v>0</v>
      </c>
      <c r="AB41" s="146" t="str">
        <f>IF(テーブル2[[#This Row],[学年]]=1,12,IF(テーブル2[[#This Row],[学年]]=2,13,IF(テーブル2[[#This Row],[学年]]=3,14,"")))</f>
        <v/>
      </c>
      <c r="AC41" s="192" t="str">
        <f>IF(テーブル2[[#This Row],[肥満度数値]]=0,"",LOOKUP(AE41,$AW$39:$AW$44,$AX$39:$AX$44))</f>
        <v/>
      </c>
      <c r="AD4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 s="77">
        <f>IF(テーブル2[[#This Row],[体重]]="",0,(テーブル2[[#This Row],[体重]]-テーブル2[[#This Row],[標準体重]])/テーブル2[[#This Row],[標準体重]]*100)</f>
        <v>0</v>
      </c>
      <c r="AF41" s="26">
        <f>COUNTA(テーブル2[[#This Row],[握力]:[ボール投げ]])</f>
        <v>0</v>
      </c>
      <c r="AG41" s="1" t="str">
        <f>IF(テーブル2[[#This Row],[判定]]=$BE$10,"○","")</f>
        <v/>
      </c>
      <c r="AH41" s="1" t="str">
        <f>IF(AG41="","",COUNTIF($AG$6:AG41,"○"))</f>
        <v/>
      </c>
      <c r="AW41">
        <v>-19.899999999999999</v>
      </c>
      <c r="AX41" t="s">
        <v>1173</v>
      </c>
      <c r="BB41" s="54">
        <v>3</v>
      </c>
      <c r="BC41" s="137">
        <v>20</v>
      </c>
      <c r="BD41" s="139" t="s">
        <v>1168</v>
      </c>
      <c r="BE41" s="54"/>
      <c r="BF41" s="54"/>
    </row>
    <row r="42" spans="1:58" ht="14.25" customHeight="1" x14ac:dyDescent="0.15">
      <c r="A42" s="44">
        <v>37</v>
      </c>
      <c r="B42" s="148"/>
      <c r="C42" s="151"/>
      <c r="D42" s="148"/>
      <c r="E42" s="152"/>
      <c r="F42" s="148"/>
      <c r="G42" s="148"/>
      <c r="H42" s="150"/>
      <c r="I42" s="150"/>
      <c r="J42" s="151"/>
      <c r="K42" s="148"/>
      <c r="L42" s="196"/>
      <c r="M42" s="151"/>
      <c r="N42" s="197"/>
      <c r="O42" s="151"/>
      <c r="P42" s="153"/>
      <c r="Q4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 s="144" t="str">
        <f>IF(テーブル2[[#This Row],[得点]]=0,"",IF(テーブル2[[#This Row],[年齢]]=17,LOOKUP(Q42,$BH$6:$BH$10,$BE$6:$BE$10),IF(テーブル2[[#This Row],[年齢]]=16,LOOKUP(Q42,$BG$6:$BG$10,$BE$6:$BE$10),IF(テーブル2[[#This Row],[年齢]]=15,LOOKUP(Q42,$BF$6:$BF$10,$BE$6:$BE$10),IF(テーブル2[[#This Row],[年齢]]=14,LOOKUP(Q42,$BD$6:$BD$10,$BE$6:$BE$10),IF(テーブル2[[#This Row],[年齢]]=13,LOOKUP(Q42,$BC$6:$BC$10,$BE$6:$BE$10),LOOKUP(Q42,$BB$6:$BB$10,$BE$6:$BE$10)))))))</f>
        <v/>
      </c>
      <c r="S42" s="145">
        <f>IF(H42="",0,(IF(テーブル2[[#This Row],[性別]]="男",LOOKUP(テーブル2[[#This Row],[握力]],$AI$6:$AJ$15),LOOKUP(テーブル2[[#This Row],[握力]],$AI$20:$AJ$29))))</f>
        <v>0</v>
      </c>
      <c r="T42" s="145">
        <f>IF(テーブル2[[#This Row],[上体]]="",0,(IF(テーブル2[[#This Row],[性別]]="男",LOOKUP(テーブル2[[#This Row],[上体]],$AK$6:$AL$15),LOOKUP(テーブル2[[#This Row],[上体]],$AK$20:$AL$29))))</f>
        <v>0</v>
      </c>
      <c r="U42" s="145">
        <f>IF(テーブル2[[#This Row],[長座]]="",0,(IF(テーブル2[[#This Row],[性別]]="男",LOOKUP(テーブル2[[#This Row],[長座]],$AM$6:$AN$15),LOOKUP(テーブル2[[#This Row],[長座]],$AM$20:$AN$29))))</f>
        <v>0</v>
      </c>
      <c r="V42" s="145">
        <f>IF(テーブル2[[#This Row],[反復]]="",0,(IF(テーブル2[[#This Row],[性別]]="男",LOOKUP(テーブル2[[#This Row],[反復]],$AO$6:$AP$15),LOOKUP(テーブル2[[#This Row],[反復]],$AO$20:$AP$29))))</f>
        <v>0</v>
      </c>
      <c r="W42" s="145">
        <f>IF(テーブル2[[#This Row],[持久走]]="",0,(IF(テーブル2[[#This Row],[性別]]="男",LOOKUP(テーブル2[[#This Row],[持久走]],$AQ$6:$AR$15),LOOKUP(テーブル2[[#This Row],[持久走]],$AQ$20:$AR$29))))</f>
        <v>0</v>
      </c>
      <c r="X42" s="145">
        <f>IF(テーブル2[[#This Row],[ｼｬﾄﾙﾗﾝ]]="",0,(IF(テーブル2[[#This Row],[性別]]="男",LOOKUP(テーブル2[[#This Row],[ｼｬﾄﾙﾗﾝ]],$AS$6:$AT$15),LOOKUP(テーブル2[[#This Row],[ｼｬﾄﾙﾗﾝ]],$AS$20:$AT$29))))</f>
        <v>0</v>
      </c>
      <c r="Y42" s="145">
        <f>IF(テーブル2[[#This Row],[50m走]]="",0,(IF(テーブル2[[#This Row],[性別]]="男",LOOKUP(テーブル2[[#This Row],[50m走]],$AU$6:$AV$15),LOOKUP(テーブル2[[#This Row],[50m走]],$AU$20:$AV$29))))</f>
        <v>0</v>
      </c>
      <c r="Z42" s="145">
        <f>IF(テーブル2[[#This Row],[立幅とび]]="",0,(IF(テーブル2[[#This Row],[性別]]="男",LOOKUP(テーブル2[[#This Row],[立幅とび]],$AW$6:$AX$15),LOOKUP(テーブル2[[#This Row],[立幅とび]],$AW$20:$AX$29))))</f>
        <v>0</v>
      </c>
      <c r="AA42" s="145">
        <f>IF(テーブル2[[#This Row],[ボール投げ]]="",0,(IF(テーブル2[[#This Row],[性別]]="男",LOOKUP(テーブル2[[#This Row],[ボール投げ]],$AY$6:$AZ$15),LOOKUP(テーブル2[[#This Row],[ボール投げ]],$AY$20:$AZ$29))))</f>
        <v>0</v>
      </c>
      <c r="AB42" s="146" t="str">
        <f>IF(テーブル2[[#This Row],[学年]]=1,12,IF(テーブル2[[#This Row],[学年]]=2,13,IF(テーブル2[[#This Row],[学年]]=3,14,"")))</f>
        <v/>
      </c>
      <c r="AC42" s="192" t="str">
        <f>IF(テーブル2[[#This Row],[肥満度数値]]=0,"",LOOKUP(AE42,$AW$39:$AW$44,$AX$39:$AX$44))</f>
        <v/>
      </c>
      <c r="AD4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 s="77">
        <f>IF(テーブル2[[#This Row],[体重]]="",0,(テーブル2[[#This Row],[体重]]-テーブル2[[#This Row],[標準体重]])/テーブル2[[#This Row],[標準体重]]*100)</f>
        <v>0</v>
      </c>
      <c r="AF42" s="26">
        <f>COUNTA(テーブル2[[#This Row],[握力]:[ボール投げ]])</f>
        <v>0</v>
      </c>
      <c r="AG42" s="1" t="str">
        <f>IF(テーブル2[[#This Row],[判定]]=$BE$10,"○","")</f>
        <v/>
      </c>
      <c r="AH42" s="1" t="str">
        <f>IF(AG42="","",COUNTIF($AG$6:AG42,"○"))</f>
        <v/>
      </c>
      <c r="AW42">
        <v>20</v>
      </c>
      <c r="AX42" t="s">
        <v>1174</v>
      </c>
      <c r="BB42" s="54">
        <v>4</v>
      </c>
      <c r="BC42" s="137">
        <v>-19.899999999999999</v>
      </c>
      <c r="BD42" s="139" t="s">
        <v>1169</v>
      </c>
      <c r="BE42" s="54"/>
      <c r="BF42" s="54"/>
    </row>
    <row r="43" spans="1:58" ht="14.25" customHeight="1" x14ac:dyDescent="0.15">
      <c r="A43" s="44">
        <v>38</v>
      </c>
      <c r="B43" s="148"/>
      <c r="C43" s="151"/>
      <c r="D43" s="148"/>
      <c r="E43" s="152"/>
      <c r="F43" s="148"/>
      <c r="G43" s="148"/>
      <c r="H43" s="150"/>
      <c r="I43" s="150"/>
      <c r="J43" s="151"/>
      <c r="K43" s="148"/>
      <c r="L43" s="196"/>
      <c r="M43" s="151"/>
      <c r="N43" s="197"/>
      <c r="O43" s="151"/>
      <c r="P43" s="153"/>
      <c r="Q4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 s="144" t="str">
        <f>IF(テーブル2[[#This Row],[得点]]=0,"",IF(テーブル2[[#This Row],[年齢]]=17,LOOKUP(Q43,$BH$6:$BH$10,$BE$6:$BE$10),IF(テーブル2[[#This Row],[年齢]]=16,LOOKUP(Q43,$BG$6:$BG$10,$BE$6:$BE$10),IF(テーブル2[[#This Row],[年齢]]=15,LOOKUP(Q43,$BF$6:$BF$10,$BE$6:$BE$10),IF(テーブル2[[#This Row],[年齢]]=14,LOOKUP(Q43,$BD$6:$BD$10,$BE$6:$BE$10),IF(テーブル2[[#This Row],[年齢]]=13,LOOKUP(Q43,$BC$6:$BC$10,$BE$6:$BE$10),LOOKUP(Q43,$BB$6:$BB$10,$BE$6:$BE$10)))))))</f>
        <v/>
      </c>
      <c r="S43" s="145">
        <f>IF(H43="",0,(IF(テーブル2[[#This Row],[性別]]="男",LOOKUP(テーブル2[[#This Row],[握力]],$AI$6:$AJ$15),LOOKUP(テーブル2[[#This Row],[握力]],$AI$20:$AJ$29))))</f>
        <v>0</v>
      </c>
      <c r="T43" s="145">
        <f>IF(テーブル2[[#This Row],[上体]]="",0,(IF(テーブル2[[#This Row],[性別]]="男",LOOKUP(テーブル2[[#This Row],[上体]],$AK$6:$AL$15),LOOKUP(テーブル2[[#This Row],[上体]],$AK$20:$AL$29))))</f>
        <v>0</v>
      </c>
      <c r="U43" s="145">
        <f>IF(テーブル2[[#This Row],[長座]]="",0,(IF(テーブル2[[#This Row],[性別]]="男",LOOKUP(テーブル2[[#This Row],[長座]],$AM$6:$AN$15),LOOKUP(テーブル2[[#This Row],[長座]],$AM$20:$AN$29))))</f>
        <v>0</v>
      </c>
      <c r="V43" s="145">
        <f>IF(テーブル2[[#This Row],[反復]]="",0,(IF(テーブル2[[#This Row],[性別]]="男",LOOKUP(テーブル2[[#This Row],[反復]],$AO$6:$AP$15),LOOKUP(テーブル2[[#This Row],[反復]],$AO$20:$AP$29))))</f>
        <v>0</v>
      </c>
      <c r="W43" s="145">
        <f>IF(テーブル2[[#This Row],[持久走]]="",0,(IF(テーブル2[[#This Row],[性別]]="男",LOOKUP(テーブル2[[#This Row],[持久走]],$AQ$6:$AR$15),LOOKUP(テーブル2[[#This Row],[持久走]],$AQ$20:$AR$29))))</f>
        <v>0</v>
      </c>
      <c r="X43" s="145">
        <f>IF(テーブル2[[#This Row],[ｼｬﾄﾙﾗﾝ]]="",0,(IF(テーブル2[[#This Row],[性別]]="男",LOOKUP(テーブル2[[#This Row],[ｼｬﾄﾙﾗﾝ]],$AS$6:$AT$15),LOOKUP(テーブル2[[#This Row],[ｼｬﾄﾙﾗﾝ]],$AS$20:$AT$29))))</f>
        <v>0</v>
      </c>
      <c r="Y43" s="145">
        <f>IF(テーブル2[[#This Row],[50m走]]="",0,(IF(テーブル2[[#This Row],[性別]]="男",LOOKUP(テーブル2[[#This Row],[50m走]],$AU$6:$AV$15),LOOKUP(テーブル2[[#This Row],[50m走]],$AU$20:$AV$29))))</f>
        <v>0</v>
      </c>
      <c r="Z43" s="145">
        <f>IF(テーブル2[[#This Row],[立幅とび]]="",0,(IF(テーブル2[[#This Row],[性別]]="男",LOOKUP(テーブル2[[#This Row],[立幅とび]],$AW$6:$AX$15),LOOKUP(テーブル2[[#This Row],[立幅とび]],$AW$20:$AX$29))))</f>
        <v>0</v>
      </c>
      <c r="AA43" s="145">
        <f>IF(テーブル2[[#This Row],[ボール投げ]]="",0,(IF(テーブル2[[#This Row],[性別]]="男",LOOKUP(テーブル2[[#This Row],[ボール投げ]],$AY$6:$AZ$15),LOOKUP(テーブル2[[#This Row],[ボール投げ]],$AY$20:$AZ$29))))</f>
        <v>0</v>
      </c>
      <c r="AB43" s="146" t="str">
        <f>IF(テーブル2[[#This Row],[学年]]=1,12,IF(テーブル2[[#This Row],[学年]]=2,13,IF(テーブル2[[#This Row],[学年]]=3,14,"")))</f>
        <v/>
      </c>
      <c r="AC43" s="192" t="str">
        <f>IF(テーブル2[[#This Row],[肥満度数値]]=0,"",LOOKUP(AE43,$AW$39:$AW$44,$AX$39:$AX$44))</f>
        <v/>
      </c>
      <c r="AD4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 s="77">
        <f>IF(テーブル2[[#This Row],[体重]]="",0,(テーブル2[[#This Row],[体重]]-テーブル2[[#This Row],[標準体重]])/テーブル2[[#This Row],[標準体重]]*100)</f>
        <v>0</v>
      </c>
      <c r="AF43" s="26">
        <f>COUNTA(テーブル2[[#This Row],[握力]:[ボール投げ]])</f>
        <v>0</v>
      </c>
      <c r="AG43" s="1" t="str">
        <f>IF(テーブル2[[#This Row],[判定]]=$BE$10,"○","")</f>
        <v/>
      </c>
      <c r="AH43" s="1" t="str">
        <f>IF(AG43="","",COUNTIF($AG$6:AG43,"○"))</f>
        <v/>
      </c>
      <c r="AW43">
        <v>30</v>
      </c>
      <c r="AX43" t="s">
        <v>1175</v>
      </c>
      <c r="BB43" s="54">
        <v>5</v>
      </c>
      <c r="BC43" s="137">
        <v>-29.9</v>
      </c>
      <c r="BD43" s="139" t="s">
        <v>1171</v>
      </c>
      <c r="BE43" s="54"/>
      <c r="BF43" s="54"/>
    </row>
    <row r="44" spans="1:58" ht="14.25" customHeight="1" x14ac:dyDescent="0.15">
      <c r="A44" s="44">
        <v>39</v>
      </c>
      <c r="B44" s="148"/>
      <c r="C44" s="151"/>
      <c r="D44" s="148"/>
      <c r="E44" s="152"/>
      <c r="F44" s="148"/>
      <c r="G44" s="148"/>
      <c r="H44" s="150"/>
      <c r="I44" s="150"/>
      <c r="J44" s="151"/>
      <c r="K44" s="148"/>
      <c r="L44" s="196"/>
      <c r="M44" s="151"/>
      <c r="N44" s="197"/>
      <c r="O44" s="151"/>
      <c r="P44" s="153"/>
      <c r="Q4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 s="144" t="str">
        <f>IF(テーブル2[[#This Row],[得点]]=0,"",IF(テーブル2[[#This Row],[年齢]]=17,LOOKUP(Q44,$BH$6:$BH$10,$BE$6:$BE$10),IF(テーブル2[[#This Row],[年齢]]=16,LOOKUP(Q44,$BG$6:$BG$10,$BE$6:$BE$10),IF(テーブル2[[#This Row],[年齢]]=15,LOOKUP(Q44,$BF$6:$BF$10,$BE$6:$BE$10),IF(テーブル2[[#This Row],[年齢]]=14,LOOKUP(Q44,$BD$6:$BD$10,$BE$6:$BE$10),IF(テーブル2[[#This Row],[年齢]]=13,LOOKUP(Q44,$BC$6:$BC$10,$BE$6:$BE$10),LOOKUP(Q44,$BB$6:$BB$10,$BE$6:$BE$10)))))))</f>
        <v/>
      </c>
      <c r="S44" s="145">
        <f>IF(H44="",0,(IF(テーブル2[[#This Row],[性別]]="男",LOOKUP(テーブル2[[#This Row],[握力]],$AI$6:$AJ$15),LOOKUP(テーブル2[[#This Row],[握力]],$AI$20:$AJ$29))))</f>
        <v>0</v>
      </c>
      <c r="T44" s="145">
        <f>IF(テーブル2[[#This Row],[上体]]="",0,(IF(テーブル2[[#This Row],[性別]]="男",LOOKUP(テーブル2[[#This Row],[上体]],$AK$6:$AL$15),LOOKUP(テーブル2[[#This Row],[上体]],$AK$20:$AL$29))))</f>
        <v>0</v>
      </c>
      <c r="U44" s="145">
        <f>IF(テーブル2[[#This Row],[長座]]="",0,(IF(テーブル2[[#This Row],[性別]]="男",LOOKUP(テーブル2[[#This Row],[長座]],$AM$6:$AN$15),LOOKUP(テーブル2[[#This Row],[長座]],$AM$20:$AN$29))))</f>
        <v>0</v>
      </c>
      <c r="V44" s="145">
        <f>IF(テーブル2[[#This Row],[反復]]="",0,(IF(テーブル2[[#This Row],[性別]]="男",LOOKUP(テーブル2[[#This Row],[反復]],$AO$6:$AP$15),LOOKUP(テーブル2[[#This Row],[反復]],$AO$20:$AP$29))))</f>
        <v>0</v>
      </c>
      <c r="W44" s="145">
        <f>IF(テーブル2[[#This Row],[持久走]]="",0,(IF(テーブル2[[#This Row],[性別]]="男",LOOKUP(テーブル2[[#This Row],[持久走]],$AQ$6:$AR$15),LOOKUP(テーブル2[[#This Row],[持久走]],$AQ$20:$AR$29))))</f>
        <v>0</v>
      </c>
      <c r="X44" s="145">
        <f>IF(テーブル2[[#This Row],[ｼｬﾄﾙﾗﾝ]]="",0,(IF(テーブル2[[#This Row],[性別]]="男",LOOKUP(テーブル2[[#This Row],[ｼｬﾄﾙﾗﾝ]],$AS$6:$AT$15),LOOKUP(テーブル2[[#This Row],[ｼｬﾄﾙﾗﾝ]],$AS$20:$AT$29))))</f>
        <v>0</v>
      </c>
      <c r="Y44" s="145">
        <f>IF(テーブル2[[#This Row],[50m走]]="",0,(IF(テーブル2[[#This Row],[性別]]="男",LOOKUP(テーブル2[[#This Row],[50m走]],$AU$6:$AV$15),LOOKUP(テーブル2[[#This Row],[50m走]],$AU$20:$AV$29))))</f>
        <v>0</v>
      </c>
      <c r="Z44" s="145">
        <f>IF(テーブル2[[#This Row],[立幅とび]]="",0,(IF(テーブル2[[#This Row],[性別]]="男",LOOKUP(テーブル2[[#This Row],[立幅とび]],$AW$6:$AX$15),LOOKUP(テーブル2[[#This Row],[立幅とび]],$AW$20:$AX$29))))</f>
        <v>0</v>
      </c>
      <c r="AA44" s="145">
        <f>IF(テーブル2[[#This Row],[ボール投げ]]="",0,(IF(テーブル2[[#This Row],[性別]]="男",LOOKUP(テーブル2[[#This Row],[ボール投げ]],$AY$6:$AZ$15),LOOKUP(テーブル2[[#This Row],[ボール投げ]],$AY$20:$AZ$29))))</f>
        <v>0</v>
      </c>
      <c r="AB44" s="146" t="str">
        <f>IF(テーブル2[[#This Row],[学年]]=1,12,IF(テーブル2[[#This Row],[学年]]=2,13,IF(テーブル2[[#This Row],[学年]]=3,14,"")))</f>
        <v/>
      </c>
      <c r="AC44" s="192" t="str">
        <f>IF(テーブル2[[#This Row],[肥満度数値]]=0,"",LOOKUP(AE44,$AW$39:$AW$44,$AX$39:$AX$44))</f>
        <v/>
      </c>
      <c r="AD4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 s="77">
        <f>IF(テーブル2[[#This Row],[体重]]="",0,(テーブル2[[#This Row],[体重]]-テーブル2[[#This Row],[標準体重]])/テーブル2[[#This Row],[標準体重]]*100)</f>
        <v>0</v>
      </c>
      <c r="AF44" s="26">
        <f>COUNTA(テーブル2[[#This Row],[握力]:[ボール投げ]])</f>
        <v>0</v>
      </c>
      <c r="AG44" s="1" t="str">
        <f>IF(テーブル2[[#This Row],[判定]]=$BE$10,"○","")</f>
        <v/>
      </c>
      <c r="AH44" s="1" t="str">
        <f>IF(AG44="","",COUNTIF($AG$6:AG44,"○"))</f>
        <v/>
      </c>
      <c r="AW44">
        <v>50</v>
      </c>
      <c r="AX44" t="s">
        <v>1176</v>
      </c>
      <c r="BB44" s="54">
        <v>6</v>
      </c>
      <c r="BC44" s="137">
        <v>-30</v>
      </c>
      <c r="BD44" s="139" t="s">
        <v>1170</v>
      </c>
      <c r="BE44" s="54"/>
      <c r="BF44" s="54"/>
    </row>
    <row r="45" spans="1:58" ht="14.25" customHeight="1" x14ac:dyDescent="0.15">
      <c r="A45" s="44">
        <v>40</v>
      </c>
      <c r="B45" s="148"/>
      <c r="C45" s="151"/>
      <c r="D45" s="148"/>
      <c r="E45" s="152"/>
      <c r="F45" s="148"/>
      <c r="G45" s="148"/>
      <c r="H45" s="150"/>
      <c r="I45" s="150"/>
      <c r="J45" s="151"/>
      <c r="K45" s="148"/>
      <c r="L45" s="196"/>
      <c r="M45" s="151"/>
      <c r="N45" s="197"/>
      <c r="O45" s="151"/>
      <c r="P45" s="153"/>
      <c r="Q4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 s="144" t="str">
        <f>IF(テーブル2[[#This Row],[得点]]=0,"",IF(テーブル2[[#This Row],[年齢]]=17,LOOKUP(Q45,$BH$6:$BH$10,$BE$6:$BE$10),IF(テーブル2[[#This Row],[年齢]]=16,LOOKUP(Q45,$BG$6:$BG$10,$BE$6:$BE$10),IF(テーブル2[[#This Row],[年齢]]=15,LOOKUP(Q45,$BF$6:$BF$10,$BE$6:$BE$10),IF(テーブル2[[#This Row],[年齢]]=14,LOOKUP(Q45,$BD$6:$BD$10,$BE$6:$BE$10),IF(テーブル2[[#This Row],[年齢]]=13,LOOKUP(Q45,$BC$6:$BC$10,$BE$6:$BE$10),LOOKUP(Q45,$BB$6:$BB$10,$BE$6:$BE$10)))))))</f>
        <v/>
      </c>
      <c r="S45" s="145">
        <f>IF(H45="",0,(IF(テーブル2[[#This Row],[性別]]="男",LOOKUP(テーブル2[[#This Row],[握力]],$AI$6:$AJ$15),LOOKUP(テーブル2[[#This Row],[握力]],$AI$20:$AJ$29))))</f>
        <v>0</v>
      </c>
      <c r="T45" s="145">
        <f>IF(テーブル2[[#This Row],[上体]]="",0,(IF(テーブル2[[#This Row],[性別]]="男",LOOKUP(テーブル2[[#This Row],[上体]],$AK$6:$AL$15),LOOKUP(テーブル2[[#This Row],[上体]],$AK$20:$AL$29))))</f>
        <v>0</v>
      </c>
      <c r="U45" s="145">
        <f>IF(テーブル2[[#This Row],[長座]]="",0,(IF(テーブル2[[#This Row],[性別]]="男",LOOKUP(テーブル2[[#This Row],[長座]],$AM$6:$AN$15),LOOKUP(テーブル2[[#This Row],[長座]],$AM$20:$AN$29))))</f>
        <v>0</v>
      </c>
      <c r="V45" s="145">
        <f>IF(テーブル2[[#This Row],[反復]]="",0,(IF(テーブル2[[#This Row],[性別]]="男",LOOKUP(テーブル2[[#This Row],[反復]],$AO$6:$AP$15),LOOKUP(テーブル2[[#This Row],[反復]],$AO$20:$AP$29))))</f>
        <v>0</v>
      </c>
      <c r="W45" s="145">
        <f>IF(テーブル2[[#This Row],[持久走]]="",0,(IF(テーブル2[[#This Row],[性別]]="男",LOOKUP(テーブル2[[#This Row],[持久走]],$AQ$6:$AR$15),LOOKUP(テーブル2[[#This Row],[持久走]],$AQ$20:$AR$29))))</f>
        <v>0</v>
      </c>
      <c r="X45" s="145">
        <f>IF(テーブル2[[#This Row],[ｼｬﾄﾙﾗﾝ]]="",0,(IF(テーブル2[[#This Row],[性別]]="男",LOOKUP(テーブル2[[#This Row],[ｼｬﾄﾙﾗﾝ]],$AS$6:$AT$15),LOOKUP(テーブル2[[#This Row],[ｼｬﾄﾙﾗﾝ]],$AS$20:$AT$29))))</f>
        <v>0</v>
      </c>
      <c r="Y45" s="145">
        <f>IF(テーブル2[[#This Row],[50m走]]="",0,(IF(テーブル2[[#This Row],[性別]]="男",LOOKUP(テーブル2[[#This Row],[50m走]],$AU$6:$AV$15),LOOKUP(テーブル2[[#This Row],[50m走]],$AU$20:$AV$29))))</f>
        <v>0</v>
      </c>
      <c r="Z45" s="145">
        <f>IF(テーブル2[[#This Row],[立幅とび]]="",0,(IF(テーブル2[[#This Row],[性別]]="男",LOOKUP(テーブル2[[#This Row],[立幅とび]],$AW$6:$AX$15),LOOKUP(テーブル2[[#This Row],[立幅とび]],$AW$20:$AX$29))))</f>
        <v>0</v>
      </c>
      <c r="AA45" s="145">
        <f>IF(テーブル2[[#This Row],[ボール投げ]]="",0,(IF(テーブル2[[#This Row],[性別]]="男",LOOKUP(テーブル2[[#This Row],[ボール投げ]],$AY$6:$AZ$15),LOOKUP(テーブル2[[#This Row],[ボール投げ]],$AY$20:$AZ$29))))</f>
        <v>0</v>
      </c>
      <c r="AB45" s="146" t="str">
        <f>IF(テーブル2[[#This Row],[学年]]=1,12,IF(テーブル2[[#This Row],[学年]]=2,13,IF(テーブル2[[#This Row],[学年]]=3,14,"")))</f>
        <v/>
      </c>
      <c r="AC45" s="192" t="str">
        <f>IF(テーブル2[[#This Row],[肥満度数値]]=0,"",LOOKUP(AE45,$AW$39:$AW$44,$AX$39:$AX$44))</f>
        <v/>
      </c>
      <c r="AD4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 s="77">
        <f>IF(テーブル2[[#This Row],[体重]]="",0,(テーブル2[[#This Row],[体重]]-テーブル2[[#This Row],[標準体重]])/テーブル2[[#This Row],[標準体重]]*100)</f>
        <v>0</v>
      </c>
      <c r="AF45" s="26">
        <f>COUNTA(テーブル2[[#This Row],[握力]:[ボール投げ]])</f>
        <v>0</v>
      </c>
      <c r="AG45" s="1" t="str">
        <f>IF(テーブル2[[#This Row],[判定]]=$BE$10,"○","")</f>
        <v/>
      </c>
      <c r="AH45" s="1" t="str">
        <f>IF(AG45="","",COUNTIF($AG$6:AG45,"○"))</f>
        <v/>
      </c>
    </row>
    <row r="46" spans="1:58" ht="14.25" customHeight="1" x14ac:dyDescent="0.15">
      <c r="A46" s="44">
        <v>41</v>
      </c>
      <c r="B46" s="148"/>
      <c r="C46" s="151"/>
      <c r="D46" s="148"/>
      <c r="E46" s="152"/>
      <c r="F46" s="148"/>
      <c r="G46" s="148"/>
      <c r="H46" s="150"/>
      <c r="I46" s="150"/>
      <c r="J46" s="151"/>
      <c r="K46" s="148"/>
      <c r="L46" s="196"/>
      <c r="M46" s="151"/>
      <c r="N46" s="197"/>
      <c r="O46" s="151"/>
      <c r="P46" s="153"/>
      <c r="Q4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 s="144" t="str">
        <f>IF(テーブル2[[#This Row],[得点]]=0,"",IF(テーブル2[[#This Row],[年齢]]=17,LOOKUP(Q46,$BH$6:$BH$10,$BE$6:$BE$10),IF(テーブル2[[#This Row],[年齢]]=16,LOOKUP(Q46,$BG$6:$BG$10,$BE$6:$BE$10),IF(テーブル2[[#This Row],[年齢]]=15,LOOKUP(Q46,$BF$6:$BF$10,$BE$6:$BE$10),IF(テーブル2[[#This Row],[年齢]]=14,LOOKUP(Q46,$BD$6:$BD$10,$BE$6:$BE$10),IF(テーブル2[[#This Row],[年齢]]=13,LOOKUP(Q46,$BC$6:$BC$10,$BE$6:$BE$10),LOOKUP(Q46,$BB$6:$BB$10,$BE$6:$BE$10)))))))</f>
        <v/>
      </c>
      <c r="S46" s="145">
        <f>IF(H46="",0,(IF(テーブル2[[#This Row],[性別]]="男",LOOKUP(テーブル2[[#This Row],[握力]],$AI$6:$AJ$15),LOOKUP(テーブル2[[#This Row],[握力]],$AI$20:$AJ$29))))</f>
        <v>0</v>
      </c>
      <c r="T46" s="145">
        <f>IF(テーブル2[[#This Row],[上体]]="",0,(IF(テーブル2[[#This Row],[性別]]="男",LOOKUP(テーブル2[[#This Row],[上体]],$AK$6:$AL$15),LOOKUP(テーブル2[[#This Row],[上体]],$AK$20:$AL$29))))</f>
        <v>0</v>
      </c>
      <c r="U46" s="145">
        <f>IF(テーブル2[[#This Row],[長座]]="",0,(IF(テーブル2[[#This Row],[性別]]="男",LOOKUP(テーブル2[[#This Row],[長座]],$AM$6:$AN$15),LOOKUP(テーブル2[[#This Row],[長座]],$AM$20:$AN$29))))</f>
        <v>0</v>
      </c>
      <c r="V46" s="145">
        <f>IF(テーブル2[[#This Row],[反復]]="",0,(IF(テーブル2[[#This Row],[性別]]="男",LOOKUP(テーブル2[[#This Row],[反復]],$AO$6:$AP$15),LOOKUP(テーブル2[[#This Row],[反復]],$AO$20:$AP$29))))</f>
        <v>0</v>
      </c>
      <c r="W46" s="145">
        <f>IF(テーブル2[[#This Row],[持久走]]="",0,(IF(テーブル2[[#This Row],[性別]]="男",LOOKUP(テーブル2[[#This Row],[持久走]],$AQ$6:$AR$15),LOOKUP(テーブル2[[#This Row],[持久走]],$AQ$20:$AR$29))))</f>
        <v>0</v>
      </c>
      <c r="X46" s="145">
        <f>IF(テーブル2[[#This Row],[ｼｬﾄﾙﾗﾝ]]="",0,(IF(テーブル2[[#This Row],[性別]]="男",LOOKUP(テーブル2[[#This Row],[ｼｬﾄﾙﾗﾝ]],$AS$6:$AT$15),LOOKUP(テーブル2[[#This Row],[ｼｬﾄﾙﾗﾝ]],$AS$20:$AT$29))))</f>
        <v>0</v>
      </c>
      <c r="Y46" s="145">
        <f>IF(テーブル2[[#This Row],[50m走]]="",0,(IF(テーブル2[[#This Row],[性別]]="男",LOOKUP(テーブル2[[#This Row],[50m走]],$AU$6:$AV$15),LOOKUP(テーブル2[[#This Row],[50m走]],$AU$20:$AV$29))))</f>
        <v>0</v>
      </c>
      <c r="Z46" s="145">
        <f>IF(テーブル2[[#This Row],[立幅とび]]="",0,(IF(テーブル2[[#This Row],[性別]]="男",LOOKUP(テーブル2[[#This Row],[立幅とび]],$AW$6:$AX$15),LOOKUP(テーブル2[[#This Row],[立幅とび]],$AW$20:$AX$29))))</f>
        <v>0</v>
      </c>
      <c r="AA46" s="145">
        <f>IF(テーブル2[[#This Row],[ボール投げ]]="",0,(IF(テーブル2[[#This Row],[性別]]="男",LOOKUP(テーブル2[[#This Row],[ボール投げ]],$AY$6:$AZ$15),LOOKUP(テーブル2[[#This Row],[ボール投げ]],$AY$20:$AZ$29))))</f>
        <v>0</v>
      </c>
      <c r="AB46" s="146" t="str">
        <f>IF(テーブル2[[#This Row],[学年]]=1,12,IF(テーブル2[[#This Row],[学年]]=2,13,IF(テーブル2[[#This Row],[学年]]=3,14,"")))</f>
        <v/>
      </c>
      <c r="AC46" s="192" t="str">
        <f>IF(テーブル2[[#This Row],[肥満度数値]]=0,"",LOOKUP(AE46,$AW$39:$AW$44,$AX$39:$AX$44))</f>
        <v/>
      </c>
      <c r="AD4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 s="77">
        <f>IF(テーブル2[[#This Row],[体重]]="",0,(テーブル2[[#This Row],[体重]]-テーブル2[[#This Row],[標準体重]])/テーブル2[[#This Row],[標準体重]]*100)</f>
        <v>0</v>
      </c>
      <c r="AF46" s="26">
        <f>COUNTA(テーブル2[[#This Row],[握力]:[ボール投げ]])</f>
        <v>0</v>
      </c>
      <c r="AG46" s="1" t="str">
        <f>IF(テーブル2[[#This Row],[判定]]=$BE$10,"○","")</f>
        <v/>
      </c>
      <c r="AH46" s="1" t="str">
        <f>IF(AG46="","",COUNTIF($AG$6:AG46,"○"))</f>
        <v/>
      </c>
    </row>
    <row r="47" spans="1:58" ht="14.25" customHeight="1" x14ac:dyDescent="0.15">
      <c r="A47" s="44">
        <v>42</v>
      </c>
      <c r="B47" s="148"/>
      <c r="C47" s="151"/>
      <c r="D47" s="148"/>
      <c r="E47" s="152"/>
      <c r="F47" s="148"/>
      <c r="G47" s="148"/>
      <c r="H47" s="150"/>
      <c r="I47" s="150"/>
      <c r="J47" s="151"/>
      <c r="K47" s="148"/>
      <c r="L47" s="196"/>
      <c r="M47" s="151"/>
      <c r="N47" s="197"/>
      <c r="O47" s="151"/>
      <c r="P47" s="153"/>
      <c r="Q4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 s="144" t="str">
        <f>IF(テーブル2[[#This Row],[得点]]=0,"",IF(テーブル2[[#This Row],[年齢]]=17,LOOKUP(Q47,$BH$6:$BH$10,$BE$6:$BE$10),IF(テーブル2[[#This Row],[年齢]]=16,LOOKUP(Q47,$BG$6:$BG$10,$BE$6:$BE$10),IF(テーブル2[[#This Row],[年齢]]=15,LOOKUP(Q47,$BF$6:$BF$10,$BE$6:$BE$10),IF(テーブル2[[#This Row],[年齢]]=14,LOOKUP(Q47,$BD$6:$BD$10,$BE$6:$BE$10),IF(テーブル2[[#This Row],[年齢]]=13,LOOKUP(Q47,$BC$6:$BC$10,$BE$6:$BE$10),LOOKUP(Q47,$BB$6:$BB$10,$BE$6:$BE$10)))))))</f>
        <v/>
      </c>
      <c r="S47" s="145">
        <f>IF(H47="",0,(IF(テーブル2[[#This Row],[性別]]="男",LOOKUP(テーブル2[[#This Row],[握力]],$AI$6:$AJ$15),LOOKUP(テーブル2[[#This Row],[握力]],$AI$20:$AJ$29))))</f>
        <v>0</v>
      </c>
      <c r="T47" s="145">
        <f>IF(テーブル2[[#This Row],[上体]]="",0,(IF(テーブル2[[#This Row],[性別]]="男",LOOKUP(テーブル2[[#This Row],[上体]],$AK$6:$AL$15),LOOKUP(テーブル2[[#This Row],[上体]],$AK$20:$AL$29))))</f>
        <v>0</v>
      </c>
      <c r="U47" s="145">
        <f>IF(テーブル2[[#This Row],[長座]]="",0,(IF(テーブル2[[#This Row],[性別]]="男",LOOKUP(テーブル2[[#This Row],[長座]],$AM$6:$AN$15),LOOKUP(テーブル2[[#This Row],[長座]],$AM$20:$AN$29))))</f>
        <v>0</v>
      </c>
      <c r="V47" s="145">
        <f>IF(テーブル2[[#This Row],[反復]]="",0,(IF(テーブル2[[#This Row],[性別]]="男",LOOKUP(テーブル2[[#This Row],[反復]],$AO$6:$AP$15),LOOKUP(テーブル2[[#This Row],[反復]],$AO$20:$AP$29))))</f>
        <v>0</v>
      </c>
      <c r="W47" s="145">
        <f>IF(テーブル2[[#This Row],[持久走]]="",0,(IF(テーブル2[[#This Row],[性別]]="男",LOOKUP(テーブル2[[#This Row],[持久走]],$AQ$6:$AR$15),LOOKUP(テーブル2[[#This Row],[持久走]],$AQ$20:$AR$29))))</f>
        <v>0</v>
      </c>
      <c r="X47" s="145">
        <f>IF(テーブル2[[#This Row],[ｼｬﾄﾙﾗﾝ]]="",0,(IF(テーブル2[[#This Row],[性別]]="男",LOOKUP(テーブル2[[#This Row],[ｼｬﾄﾙﾗﾝ]],$AS$6:$AT$15),LOOKUP(テーブル2[[#This Row],[ｼｬﾄﾙﾗﾝ]],$AS$20:$AT$29))))</f>
        <v>0</v>
      </c>
      <c r="Y47" s="145">
        <f>IF(テーブル2[[#This Row],[50m走]]="",0,(IF(テーブル2[[#This Row],[性別]]="男",LOOKUP(テーブル2[[#This Row],[50m走]],$AU$6:$AV$15),LOOKUP(テーブル2[[#This Row],[50m走]],$AU$20:$AV$29))))</f>
        <v>0</v>
      </c>
      <c r="Z47" s="145">
        <f>IF(テーブル2[[#This Row],[立幅とび]]="",0,(IF(テーブル2[[#This Row],[性別]]="男",LOOKUP(テーブル2[[#This Row],[立幅とび]],$AW$6:$AX$15),LOOKUP(テーブル2[[#This Row],[立幅とび]],$AW$20:$AX$29))))</f>
        <v>0</v>
      </c>
      <c r="AA47" s="145">
        <f>IF(テーブル2[[#This Row],[ボール投げ]]="",0,(IF(テーブル2[[#This Row],[性別]]="男",LOOKUP(テーブル2[[#This Row],[ボール投げ]],$AY$6:$AZ$15),LOOKUP(テーブル2[[#This Row],[ボール投げ]],$AY$20:$AZ$29))))</f>
        <v>0</v>
      </c>
      <c r="AB47" s="146" t="str">
        <f>IF(テーブル2[[#This Row],[学年]]=1,12,IF(テーブル2[[#This Row],[学年]]=2,13,IF(テーブル2[[#This Row],[学年]]=3,14,"")))</f>
        <v/>
      </c>
      <c r="AC47" s="192" t="str">
        <f>IF(テーブル2[[#This Row],[肥満度数値]]=0,"",LOOKUP(AE47,$AW$39:$AW$44,$AX$39:$AX$44))</f>
        <v/>
      </c>
      <c r="AD4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 s="77">
        <f>IF(テーブル2[[#This Row],[体重]]="",0,(テーブル2[[#This Row],[体重]]-テーブル2[[#This Row],[標準体重]])/テーブル2[[#This Row],[標準体重]]*100)</f>
        <v>0</v>
      </c>
      <c r="AF47" s="26">
        <f>COUNTA(テーブル2[[#This Row],[握力]:[ボール投げ]])</f>
        <v>0</v>
      </c>
      <c r="AG47" s="1" t="str">
        <f>IF(テーブル2[[#This Row],[判定]]=$BE$10,"○","")</f>
        <v/>
      </c>
      <c r="AH47" s="1" t="str">
        <f>IF(AG47="","",COUNTIF($AG$6:AG47,"○"))</f>
        <v/>
      </c>
    </row>
    <row r="48" spans="1:58" ht="14.25" customHeight="1" x14ac:dyDescent="0.15">
      <c r="A48" s="44">
        <v>43</v>
      </c>
      <c r="B48" s="148"/>
      <c r="C48" s="151"/>
      <c r="D48" s="148"/>
      <c r="E48" s="152"/>
      <c r="F48" s="148"/>
      <c r="G48" s="148"/>
      <c r="H48" s="150"/>
      <c r="I48" s="150"/>
      <c r="J48" s="151"/>
      <c r="K48" s="148"/>
      <c r="L48" s="196"/>
      <c r="M48" s="151"/>
      <c r="N48" s="197"/>
      <c r="O48" s="151"/>
      <c r="P48" s="153"/>
      <c r="Q4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 s="144" t="str">
        <f>IF(テーブル2[[#This Row],[得点]]=0,"",IF(テーブル2[[#This Row],[年齢]]=17,LOOKUP(Q48,$BH$6:$BH$10,$BE$6:$BE$10),IF(テーブル2[[#This Row],[年齢]]=16,LOOKUP(Q48,$BG$6:$BG$10,$BE$6:$BE$10),IF(テーブル2[[#This Row],[年齢]]=15,LOOKUP(Q48,$BF$6:$BF$10,$BE$6:$BE$10),IF(テーブル2[[#This Row],[年齢]]=14,LOOKUP(Q48,$BD$6:$BD$10,$BE$6:$BE$10),IF(テーブル2[[#This Row],[年齢]]=13,LOOKUP(Q48,$BC$6:$BC$10,$BE$6:$BE$10),LOOKUP(Q48,$BB$6:$BB$10,$BE$6:$BE$10)))))))</f>
        <v/>
      </c>
      <c r="S48" s="145">
        <f>IF(H48="",0,(IF(テーブル2[[#This Row],[性別]]="男",LOOKUP(テーブル2[[#This Row],[握力]],$AI$6:$AJ$15),LOOKUP(テーブル2[[#This Row],[握力]],$AI$20:$AJ$29))))</f>
        <v>0</v>
      </c>
      <c r="T48" s="145">
        <f>IF(テーブル2[[#This Row],[上体]]="",0,(IF(テーブル2[[#This Row],[性別]]="男",LOOKUP(テーブル2[[#This Row],[上体]],$AK$6:$AL$15),LOOKUP(テーブル2[[#This Row],[上体]],$AK$20:$AL$29))))</f>
        <v>0</v>
      </c>
      <c r="U48" s="145">
        <f>IF(テーブル2[[#This Row],[長座]]="",0,(IF(テーブル2[[#This Row],[性別]]="男",LOOKUP(テーブル2[[#This Row],[長座]],$AM$6:$AN$15),LOOKUP(テーブル2[[#This Row],[長座]],$AM$20:$AN$29))))</f>
        <v>0</v>
      </c>
      <c r="V48" s="145">
        <f>IF(テーブル2[[#This Row],[反復]]="",0,(IF(テーブル2[[#This Row],[性別]]="男",LOOKUP(テーブル2[[#This Row],[反復]],$AO$6:$AP$15),LOOKUP(テーブル2[[#This Row],[反復]],$AO$20:$AP$29))))</f>
        <v>0</v>
      </c>
      <c r="W48" s="145">
        <f>IF(テーブル2[[#This Row],[持久走]]="",0,(IF(テーブル2[[#This Row],[性別]]="男",LOOKUP(テーブル2[[#This Row],[持久走]],$AQ$6:$AR$15),LOOKUP(テーブル2[[#This Row],[持久走]],$AQ$20:$AR$29))))</f>
        <v>0</v>
      </c>
      <c r="X48" s="145">
        <f>IF(テーブル2[[#This Row],[ｼｬﾄﾙﾗﾝ]]="",0,(IF(テーブル2[[#This Row],[性別]]="男",LOOKUP(テーブル2[[#This Row],[ｼｬﾄﾙﾗﾝ]],$AS$6:$AT$15),LOOKUP(テーブル2[[#This Row],[ｼｬﾄﾙﾗﾝ]],$AS$20:$AT$29))))</f>
        <v>0</v>
      </c>
      <c r="Y48" s="145">
        <f>IF(テーブル2[[#This Row],[50m走]]="",0,(IF(テーブル2[[#This Row],[性別]]="男",LOOKUP(テーブル2[[#This Row],[50m走]],$AU$6:$AV$15),LOOKUP(テーブル2[[#This Row],[50m走]],$AU$20:$AV$29))))</f>
        <v>0</v>
      </c>
      <c r="Z48" s="145">
        <f>IF(テーブル2[[#This Row],[立幅とび]]="",0,(IF(テーブル2[[#This Row],[性別]]="男",LOOKUP(テーブル2[[#This Row],[立幅とび]],$AW$6:$AX$15),LOOKUP(テーブル2[[#This Row],[立幅とび]],$AW$20:$AX$29))))</f>
        <v>0</v>
      </c>
      <c r="AA48" s="145">
        <f>IF(テーブル2[[#This Row],[ボール投げ]]="",0,(IF(テーブル2[[#This Row],[性別]]="男",LOOKUP(テーブル2[[#This Row],[ボール投げ]],$AY$6:$AZ$15),LOOKUP(テーブル2[[#This Row],[ボール投げ]],$AY$20:$AZ$29))))</f>
        <v>0</v>
      </c>
      <c r="AB48" s="146" t="str">
        <f>IF(テーブル2[[#This Row],[学年]]=1,12,IF(テーブル2[[#This Row],[学年]]=2,13,IF(テーブル2[[#This Row],[学年]]=3,14,"")))</f>
        <v/>
      </c>
      <c r="AC48" s="192" t="str">
        <f>IF(テーブル2[[#This Row],[肥満度数値]]=0,"",LOOKUP(AE48,$AW$39:$AW$44,$AX$39:$AX$44))</f>
        <v/>
      </c>
      <c r="AD4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 s="77">
        <f>IF(テーブル2[[#This Row],[体重]]="",0,(テーブル2[[#This Row],[体重]]-テーブル2[[#This Row],[標準体重]])/テーブル2[[#This Row],[標準体重]]*100)</f>
        <v>0</v>
      </c>
      <c r="AF48" s="26">
        <f>COUNTA(テーブル2[[#This Row],[握力]:[ボール投げ]])</f>
        <v>0</v>
      </c>
      <c r="AG48" s="1" t="str">
        <f>IF(テーブル2[[#This Row],[判定]]=$BE$10,"○","")</f>
        <v/>
      </c>
      <c r="AH48" s="1" t="str">
        <f>IF(AG48="","",COUNTIF($AG$6:AG48,"○"))</f>
        <v/>
      </c>
    </row>
    <row r="49" spans="1:34" ht="14.25" customHeight="1" x14ac:dyDescent="0.15">
      <c r="A49" s="44">
        <v>44</v>
      </c>
      <c r="B49" s="148"/>
      <c r="C49" s="151"/>
      <c r="D49" s="148"/>
      <c r="E49" s="152"/>
      <c r="F49" s="148"/>
      <c r="G49" s="148"/>
      <c r="H49" s="150"/>
      <c r="I49" s="150"/>
      <c r="J49" s="151"/>
      <c r="K49" s="148"/>
      <c r="L49" s="196"/>
      <c r="M49" s="151"/>
      <c r="N49" s="197"/>
      <c r="O49" s="151"/>
      <c r="P49" s="153"/>
      <c r="Q4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 s="144" t="str">
        <f>IF(テーブル2[[#This Row],[得点]]=0,"",IF(テーブル2[[#This Row],[年齢]]=17,LOOKUP(Q49,$BH$6:$BH$10,$BE$6:$BE$10),IF(テーブル2[[#This Row],[年齢]]=16,LOOKUP(Q49,$BG$6:$BG$10,$BE$6:$BE$10),IF(テーブル2[[#This Row],[年齢]]=15,LOOKUP(Q49,$BF$6:$BF$10,$BE$6:$BE$10),IF(テーブル2[[#This Row],[年齢]]=14,LOOKUP(Q49,$BD$6:$BD$10,$BE$6:$BE$10),IF(テーブル2[[#This Row],[年齢]]=13,LOOKUP(Q49,$BC$6:$BC$10,$BE$6:$BE$10),LOOKUP(Q49,$BB$6:$BB$10,$BE$6:$BE$10)))))))</f>
        <v/>
      </c>
      <c r="S49" s="145">
        <f>IF(H49="",0,(IF(テーブル2[[#This Row],[性別]]="男",LOOKUP(テーブル2[[#This Row],[握力]],$AI$6:$AJ$15),LOOKUP(テーブル2[[#This Row],[握力]],$AI$20:$AJ$29))))</f>
        <v>0</v>
      </c>
      <c r="T49" s="145">
        <f>IF(テーブル2[[#This Row],[上体]]="",0,(IF(テーブル2[[#This Row],[性別]]="男",LOOKUP(テーブル2[[#This Row],[上体]],$AK$6:$AL$15),LOOKUP(テーブル2[[#This Row],[上体]],$AK$20:$AL$29))))</f>
        <v>0</v>
      </c>
      <c r="U49" s="145">
        <f>IF(テーブル2[[#This Row],[長座]]="",0,(IF(テーブル2[[#This Row],[性別]]="男",LOOKUP(テーブル2[[#This Row],[長座]],$AM$6:$AN$15),LOOKUP(テーブル2[[#This Row],[長座]],$AM$20:$AN$29))))</f>
        <v>0</v>
      </c>
      <c r="V49" s="145">
        <f>IF(テーブル2[[#This Row],[反復]]="",0,(IF(テーブル2[[#This Row],[性別]]="男",LOOKUP(テーブル2[[#This Row],[反復]],$AO$6:$AP$15),LOOKUP(テーブル2[[#This Row],[反復]],$AO$20:$AP$29))))</f>
        <v>0</v>
      </c>
      <c r="W49" s="145">
        <f>IF(テーブル2[[#This Row],[持久走]]="",0,(IF(テーブル2[[#This Row],[性別]]="男",LOOKUP(テーブル2[[#This Row],[持久走]],$AQ$6:$AR$15),LOOKUP(テーブル2[[#This Row],[持久走]],$AQ$20:$AR$29))))</f>
        <v>0</v>
      </c>
      <c r="X49" s="145">
        <f>IF(テーブル2[[#This Row],[ｼｬﾄﾙﾗﾝ]]="",0,(IF(テーブル2[[#This Row],[性別]]="男",LOOKUP(テーブル2[[#This Row],[ｼｬﾄﾙﾗﾝ]],$AS$6:$AT$15),LOOKUP(テーブル2[[#This Row],[ｼｬﾄﾙﾗﾝ]],$AS$20:$AT$29))))</f>
        <v>0</v>
      </c>
      <c r="Y49" s="145">
        <f>IF(テーブル2[[#This Row],[50m走]]="",0,(IF(テーブル2[[#This Row],[性別]]="男",LOOKUP(テーブル2[[#This Row],[50m走]],$AU$6:$AV$15),LOOKUP(テーブル2[[#This Row],[50m走]],$AU$20:$AV$29))))</f>
        <v>0</v>
      </c>
      <c r="Z49" s="145">
        <f>IF(テーブル2[[#This Row],[立幅とび]]="",0,(IF(テーブル2[[#This Row],[性別]]="男",LOOKUP(テーブル2[[#This Row],[立幅とび]],$AW$6:$AX$15),LOOKUP(テーブル2[[#This Row],[立幅とび]],$AW$20:$AX$29))))</f>
        <v>0</v>
      </c>
      <c r="AA49" s="145">
        <f>IF(テーブル2[[#This Row],[ボール投げ]]="",0,(IF(テーブル2[[#This Row],[性別]]="男",LOOKUP(テーブル2[[#This Row],[ボール投げ]],$AY$6:$AZ$15),LOOKUP(テーブル2[[#This Row],[ボール投げ]],$AY$20:$AZ$29))))</f>
        <v>0</v>
      </c>
      <c r="AB49" s="146" t="str">
        <f>IF(テーブル2[[#This Row],[学年]]=1,12,IF(テーブル2[[#This Row],[学年]]=2,13,IF(テーブル2[[#This Row],[学年]]=3,14,"")))</f>
        <v/>
      </c>
      <c r="AC49" s="192" t="str">
        <f>IF(テーブル2[[#This Row],[肥満度数値]]=0,"",LOOKUP(AE49,$AW$39:$AW$44,$AX$39:$AX$44))</f>
        <v/>
      </c>
      <c r="AD4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 s="77">
        <f>IF(テーブル2[[#This Row],[体重]]="",0,(テーブル2[[#This Row],[体重]]-テーブル2[[#This Row],[標準体重]])/テーブル2[[#This Row],[標準体重]]*100)</f>
        <v>0</v>
      </c>
      <c r="AF49" s="26">
        <f>COUNTA(テーブル2[[#This Row],[握力]:[ボール投げ]])</f>
        <v>0</v>
      </c>
      <c r="AG49" s="1" t="str">
        <f>IF(テーブル2[[#This Row],[判定]]=$BE$10,"○","")</f>
        <v/>
      </c>
      <c r="AH49" s="1" t="str">
        <f>IF(AG49="","",COUNTIF($AG$6:AG49,"○"))</f>
        <v/>
      </c>
    </row>
    <row r="50" spans="1:34" ht="14.25" customHeight="1" x14ac:dyDescent="0.15">
      <c r="A50" s="44">
        <v>45</v>
      </c>
      <c r="B50" s="148"/>
      <c r="C50" s="151"/>
      <c r="D50" s="148"/>
      <c r="E50" s="152"/>
      <c r="F50" s="148"/>
      <c r="G50" s="148"/>
      <c r="H50" s="150"/>
      <c r="I50" s="150"/>
      <c r="J50" s="151"/>
      <c r="K50" s="148"/>
      <c r="L50" s="196"/>
      <c r="M50" s="151"/>
      <c r="N50" s="197"/>
      <c r="O50" s="151"/>
      <c r="P50" s="153"/>
      <c r="Q5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 s="144" t="str">
        <f>IF(テーブル2[[#This Row],[得点]]=0,"",IF(テーブル2[[#This Row],[年齢]]=17,LOOKUP(Q50,$BH$6:$BH$10,$BE$6:$BE$10),IF(テーブル2[[#This Row],[年齢]]=16,LOOKUP(Q50,$BG$6:$BG$10,$BE$6:$BE$10),IF(テーブル2[[#This Row],[年齢]]=15,LOOKUP(Q50,$BF$6:$BF$10,$BE$6:$BE$10),IF(テーブル2[[#This Row],[年齢]]=14,LOOKUP(Q50,$BD$6:$BD$10,$BE$6:$BE$10),IF(テーブル2[[#This Row],[年齢]]=13,LOOKUP(Q50,$BC$6:$BC$10,$BE$6:$BE$10),LOOKUP(Q50,$BB$6:$BB$10,$BE$6:$BE$10)))))))</f>
        <v/>
      </c>
      <c r="S50" s="145">
        <f>IF(H50="",0,(IF(テーブル2[[#This Row],[性別]]="男",LOOKUP(テーブル2[[#This Row],[握力]],$AI$6:$AJ$15),LOOKUP(テーブル2[[#This Row],[握力]],$AI$20:$AJ$29))))</f>
        <v>0</v>
      </c>
      <c r="T50" s="145">
        <f>IF(テーブル2[[#This Row],[上体]]="",0,(IF(テーブル2[[#This Row],[性別]]="男",LOOKUP(テーブル2[[#This Row],[上体]],$AK$6:$AL$15),LOOKUP(テーブル2[[#This Row],[上体]],$AK$20:$AL$29))))</f>
        <v>0</v>
      </c>
      <c r="U50" s="145">
        <f>IF(テーブル2[[#This Row],[長座]]="",0,(IF(テーブル2[[#This Row],[性別]]="男",LOOKUP(テーブル2[[#This Row],[長座]],$AM$6:$AN$15),LOOKUP(テーブル2[[#This Row],[長座]],$AM$20:$AN$29))))</f>
        <v>0</v>
      </c>
      <c r="V50" s="145">
        <f>IF(テーブル2[[#This Row],[反復]]="",0,(IF(テーブル2[[#This Row],[性別]]="男",LOOKUP(テーブル2[[#This Row],[反復]],$AO$6:$AP$15),LOOKUP(テーブル2[[#This Row],[反復]],$AO$20:$AP$29))))</f>
        <v>0</v>
      </c>
      <c r="W50" s="145">
        <f>IF(テーブル2[[#This Row],[持久走]]="",0,(IF(テーブル2[[#This Row],[性別]]="男",LOOKUP(テーブル2[[#This Row],[持久走]],$AQ$6:$AR$15),LOOKUP(テーブル2[[#This Row],[持久走]],$AQ$20:$AR$29))))</f>
        <v>0</v>
      </c>
      <c r="X50" s="145">
        <f>IF(テーブル2[[#This Row],[ｼｬﾄﾙﾗﾝ]]="",0,(IF(テーブル2[[#This Row],[性別]]="男",LOOKUP(テーブル2[[#This Row],[ｼｬﾄﾙﾗﾝ]],$AS$6:$AT$15),LOOKUP(テーブル2[[#This Row],[ｼｬﾄﾙﾗﾝ]],$AS$20:$AT$29))))</f>
        <v>0</v>
      </c>
      <c r="Y50" s="145">
        <f>IF(テーブル2[[#This Row],[50m走]]="",0,(IF(テーブル2[[#This Row],[性別]]="男",LOOKUP(テーブル2[[#This Row],[50m走]],$AU$6:$AV$15),LOOKUP(テーブル2[[#This Row],[50m走]],$AU$20:$AV$29))))</f>
        <v>0</v>
      </c>
      <c r="Z50" s="145">
        <f>IF(テーブル2[[#This Row],[立幅とび]]="",0,(IF(テーブル2[[#This Row],[性別]]="男",LOOKUP(テーブル2[[#This Row],[立幅とび]],$AW$6:$AX$15),LOOKUP(テーブル2[[#This Row],[立幅とび]],$AW$20:$AX$29))))</f>
        <v>0</v>
      </c>
      <c r="AA50" s="145">
        <f>IF(テーブル2[[#This Row],[ボール投げ]]="",0,(IF(テーブル2[[#This Row],[性別]]="男",LOOKUP(テーブル2[[#This Row],[ボール投げ]],$AY$6:$AZ$15),LOOKUP(テーブル2[[#This Row],[ボール投げ]],$AY$20:$AZ$29))))</f>
        <v>0</v>
      </c>
      <c r="AB50" s="146" t="str">
        <f>IF(テーブル2[[#This Row],[学年]]=1,12,IF(テーブル2[[#This Row],[学年]]=2,13,IF(テーブル2[[#This Row],[学年]]=3,14,"")))</f>
        <v/>
      </c>
      <c r="AC50" s="192" t="str">
        <f>IF(テーブル2[[#This Row],[肥満度数値]]=0,"",LOOKUP(AE50,$AW$39:$AW$44,$AX$39:$AX$44))</f>
        <v/>
      </c>
      <c r="AD5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 s="77">
        <f>IF(テーブル2[[#This Row],[体重]]="",0,(テーブル2[[#This Row],[体重]]-テーブル2[[#This Row],[標準体重]])/テーブル2[[#This Row],[標準体重]]*100)</f>
        <v>0</v>
      </c>
      <c r="AF50" s="26">
        <f>COUNTA(テーブル2[[#This Row],[握力]:[ボール投げ]])</f>
        <v>0</v>
      </c>
      <c r="AG50" s="1" t="str">
        <f>IF(テーブル2[[#This Row],[判定]]=$BE$10,"○","")</f>
        <v/>
      </c>
      <c r="AH50" s="1" t="str">
        <f>IF(AG50="","",COUNTIF($AG$6:AG50,"○"))</f>
        <v/>
      </c>
    </row>
    <row r="51" spans="1:34" ht="14.25" customHeight="1" x14ac:dyDescent="0.15">
      <c r="A51" s="44">
        <v>46</v>
      </c>
      <c r="B51" s="148"/>
      <c r="C51" s="151"/>
      <c r="D51" s="148"/>
      <c r="E51" s="152"/>
      <c r="F51" s="148"/>
      <c r="G51" s="148"/>
      <c r="H51" s="150"/>
      <c r="I51" s="150"/>
      <c r="J51" s="151"/>
      <c r="K51" s="148"/>
      <c r="L51" s="196"/>
      <c r="M51" s="151"/>
      <c r="N51" s="197"/>
      <c r="O51" s="151"/>
      <c r="P51" s="153"/>
      <c r="Q5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 s="144" t="str">
        <f>IF(テーブル2[[#This Row],[得点]]=0,"",IF(テーブル2[[#This Row],[年齢]]=17,LOOKUP(Q51,$BH$6:$BH$10,$BE$6:$BE$10),IF(テーブル2[[#This Row],[年齢]]=16,LOOKUP(Q51,$BG$6:$BG$10,$BE$6:$BE$10),IF(テーブル2[[#This Row],[年齢]]=15,LOOKUP(Q51,$BF$6:$BF$10,$BE$6:$BE$10),IF(テーブル2[[#This Row],[年齢]]=14,LOOKUP(Q51,$BD$6:$BD$10,$BE$6:$BE$10),IF(テーブル2[[#This Row],[年齢]]=13,LOOKUP(Q51,$BC$6:$BC$10,$BE$6:$BE$10),LOOKUP(Q51,$BB$6:$BB$10,$BE$6:$BE$10)))))))</f>
        <v/>
      </c>
      <c r="S51" s="145">
        <f>IF(H51="",0,(IF(テーブル2[[#This Row],[性別]]="男",LOOKUP(テーブル2[[#This Row],[握力]],$AI$6:$AJ$15),LOOKUP(テーブル2[[#This Row],[握力]],$AI$20:$AJ$29))))</f>
        <v>0</v>
      </c>
      <c r="T51" s="145">
        <f>IF(テーブル2[[#This Row],[上体]]="",0,(IF(テーブル2[[#This Row],[性別]]="男",LOOKUP(テーブル2[[#This Row],[上体]],$AK$6:$AL$15),LOOKUP(テーブル2[[#This Row],[上体]],$AK$20:$AL$29))))</f>
        <v>0</v>
      </c>
      <c r="U51" s="145">
        <f>IF(テーブル2[[#This Row],[長座]]="",0,(IF(テーブル2[[#This Row],[性別]]="男",LOOKUP(テーブル2[[#This Row],[長座]],$AM$6:$AN$15),LOOKUP(テーブル2[[#This Row],[長座]],$AM$20:$AN$29))))</f>
        <v>0</v>
      </c>
      <c r="V51" s="145">
        <f>IF(テーブル2[[#This Row],[反復]]="",0,(IF(テーブル2[[#This Row],[性別]]="男",LOOKUP(テーブル2[[#This Row],[反復]],$AO$6:$AP$15),LOOKUP(テーブル2[[#This Row],[反復]],$AO$20:$AP$29))))</f>
        <v>0</v>
      </c>
      <c r="W51" s="145">
        <f>IF(テーブル2[[#This Row],[持久走]]="",0,(IF(テーブル2[[#This Row],[性別]]="男",LOOKUP(テーブル2[[#This Row],[持久走]],$AQ$6:$AR$15),LOOKUP(テーブル2[[#This Row],[持久走]],$AQ$20:$AR$29))))</f>
        <v>0</v>
      </c>
      <c r="X51" s="145">
        <f>IF(テーブル2[[#This Row],[ｼｬﾄﾙﾗﾝ]]="",0,(IF(テーブル2[[#This Row],[性別]]="男",LOOKUP(テーブル2[[#This Row],[ｼｬﾄﾙﾗﾝ]],$AS$6:$AT$15),LOOKUP(テーブル2[[#This Row],[ｼｬﾄﾙﾗﾝ]],$AS$20:$AT$29))))</f>
        <v>0</v>
      </c>
      <c r="Y51" s="145">
        <f>IF(テーブル2[[#This Row],[50m走]]="",0,(IF(テーブル2[[#This Row],[性別]]="男",LOOKUP(テーブル2[[#This Row],[50m走]],$AU$6:$AV$15),LOOKUP(テーブル2[[#This Row],[50m走]],$AU$20:$AV$29))))</f>
        <v>0</v>
      </c>
      <c r="Z51" s="145">
        <f>IF(テーブル2[[#This Row],[立幅とび]]="",0,(IF(テーブル2[[#This Row],[性別]]="男",LOOKUP(テーブル2[[#This Row],[立幅とび]],$AW$6:$AX$15),LOOKUP(テーブル2[[#This Row],[立幅とび]],$AW$20:$AX$29))))</f>
        <v>0</v>
      </c>
      <c r="AA51" s="145">
        <f>IF(テーブル2[[#This Row],[ボール投げ]]="",0,(IF(テーブル2[[#This Row],[性別]]="男",LOOKUP(テーブル2[[#This Row],[ボール投げ]],$AY$6:$AZ$15),LOOKUP(テーブル2[[#This Row],[ボール投げ]],$AY$20:$AZ$29))))</f>
        <v>0</v>
      </c>
      <c r="AB51" s="146" t="str">
        <f>IF(テーブル2[[#This Row],[学年]]=1,12,IF(テーブル2[[#This Row],[学年]]=2,13,IF(テーブル2[[#This Row],[学年]]=3,14,"")))</f>
        <v/>
      </c>
      <c r="AC51" s="192" t="str">
        <f>IF(テーブル2[[#This Row],[肥満度数値]]=0,"",LOOKUP(AE51,$AW$39:$AW$44,$AX$39:$AX$44))</f>
        <v/>
      </c>
      <c r="AD5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1" s="77">
        <f>IF(テーブル2[[#This Row],[体重]]="",0,(テーブル2[[#This Row],[体重]]-テーブル2[[#This Row],[標準体重]])/テーブル2[[#This Row],[標準体重]]*100)</f>
        <v>0</v>
      </c>
      <c r="AF51" s="26">
        <f>COUNTA(テーブル2[[#This Row],[握力]:[ボール投げ]])</f>
        <v>0</v>
      </c>
      <c r="AG51" s="1" t="str">
        <f>IF(テーブル2[[#This Row],[判定]]=$BE$10,"○","")</f>
        <v/>
      </c>
      <c r="AH51" s="1" t="str">
        <f>IF(AG51="","",COUNTIF($AG$6:AG51,"○"))</f>
        <v/>
      </c>
    </row>
    <row r="52" spans="1:34" ht="14.25" customHeight="1" x14ac:dyDescent="0.15">
      <c r="A52" s="44">
        <v>47</v>
      </c>
      <c r="B52" s="148"/>
      <c r="C52" s="151"/>
      <c r="D52" s="148"/>
      <c r="E52" s="152"/>
      <c r="F52" s="148"/>
      <c r="G52" s="148"/>
      <c r="H52" s="150"/>
      <c r="I52" s="150"/>
      <c r="J52" s="151"/>
      <c r="K52" s="148"/>
      <c r="L52" s="196"/>
      <c r="M52" s="151"/>
      <c r="N52" s="197"/>
      <c r="O52" s="151"/>
      <c r="P52" s="153"/>
      <c r="Q5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 s="144" t="str">
        <f>IF(テーブル2[[#This Row],[得点]]=0,"",IF(テーブル2[[#This Row],[年齢]]=17,LOOKUP(Q52,$BH$6:$BH$10,$BE$6:$BE$10),IF(テーブル2[[#This Row],[年齢]]=16,LOOKUP(Q52,$BG$6:$BG$10,$BE$6:$BE$10),IF(テーブル2[[#This Row],[年齢]]=15,LOOKUP(Q52,$BF$6:$BF$10,$BE$6:$BE$10),IF(テーブル2[[#This Row],[年齢]]=14,LOOKUP(Q52,$BD$6:$BD$10,$BE$6:$BE$10),IF(テーブル2[[#This Row],[年齢]]=13,LOOKUP(Q52,$BC$6:$BC$10,$BE$6:$BE$10),LOOKUP(Q52,$BB$6:$BB$10,$BE$6:$BE$10)))))))</f>
        <v/>
      </c>
      <c r="S52" s="145">
        <f>IF(H52="",0,(IF(テーブル2[[#This Row],[性別]]="男",LOOKUP(テーブル2[[#This Row],[握力]],$AI$6:$AJ$15),LOOKUP(テーブル2[[#This Row],[握力]],$AI$20:$AJ$29))))</f>
        <v>0</v>
      </c>
      <c r="T52" s="145">
        <f>IF(テーブル2[[#This Row],[上体]]="",0,(IF(テーブル2[[#This Row],[性別]]="男",LOOKUP(テーブル2[[#This Row],[上体]],$AK$6:$AL$15),LOOKUP(テーブル2[[#This Row],[上体]],$AK$20:$AL$29))))</f>
        <v>0</v>
      </c>
      <c r="U52" s="145">
        <f>IF(テーブル2[[#This Row],[長座]]="",0,(IF(テーブル2[[#This Row],[性別]]="男",LOOKUP(テーブル2[[#This Row],[長座]],$AM$6:$AN$15),LOOKUP(テーブル2[[#This Row],[長座]],$AM$20:$AN$29))))</f>
        <v>0</v>
      </c>
      <c r="V52" s="145">
        <f>IF(テーブル2[[#This Row],[反復]]="",0,(IF(テーブル2[[#This Row],[性別]]="男",LOOKUP(テーブル2[[#This Row],[反復]],$AO$6:$AP$15),LOOKUP(テーブル2[[#This Row],[反復]],$AO$20:$AP$29))))</f>
        <v>0</v>
      </c>
      <c r="W52" s="145">
        <f>IF(テーブル2[[#This Row],[持久走]]="",0,(IF(テーブル2[[#This Row],[性別]]="男",LOOKUP(テーブル2[[#This Row],[持久走]],$AQ$6:$AR$15),LOOKUP(テーブル2[[#This Row],[持久走]],$AQ$20:$AR$29))))</f>
        <v>0</v>
      </c>
      <c r="X52" s="145">
        <f>IF(テーブル2[[#This Row],[ｼｬﾄﾙﾗﾝ]]="",0,(IF(テーブル2[[#This Row],[性別]]="男",LOOKUP(テーブル2[[#This Row],[ｼｬﾄﾙﾗﾝ]],$AS$6:$AT$15),LOOKUP(テーブル2[[#This Row],[ｼｬﾄﾙﾗﾝ]],$AS$20:$AT$29))))</f>
        <v>0</v>
      </c>
      <c r="Y52" s="145">
        <f>IF(テーブル2[[#This Row],[50m走]]="",0,(IF(テーブル2[[#This Row],[性別]]="男",LOOKUP(テーブル2[[#This Row],[50m走]],$AU$6:$AV$15),LOOKUP(テーブル2[[#This Row],[50m走]],$AU$20:$AV$29))))</f>
        <v>0</v>
      </c>
      <c r="Z52" s="145">
        <f>IF(テーブル2[[#This Row],[立幅とび]]="",0,(IF(テーブル2[[#This Row],[性別]]="男",LOOKUP(テーブル2[[#This Row],[立幅とび]],$AW$6:$AX$15),LOOKUP(テーブル2[[#This Row],[立幅とび]],$AW$20:$AX$29))))</f>
        <v>0</v>
      </c>
      <c r="AA52" s="145">
        <f>IF(テーブル2[[#This Row],[ボール投げ]]="",0,(IF(テーブル2[[#This Row],[性別]]="男",LOOKUP(テーブル2[[#This Row],[ボール投げ]],$AY$6:$AZ$15),LOOKUP(テーブル2[[#This Row],[ボール投げ]],$AY$20:$AZ$29))))</f>
        <v>0</v>
      </c>
      <c r="AB52" s="146" t="str">
        <f>IF(テーブル2[[#This Row],[学年]]=1,12,IF(テーブル2[[#This Row],[学年]]=2,13,IF(テーブル2[[#This Row],[学年]]=3,14,"")))</f>
        <v/>
      </c>
      <c r="AC52" s="192" t="str">
        <f>IF(テーブル2[[#This Row],[肥満度数値]]=0,"",LOOKUP(AE52,$AW$39:$AW$44,$AX$39:$AX$44))</f>
        <v/>
      </c>
      <c r="AD5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2" s="77">
        <f>IF(テーブル2[[#This Row],[体重]]="",0,(テーブル2[[#This Row],[体重]]-テーブル2[[#This Row],[標準体重]])/テーブル2[[#This Row],[標準体重]]*100)</f>
        <v>0</v>
      </c>
      <c r="AF52" s="26">
        <f>COUNTA(テーブル2[[#This Row],[握力]:[ボール投げ]])</f>
        <v>0</v>
      </c>
      <c r="AG52" s="1" t="str">
        <f>IF(テーブル2[[#This Row],[判定]]=$BE$10,"○","")</f>
        <v/>
      </c>
      <c r="AH52" s="1" t="str">
        <f>IF(AG52="","",COUNTIF($AG$6:AG52,"○"))</f>
        <v/>
      </c>
    </row>
    <row r="53" spans="1:34" ht="14.25" customHeight="1" x14ac:dyDescent="0.15">
      <c r="A53" s="44">
        <v>48</v>
      </c>
      <c r="B53" s="148"/>
      <c r="C53" s="151"/>
      <c r="D53" s="148"/>
      <c r="E53" s="152"/>
      <c r="F53" s="148"/>
      <c r="G53" s="148"/>
      <c r="H53" s="150"/>
      <c r="I53" s="150"/>
      <c r="J53" s="151"/>
      <c r="K53" s="148"/>
      <c r="L53" s="196"/>
      <c r="M53" s="151"/>
      <c r="N53" s="197"/>
      <c r="O53" s="151"/>
      <c r="P53" s="153"/>
      <c r="Q5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 s="144" t="str">
        <f>IF(テーブル2[[#This Row],[得点]]=0,"",IF(テーブル2[[#This Row],[年齢]]=17,LOOKUP(Q53,$BH$6:$BH$10,$BE$6:$BE$10),IF(テーブル2[[#This Row],[年齢]]=16,LOOKUP(Q53,$BG$6:$BG$10,$BE$6:$BE$10),IF(テーブル2[[#This Row],[年齢]]=15,LOOKUP(Q53,$BF$6:$BF$10,$BE$6:$BE$10),IF(テーブル2[[#This Row],[年齢]]=14,LOOKUP(Q53,$BD$6:$BD$10,$BE$6:$BE$10),IF(テーブル2[[#This Row],[年齢]]=13,LOOKUP(Q53,$BC$6:$BC$10,$BE$6:$BE$10),LOOKUP(Q53,$BB$6:$BB$10,$BE$6:$BE$10)))))))</f>
        <v/>
      </c>
      <c r="S53" s="145">
        <f>IF(H53="",0,(IF(テーブル2[[#This Row],[性別]]="男",LOOKUP(テーブル2[[#This Row],[握力]],$AI$6:$AJ$15),LOOKUP(テーブル2[[#This Row],[握力]],$AI$20:$AJ$29))))</f>
        <v>0</v>
      </c>
      <c r="T53" s="145">
        <f>IF(テーブル2[[#This Row],[上体]]="",0,(IF(テーブル2[[#This Row],[性別]]="男",LOOKUP(テーブル2[[#This Row],[上体]],$AK$6:$AL$15),LOOKUP(テーブル2[[#This Row],[上体]],$AK$20:$AL$29))))</f>
        <v>0</v>
      </c>
      <c r="U53" s="145">
        <f>IF(テーブル2[[#This Row],[長座]]="",0,(IF(テーブル2[[#This Row],[性別]]="男",LOOKUP(テーブル2[[#This Row],[長座]],$AM$6:$AN$15),LOOKUP(テーブル2[[#This Row],[長座]],$AM$20:$AN$29))))</f>
        <v>0</v>
      </c>
      <c r="V53" s="145">
        <f>IF(テーブル2[[#This Row],[反復]]="",0,(IF(テーブル2[[#This Row],[性別]]="男",LOOKUP(テーブル2[[#This Row],[反復]],$AO$6:$AP$15),LOOKUP(テーブル2[[#This Row],[反復]],$AO$20:$AP$29))))</f>
        <v>0</v>
      </c>
      <c r="W53" s="145">
        <f>IF(テーブル2[[#This Row],[持久走]]="",0,(IF(テーブル2[[#This Row],[性別]]="男",LOOKUP(テーブル2[[#This Row],[持久走]],$AQ$6:$AR$15),LOOKUP(テーブル2[[#This Row],[持久走]],$AQ$20:$AR$29))))</f>
        <v>0</v>
      </c>
      <c r="X53" s="145">
        <f>IF(テーブル2[[#This Row],[ｼｬﾄﾙﾗﾝ]]="",0,(IF(テーブル2[[#This Row],[性別]]="男",LOOKUP(テーブル2[[#This Row],[ｼｬﾄﾙﾗﾝ]],$AS$6:$AT$15),LOOKUP(テーブル2[[#This Row],[ｼｬﾄﾙﾗﾝ]],$AS$20:$AT$29))))</f>
        <v>0</v>
      </c>
      <c r="Y53" s="145">
        <f>IF(テーブル2[[#This Row],[50m走]]="",0,(IF(テーブル2[[#This Row],[性別]]="男",LOOKUP(テーブル2[[#This Row],[50m走]],$AU$6:$AV$15),LOOKUP(テーブル2[[#This Row],[50m走]],$AU$20:$AV$29))))</f>
        <v>0</v>
      </c>
      <c r="Z53" s="145">
        <f>IF(テーブル2[[#This Row],[立幅とび]]="",0,(IF(テーブル2[[#This Row],[性別]]="男",LOOKUP(テーブル2[[#This Row],[立幅とび]],$AW$6:$AX$15),LOOKUP(テーブル2[[#This Row],[立幅とび]],$AW$20:$AX$29))))</f>
        <v>0</v>
      </c>
      <c r="AA53" s="145">
        <f>IF(テーブル2[[#This Row],[ボール投げ]]="",0,(IF(テーブル2[[#This Row],[性別]]="男",LOOKUP(テーブル2[[#This Row],[ボール投げ]],$AY$6:$AZ$15),LOOKUP(テーブル2[[#This Row],[ボール投げ]],$AY$20:$AZ$29))))</f>
        <v>0</v>
      </c>
      <c r="AB53" s="146" t="str">
        <f>IF(テーブル2[[#This Row],[学年]]=1,12,IF(テーブル2[[#This Row],[学年]]=2,13,IF(テーブル2[[#This Row],[学年]]=3,14,"")))</f>
        <v/>
      </c>
      <c r="AC53" s="192" t="str">
        <f>IF(テーブル2[[#This Row],[肥満度数値]]=0,"",LOOKUP(AE53,$AW$39:$AW$44,$AX$39:$AX$44))</f>
        <v/>
      </c>
      <c r="AD5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3" s="77">
        <f>IF(テーブル2[[#This Row],[体重]]="",0,(テーブル2[[#This Row],[体重]]-テーブル2[[#This Row],[標準体重]])/テーブル2[[#This Row],[標準体重]]*100)</f>
        <v>0</v>
      </c>
      <c r="AF53" s="26">
        <f>COUNTA(テーブル2[[#This Row],[握力]:[ボール投げ]])</f>
        <v>0</v>
      </c>
      <c r="AG53" s="1" t="str">
        <f>IF(テーブル2[[#This Row],[判定]]=$BE$10,"○","")</f>
        <v/>
      </c>
      <c r="AH53" s="1" t="str">
        <f>IF(AG53="","",COUNTIF($AG$6:AG53,"○"))</f>
        <v/>
      </c>
    </row>
    <row r="54" spans="1:34" ht="14.25" customHeight="1" x14ac:dyDescent="0.15">
      <c r="A54" s="44">
        <v>49</v>
      </c>
      <c r="B54" s="148"/>
      <c r="C54" s="151"/>
      <c r="D54" s="148"/>
      <c r="E54" s="152"/>
      <c r="F54" s="148"/>
      <c r="G54" s="148"/>
      <c r="H54" s="150"/>
      <c r="I54" s="150"/>
      <c r="J54" s="151"/>
      <c r="K54" s="148"/>
      <c r="L54" s="196"/>
      <c r="M54" s="151"/>
      <c r="N54" s="197"/>
      <c r="O54" s="151"/>
      <c r="P54" s="153"/>
      <c r="Q5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 s="144" t="str">
        <f>IF(テーブル2[[#This Row],[得点]]=0,"",IF(テーブル2[[#This Row],[年齢]]=17,LOOKUP(Q54,$BH$6:$BH$10,$BE$6:$BE$10),IF(テーブル2[[#This Row],[年齢]]=16,LOOKUP(Q54,$BG$6:$BG$10,$BE$6:$BE$10),IF(テーブル2[[#This Row],[年齢]]=15,LOOKUP(Q54,$BF$6:$BF$10,$BE$6:$BE$10),IF(テーブル2[[#This Row],[年齢]]=14,LOOKUP(Q54,$BD$6:$BD$10,$BE$6:$BE$10),IF(テーブル2[[#This Row],[年齢]]=13,LOOKUP(Q54,$BC$6:$BC$10,$BE$6:$BE$10),LOOKUP(Q54,$BB$6:$BB$10,$BE$6:$BE$10)))))))</f>
        <v/>
      </c>
      <c r="S54" s="145">
        <f>IF(H54="",0,(IF(テーブル2[[#This Row],[性別]]="男",LOOKUP(テーブル2[[#This Row],[握力]],$AI$6:$AJ$15),LOOKUP(テーブル2[[#This Row],[握力]],$AI$20:$AJ$29))))</f>
        <v>0</v>
      </c>
      <c r="T54" s="145">
        <f>IF(テーブル2[[#This Row],[上体]]="",0,(IF(テーブル2[[#This Row],[性別]]="男",LOOKUP(テーブル2[[#This Row],[上体]],$AK$6:$AL$15),LOOKUP(テーブル2[[#This Row],[上体]],$AK$20:$AL$29))))</f>
        <v>0</v>
      </c>
      <c r="U54" s="145">
        <f>IF(テーブル2[[#This Row],[長座]]="",0,(IF(テーブル2[[#This Row],[性別]]="男",LOOKUP(テーブル2[[#This Row],[長座]],$AM$6:$AN$15),LOOKUP(テーブル2[[#This Row],[長座]],$AM$20:$AN$29))))</f>
        <v>0</v>
      </c>
      <c r="V54" s="145">
        <f>IF(テーブル2[[#This Row],[反復]]="",0,(IF(テーブル2[[#This Row],[性別]]="男",LOOKUP(テーブル2[[#This Row],[反復]],$AO$6:$AP$15),LOOKUP(テーブル2[[#This Row],[反復]],$AO$20:$AP$29))))</f>
        <v>0</v>
      </c>
      <c r="W54" s="145">
        <f>IF(テーブル2[[#This Row],[持久走]]="",0,(IF(テーブル2[[#This Row],[性別]]="男",LOOKUP(テーブル2[[#This Row],[持久走]],$AQ$6:$AR$15),LOOKUP(テーブル2[[#This Row],[持久走]],$AQ$20:$AR$29))))</f>
        <v>0</v>
      </c>
      <c r="X54" s="145">
        <f>IF(テーブル2[[#This Row],[ｼｬﾄﾙﾗﾝ]]="",0,(IF(テーブル2[[#This Row],[性別]]="男",LOOKUP(テーブル2[[#This Row],[ｼｬﾄﾙﾗﾝ]],$AS$6:$AT$15),LOOKUP(テーブル2[[#This Row],[ｼｬﾄﾙﾗﾝ]],$AS$20:$AT$29))))</f>
        <v>0</v>
      </c>
      <c r="Y54" s="145">
        <f>IF(テーブル2[[#This Row],[50m走]]="",0,(IF(テーブル2[[#This Row],[性別]]="男",LOOKUP(テーブル2[[#This Row],[50m走]],$AU$6:$AV$15),LOOKUP(テーブル2[[#This Row],[50m走]],$AU$20:$AV$29))))</f>
        <v>0</v>
      </c>
      <c r="Z54" s="145">
        <f>IF(テーブル2[[#This Row],[立幅とび]]="",0,(IF(テーブル2[[#This Row],[性別]]="男",LOOKUP(テーブル2[[#This Row],[立幅とび]],$AW$6:$AX$15),LOOKUP(テーブル2[[#This Row],[立幅とび]],$AW$20:$AX$29))))</f>
        <v>0</v>
      </c>
      <c r="AA54" s="145">
        <f>IF(テーブル2[[#This Row],[ボール投げ]]="",0,(IF(テーブル2[[#This Row],[性別]]="男",LOOKUP(テーブル2[[#This Row],[ボール投げ]],$AY$6:$AZ$15),LOOKUP(テーブル2[[#This Row],[ボール投げ]],$AY$20:$AZ$29))))</f>
        <v>0</v>
      </c>
      <c r="AB54" s="146" t="str">
        <f>IF(テーブル2[[#This Row],[学年]]=1,12,IF(テーブル2[[#This Row],[学年]]=2,13,IF(テーブル2[[#This Row],[学年]]=3,14,"")))</f>
        <v/>
      </c>
      <c r="AC54" s="192" t="str">
        <f>IF(テーブル2[[#This Row],[肥満度数値]]=0,"",LOOKUP(AE54,$AW$39:$AW$44,$AX$39:$AX$44))</f>
        <v/>
      </c>
      <c r="AD5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4" s="77">
        <f>IF(テーブル2[[#This Row],[体重]]="",0,(テーブル2[[#This Row],[体重]]-テーブル2[[#This Row],[標準体重]])/テーブル2[[#This Row],[標準体重]]*100)</f>
        <v>0</v>
      </c>
      <c r="AF54" s="26">
        <f>COUNTA(テーブル2[[#This Row],[握力]:[ボール投げ]])</f>
        <v>0</v>
      </c>
      <c r="AG54" s="1" t="str">
        <f>IF(テーブル2[[#This Row],[判定]]=$BE$10,"○","")</f>
        <v/>
      </c>
      <c r="AH54" s="1" t="str">
        <f>IF(AG54="","",COUNTIF($AG$6:AG54,"○"))</f>
        <v/>
      </c>
    </row>
    <row r="55" spans="1:34" ht="14.25" customHeight="1" x14ac:dyDescent="0.15">
      <c r="A55" s="44">
        <v>50</v>
      </c>
      <c r="B55" s="148"/>
      <c r="C55" s="151"/>
      <c r="D55" s="148"/>
      <c r="E55" s="152"/>
      <c r="F55" s="148"/>
      <c r="G55" s="148"/>
      <c r="H55" s="150"/>
      <c r="I55" s="150"/>
      <c r="J55" s="151"/>
      <c r="K55" s="148"/>
      <c r="L55" s="196"/>
      <c r="M55" s="151"/>
      <c r="N55" s="197"/>
      <c r="O55" s="151"/>
      <c r="P55" s="153"/>
      <c r="Q5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 s="144" t="str">
        <f>IF(テーブル2[[#This Row],[得点]]=0,"",IF(テーブル2[[#This Row],[年齢]]=17,LOOKUP(Q55,$BH$6:$BH$10,$BE$6:$BE$10),IF(テーブル2[[#This Row],[年齢]]=16,LOOKUP(Q55,$BG$6:$BG$10,$BE$6:$BE$10),IF(テーブル2[[#This Row],[年齢]]=15,LOOKUP(Q55,$BF$6:$BF$10,$BE$6:$BE$10),IF(テーブル2[[#This Row],[年齢]]=14,LOOKUP(Q55,$BD$6:$BD$10,$BE$6:$BE$10),IF(テーブル2[[#This Row],[年齢]]=13,LOOKUP(Q55,$BC$6:$BC$10,$BE$6:$BE$10),LOOKUP(Q55,$BB$6:$BB$10,$BE$6:$BE$10)))))))</f>
        <v/>
      </c>
      <c r="S55" s="145">
        <f>IF(H55="",0,(IF(テーブル2[[#This Row],[性別]]="男",LOOKUP(テーブル2[[#This Row],[握力]],$AI$6:$AJ$15),LOOKUP(テーブル2[[#This Row],[握力]],$AI$20:$AJ$29))))</f>
        <v>0</v>
      </c>
      <c r="T55" s="145">
        <f>IF(テーブル2[[#This Row],[上体]]="",0,(IF(テーブル2[[#This Row],[性別]]="男",LOOKUP(テーブル2[[#This Row],[上体]],$AK$6:$AL$15),LOOKUP(テーブル2[[#This Row],[上体]],$AK$20:$AL$29))))</f>
        <v>0</v>
      </c>
      <c r="U55" s="145">
        <f>IF(テーブル2[[#This Row],[長座]]="",0,(IF(テーブル2[[#This Row],[性別]]="男",LOOKUP(テーブル2[[#This Row],[長座]],$AM$6:$AN$15),LOOKUP(テーブル2[[#This Row],[長座]],$AM$20:$AN$29))))</f>
        <v>0</v>
      </c>
      <c r="V55" s="145">
        <f>IF(テーブル2[[#This Row],[反復]]="",0,(IF(テーブル2[[#This Row],[性別]]="男",LOOKUP(テーブル2[[#This Row],[反復]],$AO$6:$AP$15),LOOKUP(テーブル2[[#This Row],[反復]],$AO$20:$AP$29))))</f>
        <v>0</v>
      </c>
      <c r="W55" s="145">
        <f>IF(テーブル2[[#This Row],[持久走]]="",0,(IF(テーブル2[[#This Row],[性別]]="男",LOOKUP(テーブル2[[#This Row],[持久走]],$AQ$6:$AR$15),LOOKUP(テーブル2[[#This Row],[持久走]],$AQ$20:$AR$29))))</f>
        <v>0</v>
      </c>
      <c r="X55" s="145">
        <f>IF(テーブル2[[#This Row],[ｼｬﾄﾙﾗﾝ]]="",0,(IF(テーブル2[[#This Row],[性別]]="男",LOOKUP(テーブル2[[#This Row],[ｼｬﾄﾙﾗﾝ]],$AS$6:$AT$15),LOOKUP(テーブル2[[#This Row],[ｼｬﾄﾙﾗﾝ]],$AS$20:$AT$29))))</f>
        <v>0</v>
      </c>
      <c r="Y55" s="145">
        <f>IF(テーブル2[[#This Row],[50m走]]="",0,(IF(テーブル2[[#This Row],[性別]]="男",LOOKUP(テーブル2[[#This Row],[50m走]],$AU$6:$AV$15),LOOKUP(テーブル2[[#This Row],[50m走]],$AU$20:$AV$29))))</f>
        <v>0</v>
      </c>
      <c r="Z55" s="145">
        <f>IF(テーブル2[[#This Row],[立幅とび]]="",0,(IF(テーブル2[[#This Row],[性別]]="男",LOOKUP(テーブル2[[#This Row],[立幅とび]],$AW$6:$AX$15),LOOKUP(テーブル2[[#This Row],[立幅とび]],$AW$20:$AX$29))))</f>
        <v>0</v>
      </c>
      <c r="AA55" s="145">
        <f>IF(テーブル2[[#This Row],[ボール投げ]]="",0,(IF(テーブル2[[#This Row],[性別]]="男",LOOKUP(テーブル2[[#This Row],[ボール投げ]],$AY$6:$AZ$15),LOOKUP(テーブル2[[#This Row],[ボール投げ]],$AY$20:$AZ$29))))</f>
        <v>0</v>
      </c>
      <c r="AB55" s="146" t="str">
        <f>IF(テーブル2[[#This Row],[学年]]=1,12,IF(テーブル2[[#This Row],[学年]]=2,13,IF(テーブル2[[#This Row],[学年]]=3,14,"")))</f>
        <v/>
      </c>
      <c r="AC55" s="192" t="str">
        <f>IF(テーブル2[[#This Row],[肥満度数値]]=0,"",LOOKUP(AE55,$AW$39:$AW$44,$AX$39:$AX$44))</f>
        <v/>
      </c>
      <c r="AD5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5" s="77">
        <f>IF(テーブル2[[#This Row],[体重]]="",0,(テーブル2[[#This Row],[体重]]-テーブル2[[#This Row],[標準体重]])/テーブル2[[#This Row],[標準体重]]*100)</f>
        <v>0</v>
      </c>
      <c r="AF55" s="26">
        <f>COUNTA(テーブル2[[#This Row],[握力]:[ボール投げ]])</f>
        <v>0</v>
      </c>
      <c r="AG55" s="1" t="str">
        <f>IF(テーブル2[[#This Row],[判定]]=$BE$10,"○","")</f>
        <v/>
      </c>
      <c r="AH55" s="1" t="str">
        <f>IF(AG55="","",COUNTIF($AG$6:AG55,"○"))</f>
        <v/>
      </c>
    </row>
    <row r="56" spans="1:34" ht="14.25" customHeight="1" x14ac:dyDescent="0.15">
      <c r="A56" s="44">
        <v>51</v>
      </c>
      <c r="B56" s="148"/>
      <c r="C56" s="151"/>
      <c r="D56" s="148"/>
      <c r="E56" s="152"/>
      <c r="F56" s="148"/>
      <c r="G56" s="148"/>
      <c r="H56" s="150"/>
      <c r="I56" s="150"/>
      <c r="J56" s="151"/>
      <c r="K56" s="148"/>
      <c r="L56" s="196"/>
      <c r="M56" s="151"/>
      <c r="N56" s="197"/>
      <c r="O56" s="151"/>
      <c r="P56" s="153"/>
      <c r="Q5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 s="144" t="str">
        <f>IF(テーブル2[[#This Row],[得点]]=0,"",IF(テーブル2[[#This Row],[年齢]]=17,LOOKUP(Q56,$BH$6:$BH$10,$BE$6:$BE$10),IF(テーブル2[[#This Row],[年齢]]=16,LOOKUP(Q56,$BG$6:$BG$10,$BE$6:$BE$10),IF(テーブル2[[#This Row],[年齢]]=15,LOOKUP(Q56,$BF$6:$BF$10,$BE$6:$BE$10),IF(テーブル2[[#This Row],[年齢]]=14,LOOKUP(Q56,$BD$6:$BD$10,$BE$6:$BE$10),IF(テーブル2[[#This Row],[年齢]]=13,LOOKUP(Q56,$BC$6:$BC$10,$BE$6:$BE$10),LOOKUP(Q56,$BB$6:$BB$10,$BE$6:$BE$10)))))))</f>
        <v/>
      </c>
      <c r="S56" s="145">
        <f>IF(H56="",0,(IF(テーブル2[[#This Row],[性別]]="男",LOOKUP(テーブル2[[#This Row],[握力]],$AI$6:$AJ$15),LOOKUP(テーブル2[[#This Row],[握力]],$AI$20:$AJ$29))))</f>
        <v>0</v>
      </c>
      <c r="T56" s="145">
        <f>IF(テーブル2[[#This Row],[上体]]="",0,(IF(テーブル2[[#This Row],[性別]]="男",LOOKUP(テーブル2[[#This Row],[上体]],$AK$6:$AL$15),LOOKUP(テーブル2[[#This Row],[上体]],$AK$20:$AL$29))))</f>
        <v>0</v>
      </c>
      <c r="U56" s="145">
        <f>IF(テーブル2[[#This Row],[長座]]="",0,(IF(テーブル2[[#This Row],[性別]]="男",LOOKUP(テーブル2[[#This Row],[長座]],$AM$6:$AN$15),LOOKUP(テーブル2[[#This Row],[長座]],$AM$20:$AN$29))))</f>
        <v>0</v>
      </c>
      <c r="V56" s="145">
        <f>IF(テーブル2[[#This Row],[反復]]="",0,(IF(テーブル2[[#This Row],[性別]]="男",LOOKUP(テーブル2[[#This Row],[反復]],$AO$6:$AP$15),LOOKUP(テーブル2[[#This Row],[反復]],$AO$20:$AP$29))))</f>
        <v>0</v>
      </c>
      <c r="W56" s="145">
        <f>IF(テーブル2[[#This Row],[持久走]]="",0,(IF(テーブル2[[#This Row],[性別]]="男",LOOKUP(テーブル2[[#This Row],[持久走]],$AQ$6:$AR$15),LOOKUP(テーブル2[[#This Row],[持久走]],$AQ$20:$AR$29))))</f>
        <v>0</v>
      </c>
      <c r="X56" s="145">
        <f>IF(テーブル2[[#This Row],[ｼｬﾄﾙﾗﾝ]]="",0,(IF(テーブル2[[#This Row],[性別]]="男",LOOKUP(テーブル2[[#This Row],[ｼｬﾄﾙﾗﾝ]],$AS$6:$AT$15),LOOKUP(テーブル2[[#This Row],[ｼｬﾄﾙﾗﾝ]],$AS$20:$AT$29))))</f>
        <v>0</v>
      </c>
      <c r="Y56" s="145">
        <f>IF(テーブル2[[#This Row],[50m走]]="",0,(IF(テーブル2[[#This Row],[性別]]="男",LOOKUP(テーブル2[[#This Row],[50m走]],$AU$6:$AV$15),LOOKUP(テーブル2[[#This Row],[50m走]],$AU$20:$AV$29))))</f>
        <v>0</v>
      </c>
      <c r="Z56" s="145">
        <f>IF(テーブル2[[#This Row],[立幅とび]]="",0,(IF(テーブル2[[#This Row],[性別]]="男",LOOKUP(テーブル2[[#This Row],[立幅とび]],$AW$6:$AX$15),LOOKUP(テーブル2[[#This Row],[立幅とび]],$AW$20:$AX$29))))</f>
        <v>0</v>
      </c>
      <c r="AA56" s="145">
        <f>IF(テーブル2[[#This Row],[ボール投げ]]="",0,(IF(テーブル2[[#This Row],[性別]]="男",LOOKUP(テーブル2[[#This Row],[ボール投げ]],$AY$6:$AZ$15),LOOKUP(テーブル2[[#This Row],[ボール投げ]],$AY$20:$AZ$29))))</f>
        <v>0</v>
      </c>
      <c r="AB56" s="146" t="str">
        <f>IF(テーブル2[[#This Row],[学年]]=1,12,IF(テーブル2[[#This Row],[学年]]=2,13,IF(テーブル2[[#This Row],[学年]]=3,14,"")))</f>
        <v/>
      </c>
      <c r="AC56" s="192" t="str">
        <f>IF(テーブル2[[#This Row],[肥満度数値]]=0,"",LOOKUP(AE56,$AW$39:$AW$44,$AX$39:$AX$44))</f>
        <v/>
      </c>
      <c r="AD5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6" s="77">
        <f>IF(テーブル2[[#This Row],[体重]]="",0,(テーブル2[[#This Row],[体重]]-テーブル2[[#This Row],[標準体重]])/テーブル2[[#This Row],[標準体重]]*100)</f>
        <v>0</v>
      </c>
      <c r="AF56" s="26">
        <f>COUNTA(テーブル2[[#This Row],[握力]:[ボール投げ]])</f>
        <v>0</v>
      </c>
      <c r="AG56" s="1" t="str">
        <f>IF(テーブル2[[#This Row],[判定]]=$BE$10,"○","")</f>
        <v/>
      </c>
      <c r="AH56" s="1" t="str">
        <f>IF(AG56="","",COUNTIF($AG$6:AG56,"○"))</f>
        <v/>
      </c>
    </row>
    <row r="57" spans="1:34" ht="14.25" customHeight="1" x14ac:dyDescent="0.15">
      <c r="A57" s="44">
        <v>52</v>
      </c>
      <c r="B57" s="148"/>
      <c r="C57" s="151"/>
      <c r="D57" s="148"/>
      <c r="E57" s="152"/>
      <c r="F57" s="148"/>
      <c r="G57" s="148"/>
      <c r="H57" s="150"/>
      <c r="I57" s="150"/>
      <c r="J57" s="151"/>
      <c r="K57" s="148"/>
      <c r="L57" s="196"/>
      <c r="M57" s="151"/>
      <c r="N57" s="197"/>
      <c r="O57" s="151"/>
      <c r="P57" s="153"/>
      <c r="Q5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 s="144" t="str">
        <f>IF(テーブル2[[#This Row],[得点]]=0,"",IF(テーブル2[[#This Row],[年齢]]=17,LOOKUP(Q57,$BH$6:$BH$10,$BE$6:$BE$10),IF(テーブル2[[#This Row],[年齢]]=16,LOOKUP(Q57,$BG$6:$BG$10,$BE$6:$BE$10),IF(テーブル2[[#This Row],[年齢]]=15,LOOKUP(Q57,$BF$6:$BF$10,$BE$6:$BE$10),IF(テーブル2[[#This Row],[年齢]]=14,LOOKUP(Q57,$BD$6:$BD$10,$BE$6:$BE$10),IF(テーブル2[[#This Row],[年齢]]=13,LOOKUP(Q57,$BC$6:$BC$10,$BE$6:$BE$10),LOOKUP(Q57,$BB$6:$BB$10,$BE$6:$BE$10)))))))</f>
        <v/>
      </c>
      <c r="S57" s="145">
        <f>IF(H57="",0,(IF(テーブル2[[#This Row],[性別]]="男",LOOKUP(テーブル2[[#This Row],[握力]],$AI$6:$AJ$15),LOOKUP(テーブル2[[#This Row],[握力]],$AI$20:$AJ$29))))</f>
        <v>0</v>
      </c>
      <c r="T57" s="145">
        <f>IF(テーブル2[[#This Row],[上体]]="",0,(IF(テーブル2[[#This Row],[性別]]="男",LOOKUP(テーブル2[[#This Row],[上体]],$AK$6:$AL$15),LOOKUP(テーブル2[[#This Row],[上体]],$AK$20:$AL$29))))</f>
        <v>0</v>
      </c>
      <c r="U57" s="145">
        <f>IF(テーブル2[[#This Row],[長座]]="",0,(IF(テーブル2[[#This Row],[性別]]="男",LOOKUP(テーブル2[[#This Row],[長座]],$AM$6:$AN$15),LOOKUP(テーブル2[[#This Row],[長座]],$AM$20:$AN$29))))</f>
        <v>0</v>
      </c>
      <c r="V57" s="145">
        <f>IF(テーブル2[[#This Row],[反復]]="",0,(IF(テーブル2[[#This Row],[性別]]="男",LOOKUP(テーブル2[[#This Row],[反復]],$AO$6:$AP$15),LOOKUP(テーブル2[[#This Row],[反復]],$AO$20:$AP$29))))</f>
        <v>0</v>
      </c>
      <c r="W57" s="145">
        <f>IF(テーブル2[[#This Row],[持久走]]="",0,(IF(テーブル2[[#This Row],[性別]]="男",LOOKUP(テーブル2[[#This Row],[持久走]],$AQ$6:$AR$15),LOOKUP(テーブル2[[#This Row],[持久走]],$AQ$20:$AR$29))))</f>
        <v>0</v>
      </c>
      <c r="X57" s="145">
        <f>IF(テーブル2[[#This Row],[ｼｬﾄﾙﾗﾝ]]="",0,(IF(テーブル2[[#This Row],[性別]]="男",LOOKUP(テーブル2[[#This Row],[ｼｬﾄﾙﾗﾝ]],$AS$6:$AT$15),LOOKUP(テーブル2[[#This Row],[ｼｬﾄﾙﾗﾝ]],$AS$20:$AT$29))))</f>
        <v>0</v>
      </c>
      <c r="Y57" s="145">
        <f>IF(テーブル2[[#This Row],[50m走]]="",0,(IF(テーブル2[[#This Row],[性別]]="男",LOOKUP(テーブル2[[#This Row],[50m走]],$AU$6:$AV$15),LOOKUP(テーブル2[[#This Row],[50m走]],$AU$20:$AV$29))))</f>
        <v>0</v>
      </c>
      <c r="Z57" s="145">
        <f>IF(テーブル2[[#This Row],[立幅とび]]="",0,(IF(テーブル2[[#This Row],[性別]]="男",LOOKUP(テーブル2[[#This Row],[立幅とび]],$AW$6:$AX$15),LOOKUP(テーブル2[[#This Row],[立幅とび]],$AW$20:$AX$29))))</f>
        <v>0</v>
      </c>
      <c r="AA57" s="145">
        <f>IF(テーブル2[[#This Row],[ボール投げ]]="",0,(IF(テーブル2[[#This Row],[性別]]="男",LOOKUP(テーブル2[[#This Row],[ボール投げ]],$AY$6:$AZ$15),LOOKUP(テーブル2[[#This Row],[ボール投げ]],$AY$20:$AZ$29))))</f>
        <v>0</v>
      </c>
      <c r="AB57" s="146" t="str">
        <f>IF(テーブル2[[#This Row],[学年]]=1,12,IF(テーブル2[[#This Row],[学年]]=2,13,IF(テーブル2[[#This Row],[学年]]=3,14,"")))</f>
        <v/>
      </c>
      <c r="AC57" s="192" t="str">
        <f>IF(テーブル2[[#This Row],[肥満度数値]]=0,"",LOOKUP(AE57,$AW$39:$AW$44,$AX$39:$AX$44))</f>
        <v/>
      </c>
      <c r="AD5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7" s="77">
        <f>IF(テーブル2[[#This Row],[体重]]="",0,(テーブル2[[#This Row],[体重]]-テーブル2[[#This Row],[標準体重]])/テーブル2[[#This Row],[標準体重]]*100)</f>
        <v>0</v>
      </c>
      <c r="AF57" s="26">
        <f>COUNTA(テーブル2[[#This Row],[握力]:[ボール投げ]])</f>
        <v>0</v>
      </c>
      <c r="AG57" s="1" t="str">
        <f>IF(テーブル2[[#This Row],[判定]]=$BE$10,"○","")</f>
        <v/>
      </c>
      <c r="AH57" s="1" t="str">
        <f>IF(AG57="","",COUNTIF($AG$6:AG57,"○"))</f>
        <v/>
      </c>
    </row>
    <row r="58" spans="1:34" ht="14.25" customHeight="1" x14ac:dyDescent="0.15">
      <c r="A58" s="44">
        <v>53</v>
      </c>
      <c r="B58" s="148"/>
      <c r="C58" s="151"/>
      <c r="D58" s="148"/>
      <c r="E58" s="152"/>
      <c r="F58" s="148"/>
      <c r="G58" s="148"/>
      <c r="H58" s="150"/>
      <c r="I58" s="150"/>
      <c r="J58" s="151"/>
      <c r="K58" s="148"/>
      <c r="L58" s="196"/>
      <c r="M58" s="151"/>
      <c r="N58" s="197"/>
      <c r="O58" s="151"/>
      <c r="P58" s="153"/>
      <c r="Q5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 s="144" t="str">
        <f>IF(テーブル2[[#This Row],[得点]]=0,"",IF(テーブル2[[#This Row],[年齢]]=17,LOOKUP(Q58,$BH$6:$BH$10,$BE$6:$BE$10),IF(テーブル2[[#This Row],[年齢]]=16,LOOKUP(Q58,$BG$6:$BG$10,$BE$6:$BE$10),IF(テーブル2[[#This Row],[年齢]]=15,LOOKUP(Q58,$BF$6:$BF$10,$BE$6:$BE$10),IF(テーブル2[[#This Row],[年齢]]=14,LOOKUP(Q58,$BD$6:$BD$10,$BE$6:$BE$10),IF(テーブル2[[#This Row],[年齢]]=13,LOOKUP(Q58,$BC$6:$BC$10,$BE$6:$BE$10),LOOKUP(Q58,$BB$6:$BB$10,$BE$6:$BE$10)))))))</f>
        <v/>
      </c>
      <c r="S58" s="145">
        <f>IF(H58="",0,(IF(テーブル2[[#This Row],[性別]]="男",LOOKUP(テーブル2[[#This Row],[握力]],$AI$6:$AJ$15),LOOKUP(テーブル2[[#This Row],[握力]],$AI$20:$AJ$29))))</f>
        <v>0</v>
      </c>
      <c r="T58" s="145">
        <f>IF(テーブル2[[#This Row],[上体]]="",0,(IF(テーブル2[[#This Row],[性別]]="男",LOOKUP(テーブル2[[#This Row],[上体]],$AK$6:$AL$15),LOOKUP(テーブル2[[#This Row],[上体]],$AK$20:$AL$29))))</f>
        <v>0</v>
      </c>
      <c r="U58" s="145">
        <f>IF(テーブル2[[#This Row],[長座]]="",0,(IF(テーブル2[[#This Row],[性別]]="男",LOOKUP(テーブル2[[#This Row],[長座]],$AM$6:$AN$15),LOOKUP(テーブル2[[#This Row],[長座]],$AM$20:$AN$29))))</f>
        <v>0</v>
      </c>
      <c r="V58" s="145">
        <f>IF(テーブル2[[#This Row],[反復]]="",0,(IF(テーブル2[[#This Row],[性別]]="男",LOOKUP(テーブル2[[#This Row],[反復]],$AO$6:$AP$15),LOOKUP(テーブル2[[#This Row],[反復]],$AO$20:$AP$29))))</f>
        <v>0</v>
      </c>
      <c r="W58" s="145">
        <f>IF(テーブル2[[#This Row],[持久走]]="",0,(IF(テーブル2[[#This Row],[性別]]="男",LOOKUP(テーブル2[[#This Row],[持久走]],$AQ$6:$AR$15),LOOKUP(テーブル2[[#This Row],[持久走]],$AQ$20:$AR$29))))</f>
        <v>0</v>
      </c>
      <c r="X58" s="145">
        <f>IF(テーブル2[[#This Row],[ｼｬﾄﾙﾗﾝ]]="",0,(IF(テーブル2[[#This Row],[性別]]="男",LOOKUP(テーブル2[[#This Row],[ｼｬﾄﾙﾗﾝ]],$AS$6:$AT$15),LOOKUP(テーブル2[[#This Row],[ｼｬﾄﾙﾗﾝ]],$AS$20:$AT$29))))</f>
        <v>0</v>
      </c>
      <c r="Y58" s="145">
        <f>IF(テーブル2[[#This Row],[50m走]]="",0,(IF(テーブル2[[#This Row],[性別]]="男",LOOKUP(テーブル2[[#This Row],[50m走]],$AU$6:$AV$15),LOOKUP(テーブル2[[#This Row],[50m走]],$AU$20:$AV$29))))</f>
        <v>0</v>
      </c>
      <c r="Z58" s="145">
        <f>IF(テーブル2[[#This Row],[立幅とび]]="",0,(IF(テーブル2[[#This Row],[性別]]="男",LOOKUP(テーブル2[[#This Row],[立幅とび]],$AW$6:$AX$15),LOOKUP(テーブル2[[#This Row],[立幅とび]],$AW$20:$AX$29))))</f>
        <v>0</v>
      </c>
      <c r="AA58" s="145">
        <f>IF(テーブル2[[#This Row],[ボール投げ]]="",0,(IF(テーブル2[[#This Row],[性別]]="男",LOOKUP(テーブル2[[#This Row],[ボール投げ]],$AY$6:$AZ$15),LOOKUP(テーブル2[[#This Row],[ボール投げ]],$AY$20:$AZ$29))))</f>
        <v>0</v>
      </c>
      <c r="AB58" s="146" t="str">
        <f>IF(テーブル2[[#This Row],[学年]]=1,12,IF(テーブル2[[#This Row],[学年]]=2,13,IF(テーブル2[[#This Row],[学年]]=3,14,"")))</f>
        <v/>
      </c>
      <c r="AC58" s="192" t="str">
        <f>IF(テーブル2[[#This Row],[肥満度数値]]=0,"",LOOKUP(AE58,$AW$39:$AW$44,$AX$39:$AX$44))</f>
        <v/>
      </c>
      <c r="AD5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8" s="77">
        <f>IF(テーブル2[[#This Row],[体重]]="",0,(テーブル2[[#This Row],[体重]]-テーブル2[[#This Row],[標準体重]])/テーブル2[[#This Row],[標準体重]]*100)</f>
        <v>0</v>
      </c>
      <c r="AF58" s="26">
        <f>COUNTA(テーブル2[[#This Row],[握力]:[ボール投げ]])</f>
        <v>0</v>
      </c>
      <c r="AG58" s="1" t="str">
        <f>IF(テーブル2[[#This Row],[判定]]=$BE$10,"○","")</f>
        <v/>
      </c>
      <c r="AH58" s="1" t="str">
        <f>IF(AG58="","",COUNTIF($AG$6:AG58,"○"))</f>
        <v/>
      </c>
    </row>
    <row r="59" spans="1:34" ht="14.25" customHeight="1" x14ac:dyDescent="0.15">
      <c r="A59" s="44">
        <v>54</v>
      </c>
      <c r="B59" s="148"/>
      <c r="C59" s="151"/>
      <c r="D59" s="148"/>
      <c r="E59" s="152"/>
      <c r="F59" s="148"/>
      <c r="G59" s="148"/>
      <c r="H59" s="150"/>
      <c r="I59" s="150"/>
      <c r="J59" s="151"/>
      <c r="K59" s="148"/>
      <c r="L59" s="196"/>
      <c r="M59" s="151"/>
      <c r="N59" s="197"/>
      <c r="O59" s="151"/>
      <c r="P59" s="153"/>
      <c r="Q5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 s="144" t="str">
        <f>IF(テーブル2[[#This Row],[得点]]=0,"",IF(テーブル2[[#This Row],[年齢]]=17,LOOKUP(Q59,$BH$6:$BH$10,$BE$6:$BE$10),IF(テーブル2[[#This Row],[年齢]]=16,LOOKUP(Q59,$BG$6:$BG$10,$BE$6:$BE$10),IF(テーブル2[[#This Row],[年齢]]=15,LOOKUP(Q59,$BF$6:$BF$10,$BE$6:$BE$10),IF(テーブル2[[#This Row],[年齢]]=14,LOOKUP(Q59,$BD$6:$BD$10,$BE$6:$BE$10),IF(テーブル2[[#This Row],[年齢]]=13,LOOKUP(Q59,$BC$6:$BC$10,$BE$6:$BE$10),LOOKUP(Q59,$BB$6:$BB$10,$BE$6:$BE$10)))))))</f>
        <v/>
      </c>
      <c r="S59" s="145">
        <f>IF(H59="",0,(IF(テーブル2[[#This Row],[性別]]="男",LOOKUP(テーブル2[[#This Row],[握力]],$AI$6:$AJ$15),LOOKUP(テーブル2[[#This Row],[握力]],$AI$20:$AJ$29))))</f>
        <v>0</v>
      </c>
      <c r="T59" s="145">
        <f>IF(テーブル2[[#This Row],[上体]]="",0,(IF(テーブル2[[#This Row],[性別]]="男",LOOKUP(テーブル2[[#This Row],[上体]],$AK$6:$AL$15),LOOKUP(テーブル2[[#This Row],[上体]],$AK$20:$AL$29))))</f>
        <v>0</v>
      </c>
      <c r="U59" s="145">
        <f>IF(テーブル2[[#This Row],[長座]]="",0,(IF(テーブル2[[#This Row],[性別]]="男",LOOKUP(テーブル2[[#This Row],[長座]],$AM$6:$AN$15),LOOKUP(テーブル2[[#This Row],[長座]],$AM$20:$AN$29))))</f>
        <v>0</v>
      </c>
      <c r="V59" s="145">
        <f>IF(テーブル2[[#This Row],[反復]]="",0,(IF(テーブル2[[#This Row],[性別]]="男",LOOKUP(テーブル2[[#This Row],[反復]],$AO$6:$AP$15),LOOKUP(テーブル2[[#This Row],[反復]],$AO$20:$AP$29))))</f>
        <v>0</v>
      </c>
      <c r="W59" s="145">
        <f>IF(テーブル2[[#This Row],[持久走]]="",0,(IF(テーブル2[[#This Row],[性別]]="男",LOOKUP(テーブル2[[#This Row],[持久走]],$AQ$6:$AR$15),LOOKUP(テーブル2[[#This Row],[持久走]],$AQ$20:$AR$29))))</f>
        <v>0</v>
      </c>
      <c r="X59" s="145">
        <f>IF(テーブル2[[#This Row],[ｼｬﾄﾙﾗﾝ]]="",0,(IF(テーブル2[[#This Row],[性別]]="男",LOOKUP(テーブル2[[#This Row],[ｼｬﾄﾙﾗﾝ]],$AS$6:$AT$15),LOOKUP(テーブル2[[#This Row],[ｼｬﾄﾙﾗﾝ]],$AS$20:$AT$29))))</f>
        <v>0</v>
      </c>
      <c r="Y59" s="145">
        <f>IF(テーブル2[[#This Row],[50m走]]="",0,(IF(テーブル2[[#This Row],[性別]]="男",LOOKUP(テーブル2[[#This Row],[50m走]],$AU$6:$AV$15),LOOKUP(テーブル2[[#This Row],[50m走]],$AU$20:$AV$29))))</f>
        <v>0</v>
      </c>
      <c r="Z59" s="145">
        <f>IF(テーブル2[[#This Row],[立幅とび]]="",0,(IF(テーブル2[[#This Row],[性別]]="男",LOOKUP(テーブル2[[#This Row],[立幅とび]],$AW$6:$AX$15),LOOKUP(テーブル2[[#This Row],[立幅とび]],$AW$20:$AX$29))))</f>
        <v>0</v>
      </c>
      <c r="AA59" s="145">
        <f>IF(テーブル2[[#This Row],[ボール投げ]]="",0,(IF(テーブル2[[#This Row],[性別]]="男",LOOKUP(テーブル2[[#This Row],[ボール投げ]],$AY$6:$AZ$15),LOOKUP(テーブル2[[#This Row],[ボール投げ]],$AY$20:$AZ$29))))</f>
        <v>0</v>
      </c>
      <c r="AB59" s="146" t="str">
        <f>IF(テーブル2[[#This Row],[学年]]=1,12,IF(テーブル2[[#This Row],[学年]]=2,13,IF(テーブル2[[#This Row],[学年]]=3,14,"")))</f>
        <v/>
      </c>
      <c r="AC59" s="192" t="str">
        <f>IF(テーブル2[[#This Row],[肥満度数値]]=0,"",LOOKUP(AE59,$AW$39:$AW$44,$AX$39:$AX$44))</f>
        <v/>
      </c>
      <c r="AD5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9" s="77">
        <f>IF(テーブル2[[#This Row],[体重]]="",0,(テーブル2[[#This Row],[体重]]-テーブル2[[#This Row],[標準体重]])/テーブル2[[#This Row],[標準体重]]*100)</f>
        <v>0</v>
      </c>
      <c r="AF59" s="26">
        <f>COUNTA(テーブル2[[#This Row],[握力]:[ボール投げ]])</f>
        <v>0</v>
      </c>
      <c r="AG59" s="1" t="str">
        <f>IF(テーブル2[[#This Row],[判定]]=$BE$10,"○","")</f>
        <v/>
      </c>
      <c r="AH59" s="1" t="str">
        <f>IF(AG59="","",COUNTIF($AG$6:AG59,"○"))</f>
        <v/>
      </c>
    </row>
    <row r="60" spans="1:34" ht="14.25" customHeight="1" x14ac:dyDescent="0.15">
      <c r="A60" s="44">
        <v>55</v>
      </c>
      <c r="B60" s="148"/>
      <c r="C60" s="151"/>
      <c r="D60" s="148"/>
      <c r="E60" s="152"/>
      <c r="F60" s="148"/>
      <c r="G60" s="148"/>
      <c r="H60" s="150"/>
      <c r="I60" s="150"/>
      <c r="J60" s="151"/>
      <c r="K60" s="148"/>
      <c r="L60" s="196"/>
      <c r="M60" s="151"/>
      <c r="N60" s="197"/>
      <c r="O60" s="151"/>
      <c r="P60" s="153"/>
      <c r="Q6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 s="144" t="str">
        <f>IF(テーブル2[[#This Row],[得点]]=0,"",IF(テーブル2[[#This Row],[年齢]]=17,LOOKUP(Q60,$BH$6:$BH$10,$BE$6:$BE$10),IF(テーブル2[[#This Row],[年齢]]=16,LOOKUP(Q60,$BG$6:$BG$10,$BE$6:$BE$10),IF(テーブル2[[#This Row],[年齢]]=15,LOOKUP(Q60,$BF$6:$BF$10,$BE$6:$BE$10),IF(テーブル2[[#This Row],[年齢]]=14,LOOKUP(Q60,$BD$6:$BD$10,$BE$6:$BE$10),IF(テーブル2[[#This Row],[年齢]]=13,LOOKUP(Q60,$BC$6:$BC$10,$BE$6:$BE$10),LOOKUP(Q60,$BB$6:$BB$10,$BE$6:$BE$10)))))))</f>
        <v/>
      </c>
      <c r="S60" s="145">
        <f>IF(H60="",0,(IF(テーブル2[[#This Row],[性別]]="男",LOOKUP(テーブル2[[#This Row],[握力]],$AI$6:$AJ$15),LOOKUP(テーブル2[[#This Row],[握力]],$AI$20:$AJ$29))))</f>
        <v>0</v>
      </c>
      <c r="T60" s="145">
        <f>IF(テーブル2[[#This Row],[上体]]="",0,(IF(テーブル2[[#This Row],[性別]]="男",LOOKUP(テーブル2[[#This Row],[上体]],$AK$6:$AL$15),LOOKUP(テーブル2[[#This Row],[上体]],$AK$20:$AL$29))))</f>
        <v>0</v>
      </c>
      <c r="U60" s="145">
        <f>IF(テーブル2[[#This Row],[長座]]="",0,(IF(テーブル2[[#This Row],[性別]]="男",LOOKUP(テーブル2[[#This Row],[長座]],$AM$6:$AN$15),LOOKUP(テーブル2[[#This Row],[長座]],$AM$20:$AN$29))))</f>
        <v>0</v>
      </c>
      <c r="V60" s="145">
        <f>IF(テーブル2[[#This Row],[反復]]="",0,(IF(テーブル2[[#This Row],[性別]]="男",LOOKUP(テーブル2[[#This Row],[反復]],$AO$6:$AP$15),LOOKUP(テーブル2[[#This Row],[反復]],$AO$20:$AP$29))))</f>
        <v>0</v>
      </c>
      <c r="W60" s="145">
        <f>IF(テーブル2[[#This Row],[持久走]]="",0,(IF(テーブル2[[#This Row],[性別]]="男",LOOKUP(テーブル2[[#This Row],[持久走]],$AQ$6:$AR$15),LOOKUP(テーブル2[[#This Row],[持久走]],$AQ$20:$AR$29))))</f>
        <v>0</v>
      </c>
      <c r="X60" s="145">
        <f>IF(テーブル2[[#This Row],[ｼｬﾄﾙﾗﾝ]]="",0,(IF(テーブル2[[#This Row],[性別]]="男",LOOKUP(テーブル2[[#This Row],[ｼｬﾄﾙﾗﾝ]],$AS$6:$AT$15),LOOKUP(テーブル2[[#This Row],[ｼｬﾄﾙﾗﾝ]],$AS$20:$AT$29))))</f>
        <v>0</v>
      </c>
      <c r="Y60" s="145">
        <f>IF(テーブル2[[#This Row],[50m走]]="",0,(IF(テーブル2[[#This Row],[性別]]="男",LOOKUP(テーブル2[[#This Row],[50m走]],$AU$6:$AV$15),LOOKUP(テーブル2[[#This Row],[50m走]],$AU$20:$AV$29))))</f>
        <v>0</v>
      </c>
      <c r="Z60" s="145">
        <f>IF(テーブル2[[#This Row],[立幅とび]]="",0,(IF(テーブル2[[#This Row],[性別]]="男",LOOKUP(テーブル2[[#This Row],[立幅とび]],$AW$6:$AX$15),LOOKUP(テーブル2[[#This Row],[立幅とび]],$AW$20:$AX$29))))</f>
        <v>0</v>
      </c>
      <c r="AA60" s="145">
        <f>IF(テーブル2[[#This Row],[ボール投げ]]="",0,(IF(テーブル2[[#This Row],[性別]]="男",LOOKUP(テーブル2[[#This Row],[ボール投げ]],$AY$6:$AZ$15),LOOKUP(テーブル2[[#This Row],[ボール投げ]],$AY$20:$AZ$29))))</f>
        <v>0</v>
      </c>
      <c r="AB60" s="146" t="str">
        <f>IF(テーブル2[[#This Row],[学年]]=1,12,IF(テーブル2[[#This Row],[学年]]=2,13,IF(テーブル2[[#This Row],[学年]]=3,14,"")))</f>
        <v/>
      </c>
      <c r="AC60" s="192" t="str">
        <f>IF(テーブル2[[#This Row],[肥満度数値]]=0,"",LOOKUP(AE60,$AW$39:$AW$44,$AX$39:$AX$44))</f>
        <v/>
      </c>
      <c r="AD6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0" s="77">
        <f>IF(テーブル2[[#This Row],[体重]]="",0,(テーブル2[[#This Row],[体重]]-テーブル2[[#This Row],[標準体重]])/テーブル2[[#This Row],[標準体重]]*100)</f>
        <v>0</v>
      </c>
      <c r="AF60" s="26">
        <f>COUNTA(テーブル2[[#This Row],[握力]:[ボール投げ]])</f>
        <v>0</v>
      </c>
      <c r="AG60" s="1" t="str">
        <f>IF(テーブル2[[#This Row],[判定]]=$BE$10,"○","")</f>
        <v/>
      </c>
      <c r="AH60" s="1" t="str">
        <f>IF(AG60="","",COUNTIF($AG$6:AG60,"○"))</f>
        <v/>
      </c>
    </row>
    <row r="61" spans="1:34" ht="14.25" customHeight="1" x14ac:dyDescent="0.15">
      <c r="A61" s="44">
        <v>56</v>
      </c>
      <c r="B61" s="148"/>
      <c r="C61" s="151"/>
      <c r="D61" s="148"/>
      <c r="E61" s="152"/>
      <c r="F61" s="148"/>
      <c r="G61" s="148"/>
      <c r="H61" s="150"/>
      <c r="I61" s="150"/>
      <c r="J61" s="151"/>
      <c r="K61" s="148"/>
      <c r="L61" s="196"/>
      <c r="M61" s="151"/>
      <c r="N61" s="197"/>
      <c r="O61" s="151"/>
      <c r="P61" s="153"/>
      <c r="Q6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 s="144" t="str">
        <f>IF(テーブル2[[#This Row],[得点]]=0,"",IF(テーブル2[[#This Row],[年齢]]=17,LOOKUP(Q61,$BH$6:$BH$10,$BE$6:$BE$10),IF(テーブル2[[#This Row],[年齢]]=16,LOOKUP(Q61,$BG$6:$BG$10,$BE$6:$BE$10),IF(テーブル2[[#This Row],[年齢]]=15,LOOKUP(Q61,$BF$6:$BF$10,$BE$6:$BE$10),IF(テーブル2[[#This Row],[年齢]]=14,LOOKUP(Q61,$BD$6:$BD$10,$BE$6:$BE$10),IF(テーブル2[[#This Row],[年齢]]=13,LOOKUP(Q61,$BC$6:$BC$10,$BE$6:$BE$10),LOOKUP(Q61,$BB$6:$BB$10,$BE$6:$BE$10)))))))</f>
        <v/>
      </c>
      <c r="S61" s="145">
        <f>IF(H61="",0,(IF(テーブル2[[#This Row],[性別]]="男",LOOKUP(テーブル2[[#This Row],[握力]],$AI$6:$AJ$15),LOOKUP(テーブル2[[#This Row],[握力]],$AI$20:$AJ$29))))</f>
        <v>0</v>
      </c>
      <c r="T61" s="145">
        <f>IF(テーブル2[[#This Row],[上体]]="",0,(IF(テーブル2[[#This Row],[性別]]="男",LOOKUP(テーブル2[[#This Row],[上体]],$AK$6:$AL$15),LOOKUP(テーブル2[[#This Row],[上体]],$AK$20:$AL$29))))</f>
        <v>0</v>
      </c>
      <c r="U61" s="145">
        <f>IF(テーブル2[[#This Row],[長座]]="",0,(IF(テーブル2[[#This Row],[性別]]="男",LOOKUP(テーブル2[[#This Row],[長座]],$AM$6:$AN$15),LOOKUP(テーブル2[[#This Row],[長座]],$AM$20:$AN$29))))</f>
        <v>0</v>
      </c>
      <c r="V61" s="145">
        <f>IF(テーブル2[[#This Row],[反復]]="",0,(IF(テーブル2[[#This Row],[性別]]="男",LOOKUP(テーブル2[[#This Row],[反復]],$AO$6:$AP$15),LOOKUP(テーブル2[[#This Row],[反復]],$AO$20:$AP$29))))</f>
        <v>0</v>
      </c>
      <c r="W61" s="145">
        <f>IF(テーブル2[[#This Row],[持久走]]="",0,(IF(テーブル2[[#This Row],[性別]]="男",LOOKUP(テーブル2[[#This Row],[持久走]],$AQ$6:$AR$15),LOOKUP(テーブル2[[#This Row],[持久走]],$AQ$20:$AR$29))))</f>
        <v>0</v>
      </c>
      <c r="X61" s="145">
        <f>IF(テーブル2[[#This Row],[ｼｬﾄﾙﾗﾝ]]="",0,(IF(テーブル2[[#This Row],[性別]]="男",LOOKUP(テーブル2[[#This Row],[ｼｬﾄﾙﾗﾝ]],$AS$6:$AT$15),LOOKUP(テーブル2[[#This Row],[ｼｬﾄﾙﾗﾝ]],$AS$20:$AT$29))))</f>
        <v>0</v>
      </c>
      <c r="Y61" s="145">
        <f>IF(テーブル2[[#This Row],[50m走]]="",0,(IF(テーブル2[[#This Row],[性別]]="男",LOOKUP(テーブル2[[#This Row],[50m走]],$AU$6:$AV$15),LOOKUP(テーブル2[[#This Row],[50m走]],$AU$20:$AV$29))))</f>
        <v>0</v>
      </c>
      <c r="Z61" s="145">
        <f>IF(テーブル2[[#This Row],[立幅とび]]="",0,(IF(テーブル2[[#This Row],[性別]]="男",LOOKUP(テーブル2[[#This Row],[立幅とび]],$AW$6:$AX$15),LOOKUP(テーブル2[[#This Row],[立幅とび]],$AW$20:$AX$29))))</f>
        <v>0</v>
      </c>
      <c r="AA61" s="145">
        <f>IF(テーブル2[[#This Row],[ボール投げ]]="",0,(IF(テーブル2[[#This Row],[性別]]="男",LOOKUP(テーブル2[[#This Row],[ボール投げ]],$AY$6:$AZ$15),LOOKUP(テーブル2[[#This Row],[ボール投げ]],$AY$20:$AZ$29))))</f>
        <v>0</v>
      </c>
      <c r="AB61" s="146" t="str">
        <f>IF(テーブル2[[#This Row],[学年]]=1,12,IF(テーブル2[[#This Row],[学年]]=2,13,IF(テーブル2[[#This Row],[学年]]=3,14,"")))</f>
        <v/>
      </c>
      <c r="AC61" s="192" t="str">
        <f>IF(テーブル2[[#This Row],[肥満度数値]]=0,"",LOOKUP(AE61,$AW$39:$AW$44,$AX$39:$AX$44))</f>
        <v/>
      </c>
      <c r="AD6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1" s="77">
        <f>IF(テーブル2[[#This Row],[体重]]="",0,(テーブル2[[#This Row],[体重]]-テーブル2[[#This Row],[標準体重]])/テーブル2[[#This Row],[標準体重]]*100)</f>
        <v>0</v>
      </c>
      <c r="AF61" s="26">
        <f>COUNTA(テーブル2[[#This Row],[握力]:[ボール投げ]])</f>
        <v>0</v>
      </c>
      <c r="AG61" s="1" t="str">
        <f>IF(テーブル2[[#This Row],[判定]]=$BE$10,"○","")</f>
        <v/>
      </c>
      <c r="AH61" s="1" t="str">
        <f>IF(AG61="","",COUNTIF($AG$6:AG61,"○"))</f>
        <v/>
      </c>
    </row>
    <row r="62" spans="1:34" ht="14.25" customHeight="1" x14ac:dyDescent="0.15">
      <c r="A62" s="44">
        <v>57</v>
      </c>
      <c r="B62" s="148"/>
      <c r="C62" s="151"/>
      <c r="D62" s="148"/>
      <c r="E62" s="152"/>
      <c r="F62" s="148"/>
      <c r="G62" s="148"/>
      <c r="H62" s="150"/>
      <c r="I62" s="150"/>
      <c r="J62" s="151"/>
      <c r="K62" s="148"/>
      <c r="L62" s="196"/>
      <c r="M62" s="151"/>
      <c r="N62" s="197"/>
      <c r="O62" s="151"/>
      <c r="P62" s="153"/>
      <c r="Q6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 s="144" t="str">
        <f>IF(テーブル2[[#This Row],[得点]]=0,"",IF(テーブル2[[#This Row],[年齢]]=17,LOOKUP(Q62,$BH$6:$BH$10,$BE$6:$BE$10),IF(テーブル2[[#This Row],[年齢]]=16,LOOKUP(Q62,$BG$6:$BG$10,$BE$6:$BE$10),IF(テーブル2[[#This Row],[年齢]]=15,LOOKUP(Q62,$BF$6:$BF$10,$BE$6:$BE$10),IF(テーブル2[[#This Row],[年齢]]=14,LOOKUP(Q62,$BD$6:$BD$10,$BE$6:$BE$10),IF(テーブル2[[#This Row],[年齢]]=13,LOOKUP(Q62,$BC$6:$BC$10,$BE$6:$BE$10),LOOKUP(Q62,$BB$6:$BB$10,$BE$6:$BE$10)))))))</f>
        <v/>
      </c>
      <c r="S62" s="145">
        <f>IF(H62="",0,(IF(テーブル2[[#This Row],[性別]]="男",LOOKUP(テーブル2[[#This Row],[握力]],$AI$6:$AJ$15),LOOKUP(テーブル2[[#This Row],[握力]],$AI$20:$AJ$29))))</f>
        <v>0</v>
      </c>
      <c r="T62" s="145">
        <f>IF(テーブル2[[#This Row],[上体]]="",0,(IF(テーブル2[[#This Row],[性別]]="男",LOOKUP(テーブル2[[#This Row],[上体]],$AK$6:$AL$15),LOOKUP(テーブル2[[#This Row],[上体]],$AK$20:$AL$29))))</f>
        <v>0</v>
      </c>
      <c r="U62" s="145">
        <f>IF(テーブル2[[#This Row],[長座]]="",0,(IF(テーブル2[[#This Row],[性別]]="男",LOOKUP(テーブル2[[#This Row],[長座]],$AM$6:$AN$15),LOOKUP(テーブル2[[#This Row],[長座]],$AM$20:$AN$29))))</f>
        <v>0</v>
      </c>
      <c r="V62" s="145">
        <f>IF(テーブル2[[#This Row],[反復]]="",0,(IF(テーブル2[[#This Row],[性別]]="男",LOOKUP(テーブル2[[#This Row],[反復]],$AO$6:$AP$15),LOOKUP(テーブル2[[#This Row],[反復]],$AO$20:$AP$29))))</f>
        <v>0</v>
      </c>
      <c r="W62" s="145">
        <f>IF(テーブル2[[#This Row],[持久走]]="",0,(IF(テーブル2[[#This Row],[性別]]="男",LOOKUP(テーブル2[[#This Row],[持久走]],$AQ$6:$AR$15),LOOKUP(テーブル2[[#This Row],[持久走]],$AQ$20:$AR$29))))</f>
        <v>0</v>
      </c>
      <c r="X62" s="145">
        <f>IF(テーブル2[[#This Row],[ｼｬﾄﾙﾗﾝ]]="",0,(IF(テーブル2[[#This Row],[性別]]="男",LOOKUP(テーブル2[[#This Row],[ｼｬﾄﾙﾗﾝ]],$AS$6:$AT$15),LOOKUP(テーブル2[[#This Row],[ｼｬﾄﾙﾗﾝ]],$AS$20:$AT$29))))</f>
        <v>0</v>
      </c>
      <c r="Y62" s="145">
        <f>IF(テーブル2[[#This Row],[50m走]]="",0,(IF(テーブル2[[#This Row],[性別]]="男",LOOKUP(テーブル2[[#This Row],[50m走]],$AU$6:$AV$15),LOOKUP(テーブル2[[#This Row],[50m走]],$AU$20:$AV$29))))</f>
        <v>0</v>
      </c>
      <c r="Z62" s="145">
        <f>IF(テーブル2[[#This Row],[立幅とび]]="",0,(IF(テーブル2[[#This Row],[性別]]="男",LOOKUP(テーブル2[[#This Row],[立幅とび]],$AW$6:$AX$15),LOOKUP(テーブル2[[#This Row],[立幅とび]],$AW$20:$AX$29))))</f>
        <v>0</v>
      </c>
      <c r="AA62" s="145">
        <f>IF(テーブル2[[#This Row],[ボール投げ]]="",0,(IF(テーブル2[[#This Row],[性別]]="男",LOOKUP(テーブル2[[#This Row],[ボール投げ]],$AY$6:$AZ$15),LOOKUP(テーブル2[[#This Row],[ボール投げ]],$AY$20:$AZ$29))))</f>
        <v>0</v>
      </c>
      <c r="AB62" s="146" t="str">
        <f>IF(テーブル2[[#This Row],[学年]]=1,12,IF(テーブル2[[#This Row],[学年]]=2,13,IF(テーブル2[[#This Row],[学年]]=3,14,"")))</f>
        <v/>
      </c>
      <c r="AC62" s="192" t="str">
        <f>IF(テーブル2[[#This Row],[肥満度数値]]=0,"",LOOKUP(AE62,$AW$39:$AW$44,$AX$39:$AX$44))</f>
        <v/>
      </c>
      <c r="AD6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2" s="77">
        <f>IF(テーブル2[[#This Row],[体重]]="",0,(テーブル2[[#This Row],[体重]]-テーブル2[[#This Row],[標準体重]])/テーブル2[[#This Row],[標準体重]]*100)</f>
        <v>0</v>
      </c>
      <c r="AF62" s="26">
        <f>COUNTA(テーブル2[[#This Row],[握力]:[ボール投げ]])</f>
        <v>0</v>
      </c>
      <c r="AG62" s="1" t="str">
        <f>IF(テーブル2[[#This Row],[判定]]=$BE$10,"○","")</f>
        <v/>
      </c>
      <c r="AH62" s="1" t="str">
        <f>IF(AG62="","",COUNTIF($AG$6:AG62,"○"))</f>
        <v/>
      </c>
    </row>
    <row r="63" spans="1:34" ht="14.25" customHeight="1" x14ac:dyDescent="0.15">
      <c r="A63" s="44">
        <v>58</v>
      </c>
      <c r="B63" s="148"/>
      <c r="C63" s="151"/>
      <c r="D63" s="148"/>
      <c r="E63" s="152"/>
      <c r="F63" s="148"/>
      <c r="G63" s="148"/>
      <c r="H63" s="150"/>
      <c r="I63" s="150"/>
      <c r="J63" s="151"/>
      <c r="K63" s="148"/>
      <c r="L63" s="196"/>
      <c r="M63" s="151"/>
      <c r="N63" s="197"/>
      <c r="O63" s="151"/>
      <c r="P63" s="153"/>
      <c r="Q6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 s="144" t="str">
        <f>IF(テーブル2[[#This Row],[得点]]=0,"",IF(テーブル2[[#This Row],[年齢]]=17,LOOKUP(Q63,$BH$6:$BH$10,$BE$6:$BE$10),IF(テーブル2[[#This Row],[年齢]]=16,LOOKUP(Q63,$BG$6:$BG$10,$BE$6:$BE$10),IF(テーブル2[[#This Row],[年齢]]=15,LOOKUP(Q63,$BF$6:$BF$10,$BE$6:$BE$10),IF(テーブル2[[#This Row],[年齢]]=14,LOOKUP(Q63,$BD$6:$BD$10,$BE$6:$BE$10),IF(テーブル2[[#This Row],[年齢]]=13,LOOKUP(Q63,$BC$6:$BC$10,$BE$6:$BE$10),LOOKUP(Q63,$BB$6:$BB$10,$BE$6:$BE$10)))))))</f>
        <v/>
      </c>
      <c r="S63" s="145">
        <f>IF(H63="",0,(IF(テーブル2[[#This Row],[性別]]="男",LOOKUP(テーブル2[[#This Row],[握力]],$AI$6:$AJ$15),LOOKUP(テーブル2[[#This Row],[握力]],$AI$20:$AJ$29))))</f>
        <v>0</v>
      </c>
      <c r="T63" s="145">
        <f>IF(テーブル2[[#This Row],[上体]]="",0,(IF(テーブル2[[#This Row],[性別]]="男",LOOKUP(テーブル2[[#This Row],[上体]],$AK$6:$AL$15),LOOKUP(テーブル2[[#This Row],[上体]],$AK$20:$AL$29))))</f>
        <v>0</v>
      </c>
      <c r="U63" s="145">
        <f>IF(テーブル2[[#This Row],[長座]]="",0,(IF(テーブル2[[#This Row],[性別]]="男",LOOKUP(テーブル2[[#This Row],[長座]],$AM$6:$AN$15),LOOKUP(テーブル2[[#This Row],[長座]],$AM$20:$AN$29))))</f>
        <v>0</v>
      </c>
      <c r="V63" s="145">
        <f>IF(テーブル2[[#This Row],[反復]]="",0,(IF(テーブル2[[#This Row],[性別]]="男",LOOKUP(テーブル2[[#This Row],[反復]],$AO$6:$AP$15),LOOKUP(テーブル2[[#This Row],[反復]],$AO$20:$AP$29))))</f>
        <v>0</v>
      </c>
      <c r="W63" s="145">
        <f>IF(テーブル2[[#This Row],[持久走]]="",0,(IF(テーブル2[[#This Row],[性別]]="男",LOOKUP(テーブル2[[#This Row],[持久走]],$AQ$6:$AR$15),LOOKUP(テーブル2[[#This Row],[持久走]],$AQ$20:$AR$29))))</f>
        <v>0</v>
      </c>
      <c r="X63" s="145">
        <f>IF(テーブル2[[#This Row],[ｼｬﾄﾙﾗﾝ]]="",0,(IF(テーブル2[[#This Row],[性別]]="男",LOOKUP(テーブル2[[#This Row],[ｼｬﾄﾙﾗﾝ]],$AS$6:$AT$15),LOOKUP(テーブル2[[#This Row],[ｼｬﾄﾙﾗﾝ]],$AS$20:$AT$29))))</f>
        <v>0</v>
      </c>
      <c r="Y63" s="145">
        <f>IF(テーブル2[[#This Row],[50m走]]="",0,(IF(テーブル2[[#This Row],[性別]]="男",LOOKUP(テーブル2[[#This Row],[50m走]],$AU$6:$AV$15),LOOKUP(テーブル2[[#This Row],[50m走]],$AU$20:$AV$29))))</f>
        <v>0</v>
      </c>
      <c r="Z63" s="145">
        <f>IF(テーブル2[[#This Row],[立幅とび]]="",0,(IF(テーブル2[[#This Row],[性別]]="男",LOOKUP(テーブル2[[#This Row],[立幅とび]],$AW$6:$AX$15),LOOKUP(テーブル2[[#This Row],[立幅とび]],$AW$20:$AX$29))))</f>
        <v>0</v>
      </c>
      <c r="AA63" s="145">
        <f>IF(テーブル2[[#This Row],[ボール投げ]]="",0,(IF(テーブル2[[#This Row],[性別]]="男",LOOKUP(テーブル2[[#This Row],[ボール投げ]],$AY$6:$AZ$15),LOOKUP(テーブル2[[#This Row],[ボール投げ]],$AY$20:$AZ$29))))</f>
        <v>0</v>
      </c>
      <c r="AB63" s="146" t="str">
        <f>IF(テーブル2[[#This Row],[学年]]=1,12,IF(テーブル2[[#This Row],[学年]]=2,13,IF(テーブル2[[#This Row],[学年]]=3,14,"")))</f>
        <v/>
      </c>
      <c r="AC63" s="192" t="str">
        <f>IF(テーブル2[[#This Row],[肥満度数値]]=0,"",LOOKUP(AE63,$AW$39:$AW$44,$AX$39:$AX$44))</f>
        <v/>
      </c>
      <c r="AD6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3" s="77">
        <f>IF(テーブル2[[#This Row],[体重]]="",0,(テーブル2[[#This Row],[体重]]-テーブル2[[#This Row],[標準体重]])/テーブル2[[#This Row],[標準体重]]*100)</f>
        <v>0</v>
      </c>
      <c r="AF63" s="26">
        <f>COUNTA(テーブル2[[#This Row],[握力]:[ボール投げ]])</f>
        <v>0</v>
      </c>
      <c r="AG63" s="1" t="str">
        <f>IF(テーブル2[[#This Row],[判定]]=$BE$10,"○","")</f>
        <v/>
      </c>
      <c r="AH63" s="1" t="str">
        <f>IF(AG63="","",COUNTIF($AG$6:AG63,"○"))</f>
        <v/>
      </c>
    </row>
    <row r="64" spans="1:34" ht="14.25" customHeight="1" x14ac:dyDescent="0.15">
      <c r="A64" s="44">
        <v>59</v>
      </c>
      <c r="B64" s="148"/>
      <c r="C64" s="151"/>
      <c r="D64" s="148"/>
      <c r="E64" s="152"/>
      <c r="F64" s="148"/>
      <c r="G64" s="148"/>
      <c r="H64" s="150"/>
      <c r="I64" s="150"/>
      <c r="J64" s="151"/>
      <c r="K64" s="148"/>
      <c r="L64" s="196"/>
      <c r="M64" s="151"/>
      <c r="N64" s="197"/>
      <c r="O64" s="151"/>
      <c r="P64" s="153"/>
      <c r="Q6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 s="144" t="str">
        <f>IF(テーブル2[[#This Row],[得点]]=0,"",IF(テーブル2[[#This Row],[年齢]]=17,LOOKUP(Q64,$BH$6:$BH$10,$BE$6:$BE$10),IF(テーブル2[[#This Row],[年齢]]=16,LOOKUP(Q64,$BG$6:$BG$10,$BE$6:$BE$10),IF(テーブル2[[#This Row],[年齢]]=15,LOOKUP(Q64,$BF$6:$BF$10,$BE$6:$BE$10),IF(テーブル2[[#This Row],[年齢]]=14,LOOKUP(Q64,$BD$6:$BD$10,$BE$6:$BE$10),IF(テーブル2[[#This Row],[年齢]]=13,LOOKUP(Q64,$BC$6:$BC$10,$BE$6:$BE$10),LOOKUP(Q64,$BB$6:$BB$10,$BE$6:$BE$10)))))))</f>
        <v/>
      </c>
      <c r="S64" s="145">
        <f>IF(H64="",0,(IF(テーブル2[[#This Row],[性別]]="男",LOOKUP(テーブル2[[#This Row],[握力]],$AI$6:$AJ$15),LOOKUP(テーブル2[[#This Row],[握力]],$AI$20:$AJ$29))))</f>
        <v>0</v>
      </c>
      <c r="T64" s="145">
        <f>IF(テーブル2[[#This Row],[上体]]="",0,(IF(テーブル2[[#This Row],[性別]]="男",LOOKUP(テーブル2[[#This Row],[上体]],$AK$6:$AL$15),LOOKUP(テーブル2[[#This Row],[上体]],$AK$20:$AL$29))))</f>
        <v>0</v>
      </c>
      <c r="U64" s="145">
        <f>IF(テーブル2[[#This Row],[長座]]="",0,(IF(テーブル2[[#This Row],[性別]]="男",LOOKUP(テーブル2[[#This Row],[長座]],$AM$6:$AN$15),LOOKUP(テーブル2[[#This Row],[長座]],$AM$20:$AN$29))))</f>
        <v>0</v>
      </c>
      <c r="V64" s="145">
        <f>IF(テーブル2[[#This Row],[反復]]="",0,(IF(テーブル2[[#This Row],[性別]]="男",LOOKUP(テーブル2[[#This Row],[反復]],$AO$6:$AP$15),LOOKUP(テーブル2[[#This Row],[反復]],$AO$20:$AP$29))))</f>
        <v>0</v>
      </c>
      <c r="W64" s="145">
        <f>IF(テーブル2[[#This Row],[持久走]]="",0,(IF(テーブル2[[#This Row],[性別]]="男",LOOKUP(テーブル2[[#This Row],[持久走]],$AQ$6:$AR$15),LOOKUP(テーブル2[[#This Row],[持久走]],$AQ$20:$AR$29))))</f>
        <v>0</v>
      </c>
      <c r="X64" s="145">
        <f>IF(テーブル2[[#This Row],[ｼｬﾄﾙﾗﾝ]]="",0,(IF(テーブル2[[#This Row],[性別]]="男",LOOKUP(テーブル2[[#This Row],[ｼｬﾄﾙﾗﾝ]],$AS$6:$AT$15),LOOKUP(テーブル2[[#This Row],[ｼｬﾄﾙﾗﾝ]],$AS$20:$AT$29))))</f>
        <v>0</v>
      </c>
      <c r="Y64" s="145">
        <f>IF(テーブル2[[#This Row],[50m走]]="",0,(IF(テーブル2[[#This Row],[性別]]="男",LOOKUP(テーブル2[[#This Row],[50m走]],$AU$6:$AV$15),LOOKUP(テーブル2[[#This Row],[50m走]],$AU$20:$AV$29))))</f>
        <v>0</v>
      </c>
      <c r="Z64" s="145">
        <f>IF(テーブル2[[#This Row],[立幅とび]]="",0,(IF(テーブル2[[#This Row],[性別]]="男",LOOKUP(テーブル2[[#This Row],[立幅とび]],$AW$6:$AX$15),LOOKUP(テーブル2[[#This Row],[立幅とび]],$AW$20:$AX$29))))</f>
        <v>0</v>
      </c>
      <c r="AA64" s="145">
        <f>IF(テーブル2[[#This Row],[ボール投げ]]="",0,(IF(テーブル2[[#This Row],[性別]]="男",LOOKUP(テーブル2[[#This Row],[ボール投げ]],$AY$6:$AZ$15),LOOKUP(テーブル2[[#This Row],[ボール投げ]],$AY$20:$AZ$29))))</f>
        <v>0</v>
      </c>
      <c r="AB64" s="146" t="str">
        <f>IF(テーブル2[[#This Row],[学年]]=1,12,IF(テーブル2[[#This Row],[学年]]=2,13,IF(テーブル2[[#This Row],[学年]]=3,14,"")))</f>
        <v/>
      </c>
      <c r="AC64" s="192" t="str">
        <f>IF(テーブル2[[#This Row],[肥満度数値]]=0,"",LOOKUP(AE64,$AW$39:$AW$44,$AX$39:$AX$44))</f>
        <v/>
      </c>
      <c r="AD6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4" s="77">
        <f>IF(テーブル2[[#This Row],[体重]]="",0,(テーブル2[[#This Row],[体重]]-テーブル2[[#This Row],[標準体重]])/テーブル2[[#This Row],[標準体重]]*100)</f>
        <v>0</v>
      </c>
      <c r="AF64" s="26">
        <f>COUNTA(テーブル2[[#This Row],[握力]:[ボール投げ]])</f>
        <v>0</v>
      </c>
      <c r="AG64" s="1" t="str">
        <f>IF(テーブル2[[#This Row],[判定]]=$BE$10,"○","")</f>
        <v/>
      </c>
      <c r="AH64" s="1" t="str">
        <f>IF(AG64="","",COUNTIF($AG$6:AG64,"○"))</f>
        <v/>
      </c>
    </row>
    <row r="65" spans="1:34" ht="14.25" customHeight="1" x14ac:dyDescent="0.15">
      <c r="A65" s="44">
        <v>60</v>
      </c>
      <c r="B65" s="148"/>
      <c r="C65" s="151"/>
      <c r="D65" s="148"/>
      <c r="E65" s="152"/>
      <c r="F65" s="148"/>
      <c r="G65" s="148"/>
      <c r="H65" s="150"/>
      <c r="I65" s="150"/>
      <c r="J65" s="151"/>
      <c r="K65" s="148"/>
      <c r="L65" s="196"/>
      <c r="M65" s="151"/>
      <c r="N65" s="197"/>
      <c r="O65" s="151"/>
      <c r="P65" s="153"/>
      <c r="Q6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 s="144" t="str">
        <f>IF(テーブル2[[#This Row],[得点]]=0,"",IF(テーブル2[[#This Row],[年齢]]=17,LOOKUP(Q65,$BH$6:$BH$10,$BE$6:$BE$10),IF(テーブル2[[#This Row],[年齢]]=16,LOOKUP(Q65,$BG$6:$BG$10,$BE$6:$BE$10),IF(テーブル2[[#This Row],[年齢]]=15,LOOKUP(Q65,$BF$6:$BF$10,$BE$6:$BE$10),IF(テーブル2[[#This Row],[年齢]]=14,LOOKUP(Q65,$BD$6:$BD$10,$BE$6:$BE$10),IF(テーブル2[[#This Row],[年齢]]=13,LOOKUP(Q65,$BC$6:$BC$10,$BE$6:$BE$10),LOOKUP(Q65,$BB$6:$BB$10,$BE$6:$BE$10)))))))</f>
        <v/>
      </c>
      <c r="S65" s="145">
        <f>IF(H65="",0,(IF(テーブル2[[#This Row],[性別]]="男",LOOKUP(テーブル2[[#This Row],[握力]],$AI$6:$AJ$15),LOOKUP(テーブル2[[#This Row],[握力]],$AI$20:$AJ$29))))</f>
        <v>0</v>
      </c>
      <c r="T65" s="145">
        <f>IF(テーブル2[[#This Row],[上体]]="",0,(IF(テーブル2[[#This Row],[性別]]="男",LOOKUP(テーブル2[[#This Row],[上体]],$AK$6:$AL$15),LOOKUP(テーブル2[[#This Row],[上体]],$AK$20:$AL$29))))</f>
        <v>0</v>
      </c>
      <c r="U65" s="145">
        <f>IF(テーブル2[[#This Row],[長座]]="",0,(IF(テーブル2[[#This Row],[性別]]="男",LOOKUP(テーブル2[[#This Row],[長座]],$AM$6:$AN$15),LOOKUP(テーブル2[[#This Row],[長座]],$AM$20:$AN$29))))</f>
        <v>0</v>
      </c>
      <c r="V65" s="145">
        <f>IF(テーブル2[[#This Row],[反復]]="",0,(IF(テーブル2[[#This Row],[性別]]="男",LOOKUP(テーブル2[[#This Row],[反復]],$AO$6:$AP$15),LOOKUP(テーブル2[[#This Row],[反復]],$AO$20:$AP$29))))</f>
        <v>0</v>
      </c>
      <c r="W65" s="145">
        <f>IF(テーブル2[[#This Row],[持久走]]="",0,(IF(テーブル2[[#This Row],[性別]]="男",LOOKUP(テーブル2[[#This Row],[持久走]],$AQ$6:$AR$15),LOOKUP(テーブル2[[#This Row],[持久走]],$AQ$20:$AR$29))))</f>
        <v>0</v>
      </c>
      <c r="X65" s="145">
        <f>IF(テーブル2[[#This Row],[ｼｬﾄﾙﾗﾝ]]="",0,(IF(テーブル2[[#This Row],[性別]]="男",LOOKUP(テーブル2[[#This Row],[ｼｬﾄﾙﾗﾝ]],$AS$6:$AT$15),LOOKUP(テーブル2[[#This Row],[ｼｬﾄﾙﾗﾝ]],$AS$20:$AT$29))))</f>
        <v>0</v>
      </c>
      <c r="Y65" s="145">
        <f>IF(テーブル2[[#This Row],[50m走]]="",0,(IF(テーブル2[[#This Row],[性別]]="男",LOOKUP(テーブル2[[#This Row],[50m走]],$AU$6:$AV$15),LOOKUP(テーブル2[[#This Row],[50m走]],$AU$20:$AV$29))))</f>
        <v>0</v>
      </c>
      <c r="Z65" s="145">
        <f>IF(テーブル2[[#This Row],[立幅とび]]="",0,(IF(テーブル2[[#This Row],[性別]]="男",LOOKUP(テーブル2[[#This Row],[立幅とび]],$AW$6:$AX$15),LOOKUP(テーブル2[[#This Row],[立幅とび]],$AW$20:$AX$29))))</f>
        <v>0</v>
      </c>
      <c r="AA65" s="145">
        <f>IF(テーブル2[[#This Row],[ボール投げ]]="",0,(IF(テーブル2[[#This Row],[性別]]="男",LOOKUP(テーブル2[[#This Row],[ボール投げ]],$AY$6:$AZ$15),LOOKUP(テーブル2[[#This Row],[ボール投げ]],$AY$20:$AZ$29))))</f>
        <v>0</v>
      </c>
      <c r="AB65" s="146" t="str">
        <f>IF(テーブル2[[#This Row],[学年]]=1,12,IF(テーブル2[[#This Row],[学年]]=2,13,IF(テーブル2[[#This Row],[学年]]=3,14,"")))</f>
        <v/>
      </c>
      <c r="AC65" s="192" t="str">
        <f>IF(テーブル2[[#This Row],[肥満度数値]]=0,"",LOOKUP(AE65,$AW$39:$AW$44,$AX$39:$AX$44))</f>
        <v/>
      </c>
      <c r="AD6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5" s="77">
        <f>IF(テーブル2[[#This Row],[体重]]="",0,(テーブル2[[#This Row],[体重]]-テーブル2[[#This Row],[標準体重]])/テーブル2[[#This Row],[標準体重]]*100)</f>
        <v>0</v>
      </c>
      <c r="AF65" s="26">
        <f>COUNTA(テーブル2[[#This Row],[握力]:[ボール投げ]])</f>
        <v>0</v>
      </c>
      <c r="AG65" s="1" t="str">
        <f>IF(テーブル2[[#This Row],[判定]]=$BE$10,"○","")</f>
        <v/>
      </c>
      <c r="AH65" s="1" t="str">
        <f>IF(AG65="","",COUNTIF($AG$6:AG65,"○"))</f>
        <v/>
      </c>
    </row>
    <row r="66" spans="1:34" ht="14.25" customHeight="1" x14ac:dyDescent="0.15">
      <c r="A66" s="44">
        <v>61</v>
      </c>
      <c r="B66" s="148"/>
      <c r="C66" s="151"/>
      <c r="D66" s="148"/>
      <c r="E66" s="152"/>
      <c r="F66" s="148"/>
      <c r="G66" s="148"/>
      <c r="H66" s="150"/>
      <c r="I66" s="150"/>
      <c r="J66" s="151"/>
      <c r="K66" s="148"/>
      <c r="L66" s="196"/>
      <c r="M66" s="151"/>
      <c r="N66" s="197"/>
      <c r="O66" s="151"/>
      <c r="P66" s="153"/>
      <c r="Q6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 s="144" t="str">
        <f>IF(テーブル2[[#This Row],[得点]]=0,"",IF(テーブル2[[#This Row],[年齢]]=17,LOOKUP(Q66,$BH$6:$BH$10,$BE$6:$BE$10),IF(テーブル2[[#This Row],[年齢]]=16,LOOKUP(Q66,$BG$6:$BG$10,$BE$6:$BE$10),IF(テーブル2[[#This Row],[年齢]]=15,LOOKUP(Q66,$BF$6:$BF$10,$BE$6:$BE$10),IF(テーブル2[[#This Row],[年齢]]=14,LOOKUP(Q66,$BD$6:$BD$10,$BE$6:$BE$10),IF(テーブル2[[#This Row],[年齢]]=13,LOOKUP(Q66,$BC$6:$BC$10,$BE$6:$BE$10),LOOKUP(Q66,$BB$6:$BB$10,$BE$6:$BE$10)))))))</f>
        <v/>
      </c>
      <c r="S66" s="145">
        <f>IF(H66="",0,(IF(テーブル2[[#This Row],[性別]]="男",LOOKUP(テーブル2[[#This Row],[握力]],$AI$6:$AJ$15),LOOKUP(テーブル2[[#This Row],[握力]],$AI$20:$AJ$29))))</f>
        <v>0</v>
      </c>
      <c r="T66" s="145">
        <f>IF(テーブル2[[#This Row],[上体]]="",0,(IF(テーブル2[[#This Row],[性別]]="男",LOOKUP(テーブル2[[#This Row],[上体]],$AK$6:$AL$15),LOOKUP(テーブル2[[#This Row],[上体]],$AK$20:$AL$29))))</f>
        <v>0</v>
      </c>
      <c r="U66" s="145">
        <f>IF(テーブル2[[#This Row],[長座]]="",0,(IF(テーブル2[[#This Row],[性別]]="男",LOOKUP(テーブル2[[#This Row],[長座]],$AM$6:$AN$15),LOOKUP(テーブル2[[#This Row],[長座]],$AM$20:$AN$29))))</f>
        <v>0</v>
      </c>
      <c r="V66" s="145">
        <f>IF(テーブル2[[#This Row],[反復]]="",0,(IF(テーブル2[[#This Row],[性別]]="男",LOOKUP(テーブル2[[#This Row],[反復]],$AO$6:$AP$15),LOOKUP(テーブル2[[#This Row],[反復]],$AO$20:$AP$29))))</f>
        <v>0</v>
      </c>
      <c r="W66" s="145">
        <f>IF(テーブル2[[#This Row],[持久走]]="",0,(IF(テーブル2[[#This Row],[性別]]="男",LOOKUP(テーブル2[[#This Row],[持久走]],$AQ$6:$AR$15),LOOKUP(テーブル2[[#This Row],[持久走]],$AQ$20:$AR$29))))</f>
        <v>0</v>
      </c>
      <c r="X66" s="145">
        <f>IF(テーブル2[[#This Row],[ｼｬﾄﾙﾗﾝ]]="",0,(IF(テーブル2[[#This Row],[性別]]="男",LOOKUP(テーブル2[[#This Row],[ｼｬﾄﾙﾗﾝ]],$AS$6:$AT$15),LOOKUP(テーブル2[[#This Row],[ｼｬﾄﾙﾗﾝ]],$AS$20:$AT$29))))</f>
        <v>0</v>
      </c>
      <c r="Y66" s="145">
        <f>IF(テーブル2[[#This Row],[50m走]]="",0,(IF(テーブル2[[#This Row],[性別]]="男",LOOKUP(テーブル2[[#This Row],[50m走]],$AU$6:$AV$15),LOOKUP(テーブル2[[#This Row],[50m走]],$AU$20:$AV$29))))</f>
        <v>0</v>
      </c>
      <c r="Z66" s="145">
        <f>IF(テーブル2[[#This Row],[立幅とび]]="",0,(IF(テーブル2[[#This Row],[性別]]="男",LOOKUP(テーブル2[[#This Row],[立幅とび]],$AW$6:$AX$15),LOOKUP(テーブル2[[#This Row],[立幅とび]],$AW$20:$AX$29))))</f>
        <v>0</v>
      </c>
      <c r="AA66" s="145">
        <f>IF(テーブル2[[#This Row],[ボール投げ]]="",0,(IF(テーブル2[[#This Row],[性別]]="男",LOOKUP(テーブル2[[#This Row],[ボール投げ]],$AY$6:$AZ$15),LOOKUP(テーブル2[[#This Row],[ボール投げ]],$AY$20:$AZ$29))))</f>
        <v>0</v>
      </c>
      <c r="AB66" s="146" t="str">
        <f>IF(テーブル2[[#This Row],[学年]]=1,12,IF(テーブル2[[#This Row],[学年]]=2,13,IF(テーブル2[[#This Row],[学年]]=3,14,"")))</f>
        <v/>
      </c>
      <c r="AC66" s="192" t="str">
        <f>IF(テーブル2[[#This Row],[肥満度数値]]=0,"",LOOKUP(AE66,$AW$39:$AW$44,$AX$39:$AX$44))</f>
        <v/>
      </c>
      <c r="AD6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6" s="77">
        <f>IF(テーブル2[[#This Row],[体重]]="",0,(テーブル2[[#This Row],[体重]]-テーブル2[[#This Row],[標準体重]])/テーブル2[[#This Row],[標準体重]]*100)</f>
        <v>0</v>
      </c>
      <c r="AF66" s="26">
        <f>COUNTA(テーブル2[[#This Row],[握力]:[ボール投げ]])</f>
        <v>0</v>
      </c>
      <c r="AG66" s="1" t="str">
        <f>IF(テーブル2[[#This Row],[判定]]=$BE$10,"○","")</f>
        <v/>
      </c>
      <c r="AH66" s="1" t="str">
        <f>IF(AG66="","",COUNTIF($AG$6:AG66,"○"))</f>
        <v/>
      </c>
    </row>
    <row r="67" spans="1:34" ht="14.25" customHeight="1" x14ac:dyDescent="0.15">
      <c r="A67" s="44">
        <v>62</v>
      </c>
      <c r="B67" s="148"/>
      <c r="C67" s="151"/>
      <c r="D67" s="148"/>
      <c r="E67" s="152"/>
      <c r="F67" s="148"/>
      <c r="G67" s="148"/>
      <c r="H67" s="150"/>
      <c r="I67" s="150"/>
      <c r="J67" s="151"/>
      <c r="K67" s="148"/>
      <c r="L67" s="196"/>
      <c r="M67" s="151"/>
      <c r="N67" s="197"/>
      <c r="O67" s="151"/>
      <c r="P67" s="153"/>
      <c r="Q6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 s="144" t="str">
        <f>IF(テーブル2[[#This Row],[得点]]=0,"",IF(テーブル2[[#This Row],[年齢]]=17,LOOKUP(Q67,$BH$6:$BH$10,$BE$6:$BE$10),IF(テーブル2[[#This Row],[年齢]]=16,LOOKUP(Q67,$BG$6:$BG$10,$BE$6:$BE$10),IF(テーブル2[[#This Row],[年齢]]=15,LOOKUP(Q67,$BF$6:$BF$10,$BE$6:$BE$10),IF(テーブル2[[#This Row],[年齢]]=14,LOOKUP(Q67,$BD$6:$BD$10,$BE$6:$BE$10),IF(テーブル2[[#This Row],[年齢]]=13,LOOKUP(Q67,$BC$6:$BC$10,$BE$6:$BE$10),LOOKUP(Q67,$BB$6:$BB$10,$BE$6:$BE$10)))))))</f>
        <v/>
      </c>
      <c r="S67" s="145">
        <f>IF(H67="",0,(IF(テーブル2[[#This Row],[性別]]="男",LOOKUP(テーブル2[[#This Row],[握力]],$AI$6:$AJ$15),LOOKUP(テーブル2[[#This Row],[握力]],$AI$20:$AJ$29))))</f>
        <v>0</v>
      </c>
      <c r="T67" s="145">
        <f>IF(テーブル2[[#This Row],[上体]]="",0,(IF(テーブル2[[#This Row],[性別]]="男",LOOKUP(テーブル2[[#This Row],[上体]],$AK$6:$AL$15),LOOKUP(テーブル2[[#This Row],[上体]],$AK$20:$AL$29))))</f>
        <v>0</v>
      </c>
      <c r="U67" s="145">
        <f>IF(テーブル2[[#This Row],[長座]]="",0,(IF(テーブル2[[#This Row],[性別]]="男",LOOKUP(テーブル2[[#This Row],[長座]],$AM$6:$AN$15),LOOKUP(テーブル2[[#This Row],[長座]],$AM$20:$AN$29))))</f>
        <v>0</v>
      </c>
      <c r="V67" s="145">
        <f>IF(テーブル2[[#This Row],[反復]]="",0,(IF(テーブル2[[#This Row],[性別]]="男",LOOKUP(テーブル2[[#This Row],[反復]],$AO$6:$AP$15),LOOKUP(テーブル2[[#This Row],[反復]],$AO$20:$AP$29))))</f>
        <v>0</v>
      </c>
      <c r="W67" s="145">
        <f>IF(テーブル2[[#This Row],[持久走]]="",0,(IF(テーブル2[[#This Row],[性別]]="男",LOOKUP(テーブル2[[#This Row],[持久走]],$AQ$6:$AR$15),LOOKUP(テーブル2[[#This Row],[持久走]],$AQ$20:$AR$29))))</f>
        <v>0</v>
      </c>
      <c r="X67" s="145">
        <f>IF(テーブル2[[#This Row],[ｼｬﾄﾙﾗﾝ]]="",0,(IF(テーブル2[[#This Row],[性別]]="男",LOOKUP(テーブル2[[#This Row],[ｼｬﾄﾙﾗﾝ]],$AS$6:$AT$15),LOOKUP(テーブル2[[#This Row],[ｼｬﾄﾙﾗﾝ]],$AS$20:$AT$29))))</f>
        <v>0</v>
      </c>
      <c r="Y67" s="145">
        <f>IF(テーブル2[[#This Row],[50m走]]="",0,(IF(テーブル2[[#This Row],[性別]]="男",LOOKUP(テーブル2[[#This Row],[50m走]],$AU$6:$AV$15),LOOKUP(テーブル2[[#This Row],[50m走]],$AU$20:$AV$29))))</f>
        <v>0</v>
      </c>
      <c r="Z67" s="145">
        <f>IF(テーブル2[[#This Row],[立幅とび]]="",0,(IF(テーブル2[[#This Row],[性別]]="男",LOOKUP(テーブル2[[#This Row],[立幅とび]],$AW$6:$AX$15),LOOKUP(テーブル2[[#This Row],[立幅とび]],$AW$20:$AX$29))))</f>
        <v>0</v>
      </c>
      <c r="AA67" s="145">
        <f>IF(テーブル2[[#This Row],[ボール投げ]]="",0,(IF(テーブル2[[#This Row],[性別]]="男",LOOKUP(テーブル2[[#This Row],[ボール投げ]],$AY$6:$AZ$15),LOOKUP(テーブル2[[#This Row],[ボール投げ]],$AY$20:$AZ$29))))</f>
        <v>0</v>
      </c>
      <c r="AB67" s="146" t="str">
        <f>IF(テーブル2[[#This Row],[学年]]=1,12,IF(テーブル2[[#This Row],[学年]]=2,13,IF(テーブル2[[#This Row],[学年]]=3,14,"")))</f>
        <v/>
      </c>
      <c r="AC67" s="192" t="str">
        <f>IF(テーブル2[[#This Row],[肥満度数値]]=0,"",LOOKUP(AE67,$AW$39:$AW$44,$AX$39:$AX$44))</f>
        <v/>
      </c>
      <c r="AD6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7" s="77">
        <f>IF(テーブル2[[#This Row],[体重]]="",0,(テーブル2[[#This Row],[体重]]-テーブル2[[#This Row],[標準体重]])/テーブル2[[#This Row],[標準体重]]*100)</f>
        <v>0</v>
      </c>
      <c r="AF67" s="26">
        <f>COUNTA(テーブル2[[#This Row],[握力]:[ボール投げ]])</f>
        <v>0</v>
      </c>
      <c r="AG67" s="1" t="str">
        <f>IF(テーブル2[[#This Row],[判定]]=$BE$10,"○","")</f>
        <v/>
      </c>
      <c r="AH67" s="1" t="str">
        <f>IF(AG67="","",COUNTIF($AG$6:AG67,"○"))</f>
        <v/>
      </c>
    </row>
    <row r="68" spans="1:34" ht="14.25" customHeight="1" x14ac:dyDescent="0.15">
      <c r="A68" s="44">
        <v>63</v>
      </c>
      <c r="B68" s="148"/>
      <c r="C68" s="151"/>
      <c r="D68" s="148"/>
      <c r="E68" s="152"/>
      <c r="F68" s="148"/>
      <c r="G68" s="148"/>
      <c r="H68" s="150"/>
      <c r="I68" s="150"/>
      <c r="J68" s="151"/>
      <c r="K68" s="148"/>
      <c r="L68" s="196"/>
      <c r="M68" s="151"/>
      <c r="N68" s="197"/>
      <c r="O68" s="151"/>
      <c r="P68" s="153"/>
      <c r="Q6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 s="144" t="str">
        <f>IF(テーブル2[[#This Row],[得点]]=0,"",IF(テーブル2[[#This Row],[年齢]]=17,LOOKUP(Q68,$BH$6:$BH$10,$BE$6:$BE$10),IF(テーブル2[[#This Row],[年齢]]=16,LOOKUP(Q68,$BG$6:$BG$10,$BE$6:$BE$10),IF(テーブル2[[#This Row],[年齢]]=15,LOOKUP(Q68,$BF$6:$BF$10,$BE$6:$BE$10),IF(テーブル2[[#This Row],[年齢]]=14,LOOKUP(Q68,$BD$6:$BD$10,$BE$6:$BE$10),IF(テーブル2[[#This Row],[年齢]]=13,LOOKUP(Q68,$BC$6:$BC$10,$BE$6:$BE$10),LOOKUP(Q68,$BB$6:$BB$10,$BE$6:$BE$10)))))))</f>
        <v/>
      </c>
      <c r="S68" s="145">
        <f>IF(H68="",0,(IF(テーブル2[[#This Row],[性別]]="男",LOOKUP(テーブル2[[#This Row],[握力]],$AI$6:$AJ$15),LOOKUP(テーブル2[[#This Row],[握力]],$AI$20:$AJ$29))))</f>
        <v>0</v>
      </c>
      <c r="T68" s="145">
        <f>IF(テーブル2[[#This Row],[上体]]="",0,(IF(テーブル2[[#This Row],[性別]]="男",LOOKUP(テーブル2[[#This Row],[上体]],$AK$6:$AL$15),LOOKUP(テーブル2[[#This Row],[上体]],$AK$20:$AL$29))))</f>
        <v>0</v>
      </c>
      <c r="U68" s="145">
        <f>IF(テーブル2[[#This Row],[長座]]="",0,(IF(テーブル2[[#This Row],[性別]]="男",LOOKUP(テーブル2[[#This Row],[長座]],$AM$6:$AN$15),LOOKUP(テーブル2[[#This Row],[長座]],$AM$20:$AN$29))))</f>
        <v>0</v>
      </c>
      <c r="V68" s="145">
        <f>IF(テーブル2[[#This Row],[反復]]="",0,(IF(テーブル2[[#This Row],[性別]]="男",LOOKUP(テーブル2[[#This Row],[反復]],$AO$6:$AP$15),LOOKUP(テーブル2[[#This Row],[反復]],$AO$20:$AP$29))))</f>
        <v>0</v>
      </c>
      <c r="W68" s="145">
        <f>IF(テーブル2[[#This Row],[持久走]]="",0,(IF(テーブル2[[#This Row],[性別]]="男",LOOKUP(テーブル2[[#This Row],[持久走]],$AQ$6:$AR$15),LOOKUP(テーブル2[[#This Row],[持久走]],$AQ$20:$AR$29))))</f>
        <v>0</v>
      </c>
      <c r="X68" s="145">
        <f>IF(テーブル2[[#This Row],[ｼｬﾄﾙﾗﾝ]]="",0,(IF(テーブル2[[#This Row],[性別]]="男",LOOKUP(テーブル2[[#This Row],[ｼｬﾄﾙﾗﾝ]],$AS$6:$AT$15),LOOKUP(テーブル2[[#This Row],[ｼｬﾄﾙﾗﾝ]],$AS$20:$AT$29))))</f>
        <v>0</v>
      </c>
      <c r="Y68" s="145">
        <f>IF(テーブル2[[#This Row],[50m走]]="",0,(IF(テーブル2[[#This Row],[性別]]="男",LOOKUP(テーブル2[[#This Row],[50m走]],$AU$6:$AV$15),LOOKUP(テーブル2[[#This Row],[50m走]],$AU$20:$AV$29))))</f>
        <v>0</v>
      </c>
      <c r="Z68" s="145">
        <f>IF(テーブル2[[#This Row],[立幅とび]]="",0,(IF(テーブル2[[#This Row],[性別]]="男",LOOKUP(テーブル2[[#This Row],[立幅とび]],$AW$6:$AX$15),LOOKUP(テーブル2[[#This Row],[立幅とび]],$AW$20:$AX$29))))</f>
        <v>0</v>
      </c>
      <c r="AA68" s="145">
        <f>IF(テーブル2[[#This Row],[ボール投げ]]="",0,(IF(テーブル2[[#This Row],[性別]]="男",LOOKUP(テーブル2[[#This Row],[ボール投げ]],$AY$6:$AZ$15),LOOKUP(テーブル2[[#This Row],[ボール投げ]],$AY$20:$AZ$29))))</f>
        <v>0</v>
      </c>
      <c r="AB68" s="146" t="str">
        <f>IF(テーブル2[[#This Row],[学年]]=1,12,IF(テーブル2[[#This Row],[学年]]=2,13,IF(テーブル2[[#This Row],[学年]]=3,14,"")))</f>
        <v/>
      </c>
      <c r="AC68" s="192" t="str">
        <f>IF(テーブル2[[#This Row],[肥満度数値]]=0,"",LOOKUP(AE68,$AW$39:$AW$44,$AX$39:$AX$44))</f>
        <v/>
      </c>
      <c r="AD6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8" s="77">
        <f>IF(テーブル2[[#This Row],[体重]]="",0,(テーブル2[[#This Row],[体重]]-テーブル2[[#This Row],[標準体重]])/テーブル2[[#This Row],[標準体重]]*100)</f>
        <v>0</v>
      </c>
      <c r="AF68" s="26">
        <f>COUNTA(テーブル2[[#This Row],[握力]:[ボール投げ]])</f>
        <v>0</v>
      </c>
      <c r="AG68" s="1" t="str">
        <f>IF(テーブル2[[#This Row],[判定]]=$BE$10,"○","")</f>
        <v/>
      </c>
      <c r="AH68" s="1" t="str">
        <f>IF(AG68="","",COUNTIF($AG$6:AG68,"○"))</f>
        <v/>
      </c>
    </row>
    <row r="69" spans="1:34" ht="14.25" customHeight="1" x14ac:dyDescent="0.15">
      <c r="A69" s="44">
        <v>64</v>
      </c>
      <c r="B69" s="148"/>
      <c r="C69" s="151"/>
      <c r="D69" s="148"/>
      <c r="E69" s="152"/>
      <c r="F69" s="148"/>
      <c r="G69" s="148"/>
      <c r="H69" s="150"/>
      <c r="I69" s="150"/>
      <c r="J69" s="151"/>
      <c r="K69" s="148"/>
      <c r="L69" s="196"/>
      <c r="M69" s="151"/>
      <c r="N69" s="197"/>
      <c r="O69" s="151"/>
      <c r="P69" s="153"/>
      <c r="Q6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 s="144" t="str">
        <f>IF(テーブル2[[#This Row],[得点]]=0,"",IF(テーブル2[[#This Row],[年齢]]=17,LOOKUP(Q69,$BH$6:$BH$10,$BE$6:$BE$10),IF(テーブル2[[#This Row],[年齢]]=16,LOOKUP(Q69,$BG$6:$BG$10,$BE$6:$BE$10),IF(テーブル2[[#This Row],[年齢]]=15,LOOKUP(Q69,$BF$6:$BF$10,$BE$6:$BE$10),IF(テーブル2[[#This Row],[年齢]]=14,LOOKUP(Q69,$BD$6:$BD$10,$BE$6:$BE$10),IF(テーブル2[[#This Row],[年齢]]=13,LOOKUP(Q69,$BC$6:$BC$10,$BE$6:$BE$10),LOOKUP(Q69,$BB$6:$BB$10,$BE$6:$BE$10)))))))</f>
        <v/>
      </c>
      <c r="S69" s="145">
        <f>IF(H69="",0,(IF(テーブル2[[#This Row],[性別]]="男",LOOKUP(テーブル2[[#This Row],[握力]],$AI$6:$AJ$15),LOOKUP(テーブル2[[#This Row],[握力]],$AI$20:$AJ$29))))</f>
        <v>0</v>
      </c>
      <c r="T69" s="145">
        <f>IF(テーブル2[[#This Row],[上体]]="",0,(IF(テーブル2[[#This Row],[性別]]="男",LOOKUP(テーブル2[[#This Row],[上体]],$AK$6:$AL$15),LOOKUP(テーブル2[[#This Row],[上体]],$AK$20:$AL$29))))</f>
        <v>0</v>
      </c>
      <c r="U69" s="145">
        <f>IF(テーブル2[[#This Row],[長座]]="",0,(IF(テーブル2[[#This Row],[性別]]="男",LOOKUP(テーブル2[[#This Row],[長座]],$AM$6:$AN$15),LOOKUP(テーブル2[[#This Row],[長座]],$AM$20:$AN$29))))</f>
        <v>0</v>
      </c>
      <c r="V69" s="145">
        <f>IF(テーブル2[[#This Row],[反復]]="",0,(IF(テーブル2[[#This Row],[性別]]="男",LOOKUP(テーブル2[[#This Row],[反復]],$AO$6:$AP$15),LOOKUP(テーブル2[[#This Row],[反復]],$AO$20:$AP$29))))</f>
        <v>0</v>
      </c>
      <c r="W69" s="145">
        <f>IF(テーブル2[[#This Row],[持久走]]="",0,(IF(テーブル2[[#This Row],[性別]]="男",LOOKUP(テーブル2[[#This Row],[持久走]],$AQ$6:$AR$15),LOOKUP(テーブル2[[#This Row],[持久走]],$AQ$20:$AR$29))))</f>
        <v>0</v>
      </c>
      <c r="X69" s="145">
        <f>IF(テーブル2[[#This Row],[ｼｬﾄﾙﾗﾝ]]="",0,(IF(テーブル2[[#This Row],[性別]]="男",LOOKUP(テーブル2[[#This Row],[ｼｬﾄﾙﾗﾝ]],$AS$6:$AT$15),LOOKUP(テーブル2[[#This Row],[ｼｬﾄﾙﾗﾝ]],$AS$20:$AT$29))))</f>
        <v>0</v>
      </c>
      <c r="Y69" s="145">
        <f>IF(テーブル2[[#This Row],[50m走]]="",0,(IF(テーブル2[[#This Row],[性別]]="男",LOOKUP(テーブル2[[#This Row],[50m走]],$AU$6:$AV$15),LOOKUP(テーブル2[[#This Row],[50m走]],$AU$20:$AV$29))))</f>
        <v>0</v>
      </c>
      <c r="Z69" s="145">
        <f>IF(テーブル2[[#This Row],[立幅とび]]="",0,(IF(テーブル2[[#This Row],[性別]]="男",LOOKUP(テーブル2[[#This Row],[立幅とび]],$AW$6:$AX$15),LOOKUP(テーブル2[[#This Row],[立幅とび]],$AW$20:$AX$29))))</f>
        <v>0</v>
      </c>
      <c r="AA69" s="145">
        <f>IF(テーブル2[[#This Row],[ボール投げ]]="",0,(IF(テーブル2[[#This Row],[性別]]="男",LOOKUP(テーブル2[[#This Row],[ボール投げ]],$AY$6:$AZ$15),LOOKUP(テーブル2[[#This Row],[ボール投げ]],$AY$20:$AZ$29))))</f>
        <v>0</v>
      </c>
      <c r="AB69" s="146" t="str">
        <f>IF(テーブル2[[#This Row],[学年]]=1,12,IF(テーブル2[[#This Row],[学年]]=2,13,IF(テーブル2[[#This Row],[学年]]=3,14,"")))</f>
        <v/>
      </c>
      <c r="AC69" s="192" t="str">
        <f>IF(テーブル2[[#This Row],[肥満度数値]]=0,"",LOOKUP(AE69,$AW$39:$AW$44,$AX$39:$AX$44))</f>
        <v/>
      </c>
      <c r="AD6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69" s="77">
        <f>IF(テーブル2[[#This Row],[体重]]="",0,(テーブル2[[#This Row],[体重]]-テーブル2[[#This Row],[標準体重]])/テーブル2[[#This Row],[標準体重]]*100)</f>
        <v>0</v>
      </c>
      <c r="AF69" s="26">
        <f>COUNTA(テーブル2[[#This Row],[握力]:[ボール投げ]])</f>
        <v>0</v>
      </c>
      <c r="AG69" s="1" t="str">
        <f>IF(テーブル2[[#This Row],[判定]]=$BE$10,"○","")</f>
        <v/>
      </c>
      <c r="AH69" s="1" t="str">
        <f>IF(AG69="","",COUNTIF($AG$6:AG69,"○"))</f>
        <v/>
      </c>
    </row>
    <row r="70" spans="1:34" ht="14.25" customHeight="1" x14ac:dyDescent="0.15">
      <c r="A70" s="44">
        <v>65</v>
      </c>
      <c r="B70" s="148"/>
      <c r="C70" s="151"/>
      <c r="D70" s="148"/>
      <c r="E70" s="152"/>
      <c r="F70" s="148"/>
      <c r="G70" s="148"/>
      <c r="H70" s="150"/>
      <c r="I70" s="150"/>
      <c r="J70" s="151"/>
      <c r="K70" s="148"/>
      <c r="L70" s="196"/>
      <c r="M70" s="151"/>
      <c r="N70" s="197"/>
      <c r="O70" s="151"/>
      <c r="P70" s="153"/>
      <c r="Q7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 s="144" t="str">
        <f>IF(テーブル2[[#This Row],[得点]]=0,"",IF(テーブル2[[#This Row],[年齢]]=17,LOOKUP(Q70,$BH$6:$BH$10,$BE$6:$BE$10),IF(テーブル2[[#This Row],[年齢]]=16,LOOKUP(Q70,$BG$6:$BG$10,$BE$6:$BE$10),IF(テーブル2[[#This Row],[年齢]]=15,LOOKUP(Q70,$BF$6:$BF$10,$BE$6:$BE$10),IF(テーブル2[[#This Row],[年齢]]=14,LOOKUP(Q70,$BD$6:$BD$10,$BE$6:$BE$10),IF(テーブル2[[#This Row],[年齢]]=13,LOOKUP(Q70,$BC$6:$BC$10,$BE$6:$BE$10),LOOKUP(Q70,$BB$6:$BB$10,$BE$6:$BE$10)))))))</f>
        <v/>
      </c>
      <c r="S70" s="145">
        <f>IF(H70="",0,(IF(テーブル2[[#This Row],[性別]]="男",LOOKUP(テーブル2[[#This Row],[握力]],$AI$6:$AJ$15),LOOKUP(テーブル2[[#This Row],[握力]],$AI$20:$AJ$29))))</f>
        <v>0</v>
      </c>
      <c r="T70" s="145">
        <f>IF(テーブル2[[#This Row],[上体]]="",0,(IF(テーブル2[[#This Row],[性別]]="男",LOOKUP(テーブル2[[#This Row],[上体]],$AK$6:$AL$15),LOOKUP(テーブル2[[#This Row],[上体]],$AK$20:$AL$29))))</f>
        <v>0</v>
      </c>
      <c r="U70" s="145">
        <f>IF(テーブル2[[#This Row],[長座]]="",0,(IF(テーブル2[[#This Row],[性別]]="男",LOOKUP(テーブル2[[#This Row],[長座]],$AM$6:$AN$15),LOOKUP(テーブル2[[#This Row],[長座]],$AM$20:$AN$29))))</f>
        <v>0</v>
      </c>
      <c r="V70" s="145">
        <f>IF(テーブル2[[#This Row],[反復]]="",0,(IF(テーブル2[[#This Row],[性別]]="男",LOOKUP(テーブル2[[#This Row],[反復]],$AO$6:$AP$15),LOOKUP(テーブル2[[#This Row],[反復]],$AO$20:$AP$29))))</f>
        <v>0</v>
      </c>
      <c r="W70" s="145">
        <f>IF(テーブル2[[#This Row],[持久走]]="",0,(IF(テーブル2[[#This Row],[性別]]="男",LOOKUP(テーブル2[[#This Row],[持久走]],$AQ$6:$AR$15),LOOKUP(テーブル2[[#This Row],[持久走]],$AQ$20:$AR$29))))</f>
        <v>0</v>
      </c>
      <c r="X70" s="145">
        <f>IF(テーブル2[[#This Row],[ｼｬﾄﾙﾗﾝ]]="",0,(IF(テーブル2[[#This Row],[性別]]="男",LOOKUP(テーブル2[[#This Row],[ｼｬﾄﾙﾗﾝ]],$AS$6:$AT$15),LOOKUP(テーブル2[[#This Row],[ｼｬﾄﾙﾗﾝ]],$AS$20:$AT$29))))</f>
        <v>0</v>
      </c>
      <c r="Y70" s="145">
        <f>IF(テーブル2[[#This Row],[50m走]]="",0,(IF(テーブル2[[#This Row],[性別]]="男",LOOKUP(テーブル2[[#This Row],[50m走]],$AU$6:$AV$15),LOOKUP(テーブル2[[#This Row],[50m走]],$AU$20:$AV$29))))</f>
        <v>0</v>
      </c>
      <c r="Z70" s="145">
        <f>IF(テーブル2[[#This Row],[立幅とび]]="",0,(IF(テーブル2[[#This Row],[性別]]="男",LOOKUP(テーブル2[[#This Row],[立幅とび]],$AW$6:$AX$15),LOOKUP(テーブル2[[#This Row],[立幅とび]],$AW$20:$AX$29))))</f>
        <v>0</v>
      </c>
      <c r="AA70" s="145">
        <f>IF(テーブル2[[#This Row],[ボール投げ]]="",0,(IF(テーブル2[[#This Row],[性別]]="男",LOOKUP(テーブル2[[#This Row],[ボール投げ]],$AY$6:$AZ$15),LOOKUP(テーブル2[[#This Row],[ボール投げ]],$AY$20:$AZ$29))))</f>
        <v>0</v>
      </c>
      <c r="AB70" s="146" t="str">
        <f>IF(テーブル2[[#This Row],[学年]]=1,12,IF(テーブル2[[#This Row],[学年]]=2,13,IF(テーブル2[[#This Row],[学年]]=3,14,"")))</f>
        <v/>
      </c>
      <c r="AC70" s="192" t="str">
        <f>IF(テーブル2[[#This Row],[肥満度数値]]=0,"",LOOKUP(AE70,$AW$39:$AW$44,$AX$39:$AX$44))</f>
        <v/>
      </c>
      <c r="AD7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0" s="77">
        <f>IF(テーブル2[[#This Row],[体重]]="",0,(テーブル2[[#This Row],[体重]]-テーブル2[[#This Row],[標準体重]])/テーブル2[[#This Row],[標準体重]]*100)</f>
        <v>0</v>
      </c>
      <c r="AF70" s="26">
        <f>COUNTA(テーブル2[[#This Row],[握力]:[ボール投げ]])</f>
        <v>0</v>
      </c>
      <c r="AG70" s="1" t="str">
        <f>IF(テーブル2[[#This Row],[判定]]=$BE$10,"○","")</f>
        <v/>
      </c>
      <c r="AH70" s="1" t="str">
        <f>IF(AG70="","",COUNTIF($AG$6:AG70,"○"))</f>
        <v/>
      </c>
    </row>
    <row r="71" spans="1:34" ht="14.25" customHeight="1" x14ac:dyDescent="0.15">
      <c r="A71" s="44">
        <v>66</v>
      </c>
      <c r="B71" s="148"/>
      <c r="C71" s="151"/>
      <c r="D71" s="148"/>
      <c r="E71" s="152"/>
      <c r="F71" s="148"/>
      <c r="G71" s="148"/>
      <c r="H71" s="150"/>
      <c r="I71" s="150"/>
      <c r="J71" s="151"/>
      <c r="K71" s="148"/>
      <c r="L71" s="196"/>
      <c r="M71" s="151"/>
      <c r="N71" s="197"/>
      <c r="O71" s="151"/>
      <c r="P71" s="153"/>
      <c r="Q7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 s="144" t="str">
        <f>IF(テーブル2[[#This Row],[得点]]=0,"",IF(テーブル2[[#This Row],[年齢]]=17,LOOKUP(Q71,$BH$6:$BH$10,$BE$6:$BE$10),IF(テーブル2[[#This Row],[年齢]]=16,LOOKUP(Q71,$BG$6:$BG$10,$BE$6:$BE$10),IF(テーブル2[[#This Row],[年齢]]=15,LOOKUP(Q71,$BF$6:$BF$10,$BE$6:$BE$10),IF(テーブル2[[#This Row],[年齢]]=14,LOOKUP(Q71,$BD$6:$BD$10,$BE$6:$BE$10),IF(テーブル2[[#This Row],[年齢]]=13,LOOKUP(Q71,$BC$6:$BC$10,$BE$6:$BE$10),LOOKUP(Q71,$BB$6:$BB$10,$BE$6:$BE$10)))))))</f>
        <v/>
      </c>
      <c r="S71" s="145">
        <f>IF(H71="",0,(IF(テーブル2[[#This Row],[性別]]="男",LOOKUP(テーブル2[[#This Row],[握力]],$AI$6:$AJ$15),LOOKUP(テーブル2[[#This Row],[握力]],$AI$20:$AJ$29))))</f>
        <v>0</v>
      </c>
      <c r="T71" s="145">
        <f>IF(テーブル2[[#This Row],[上体]]="",0,(IF(テーブル2[[#This Row],[性別]]="男",LOOKUP(テーブル2[[#This Row],[上体]],$AK$6:$AL$15),LOOKUP(テーブル2[[#This Row],[上体]],$AK$20:$AL$29))))</f>
        <v>0</v>
      </c>
      <c r="U71" s="145">
        <f>IF(テーブル2[[#This Row],[長座]]="",0,(IF(テーブル2[[#This Row],[性別]]="男",LOOKUP(テーブル2[[#This Row],[長座]],$AM$6:$AN$15),LOOKUP(テーブル2[[#This Row],[長座]],$AM$20:$AN$29))))</f>
        <v>0</v>
      </c>
      <c r="V71" s="145">
        <f>IF(テーブル2[[#This Row],[反復]]="",0,(IF(テーブル2[[#This Row],[性別]]="男",LOOKUP(テーブル2[[#This Row],[反復]],$AO$6:$AP$15),LOOKUP(テーブル2[[#This Row],[反復]],$AO$20:$AP$29))))</f>
        <v>0</v>
      </c>
      <c r="W71" s="145">
        <f>IF(テーブル2[[#This Row],[持久走]]="",0,(IF(テーブル2[[#This Row],[性別]]="男",LOOKUP(テーブル2[[#This Row],[持久走]],$AQ$6:$AR$15),LOOKUP(テーブル2[[#This Row],[持久走]],$AQ$20:$AR$29))))</f>
        <v>0</v>
      </c>
      <c r="X71" s="145">
        <f>IF(テーブル2[[#This Row],[ｼｬﾄﾙﾗﾝ]]="",0,(IF(テーブル2[[#This Row],[性別]]="男",LOOKUP(テーブル2[[#This Row],[ｼｬﾄﾙﾗﾝ]],$AS$6:$AT$15),LOOKUP(テーブル2[[#This Row],[ｼｬﾄﾙﾗﾝ]],$AS$20:$AT$29))))</f>
        <v>0</v>
      </c>
      <c r="Y71" s="145">
        <f>IF(テーブル2[[#This Row],[50m走]]="",0,(IF(テーブル2[[#This Row],[性別]]="男",LOOKUP(テーブル2[[#This Row],[50m走]],$AU$6:$AV$15),LOOKUP(テーブル2[[#This Row],[50m走]],$AU$20:$AV$29))))</f>
        <v>0</v>
      </c>
      <c r="Z71" s="145">
        <f>IF(テーブル2[[#This Row],[立幅とび]]="",0,(IF(テーブル2[[#This Row],[性別]]="男",LOOKUP(テーブル2[[#This Row],[立幅とび]],$AW$6:$AX$15),LOOKUP(テーブル2[[#This Row],[立幅とび]],$AW$20:$AX$29))))</f>
        <v>0</v>
      </c>
      <c r="AA71" s="145">
        <f>IF(テーブル2[[#This Row],[ボール投げ]]="",0,(IF(テーブル2[[#This Row],[性別]]="男",LOOKUP(テーブル2[[#This Row],[ボール投げ]],$AY$6:$AZ$15),LOOKUP(テーブル2[[#This Row],[ボール投げ]],$AY$20:$AZ$29))))</f>
        <v>0</v>
      </c>
      <c r="AB71" s="146" t="str">
        <f>IF(テーブル2[[#This Row],[学年]]=1,12,IF(テーブル2[[#This Row],[学年]]=2,13,IF(テーブル2[[#This Row],[学年]]=3,14,"")))</f>
        <v/>
      </c>
      <c r="AC71" s="192" t="str">
        <f>IF(テーブル2[[#This Row],[肥満度数値]]=0,"",LOOKUP(AE71,$AW$39:$AW$44,$AX$39:$AX$44))</f>
        <v/>
      </c>
      <c r="AD7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1" s="77">
        <f>IF(テーブル2[[#This Row],[体重]]="",0,(テーブル2[[#This Row],[体重]]-テーブル2[[#This Row],[標準体重]])/テーブル2[[#This Row],[標準体重]]*100)</f>
        <v>0</v>
      </c>
      <c r="AF71" s="26">
        <f>COUNTA(テーブル2[[#This Row],[握力]:[ボール投げ]])</f>
        <v>0</v>
      </c>
      <c r="AG71" s="1" t="str">
        <f>IF(テーブル2[[#This Row],[判定]]=$BE$10,"○","")</f>
        <v/>
      </c>
      <c r="AH71" s="1" t="str">
        <f>IF(AG71="","",COUNTIF($AG$6:AG71,"○"))</f>
        <v/>
      </c>
    </row>
    <row r="72" spans="1:34" ht="14.25" customHeight="1" x14ac:dyDescent="0.15">
      <c r="A72" s="44">
        <v>67</v>
      </c>
      <c r="B72" s="148"/>
      <c r="C72" s="151"/>
      <c r="D72" s="148"/>
      <c r="E72" s="152"/>
      <c r="F72" s="148"/>
      <c r="G72" s="148"/>
      <c r="H72" s="150"/>
      <c r="I72" s="150"/>
      <c r="J72" s="151"/>
      <c r="K72" s="148"/>
      <c r="L72" s="196"/>
      <c r="M72" s="151"/>
      <c r="N72" s="197"/>
      <c r="O72" s="151"/>
      <c r="P72" s="153"/>
      <c r="Q7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 s="144" t="str">
        <f>IF(テーブル2[[#This Row],[得点]]=0,"",IF(テーブル2[[#This Row],[年齢]]=17,LOOKUP(Q72,$BH$6:$BH$10,$BE$6:$BE$10),IF(テーブル2[[#This Row],[年齢]]=16,LOOKUP(Q72,$BG$6:$BG$10,$BE$6:$BE$10),IF(テーブル2[[#This Row],[年齢]]=15,LOOKUP(Q72,$BF$6:$BF$10,$BE$6:$BE$10),IF(テーブル2[[#This Row],[年齢]]=14,LOOKUP(Q72,$BD$6:$BD$10,$BE$6:$BE$10),IF(テーブル2[[#This Row],[年齢]]=13,LOOKUP(Q72,$BC$6:$BC$10,$BE$6:$BE$10),LOOKUP(Q72,$BB$6:$BB$10,$BE$6:$BE$10)))))))</f>
        <v/>
      </c>
      <c r="S72" s="145">
        <f>IF(H72="",0,(IF(テーブル2[[#This Row],[性別]]="男",LOOKUP(テーブル2[[#This Row],[握力]],$AI$6:$AJ$15),LOOKUP(テーブル2[[#This Row],[握力]],$AI$20:$AJ$29))))</f>
        <v>0</v>
      </c>
      <c r="T72" s="145">
        <f>IF(テーブル2[[#This Row],[上体]]="",0,(IF(テーブル2[[#This Row],[性別]]="男",LOOKUP(テーブル2[[#This Row],[上体]],$AK$6:$AL$15),LOOKUP(テーブル2[[#This Row],[上体]],$AK$20:$AL$29))))</f>
        <v>0</v>
      </c>
      <c r="U72" s="145">
        <f>IF(テーブル2[[#This Row],[長座]]="",0,(IF(テーブル2[[#This Row],[性別]]="男",LOOKUP(テーブル2[[#This Row],[長座]],$AM$6:$AN$15),LOOKUP(テーブル2[[#This Row],[長座]],$AM$20:$AN$29))))</f>
        <v>0</v>
      </c>
      <c r="V72" s="145">
        <f>IF(テーブル2[[#This Row],[反復]]="",0,(IF(テーブル2[[#This Row],[性別]]="男",LOOKUP(テーブル2[[#This Row],[反復]],$AO$6:$AP$15),LOOKUP(テーブル2[[#This Row],[反復]],$AO$20:$AP$29))))</f>
        <v>0</v>
      </c>
      <c r="W72" s="145">
        <f>IF(テーブル2[[#This Row],[持久走]]="",0,(IF(テーブル2[[#This Row],[性別]]="男",LOOKUP(テーブル2[[#This Row],[持久走]],$AQ$6:$AR$15),LOOKUP(テーブル2[[#This Row],[持久走]],$AQ$20:$AR$29))))</f>
        <v>0</v>
      </c>
      <c r="X72" s="145">
        <f>IF(テーブル2[[#This Row],[ｼｬﾄﾙﾗﾝ]]="",0,(IF(テーブル2[[#This Row],[性別]]="男",LOOKUP(テーブル2[[#This Row],[ｼｬﾄﾙﾗﾝ]],$AS$6:$AT$15),LOOKUP(テーブル2[[#This Row],[ｼｬﾄﾙﾗﾝ]],$AS$20:$AT$29))))</f>
        <v>0</v>
      </c>
      <c r="Y72" s="145">
        <f>IF(テーブル2[[#This Row],[50m走]]="",0,(IF(テーブル2[[#This Row],[性別]]="男",LOOKUP(テーブル2[[#This Row],[50m走]],$AU$6:$AV$15),LOOKUP(テーブル2[[#This Row],[50m走]],$AU$20:$AV$29))))</f>
        <v>0</v>
      </c>
      <c r="Z72" s="145">
        <f>IF(テーブル2[[#This Row],[立幅とび]]="",0,(IF(テーブル2[[#This Row],[性別]]="男",LOOKUP(テーブル2[[#This Row],[立幅とび]],$AW$6:$AX$15),LOOKUP(テーブル2[[#This Row],[立幅とび]],$AW$20:$AX$29))))</f>
        <v>0</v>
      </c>
      <c r="AA72" s="145">
        <f>IF(テーブル2[[#This Row],[ボール投げ]]="",0,(IF(テーブル2[[#This Row],[性別]]="男",LOOKUP(テーブル2[[#This Row],[ボール投げ]],$AY$6:$AZ$15),LOOKUP(テーブル2[[#This Row],[ボール投げ]],$AY$20:$AZ$29))))</f>
        <v>0</v>
      </c>
      <c r="AB72" s="146" t="str">
        <f>IF(テーブル2[[#This Row],[学年]]=1,12,IF(テーブル2[[#This Row],[学年]]=2,13,IF(テーブル2[[#This Row],[学年]]=3,14,"")))</f>
        <v/>
      </c>
      <c r="AC72" s="192" t="str">
        <f>IF(テーブル2[[#This Row],[肥満度数値]]=0,"",LOOKUP(AE72,$AW$39:$AW$44,$AX$39:$AX$44))</f>
        <v/>
      </c>
      <c r="AD7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2" s="77">
        <f>IF(テーブル2[[#This Row],[体重]]="",0,(テーブル2[[#This Row],[体重]]-テーブル2[[#This Row],[標準体重]])/テーブル2[[#This Row],[標準体重]]*100)</f>
        <v>0</v>
      </c>
      <c r="AF72" s="26">
        <f>COUNTA(テーブル2[[#This Row],[握力]:[ボール投げ]])</f>
        <v>0</v>
      </c>
      <c r="AG72" s="1" t="str">
        <f>IF(テーブル2[[#This Row],[判定]]=$BE$10,"○","")</f>
        <v/>
      </c>
      <c r="AH72" s="1" t="str">
        <f>IF(AG72="","",COUNTIF($AG$6:AG72,"○"))</f>
        <v/>
      </c>
    </row>
    <row r="73" spans="1:34" ht="14.25" customHeight="1" x14ac:dyDescent="0.15">
      <c r="A73" s="44">
        <v>68</v>
      </c>
      <c r="B73" s="148"/>
      <c r="C73" s="151"/>
      <c r="D73" s="148"/>
      <c r="E73" s="152"/>
      <c r="F73" s="148"/>
      <c r="G73" s="148"/>
      <c r="H73" s="150"/>
      <c r="I73" s="150"/>
      <c r="J73" s="151"/>
      <c r="K73" s="148"/>
      <c r="L73" s="196"/>
      <c r="M73" s="151"/>
      <c r="N73" s="197"/>
      <c r="O73" s="151"/>
      <c r="P73" s="153"/>
      <c r="Q7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 s="144" t="str">
        <f>IF(テーブル2[[#This Row],[得点]]=0,"",IF(テーブル2[[#This Row],[年齢]]=17,LOOKUP(Q73,$BH$6:$BH$10,$BE$6:$BE$10),IF(テーブル2[[#This Row],[年齢]]=16,LOOKUP(Q73,$BG$6:$BG$10,$BE$6:$BE$10),IF(テーブル2[[#This Row],[年齢]]=15,LOOKUP(Q73,$BF$6:$BF$10,$BE$6:$BE$10),IF(テーブル2[[#This Row],[年齢]]=14,LOOKUP(Q73,$BD$6:$BD$10,$BE$6:$BE$10),IF(テーブル2[[#This Row],[年齢]]=13,LOOKUP(Q73,$BC$6:$BC$10,$BE$6:$BE$10),LOOKUP(Q73,$BB$6:$BB$10,$BE$6:$BE$10)))))))</f>
        <v/>
      </c>
      <c r="S73" s="145">
        <f>IF(H73="",0,(IF(テーブル2[[#This Row],[性別]]="男",LOOKUP(テーブル2[[#This Row],[握力]],$AI$6:$AJ$15),LOOKUP(テーブル2[[#This Row],[握力]],$AI$20:$AJ$29))))</f>
        <v>0</v>
      </c>
      <c r="T73" s="145">
        <f>IF(テーブル2[[#This Row],[上体]]="",0,(IF(テーブル2[[#This Row],[性別]]="男",LOOKUP(テーブル2[[#This Row],[上体]],$AK$6:$AL$15),LOOKUP(テーブル2[[#This Row],[上体]],$AK$20:$AL$29))))</f>
        <v>0</v>
      </c>
      <c r="U73" s="145">
        <f>IF(テーブル2[[#This Row],[長座]]="",0,(IF(テーブル2[[#This Row],[性別]]="男",LOOKUP(テーブル2[[#This Row],[長座]],$AM$6:$AN$15),LOOKUP(テーブル2[[#This Row],[長座]],$AM$20:$AN$29))))</f>
        <v>0</v>
      </c>
      <c r="V73" s="145">
        <f>IF(テーブル2[[#This Row],[反復]]="",0,(IF(テーブル2[[#This Row],[性別]]="男",LOOKUP(テーブル2[[#This Row],[反復]],$AO$6:$AP$15),LOOKUP(テーブル2[[#This Row],[反復]],$AO$20:$AP$29))))</f>
        <v>0</v>
      </c>
      <c r="W73" s="145">
        <f>IF(テーブル2[[#This Row],[持久走]]="",0,(IF(テーブル2[[#This Row],[性別]]="男",LOOKUP(テーブル2[[#This Row],[持久走]],$AQ$6:$AR$15),LOOKUP(テーブル2[[#This Row],[持久走]],$AQ$20:$AR$29))))</f>
        <v>0</v>
      </c>
      <c r="X73" s="145">
        <f>IF(テーブル2[[#This Row],[ｼｬﾄﾙﾗﾝ]]="",0,(IF(テーブル2[[#This Row],[性別]]="男",LOOKUP(テーブル2[[#This Row],[ｼｬﾄﾙﾗﾝ]],$AS$6:$AT$15),LOOKUP(テーブル2[[#This Row],[ｼｬﾄﾙﾗﾝ]],$AS$20:$AT$29))))</f>
        <v>0</v>
      </c>
      <c r="Y73" s="145">
        <f>IF(テーブル2[[#This Row],[50m走]]="",0,(IF(テーブル2[[#This Row],[性別]]="男",LOOKUP(テーブル2[[#This Row],[50m走]],$AU$6:$AV$15),LOOKUP(テーブル2[[#This Row],[50m走]],$AU$20:$AV$29))))</f>
        <v>0</v>
      </c>
      <c r="Z73" s="145">
        <f>IF(テーブル2[[#This Row],[立幅とび]]="",0,(IF(テーブル2[[#This Row],[性別]]="男",LOOKUP(テーブル2[[#This Row],[立幅とび]],$AW$6:$AX$15),LOOKUP(テーブル2[[#This Row],[立幅とび]],$AW$20:$AX$29))))</f>
        <v>0</v>
      </c>
      <c r="AA73" s="145">
        <f>IF(テーブル2[[#This Row],[ボール投げ]]="",0,(IF(テーブル2[[#This Row],[性別]]="男",LOOKUP(テーブル2[[#This Row],[ボール投げ]],$AY$6:$AZ$15),LOOKUP(テーブル2[[#This Row],[ボール投げ]],$AY$20:$AZ$29))))</f>
        <v>0</v>
      </c>
      <c r="AB73" s="146" t="str">
        <f>IF(テーブル2[[#This Row],[学年]]=1,12,IF(テーブル2[[#This Row],[学年]]=2,13,IF(テーブル2[[#This Row],[学年]]=3,14,"")))</f>
        <v/>
      </c>
      <c r="AC73" s="192" t="str">
        <f>IF(テーブル2[[#This Row],[肥満度数値]]=0,"",LOOKUP(AE73,$AW$39:$AW$44,$AX$39:$AX$44))</f>
        <v/>
      </c>
      <c r="AD7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3" s="77">
        <f>IF(テーブル2[[#This Row],[体重]]="",0,(テーブル2[[#This Row],[体重]]-テーブル2[[#This Row],[標準体重]])/テーブル2[[#This Row],[標準体重]]*100)</f>
        <v>0</v>
      </c>
      <c r="AF73" s="26">
        <f>COUNTA(テーブル2[[#This Row],[握力]:[ボール投げ]])</f>
        <v>0</v>
      </c>
      <c r="AG73" s="1" t="str">
        <f>IF(テーブル2[[#This Row],[判定]]=$BE$10,"○","")</f>
        <v/>
      </c>
      <c r="AH73" s="1" t="str">
        <f>IF(AG73="","",COUNTIF($AG$6:AG73,"○"))</f>
        <v/>
      </c>
    </row>
    <row r="74" spans="1:34" ht="14.25" customHeight="1" x14ac:dyDescent="0.15">
      <c r="A74" s="44">
        <v>69</v>
      </c>
      <c r="B74" s="148"/>
      <c r="C74" s="151"/>
      <c r="D74" s="148"/>
      <c r="E74" s="152"/>
      <c r="F74" s="148"/>
      <c r="G74" s="148"/>
      <c r="H74" s="150"/>
      <c r="I74" s="150"/>
      <c r="J74" s="151"/>
      <c r="K74" s="148"/>
      <c r="L74" s="196"/>
      <c r="M74" s="151"/>
      <c r="N74" s="197"/>
      <c r="O74" s="151"/>
      <c r="P74" s="153"/>
      <c r="Q7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 s="144" t="str">
        <f>IF(テーブル2[[#This Row],[得点]]=0,"",IF(テーブル2[[#This Row],[年齢]]=17,LOOKUP(Q74,$BH$6:$BH$10,$BE$6:$BE$10),IF(テーブル2[[#This Row],[年齢]]=16,LOOKUP(Q74,$BG$6:$BG$10,$BE$6:$BE$10),IF(テーブル2[[#This Row],[年齢]]=15,LOOKUP(Q74,$BF$6:$BF$10,$BE$6:$BE$10),IF(テーブル2[[#This Row],[年齢]]=14,LOOKUP(Q74,$BD$6:$BD$10,$BE$6:$BE$10),IF(テーブル2[[#This Row],[年齢]]=13,LOOKUP(Q74,$BC$6:$BC$10,$BE$6:$BE$10),LOOKUP(Q74,$BB$6:$BB$10,$BE$6:$BE$10)))))))</f>
        <v/>
      </c>
      <c r="S74" s="145">
        <f>IF(H74="",0,(IF(テーブル2[[#This Row],[性別]]="男",LOOKUP(テーブル2[[#This Row],[握力]],$AI$6:$AJ$15),LOOKUP(テーブル2[[#This Row],[握力]],$AI$20:$AJ$29))))</f>
        <v>0</v>
      </c>
      <c r="T74" s="145">
        <f>IF(テーブル2[[#This Row],[上体]]="",0,(IF(テーブル2[[#This Row],[性別]]="男",LOOKUP(テーブル2[[#This Row],[上体]],$AK$6:$AL$15),LOOKUP(テーブル2[[#This Row],[上体]],$AK$20:$AL$29))))</f>
        <v>0</v>
      </c>
      <c r="U74" s="145">
        <f>IF(テーブル2[[#This Row],[長座]]="",0,(IF(テーブル2[[#This Row],[性別]]="男",LOOKUP(テーブル2[[#This Row],[長座]],$AM$6:$AN$15),LOOKUP(テーブル2[[#This Row],[長座]],$AM$20:$AN$29))))</f>
        <v>0</v>
      </c>
      <c r="V74" s="145">
        <f>IF(テーブル2[[#This Row],[反復]]="",0,(IF(テーブル2[[#This Row],[性別]]="男",LOOKUP(テーブル2[[#This Row],[反復]],$AO$6:$AP$15),LOOKUP(テーブル2[[#This Row],[反復]],$AO$20:$AP$29))))</f>
        <v>0</v>
      </c>
      <c r="W74" s="145">
        <f>IF(テーブル2[[#This Row],[持久走]]="",0,(IF(テーブル2[[#This Row],[性別]]="男",LOOKUP(テーブル2[[#This Row],[持久走]],$AQ$6:$AR$15),LOOKUP(テーブル2[[#This Row],[持久走]],$AQ$20:$AR$29))))</f>
        <v>0</v>
      </c>
      <c r="X74" s="145">
        <f>IF(テーブル2[[#This Row],[ｼｬﾄﾙﾗﾝ]]="",0,(IF(テーブル2[[#This Row],[性別]]="男",LOOKUP(テーブル2[[#This Row],[ｼｬﾄﾙﾗﾝ]],$AS$6:$AT$15),LOOKUP(テーブル2[[#This Row],[ｼｬﾄﾙﾗﾝ]],$AS$20:$AT$29))))</f>
        <v>0</v>
      </c>
      <c r="Y74" s="145">
        <f>IF(テーブル2[[#This Row],[50m走]]="",0,(IF(テーブル2[[#This Row],[性別]]="男",LOOKUP(テーブル2[[#This Row],[50m走]],$AU$6:$AV$15),LOOKUP(テーブル2[[#This Row],[50m走]],$AU$20:$AV$29))))</f>
        <v>0</v>
      </c>
      <c r="Z74" s="145">
        <f>IF(テーブル2[[#This Row],[立幅とび]]="",0,(IF(テーブル2[[#This Row],[性別]]="男",LOOKUP(テーブル2[[#This Row],[立幅とび]],$AW$6:$AX$15),LOOKUP(テーブル2[[#This Row],[立幅とび]],$AW$20:$AX$29))))</f>
        <v>0</v>
      </c>
      <c r="AA74" s="145">
        <f>IF(テーブル2[[#This Row],[ボール投げ]]="",0,(IF(テーブル2[[#This Row],[性別]]="男",LOOKUP(テーブル2[[#This Row],[ボール投げ]],$AY$6:$AZ$15),LOOKUP(テーブル2[[#This Row],[ボール投げ]],$AY$20:$AZ$29))))</f>
        <v>0</v>
      </c>
      <c r="AB74" s="146" t="str">
        <f>IF(テーブル2[[#This Row],[学年]]=1,12,IF(テーブル2[[#This Row],[学年]]=2,13,IF(テーブル2[[#This Row],[学年]]=3,14,"")))</f>
        <v/>
      </c>
      <c r="AC74" s="192" t="str">
        <f>IF(テーブル2[[#This Row],[肥満度数値]]=0,"",LOOKUP(AE74,$AW$39:$AW$44,$AX$39:$AX$44))</f>
        <v/>
      </c>
      <c r="AD7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4" s="77">
        <f>IF(テーブル2[[#This Row],[体重]]="",0,(テーブル2[[#This Row],[体重]]-テーブル2[[#This Row],[標準体重]])/テーブル2[[#This Row],[標準体重]]*100)</f>
        <v>0</v>
      </c>
      <c r="AF74" s="26">
        <f>COUNTA(テーブル2[[#This Row],[握力]:[ボール投げ]])</f>
        <v>0</v>
      </c>
      <c r="AG74" s="1" t="str">
        <f>IF(テーブル2[[#This Row],[判定]]=$BE$10,"○","")</f>
        <v/>
      </c>
      <c r="AH74" s="1" t="str">
        <f>IF(AG74="","",COUNTIF($AG$6:AG74,"○"))</f>
        <v/>
      </c>
    </row>
    <row r="75" spans="1:34" ht="14.25" customHeight="1" x14ac:dyDescent="0.15">
      <c r="A75" s="44">
        <v>70</v>
      </c>
      <c r="B75" s="148"/>
      <c r="C75" s="151"/>
      <c r="D75" s="148"/>
      <c r="E75" s="152"/>
      <c r="F75" s="148"/>
      <c r="G75" s="148"/>
      <c r="H75" s="150"/>
      <c r="I75" s="150"/>
      <c r="J75" s="151"/>
      <c r="K75" s="148"/>
      <c r="L75" s="196"/>
      <c r="M75" s="151"/>
      <c r="N75" s="197"/>
      <c r="O75" s="151"/>
      <c r="P75" s="153"/>
      <c r="Q7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 s="144" t="str">
        <f>IF(テーブル2[[#This Row],[得点]]=0,"",IF(テーブル2[[#This Row],[年齢]]=17,LOOKUP(Q75,$BH$6:$BH$10,$BE$6:$BE$10),IF(テーブル2[[#This Row],[年齢]]=16,LOOKUP(Q75,$BG$6:$BG$10,$BE$6:$BE$10),IF(テーブル2[[#This Row],[年齢]]=15,LOOKUP(Q75,$BF$6:$BF$10,$BE$6:$BE$10),IF(テーブル2[[#This Row],[年齢]]=14,LOOKUP(Q75,$BD$6:$BD$10,$BE$6:$BE$10),IF(テーブル2[[#This Row],[年齢]]=13,LOOKUP(Q75,$BC$6:$BC$10,$BE$6:$BE$10),LOOKUP(Q75,$BB$6:$BB$10,$BE$6:$BE$10)))))))</f>
        <v/>
      </c>
      <c r="S75" s="145">
        <f>IF(H75="",0,(IF(テーブル2[[#This Row],[性別]]="男",LOOKUP(テーブル2[[#This Row],[握力]],$AI$6:$AJ$15),LOOKUP(テーブル2[[#This Row],[握力]],$AI$20:$AJ$29))))</f>
        <v>0</v>
      </c>
      <c r="T75" s="145">
        <f>IF(テーブル2[[#This Row],[上体]]="",0,(IF(テーブル2[[#This Row],[性別]]="男",LOOKUP(テーブル2[[#This Row],[上体]],$AK$6:$AL$15),LOOKUP(テーブル2[[#This Row],[上体]],$AK$20:$AL$29))))</f>
        <v>0</v>
      </c>
      <c r="U75" s="145">
        <f>IF(テーブル2[[#This Row],[長座]]="",0,(IF(テーブル2[[#This Row],[性別]]="男",LOOKUP(テーブル2[[#This Row],[長座]],$AM$6:$AN$15),LOOKUP(テーブル2[[#This Row],[長座]],$AM$20:$AN$29))))</f>
        <v>0</v>
      </c>
      <c r="V75" s="145">
        <f>IF(テーブル2[[#This Row],[反復]]="",0,(IF(テーブル2[[#This Row],[性別]]="男",LOOKUP(テーブル2[[#This Row],[反復]],$AO$6:$AP$15),LOOKUP(テーブル2[[#This Row],[反復]],$AO$20:$AP$29))))</f>
        <v>0</v>
      </c>
      <c r="W75" s="145">
        <f>IF(テーブル2[[#This Row],[持久走]]="",0,(IF(テーブル2[[#This Row],[性別]]="男",LOOKUP(テーブル2[[#This Row],[持久走]],$AQ$6:$AR$15),LOOKUP(テーブル2[[#This Row],[持久走]],$AQ$20:$AR$29))))</f>
        <v>0</v>
      </c>
      <c r="X75" s="145">
        <f>IF(テーブル2[[#This Row],[ｼｬﾄﾙﾗﾝ]]="",0,(IF(テーブル2[[#This Row],[性別]]="男",LOOKUP(テーブル2[[#This Row],[ｼｬﾄﾙﾗﾝ]],$AS$6:$AT$15),LOOKUP(テーブル2[[#This Row],[ｼｬﾄﾙﾗﾝ]],$AS$20:$AT$29))))</f>
        <v>0</v>
      </c>
      <c r="Y75" s="145">
        <f>IF(テーブル2[[#This Row],[50m走]]="",0,(IF(テーブル2[[#This Row],[性別]]="男",LOOKUP(テーブル2[[#This Row],[50m走]],$AU$6:$AV$15),LOOKUP(テーブル2[[#This Row],[50m走]],$AU$20:$AV$29))))</f>
        <v>0</v>
      </c>
      <c r="Z75" s="145">
        <f>IF(テーブル2[[#This Row],[立幅とび]]="",0,(IF(テーブル2[[#This Row],[性別]]="男",LOOKUP(テーブル2[[#This Row],[立幅とび]],$AW$6:$AX$15),LOOKUP(テーブル2[[#This Row],[立幅とび]],$AW$20:$AX$29))))</f>
        <v>0</v>
      </c>
      <c r="AA75" s="145">
        <f>IF(テーブル2[[#This Row],[ボール投げ]]="",0,(IF(テーブル2[[#This Row],[性別]]="男",LOOKUP(テーブル2[[#This Row],[ボール投げ]],$AY$6:$AZ$15),LOOKUP(テーブル2[[#This Row],[ボール投げ]],$AY$20:$AZ$29))))</f>
        <v>0</v>
      </c>
      <c r="AB75" s="146" t="str">
        <f>IF(テーブル2[[#This Row],[学年]]=1,12,IF(テーブル2[[#This Row],[学年]]=2,13,IF(テーブル2[[#This Row],[学年]]=3,14,"")))</f>
        <v/>
      </c>
      <c r="AC75" s="192" t="str">
        <f>IF(テーブル2[[#This Row],[肥満度数値]]=0,"",LOOKUP(AE75,$AW$39:$AW$44,$AX$39:$AX$44))</f>
        <v/>
      </c>
      <c r="AD7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5" s="77">
        <f>IF(テーブル2[[#This Row],[体重]]="",0,(テーブル2[[#This Row],[体重]]-テーブル2[[#This Row],[標準体重]])/テーブル2[[#This Row],[標準体重]]*100)</f>
        <v>0</v>
      </c>
      <c r="AF75" s="26">
        <f>COUNTA(テーブル2[[#This Row],[握力]:[ボール投げ]])</f>
        <v>0</v>
      </c>
      <c r="AG75" s="1" t="str">
        <f>IF(テーブル2[[#This Row],[判定]]=$BE$10,"○","")</f>
        <v/>
      </c>
      <c r="AH75" s="1" t="str">
        <f>IF(AG75="","",COUNTIF($AG$6:AG75,"○"))</f>
        <v/>
      </c>
    </row>
    <row r="76" spans="1:34" ht="14.25" customHeight="1" x14ac:dyDescent="0.15">
      <c r="A76" s="44">
        <v>71</v>
      </c>
      <c r="B76" s="148"/>
      <c r="C76" s="151"/>
      <c r="D76" s="148"/>
      <c r="E76" s="152"/>
      <c r="F76" s="148"/>
      <c r="G76" s="148"/>
      <c r="H76" s="150"/>
      <c r="I76" s="150"/>
      <c r="J76" s="151"/>
      <c r="K76" s="148"/>
      <c r="L76" s="196"/>
      <c r="M76" s="151"/>
      <c r="N76" s="197"/>
      <c r="O76" s="151"/>
      <c r="P76" s="153"/>
      <c r="Q7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 s="144" t="str">
        <f>IF(テーブル2[[#This Row],[得点]]=0,"",IF(テーブル2[[#This Row],[年齢]]=17,LOOKUP(Q76,$BH$6:$BH$10,$BE$6:$BE$10),IF(テーブル2[[#This Row],[年齢]]=16,LOOKUP(Q76,$BG$6:$BG$10,$BE$6:$BE$10),IF(テーブル2[[#This Row],[年齢]]=15,LOOKUP(Q76,$BF$6:$BF$10,$BE$6:$BE$10),IF(テーブル2[[#This Row],[年齢]]=14,LOOKUP(Q76,$BD$6:$BD$10,$BE$6:$BE$10),IF(テーブル2[[#This Row],[年齢]]=13,LOOKUP(Q76,$BC$6:$BC$10,$BE$6:$BE$10),LOOKUP(Q76,$BB$6:$BB$10,$BE$6:$BE$10)))))))</f>
        <v/>
      </c>
      <c r="S76" s="145">
        <f>IF(H76="",0,(IF(テーブル2[[#This Row],[性別]]="男",LOOKUP(テーブル2[[#This Row],[握力]],$AI$6:$AJ$15),LOOKUP(テーブル2[[#This Row],[握力]],$AI$20:$AJ$29))))</f>
        <v>0</v>
      </c>
      <c r="T76" s="145">
        <f>IF(テーブル2[[#This Row],[上体]]="",0,(IF(テーブル2[[#This Row],[性別]]="男",LOOKUP(テーブル2[[#This Row],[上体]],$AK$6:$AL$15),LOOKUP(テーブル2[[#This Row],[上体]],$AK$20:$AL$29))))</f>
        <v>0</v>
      </c>
      <c r="U76" s="145">
        <f>IF(テーブル2[[#This Row],[長座]]="",0,(IF(テーブル2[[#This Row],[性別]]="男",LOOKUP(テーブル2[[#This Row],[長座]],$AM$6:$AN$15),LOOKUP(テーブル2[[#This Row],[長座]],$AM$20:$AN$29))))</f>
        <v>0</v>
      </c>
      <c r="V76" s="145">
        <f>IF(テーブル2[[#This Row],[反復]]="",0,(IF(テーブル2[[#This Row],[性別]]="男",LOOKUP(テーブル2[[#This Row],[反復]],$AO$6:$AP$15),LOOKUP(テーブル2[[#This Row],[反復]],$AO$20:$AP$29))))</f>
        <v>0</v>
      </c>
      <c r="W76" s="145">
        <f>IF(テーブル2[[#This Row],[持久走]]="",0,(IF(テーブル2[[#This Row],[性別]]="男",LOOKUP(テーブル2[[#This Row],[持久走]],$AQ$6:$AR$15),LOOKUP(テーブル2[[#This Row],[持久走]],$AQ$20:$AR$29))))</f>
        <v>0</v>
      </c>
      <c r="X76" s="145">
        <f>IF(テーブル2[[#This Row],[ｼｬﾄﾙﾗﾝ]]="",0,(IF(テーブル2[[#This Row],[性別]]="男",LOOKUP(テーブル2[[#This Row],[ｼｬﾄﾙﾗﾝ]],$AS$6:$AT$15),LOOKUP(テーブル2[[#This Row],[ｼｬﾄﾙﾗﾝ]],$AS$20:$AT$29))))</f>
        <v>0</v>
      </c>
      <c r="Y76" s="145">
        <f>IF(テーブル2[[#This Row],[50m走]]="",0,(IF(テーブル2[[#This Row],[性別]]="男",LOOKUP(テーブル2[[#This Row],[50m走]],$AU$6:$AV$15),LOOKUP(テーブル2[[#This Row],[50m走]],$AU$20:$AV$29))))</f>
        <v>0</v>
      </c>
      <c r="Z76" s="145">
        <f>IF(テーブル2[[#This Row],[立幅とび]]="",0,(IF(テーブル2[[#This Row],[性別]]="男",LOOKUP(テーブル2[[#This Row],[立幅とび]],$AW$6:$AX$15),LOOKUP(テーブル2[[#This Row],[立幅とび]],$AW$20:$AX$29))))</f>
        <v>0</v>
      </c>
      <c r="AA76" s="145">
        <f>IF(テーブル2[[#This Row],[ボール投げ]]="",0,(IF(テーブル2[[#This Row],[性別]]="男",LOOKUP(テーブル2[[#This Row],[ボール投げ]],$AY$6:$AZ$15),LOOKUP(テーブル2[[#This Row],[ボール投げ]],$AY$20:$AZ$29))))</f>
        <v>0</v>
      </c>
      <c r="AB76" s="146" t="str">
        <f>IF(テーブル2[[#This Row],[学年]]=1,12,IF(テーブル2[[#This Row],[学年]]=2,13,IF(テーブル2[[#This Row],[学年]]=3,14,"")))</f>
        <v/>
      </c>
      <c r="AC76" s="192" t="str">
        <f>IF(テーブル2[[#This Row],[肥満度数値]]=0,"",LOOKUP(AE76,$AW$39:$AW$44,$AX$39:$AX$44))</f>
        <v/>
      </c>
      <c r="AD7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6" s="77">
        <f>IF(テーブル2[[#This Row],[体重]]="",0,(テーブル2[[#This Row],[体重]]-テーブル2[[#This Row],[標準体重]])/テーブル2[[#This Row],[標準体重]]*100)</f>
        <v>0</v>
      </c>
      <c r="AF76" s="26">
        <f>COUNTA(テーブル2[[#This Row],[握力]:[ボール投げ]])</f>
        <v>0</v>
      </c>
      <c r="AG76" s="1" t="str">
        <f>IF(テーブル2[[#This Row],[判定]]=$BE$10,"○","")</f>
        <v/>
      </c>
      <c r="AH76" s="1" t="str">
        <f>IF(AG76="","",COUNTIF($AG$6:AG76,"○"))</f>
        <v/>
      </c>
    </row>
    <row r="77" spans="1:34" ht="14.25" customHeight="1" x14ac:dyDescent="0.15">
      <c r="A77" s="44">
        <v>72</v>
      </c>
      <c r="B77" s="148"/>
      <c r="C77" s="151"/>
      <c r="D77" s="148"/>
      <c r="E77" s="152"/>
      <c r="F77" s="148"/>
      <c r="G77" s="148"/>
      <c r="H77" s="150"/>
      <c r="I77" s="150"/>
      <c r="J77" s="151"/>
      <c r="K77" s="148"/>
      <c r="L77" s="196"/>
      <c r="M77" s="151"/>
      <c r="N77" s="197"/>
      <c r="O77" s="151"/>
      <c r="P77" s="153"/>
      <c r="Q7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 s="144" t="str">
        <f>IF(テーブル2[[#This Row],[得点]]=0,"",IF(テーブル2[[#This Row],[年齢]]=17,LOOKUP(Q77,$BH$6:$BH$10,$BE$6:$BE$10),IF(テーブル2[[#This Row],[年齢]]=16,LOOKUP(Q77,$BG$6:$BG$10,$BE$6:$BE$10),IF(テーブル2[[#This Row],[年齢]]=15,LOOKUP(Q77,$BF$6:$BF$10,$BE$6:$BE$10),IF(テーブル2[[#This Row],[年齢]]=14,LOOKUP(Q77,$BD$6:$BD$10,$BE$6:$BE$10),IF(テーブル2[[#This Row],[年齢]]=13,LOOKUP(Q77,$BC$6:$BC$10,$BE$6:$BE$10),LOOKUP(Q77,$BB$6:$BB$10,$BE$6:$BE$10)))))))</f>
        <v/>
      </c>
      <c r="S77" s="145">
        <f>IF(H77="",0,(IF(テーブル2[[#This Row],[性別]]="男",LOOKUP(テーブル2[[#This Row],[握力]],$AI$6:$AJ$15),LOOKUP(テーブル2[[#This Row],[握力]],$AI$20:$AJ$29))))</f>
        <v>0</v>
      </c>
      <c r="T77" s="145">
        <f>IF(テーブル2[[#This Row],[上体]]="",0,(IF(テーブル2[[#This Row],[性別]]="男",LOOKUP(テーブル2[[#This Row],[上体]],$AK$6:$AL$15),LOOKUP(テーブル2[[#This Row],[上体]],$AK$20:$AL$29))))</f>
        <v>0</v>
      </c>
      <c r="U77" s="145">
        <f>IF(テーブル2[[#This Row],[長座]]="",0,(IF(テーブル2[[#This Row],[性別]]="男",LOOKUP(テーブル2[[#This Row],[長座]],$AM$6:$AN$15),LOOKUP(テーブル2[[#This Row],[長座]],$AM$20:$AN$29))))</f>
        <v>0</v>
      </c>
      <c r="V77" s="145">
        <f>IF(テーブル2[[#This Row],[反復]]="",0,(IF(テーブル2[[#This Row],[性別]]="男",LOOKUP(テーブル2[[#This Row],[反復]],$AO$6:$AP$15),LOOKUP(テーブル2[[#This Row],[反復]],$AO$20:$AP$29))))</f>
        <v>0</v>
      </c>
      <c r="W77" s="145">
        <f>IF(テーブル2[[#This Row],[持久走]]="",0,(IF(テーブル2[[#This Row],[性別]]="男",LOOKUP(テーブル2[[#This Row],[持久走]],$AQ$6:$AR$15),LOOKUP(テーブル2[[#This Row],[持久走]],$AQ$20:$AR$29))))</f>
        <v>0</v>
      </c>
      <c r="X77" s="145">
        <f>IF(テーブル2[[#This Row],[ｼｬﾄﾙﾗﾝ]]="",0,(IF(テーブル2[[#This Row],[性別]]="男",LOOKUP(テーブル2[[#This Row],[ｼｬﾄﾙﾗﾝ]],$AS$6:$AT$15),LOOKUP(テーブル2[[#This Row],[ｼｬﾄﾙﾗﾝ]],$AS$20:$AT$29))))</f>
        <v>0</v>
      </c>
      <c r="Y77" s="145">
        <f>IF(テーブル2[[#This Row],[50m走]]="",0,(IF(テーブル2[[#This Row],[性別]]="男",LOOKUP(テーブル2[[#This Row],[50m走]],$AU$6:$AV$15),LOOKUP(テーブル2[[#This Row],[50m走]],$AU$20:$AV$29))))</f>
        <v>0</v>
      </c>
      <c r="Z77" s="145">
        <f>IF(テーブル2[[#This Row],[立幅とび]]="",0,(IF(テーブル2[[#This Row],[性別]]="男",LOOKUP(テーブル2[[#This Row],[立幅とび]],$AW$6:$AX$15),LOOKUP(テーブル2[[#This Row],[立幅とび]],$AW$20:$AX$29))))</f>
        <v>0</v>
      </c>
      <c r="AA77" s="145">
        <f>IF(テーブル2[[#This Row],[ボール投げ]]="",0,(IF(テーブル2[[#This Row],[性別]]="男",LOOKUP(テーブル2[[#This Row],[ボール投げ]],$AY$6:$AZ$15),LOOKUP(テーブル2[[#This Row],[ボール投げ]],$AY$20:$AZ$29))))</f>
        <v>0</v>
      </c>
      <c r="AB77" s="146" t="str">
        <f>IF(テーブル2[[#This Row],[学年]]=1,12,IF(テーブル2[[#This Row],[学年]]=2,13,IF(テーブル2[[#This Row],[学年]]=3,14,"")))</f>
        <v/>
      </c>
      <c r="AC77" s="192" t="str">
        <f>IF(テーブル2[[#This Row],[肥満度数値]]=0,"",LOOKUP(AE77,$AW$39:$AW$44,$AX$39:$AX$44))</f>
        <v/>
      </c>
      <c r="AD7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7" s="77">
        <f>IF(テーブル2[[#This Row],[体重]]="",0,(テーブル2[[#This Row],[体重]]-テーブル2[[#This Row],[標準体重]])/テーブル2[[#This Row],[標準体重]]*100)</f>
        <v>0</v>
      </c>
      <c r="AF77" s="26">
        <f>COUNTA(テーブル2[[#This Row],[握力]:[ボール投げ]])</f>
        <v>0</v>
      </c>
      <c r="AG77" s="1" t="str">
        <f>IF(テーブル2[[#This Row],[判定]]=$BE$10,"○","")</f>
        <v/>
      </c>
      <c r="AH77" s="1" t="str">
        <f>IF(AG77="","",COUNTIF($AG$6:AG77,"○"))</f>
        <v/>
      </c>
    </row>
    <row r="78" spans="1:34" ht="14.25" customHeight="1" x14ac:dyDescent="0.15">
      <c r="A78" s="44">
        <v>73</v>
      </c>
      <c r="B78" s="148"/>
      <c r="C78" s="151"/>
      <c r="D78" s="148"/>
      <c r="E78" s="152"/>
      <c r="F78" s="148"/>
      <c r="G78" s="148"/>
      <c r="H78" s="150"/>
      <c r="I78" s="150"/>
      <c r="J78" s="151"/>
      <c r="K78" s="148"/>
      <c r="L78" s="196"/>
      <c r="M78" s="151"/>
      <c r="N78" s="197"/>
      <c r="O78" s="151"/>
      <c r="P78" s="153"/>
      <c r="Q7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 s="144" t="str">
        <f>IF(テーブル2[[#This Row],[得点]]=0,"",IF(テーブル2[[#This Row],[年齢]]=17,LOOKUP(Q78,$BH$6:$BH$10,$BE$6:$BE$10),IF(テーブル2[[#This Row],[年齢]]=16,LOOKUP(Q78,$BG$6:$BG$10,$BE$6:$BE$10),IF(テーブル2[[#This Row],[年齢]]=15,LOOKUP(Q78,$BF$6:$BF$10,$BE$6:$BE$10),IF(テーブル2[[#This Row],[年齢]]=14,LOOKUP(Q78,$BD$6:$BD$10,$BE$6:$BE$10),IF(テーブル2[[#This Row],[年齢]]=13,LOOKUP(Q78,$BC$6:$BC$10,$BE$6:$BE$10),LOOKUP(Q78,$BB$6:$BB$10,$BE$6:$BE$10)))))))</f>
        <v/>
      </c>
      <c r="S78" s="145">
        <f>IF(H78="",0,(IF(テーブル2[[#This Row],[性別]]="男",LOOKUP(テーブル2[[#This Row],[握力]],$AI$6:$AJ$15),LOOKUP(テーブル2[[#This Row],[握力]],$AI$20:$AJ$29))))</f>
        <v>0</v>
      </c>
      <c r="T78" s="145">
        <f>IF(テーブル2[[#This Row],[上体]]="",0,(IF(テーブル2[[#This Row],[性別]]="男",LOOKUP(テーブル2[[#This Row],[上体]],$AK$6:$AL$15),LOOKUP(テーブル2[[#This Row],[上体]],$AK$20:$AL$29))))</f>
        <v>0</v>
      </c>
      <c r="U78" s="145">
        <f>IF(テーブル2[[#This Row],[長座]]="",0,(IF(テーブル2[[#This Row],[性別]]="男",LOOKUP(テーブル2[[#This Row],[長座]],$AM$6:$AN$15),LOOKUP(テーブル2[[#This Row],[長座]],$AM$20:$AN$29))))</f>
        <v>0</v>
      </c>
      <c r="V78" s="145">
        <f>IF(テーブル2[[#This Row],[反復]]="",0,(IF(テーブル2[[#This Row],[性別]]="男",LOOKUP(テーブル2[[#This Row],[反復]],$AO$6:$AP$15),LOOKUP(テーブル2[[#This Row],[反復]],$AO$20:$AP$29))))</f>
        <v>0</v>
      </c>
      <c r="W78" s="145">
        <f>IF(テーブル2[[#This Row],[持久走]]="",0,(IF(テーブル2[[#This Row],[性別]]="男",LOOKUP(テーブル2[[#This Row],[持久走]],$AQ$6:$AR$15),LOOKUP(テーブル2[[#This Row],[持久走]],$AQ$20:$AR$29))))</f>
        <v>0</v>
      </c>
      <c r="X78" s="145">
        <f>IF(テーブル2[[#This Row],[ｼｬﾄﾙﾗﾝ]]="",0,(IF(テーブル2[[#This Row],[性別]]="男",LOOKUP(テーブル2[[#This Row],[ｼｬﾄﾙﾗﾝ]],$AS$6:$AT$15),LOOKUP(テーブル2[[#This Row],[ｼｬﾄﾙﾗﾝ]],$AS$20:$AT$29))))</f>
        <v>0</v>
      </c>
      <c r="Y78" s="145">
        <f>IF(テーブル2[[#This Row],[50m走]]="",0,(IF(テーブル2[[#This Row],[性別]]="男",LOOKUP(テーブル2[[#This Row],[50m走]],$AU$6:$AV$15),LOOKUP(テーブル2[[#This Row],[50m走]],$AU$20:$AV$29))))</f>
        <v>0</v>
      </c>
      <c r="Z78" s="145">
        <f>IF(テーブル2[[#This Row],[立幅とび]]="",0,(IF(テーブル2[[#This Row],[性別]]="男",LOOKUP(テーブル2[[#This Row],[立幅とび]],$AW$6:$AX$15),LOOKUP(テーブル2[[#This Row],[立幅とび]],$AW$20:$AX$29))))</f>
        <v>0</v>
      </c>
      <c r="AA78" s="145">
        <f>IF(テーブル2[[#This Row],[ボール投げ]]="",0,(IF(テーブル2[[#This Row],[性別]]="男",LOOKUP(テーブル2[[#This Row],[ボール投げ]],$AY$6:$AZ$15),LOOKUP(テーブル2[[#This Row],[ボール投げ]],$AY$20:$AZ$29))))</f>
        <v>0</v>
      </c>
      <c r="AB78" s="146" t="str">
        <f>IF(テーブル2[[#This Row],[学年]]=1,12,IF(テーブル2[[#This Row],[学年]]=2,13,IF(テーブル2[[#This Row],[学年]]=3,14,"")))</f>
        <v/>
      </c>
      <c r="AC78" s="192" t="str">
        <f>IF(テーブル2[[#This Row],[肥満度数値]]=0,"",LOOKUP(AE78,$AW$39:$AW$44,$AX$39:$AX$44))</f>
        <v/>
      </c>
      <c r="AD7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8" s="77">
        <f>IF(テーブル2[[#This Row],[体重]]="",0,(テーブル2[[#This Row],[体重]]-テーブル2[[#This Row],[標準体重]])/テーブル2[[#This Row],[標準体重]]*100)</f>
        <v>0</v>
      </c>
      <c r="AF78" s="26">
        <f>COUNTA(テーブル2[[#This Row],[握力]:[ボール投げ]])</f>
        <v>0</v>
      </c>
      <c r="AG78" s="1" t="str">
        <f>IF(テーブル2[[#This Row],[判定]]=$BE$10,"○","")</f>
        <v/>
      </c>
      <c r="AH78" s="1" t="str">
        <f>IF(AG78="","",COUNTIF($AG$6:AG78,"○"))</f>
        <v/>
      </c>
    </row>
    <row r="79" spans="1:34" ht="14.25" customHeight="1" x14ac:dyDescent="0.15">
      <c r="A79" s="44">
        <v>74</v>
      </c>
      <c r="B79" s="148"/>
      <c r="C79" s="151"/>
      <c r="D79" s="148"/>
      <c r="E79" s="152"/>
      <c r="F79" s="148"/>
      <c r="G79" s="148"/>
      <c r="H79" s="150"/>
      <c r="I79" s="150"/>
      <c r="J79" s="151"/>
      <c r="K79" s="148"/>
      <c r="L79" s="196"/>
      <c r="M79" s="151"/>
      <c r="N79" s="197"/>
      <c r="O79" s="151"/>
      <c r="P79" s="153"/>
      <c r="Q7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 s="144" t="str">
        <f>IF(テーブル2[[#This Row],[得点]]=0,"",IF(テーブル2[[#This Row],[年齢]]=17,LOOKUP(Q79,$BH$6:$BH$10,$BE$6:$BE$10),IF(テーブル2[[#This Row],[年齢]]=16,LOOKUP(Q79,$BG$6:$BG$10,$BE$6:$BE$10),IF(テーブル2[[#This Row],[年齢]]=15,LOOKUP(Q79,$BF$6:$BF$10,$BE$6:$BE$10),IF(テーブル2[[#This Row],[年齢]]=14,LOOKUP(Q79,$BD$6:$BD$10,$BE$6:$BE$10),IF(テーブル2[[#This Row],[年齢]]=13,LOOKUP(Q79,$BC$6:$BC$10,$BE$6:$BE$10),LOOKUP(Q79,$BB$6:$BB$10,$BE$6:$BE$10)))))))</f>
        <v/>
      </c>
      <c r="S79" s="145">
        <f>IF(H79="",0,(IF(テーブル2[[#This Row],[性別]]="男",LOOKUP(テーブル2[[#This Row],[握力]],$AI$6:$AJ$15),LOOKUP(テーブル2[[#This Row],[握力]],$AI$20:$AJ$29))))</f>
        <v>0</v>
      </c>
      <c r="T79" s="145">
        <f>IF(テーブル2[[#This Row],[上体]]="",0,(IF(テーブル2[[#This Row],[性別]]="男",LOOKUP(テーブル2[[#This Row],[上体]],$AK$6:$AL$15),LOOKUP(テーブル2[[#This Row],[上体]],$AK$20:$AL$29))))</f>
        <v>0</v>
      </c>
      <c r="U79" s="145">
        <f>IF(テーブル2[[#This Row],[長座]]="",0,(IF(テーブル2[[#This Row],[性別]]="男",LOOKUP(テーブル2[[#This Row],[長座]],$AM$6:$AN$15),LOOKUP(テーブル2[[#This Row],[長座]],$AM$20:$AN$29))))</f>
        <v>0</v>
      </c>
      <c r="V79" s="145">
        <f>IF(テーブル2[[#This Row],[反復]]="",0,(IF(テーブル2[[#This Row],[性別]]="男",LOOKUP(テーブル2[[#This Row],[反復]],$AO$6:$AP$15),LOOKUP(テーブル2[[#This Row],[反復]],$AO$20:$AP$29))))</f>
        <v>0</v>
      </c>
      <c r="W79" s="145">
        <f>IF(テーブル2[[#This Row],[持久走]]="",0,(IF(テーブル2[[#This Row],[性別]]="男",LOOKUP(テーブル2[[#This Row],[持久走]],$AQ$6:$AR$15),LOOKUP(テーブル2[[#This Row],[持久走]],$AQ$20:$AR$29))))</f>
        <v>0</v>
      </c>
      <c r="X79" s="145">
        <f>IF(テーブル2[[#This Row],[ｼｬﾄﾙﾗﾝ]]="",0,(IF(テーブル2[[#This Row],[性別]]="男",LOOKUP(テーブル2[[#This Row],[ｼｬﾄﾙﾗﾝ]],$AS$6:$AT$15),LOOKUP(テーブル2[[#This Row],[ｼｬﾄﾙﾗﾝ]],$AS$20:$AT$29))))</f>
        <v>0</v>
      </c>
      <c r="Y79" s="145">
        <f>IF(テーブル2[[#This Row],[50m走]]="",0,(IF(テーブル2[[#This Row],[性別]]="男",LOOKUP(テーブル2[[#This Row],[50m走]],$AU$6:$AV$15),LOOKUP(テーブル2[[#This Row],[50m走]],$AU$20:$AV$29))))</f>
        <v>0</v>
      </c>
      <c r="Z79" s="145">
        <f>IF(テーブル2[[#This Row],[立幅とび]]="",0,(IF(テーブル2[[#This Row],[性別]]="男",LOOKUP(テーブル2[[#This Row],[立幅とび]],$AW$6:$AX$15),LOOKUP(テーブル2[[#This Row],[立幅とび]],$AW$20:$AX$29))))</f>
        <v>0</v>
      </c>
      <c r="AA79" s="145">
        <f>IF(テーブル2[[#This Row],[ボール投げ]]="",0,(IF(テーブル2[[#This Row],[性別]]="男",LOOKUP(テーブル2[[#This Row],[ボール投げ]],$AY$6:$AZ$15),LOOKUP(テーブル2[[#This Row],[ボール投げ]],$AY$20:$AZ$29))))</f>
        <v>0</v>
      </c>
      <c r="AB79" s="146" t="str">
        <f>IF(テーブル2[[#This Row],[学年]]=1,12,IF(テーブル2[[#This Row],[学年]]=2,13,IF(テーブル2[[#This Row],[学年]]=3,14,"")))</f>
        <v/>
      </c>
      <c r="AC79" s="192" t="str">
        <f>IF(テーブル2[[#This Row],[肥満度数値]]=0,"",LOOKUP(AE79,$AW$39:$AW$44,$AX$39:$AX$44))</f>
        <v/>
      </c>
      <c r="AD7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79" s="77">
        <f>IF(テーブル2[[#This Row],[体重]]="",0,(テーブル2[[#This Row],[体重]]-テーブル2[[#This Row],[標準体重]])/テーブル2[[#This Row],[標準体重]]*100)</f>
        <v>0</v>
      </c>
      <c r="AF79" s="26">
        <f>COUNTA(テーブル2[[#This Row],[握力]:[ボール投げ]])</f>
        <v>0</v>
      </c>
      <c r="AG79" s="1" t="str">
        <f>IF(テーブル2[[#This Row],[判定]]=$BE$10,"○","")</f>
        <v/>
      </c>
      <c r="AH79" s="1" t="str">
        <f>IF(AG79="","",COUNTIF($AG$6:AG79,"○"))</f>
        <v/>
      </c>
    </row>
    <row r="80" spans="1:34" ht="14.25" customHeight="1" x14ac:dyDescent="0.15">
      <c r="A80" s="44">
        <v>75</v>
      </c>
      <c r="B80" s="148"/>
      <c r="C80" s="151"/>
      <c r="D80" s="148"/>
      <c r="E80" s="152"/>
      <c r="F80" s="148"/>
      <c r="G80" s="148"/>
      <c r="H80" s="150"/>
      <c r="I80" s="150"/>
      <c r="J80" s="151"/>
      <c r="K80" s="148"/>
      <c r="L80" s="196"/>
      <c r="M80" s="151"/>
      <c r="N80" s="197"/>
      <c r="O80" s="151"/>
      <c r="P80" s="153"/>
      <c r="Q8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 s="144" t="str">
        <f>IF(テーブル2[[#This Row],[得点]]=0,"",IF(テーブル2[[#This Row],[年齢]]=17,LOOKUP(Q80,$BH$6:$BH$10,$BE$6:$BE$10),IF(テーブル2[[#This Row],[年齢]]=16,LOOKUP(Q80,$BG$6:$BG$10,$BE$6:$BE$10),IF(テーブル2[[#This Row],[年齢]]=15,LOOKUP(Q80,$BF$6:$BF$10,$BE$6:$BE$10),IF(テーブル2[[#This Row],[年齢]]=14,LOOKUP(Q80,$BD$6:$BD$10,$BE$6:$BE$10),IF(テーブル2[[#This Row],[年齢]]=13,LOOKUP(Q80,$BC$6:$BC$10,$BE$6:$BE$10),LOOKUP(Q80,$BB$6:$BB$10,$BE$6:$BE$10)))))))</f>
        <v/>
      </c>
      <c r="S80" s="145">
        <f>IF(H80="",0,(IF(テーブル2[[#This Row],[性別]]="男",LOOKUP(テーブル2[[#This Row],[握力]],$AI$6:$AJ$15),LOOKUP(テーブル2[[#This Row],[握力]],$AI$20:$AJ$29))))</f>
        <v>0</v>
      </c>
      <c r="T80" s="145">
        <f>IF(テーブル2[[#This Row],[上体]]="",0,(IF(テーブル2[[#This Row],[性別]]="男",LOOKUP(テーブル2[[#This Row],[上体]],$AK$6:$AL$15),LOOKUP(テーブル2[[#This Row],[上体]],$AK$20:$AL$29))))</f>
        <v>0</v>
      </c>
      <c r="U80" s="145">
        <f>IF(テーブル2[[#This Row],[長座]]="",0,(IF(テーブル2[[#This Row],[性別]]="男",LOOKUP(テーブル2[[#This Row],[長座]],$AM$6:$AN$15),LOOKUP(テーブル2[[#This Row],[長座]],$AM$20:$AN$29))))</f>
        <v>0</v>
      </c>
      <c r="V80" s="145">
        <f>IF(テーブル2[[#This Row],[反復]]="",0,(IF(テーブル2[[#This Row],[性別]]="男",LOOKUP(テーブル2[[#This Row],[反復]],$AO$6:$AP$15),LOOKUP(テーブル2[[#This Row],[反復]],$AO$20:$AP$29))))</f>
        <v>0</v>
      </c>
      <c r="W80" s="145">
        <f>IF(テーブル2[[#This Row],[持久走]]="",0,(IF(テーブル2[[#This Row],[性別]]="男",LOOKUP(テーブル2[[#This Row],[持久走]],$AQ$6:$AR$15),LOOKUP(テーブル2[[#This Row],[持久走]],$AQ$20:$AR$29))))</f>
        <v>0</v>
      </c>
      <c r="X80" s="145">
        <f>IF(テーブル2[[#This Row],[ｼｬﾄﾙﾗﾝ]]="",0,(IF(テーブル2[[#This Row],[性別]]="男",LOOKUP(テーブル2[[#This Row],[ｼｬﾄﾙﾗﾝ]],$AS$6:$AT$15),LOOKUP(テーブル2[[#This Row],[ｼｬﾄﾙﾗﾝ]],$AS$20:$AT$29))))</f>
        <v>0</v>
      </c>
      <c r="Y80" s="145">
        <f>IF(テーブル2[[#This Row],[50m走]]="",0,(IF(テーブル2[[#This Row],[性別]]="男",LOOKUP(テーブル2[[#This Row],[50m走]],$AU$6:$AV$15),LOOKUP(テーブル2[[#This Row],[50m走]],$AU$20:$AV$29))))</f>
        <v>0</v>
      </c>
      <c r="Z80" s="145">
        <f>IF(テーブル2[[#This Row],[立幅とび]]="",0,(IF(テーブル2[[#This Row],[性別]]="男",LOOKUP(テーブル2[[#This Row],[立幅とび]],$AW$6:$AX$15),LOOKUP(テーブル2[[#This Row],[立幅とび]],$AW$20:$AX$29))))</f>
        <v>0</v>
      </c>
      <c r="AA80" s="145">
        <f>IF(テーブル2[[#This Row],[ボール投げ]]="",0,(IF(テーブル2[[#This Row],[性別]]="男",LOOKUP(テーブル2[[#This Row],[ボール投げ]],$AY$6:$AZ$15),LOOKUP(テーブル2[[#This Row],[ボール投げ]],$AY$20:$AZ$29))))</f>
        <v>0</v>
      </c>
      <c r="AB80" s="146" t="str">
        <f>IF(テーブル2[[#This Row],[学年]]=1,12,IF(テーブル2[[#This Row],[学年]]=2,13,IF(テーブル2[[#This Row],[学年]]=3,14,"")))</f>
        <v/>
      </c>
      <c r="AC80" s="192" t="str">
        <f>IF(テーブル2[[#This Row],[肥満度数値]]=0,"",LOOKUP(AE80,$AW$39:$AW$44,$AX$39:$AX$44))</f>
        <v/>
      </c>
      <c r="AD8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0" s="77">
        <f>IF(テーブル2[[#This Row],[体重]]="",0,(テーブル2[[#This Row],[体重]]-テーブル2[[#This Row],[標準体重]])/テーブル2[[#This Row],[標準体重]]*100)</f>
        <v>0</v>
      </c>
      <c r="AF80" s="26">
        <f>COUNTA(テーブル2[[#This Row],[握力]:[ボール投げ]])</f>
        <v>0</v>
      </c>
      <c r="AG80" s="1" t="str">
        <f>IF(テーブル2[[#This Row],[判定]]=$BE$10,"○","")</f>
        <v/>
      </c>
      <c r="AH80" s="1" t="str">
        <f>IF(AG80="","",COUNTIF($AG$6:AG80,"○"))</f>
        <v/>
      </c>
    </row>
    <row r="81" spans="1:34" ht="14.25" customHeight="1" x14ac:dyDescent="0.15">
      <c r="A81" s="44">
        <v>76</v>
      </c>
      <c r="B81" s="148"/>
      <c r="C81" s="151"/>
      <c r="D81" s="148"/>
      <c r="E81" s="152"/>
      <c r="F81" s="148"/>
      <c r="G81" s="148"/>
      <c r="H81" s="150"/>
      <c r="I81" s="150"/>
      <c r="J81" s="151"/>
      <c r="K81" s="148"/>
      <c r="L81" s="196"/>
      <c r="M81" s="151"/>
      <c r="N81" s="197"/>
      <c r="O81" s="151"/>
      <c r="P81" s="153"/>
      <c r="Q8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 s="144" t="str">
        <f>IF(テーブル2[[#This Row],[得点]]=0,"",IF(テーブル2[[#This Row],[年齢]]=17,LOOKUP(Q81,$BH$6:$BH$10,$BE$6:$BE$10),IF(テーブル2[[#This Row],[年齢]]=16,LOOKUP(Q81,$BG$6:$BG$10,$BE$6:$BE$10),IF(テーブル2[[#This Row],[年齢]]=15,LOOKUP(Q81,$BF$6:$BF$10,$BE$6:$BE$10),IF(テーブル2[[#This Row],[年齢]]=14,LOOKUP(Q81,$BD$6:$BD$10,$BE$6:$BE$10),IF(テーブル2[[#This Row],[年齢]]=13,LOOKUP(Q81,$BC$6:$BC$10,$BE$6:$BE$10),LOOKUP(Q81,$BB$6:$BB$10,$BE$6:$BE$10)))))))</f>
        <v/>
      </c>
      <c r="S81" s="145">
        <f>IF(H81="",0,(IF(テーブル2[[#This Row],[性別]]="男",LOOKUP(テーブル2[[#This Row],[握力]],$AI$6:$AJ$15),LOOKUP(テーブル2[[#This Row],[握力]],$AI$20:$AJ$29))))</f>
        <v>0</v>
      </c>
      <c r="T81" s="145">
        <f>IF(テーブル2[[#This Row],[上体]]="",0,(IF(テーブル2[[#This Row],[性別]]="男",LOOKUP(テーブル2[[#This Row],[上体]],$AK$6:$AL$15),LOOKUP(テーブル2[[#This Row],[上体]],$AK$20:$AL$29))))</f>
        <v>0</v>
      </c>
      <c r="U81" s="145">
        <f>IF(テーブル2[[#This Row],[長座]]="",0,(IF(テーブル2[[#This Row],[性別]]="男",LOOKUP(テーブル2[[#This Row],[長座]],$AM$6:$AN$15),LOOKUP(テーブル2[[#This Row],[長座]],$AM$20:$AN$29))))</f>
        <v>0</v>
      </c>
      <c r="V81" s="145">
        <f>IF(テーブル2[[#This Row],[反復]]="",0,(IF(テーブル2[[#This Row],[性別]]="男",LOOKUP(テーブル2[[#This Row],[反復]],$AO$6:$AP$15),LOOKUP(テーブル2[[#This Row],[反復]],$AO$20:$AP$29))))</f>
        <v>0</v>
      </c>
      <c r="W81" s="145">
        <f>IF(テーブル2[[#This Row],[持久走]]="",0,(IF(テーブル2[[#This Row],[性別]]="男",LOOKUP(テーブル2[[#This Row],[持久走]],$AQ$6:$AR$15),LOOKUP(テーブル2[[#This Row],[持久走]],$AQ$20:$AR$29))))</f>
        <v>0</v>
      </c>
      <c r="X81" s="145">
        <f>IF(テーブル2[[#This Row],[ｼｬﾄﾙﾗﾝ]]="",0,(IF(テーブル2[[#This Row],[性別]]="男",LOOKUP(テーブル2[[#This Row],[ｼｬﾄﾙﾗﾝ]],$AS$6:$AT$15),LOOKUP(テーブル2[[#This Row],[ｼｬﾄﾙﾗﾝ]],$AS$20:$AT$29))))</f>
        <v>0</v>
      </c>
      <c r="Y81" s="145">
        <f>IF(テーブル2[[#This Row],[50m走]]="",0,(IF(テーブル2[[#This Row],[性別]]="男",LOOKUP(テーブル2[[#This Row],[50m走]],$AU$6:$AV$15),LOOKUP(テーブル2[[#This Row],[50m走]],$AU$20:$AV$29))))</f>
        <v>0</v>
      </c>
      <c r="Z81" s="145">
        <f>IF(テーブル2[[#This Row],[立幅とび]]="",0,(IF(テーブル2[[#This Row],[性別]]="男",LOOKUP(テーブル2[[#This Row],[立幅とび]],$AW$6:$AX$15),LOOKUP(テーブル2[[#This Row],[立幅とび]],$AW$20:$AX$29))))</f>
        <v>0</v>
      </c>
      <c r="AA81" s="145">
        <f>IF(テーブル2[[#This Row],[ボール投げ]]="",0,(IF(テーブル2[[#This Row],[性別]]="男",LOOKUP(テーブル2[[#This Row],[ボール投げ]],$AY$6:$AZ$15),LOOKUP(テーブル2[[#This Row],[ボール投げ]],$AY$20:$AZ$29))))</f>
        <v>0</v>
      </c>
      <c r="AB81" s="146" t="str">
        <f>IF(テーブル2[[#This Row],[学年]]=1,12,IF(テーブル2[[#This Row],[学年]]=2,13,IF(テーブル2[[#This Row],[学年]]=3,14,"")))</f>
        <v/>
      </c>
      <c r="AC81" s="192" t="str">
        <f>IF(テーブル2[[#This Row],[肥満度数値]]=0,"",LOOKUP(AE81,$AW$39:$AW$44,$AX$39:$AX$44))</f>
        <v/>
      </c>
      <c r="AD8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1" s="77">
        <f>IF(テーブル2[[#This Row],[体重]]="",0,(テーブル2[[#This Row],[体重]]-テーブル2[[#This Row],[標準体重]])/テーブル2[[#This Row],[標準体重]]*100)</f>
        <v>0</v>
      </c>
      <c r="AF81" s="26">
        <f>COUNTA(テーブル2[[#This Row],[握力]:[ボール投げ]])</f>
        <v>0</v>
      </c>
      <c r="AG81" s="1" t="str">
        <f>IF(テーブル2[[#This Row],[判定]]=$BE$10,"○","")</f>
        <v/>
      </c>
      <c r="AH81" s="1" t="str">
        <f>IF(AG81="","",COUNTIF($AG$6:AG81,"○"))</f>
        <v/>
      </c>
    </row>
    <row r="82" spans="1:34" ht="14.25" customHeight="1" x14ac:dyDescent="0.15">
      <c r="A82" s="44">
        <v>77</v>
      </c>
      <c r="B82" s="148"/>
      <c r="C82" s="151"/>
      <c r="D82" s="148"/>
      <c r="E82" s="152"/>
      <c r="F82" s="148"/>
      <c r="G82" s="148"/>
      <c r="H82" s="150"/>
      <c r="I82" s="150"/>
      <c r="J82" s="151"/>
      <c r="K82" s="148"/>
      <c r="L82" s="196"/>
      <c r="M82" s="151"/>
      <c r="N82" s="197"/>
      <c r="O82" s="151"/>
      <c r="P82" s="153"/>
      <c r="Q8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 s="144" t="str">
        <f>IF(テーブル2[[#This Row],[得点]]=0,"",IF(テーブル2[[#This Row],[年齢]]=17,LOOKUP(Q82,$BH$6:$BH$10,$BE$6:$BE$10),IF(テーブル2[[#This Row],[年齢]]=16,LOOKUP(Q82,$BG$6:$BG$10,$BE$6:$BE$10),IF(テーブル2[[#This Row],[年齢]]=15,LOOKUP(Q82,$BF$6:$BF$10,$BE$6:$BE$10),IF(テーブル2[[#This Row],[年齢]]=14,LOOKUP(Q82,$BD$6:$BD$10,$BE$6:$BE$10),IF(テーブル2[[#This Row],[年齢]]=13,LOOKUP(Q82,$BC$6:$BC$10,$BE$6:$BE$10),LOOKUP(Q82,$BB$6:$BB$10,$BE$6:$BE$10)))))))</f>
        <v/>
      </c>
      <c r="S82" s="145">
        <f>IF(H82="",0,(IF(テーブル2[[#This Row],[性別]]="男",LOOKUP(テーブル2[[#This Row],[握力]],$AI$6:$AJ$15),LOOKUP(テーブル2[[#This Row],[握力]],$AI$20:$AJ$29))))</f>
        <v>0</v>
      </c>
      <c r="T82" s="145">
        <f>IF(テーブル2[[#This Row],[上体]]="",0,(IF(テーブル2[[#This Row],[性別]]="男",LOOKUP(テーブル2[[#This Row],[上体]],$AK$6:$AL$15),LOOKUP(テーブル2[[#This Row],[上体]],$AK$20:$AL$29))))</f>
        <v>0</v>
      </c>
      <c r="U82" s="145">
        <f>IF(テーブル2[[#This Row],[長座]]="",0,(IF(テーブル2[[#This Row],[性別]]="男",LOOKUP(テーブル2[[#This Row],[長座]],$AM$6:$AN$15),LOOKUP(テーブル2[[#This Row],[長座]],$AM$20:$AN$29))))</f>
        <v>0</v>
      </c>
      <c r="V82" s="145">
        <f>IF(テーブル2[[#This Row],[反復]]="",0,(IF(テーブル2[[#This Row],[性別]]="男",LOOKUP(テーブル2[[#This Row],[反復]],$AO$6:$AP$15),LOOKUP(テーブル2[[#This Row],[反復]],$AO$20:$AP$29))))</f>
        <v>0</v>
      </c>
      <c r="W82" s="145">
        <f>IF(テーブル2[[#This Row],[持久走]]="",0,(IF(テーブル2[[#This Row],[性別]]="男",LOOKUP(テーブル2[[#This Row],[持久走]],$AQ$6:$AR$15),LOOKUP(テーブル2[[#This Row],[持久走]],$AQ$20:$AR$29))))</f>
        <v>0</v>
      </c>
      <c r="X82" s="145">
        <f>IF(テーブル2[[#This Row],[ｼｬﾄﾙﾗﾝ]]="",0,(IF(テーブル2[[#This Row],[性別]]="男",LOOKUP(テーブル2[[#This Row],[ｼｬﾄﾙﾗﾝ]],$AS$6:$AT$15),LOOKUP(テーブル2[[#This Row],[ｼｬﾄﾙﾗﾝ]],$AS$20:$AT$29))))</f>
        <v>0</v>
      </c>
      <c r="Y82" s="145">
        <f>IF(テーブル2[[#This Row],[50m走]]="",0,(IF(テーブル2[[#This Row],[性別]]="男",LOOKUP(テーブル2[[#This Row],[50m走]],$AU$6:$AV$15),LOOKUP(テーブル2[[#This Row],[50m走]],$AU$20:$AV$29))))</f>
        <v>0</v>
      </c>
      <c r="Z82" s="145">
        <f>IF(テーブル2[[#This Row],[立幅とび]]="",0,(IF(テーブル2[[#This Row],[性別]]="男",LOOKUP(テーブル2[[#This Row],[立幅とび]],$AW$6:$AX$15),LOOKUP(テーブル2[[#This Row],[立幅とび]],$AW$20:$AX$29))))</f>
        <v>0</v>
      </c>
      <c r="AA82" s="145">
        <f>IF(テーブル2[[#This Row],[ボール投げ]]="",0,(IF(テーブル2[[#This Row],[性別]]="男",LOOKUP(テーブル2[[#This Row],[ボール投げ]],$AY$6:$AZ$15),LOOKUP(テーブル2[[#This Row],[ボール投げ]],$AY$20:$AZ$29))))</f>
        <v>0</v>
      </c>
      <c r="AB82" s="146" t="str">
        <f>IF(テーブル2[[#This Row],[学年]]=1,12,IF(テーブル2[[#This Row],[学年]]=2,13,IF(テーブル2[[#This Row],[学年]]=3,14,"")))</f>
        <v/>
      </c>
      <c r="AC82" s="192" t="str">
        <f>IF(テーブル2[[#This Row],[肥満度数値]]=0,"",LOOKUP(AE82,$AW$39:$AW$44,$AX$39:$AX$44))</f>
        <v/>
      </c>
      <c r="AD8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2" s="77">
        <f>IF(テーブル2[[#This Row],[体重]]="",0,(テーブル2[[#This Row],[体重]]-テーブル2[[#This Row],[標準体重]])/テーブル2[[#This Row],[標準体重]]*100)</f>
        <v>0</v>
      </c>
      <c r="AF82" s="26">
        <f>COUNTA(テーブル2[[#This Row],[握力]:[ボール投げ]])</f>
        <v>0</v>
      </c>
      <c r="AG82" s="1" t="str">
        <f>IF(テーブル2[[#This Row],[判定]]=$BE$10,"○","")</f>
        <v/>
      </c>
      <c r="AH82" s="1" t="str">
        <f>IF(AG82="","",COUNTIF($AG$6:AG82,"○"))</f>
        <v/>
      </c>
    </row>
    <row r="83" spans="1:34" ht="14.25" customHeight="1" x14ac:dyDescent="0.15">
      <c r="A83" s="44">
        <v>78</v>
      </c>
      <c r="B83" s="148"/>
      <c r="C83" s="151"/>
      <c r="D83" s="148"/>
      <c r="E83" s="152"/>
      <c r="F83" s="148"/>
      <c r="G83" s="148"/>
      <c r="H83" s="150"/>
      <c r="I83" s="150"/>
      <c r="J83" s="151"/>
      <c r="K83" s="148"/>
      <c r="L83" s="196"/>
      <c r="M83" s="151"/>
      <c r="N83" s="197"/>
      <c r="O83" s="151"/>
      <c r="P83" s="153"/>
      <c r="Q8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 s="144" t="str">
        <f>IF(テーブル2[[#This Row],[得点]]=0,"",IF(テーブル2[[#This Row],[年齢]]=17,LOOKUP(Q83,$BH$6:$BH$10,$BE$6:$BE$10),IF(テーブル2[[#This Row],[年齢]]=16,LOOKUP(Q83,$BG$6:$BG$10,$BE$6:$BE$10),IF(テーブル2[[#This Row],[年齢]]=15,LOOKUP(Q83,$BF$6:$BF$10,$BE$6:$BE$10),IF(テーブル2[[#This Row],[年齢]]=14,LOOKUP(Q83,$BD$6:$BD$10,$BE$6:$BE$10),IF(テーブル2[[#This Row],[年齢]]=13,LOOKUP(Q83,$BC$6:$BC$10,$BE$6:$BE$10),LOOKUP(Q83,$BB$6:$BB$10,$BE$6:$BE$10)))))))</f>
        <v/>
      </c>
      <c r="S83" s="145">
        <f>IF(H83="",0,(IF(テーブル2[[#This Row],[性別]]="男",LOOKUP(テーブル2[[#This Row],[握力]],$AI$6:$AJ$15),LOOKUP(テーブル2[[#This Row],[握力]],$AI$20:$AJ$29))))</f>
        <v>0</v>
      </c>
      <c r="T83" s="145">
        <f>IF(テーブル2[[#This Row],[上体]]="",0,(IF(テーブル2[[#This Row],[性別]]="男",LOOKUP(テーブル2[[#This Row],[上体]],$AK$6:$AL$15),LOOKUP(テーブル2[[#This Row],[上体]],$AK$20:$AL$29))))</f>
        <v>0</v>
      </c>
      <c r="U83" s="145">
        <f>IF(テーブル2[[#This Row],[長座]]="",0,(IF(テーブル2[[#This Row],[性別]]="男",LOOKUP(テーブル2[[#This Row],[長座]],$AM$6:$AN$15),LOOKUP(テーブル2[[#This Row],[長座]],$AM$20:$AN$29))))</f>
        <v>0</v>
      </c>
      <c r="V83" s="145">
        <f>IF(テーブル2[[#This Row],[反復]]="",0,(IF(テーブル2[[#This Row],[性別]]="男",LOOKUP(テーブル2[[#This Row],[反復]],$AO$6:$AP$15),LOOKUP(テーブル2[[#This Row],[反復]],$AO$20:$AP$29))))</f>
        <v>0</v>
      </c>
      <c r="W83" s="145">
        <f>IF(テーブル2[[#This Row],[持久走]]="",0,(IF(テーブル2[[#This Row],[性別]]="男",LOOKUP(テーブル2[[#This Row],[持久走]],$AQ$6:$AR$15),LOOKUP(テーブル2[[#This Row],[持久走]],$AQ$20:$AR$29))))</f>
        <v>0</v>
      </c>
      <c r="X83" s="145">
        <f>IF(テーブル2[[#This Row],[ｼｬﾄﾙﾗﾝ]]="",0,(IF(テーブル2[[#This Row],[性別]]="男",LOOKUP(テーブル2[[#This Row],[ｼｬﾄﾙﾗﾝ]],$AS$6:$AT$15),LOOKUP(テーブル2[[#This Row],[ｼｬﾄﾙﾗﾝ]],$AS$20:$AT$29))))</f>
        <v>0</v>
      </c>
      <c r="Y83" s="145">
        <f>IF(テーブル2[[#This Row],[50m走]]="",0,(IF(テーブル2[[#This Row],[性別]]="男",LOOKUP(テーブル2[[#This Row],[50m走]],$AU$6:$AV$15),LOOKUP(テーブル2[[#This Row],[50m走]],$AU$20:$AV$29))))</f>
        <v>0</v>
      </c>
      <c r="Z83" s="145">
        <f>IF(テーブル2[[#This Row],[立幅とび]]="",0,(IF(テーブル2[[#This Row],[性別]]="男",LOOKUP(テーブル2[[#This Row],[立幅とび]],$AW$6:$AX$15),LOOKUP(テーブル2[[#This Row],[立幅とび]],$AW$20:$AX$29))))</f>
        <v>0</v>
      </c>
      <c r="AA83" s="145">
        <f>IF(テーブル2[[#This Row],[ボール投げ]]="",0,(IF(テーブル2[[#This Row],[性別]]="男",LOOKUP(テーブル2[[#This Row],[ボール投げ]],$AY$6:$AZ$15),LOOKUP(テーブル2[[#This Row],[ボール投げ]],$AY$20:$AZ$29))))</f>
        <v>0</v>
      </c>
      <c r="AB83" s="146" t="str">
        <f>IF(テーブル2[[#This Row],[学年]]=1,12,IF(テーブル2[[#This Row],[学年]]=2,13,IF(テーブル2[[#This Row],[学年]]=3,14,"")))</f>
        <v/>
      </c>
      <c r="AC83" s="192" t="str">
        <f>IF(テーブル2[[#This Row],[肥満度数値]]=0,"",LOOKUP(AE83,$AW$39:$AW$44,$AX$39:$AX$44))</f>
        <v/>
      </c>
      <c r="AD8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3" s="77">
        <f>IF(テーブル2[[#This Row],[体重]]="",0,(テーブル2[[#This Row],[体重]]-テーブル2[[#This Row],[標準体重]])/テーブル2[[#This Row],[標準体重]]*100)</f>
        <v>0</v>
      </c>
      <c r="AF83" s="26">
        <f>COUNTA(テーブル2[[#This Row],[握力]:[ボール投げ]])</f>
        <v>0</v>
      </c>
      <c r="AG83" s="1" t="str">
        <f>IF(テーブル2[[#This Row],[判定]]=$BE$10,"○","")</f>
        <v/>
      </c>
      <c r="AH83" s="1" t="str">
        <f>IF(AG83="","",COUNTIF($AG$6:AG83,"○"))</f>
        <v/>
      </c>
    </row>
    <row r="84" spans="1:34" ht="14.25" customHeight="1" x14ac:dyDescent="0.15">
      <c r="A84" s="44">
        <v>79</v>
      </c>
      <c r="B84" s="148"/>
      <c r="C84" s="151"/>
      <c r="D84" s="148"/>
      <c r="E84" s="152"/>
      <c r="F84" s="148"/>
      <c r="G84" s="148"/>
      <c r="H84" s="150"/>
      <c r="I84" s="150"/>
      <c r="J84" s="151"/>
      <c r="K84" s="148"/>
      <c r="L84" s="196"/>
      <c r="M84" s="151"/>
      <c r="N84" s="197"/>
      <c r="O84" s="151"/>
      <c r="P84" s="153"/>
      <c r="Q8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 s="144" t="str">
        <f>IF(テーブル2[[#This Row],[得点]]=0,"",IF(テーブル2[[#This Row],[年齢]]=17,LOOKUP(Q84,$BH$6:$BH$10,$BE$6:$BE$10),IF(テーブル2[[#This Row],[年齢]]=16,LOOKUP(Q84,$BG$6:$BG$10,$BE$6:$BE$10),IF(テーブル2[[#This Row],[年齢]]=15,LOOKUP(Q84,$BF$6:$BF$10,$BE$6:$BE$10),IF(テーブル2[[#This Row],[年齢]]=14,LOOKUP(Q84,$BD$6:$BD$10,$BE$6:$BE$10),IF(テーブル2[[#This Row],[年齢]]=13,LOOKUP(Q84,$BC$6:$BC$10,$BE$6:$BE$10),LOOKUP(Q84,$BB$6:$BB$10,$BE$6:$BE$10)))))))</f>
        <v/>
      </c>
      <c r="S84" s="145">
        <f>IF(H84="",0,(IF(テーブル2[[#This Row],[性別]]="男",LOOKUP(テーブル2[[#This Row],[握力]],$AI$6:$AJ$15),LOOKUP(テーブル2[[#This Row],[握力]],$AI$20:$AJ$29))))</f>
        <v>0</v>
      </c>
      <c r="T84" s="145">
        <f>IF(テーブル2[[#This Row],[上体]]="",0,(IF(テーブル2[[#This Row],[性別]]="男",LOOKUP(テーブル2[[#This Row],[上体]],$AK$6:$AL$15),LOOKUP(テーブル2[[#This Row],[上体]],$AK$20:$AL$29))))</f>
        <v>0</v>
      </c>
      <c r="U84" s="145">
        <f>IF(テーブル2[[#This Row],[長座]]="",0,(IF(テーブル2[[#This Row],[性別]]="男",LOOKUP(テーブル2[[#This Row],[長座]],$AM$6:$AN$15),LOOKUP(テーブル2[[#This Row],[長座]],$AM$20:$AN$29))))</f>
        <v>0</v>
      </c>
      <c r="V84" s="145">
        <f>IF(テーブル2[[#This Row],[反復]]="",0,(IF(テーブル2[[#This Row],[性別]]="男",LOOKUP(テーブル2[[#This Row],[反復]],$AO$6:$AP$15),LOOKUP(テーブル2[[#This Row],[反復]],$AO$20:$AP$29))))</f>
        <v>0</v>
      </c>
      <c r="W84" s="145">
        <f>IF(テーブル2[[#This Row],[持久走]]="",0,(IF(テーブル2[[#This Row],[性別]]="男",LOOKUP(テーブル2[[#This Row],[持久走]],$AQ$6:$AR$15),LOOKUP(テーブル2[[#This Row],[持久走]],$AQ$20:$AR$29))))</f>
        <v>0</v>
      </c>
      <c r="X84" s="145">
        <f>IF(テーブル2[[#This Row],[ｼｬﾄﾙﾗﾝ]]="",0,(IF(テーブル2[[#This Row],[性別]]="男",LOOKUP(テーブル2[[#This Row],[ｼｬﾄﾙﾗﾝ]],$AS$6:$AT$15),LOOKUP(テーブル2[[#This Row],[ｼｬﾄﾙﾗﾝ]],$AS$20:$AT$29))))</f>
        <v>0</v>
      </c>
      <c r="Y84" s="145">
        <f>IF(テーブル2[[#This Row],[50m走]]="",0,(IF(テーブル2[[#This Row],[性別]]="男",LOOKUP(テーブル2[[#This Row],[50m走]],$AU$6:$AV$15),LOOKUP(テーブル2[[#This Row],[50m走]],$AU$20:$AV$29))))</f>
        <v>0</v>
      </c>
      <c r="Z84" s="145">
        <f>IF(テーブル2[[#This Row],[立幅とび]]="",0,(IF(テーブル2[[#This Row],[性別]]="男",LOOKUP(テーブル2[[#This Row],[立幅とび]],$AW$6:$AX$15),LOOKUP(テーブル2[[#This Row],[立幅とび]],$AW$20:$AX$29))))</f>
        <v>0</v>
      </c>
      <c r="AA84" s="145">
        <f>IF(テーブル2[[#This Row],[ボール投げ]]="",0,(IF(テーブル2[[#This Row],[性別]]="男",LOOKUP(テーブル2[[#This Row],[ボール投げ]],$AY$6:$AZ$15),LOOKUP(テーブル2[[#This Row],[ボール投げ]],$AY$20:$AZ$29))))</f>
        <v>0</v>
      </c>
      <c r="AB84" s="146" t="str">
        <f>IF(テーブル2[[#This Row],[学年]]=1,12,IF(テーブル2[[#This Row],[学年]]=2,13,IF(テーブル2[[#This Row],[学年]]=3,14,"")))</f>
        <v/>
      </c>
      <c r="AC84" s="192" t="str">
        <f>IF(テーブル2[[#This Row],[肥満度数値]]=0,"",LOOKUP(AE84,$AW$39:$AW$44,$AX$39:$AX$44))</f>
        <v/>
      </c>
      <c r="AD8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4" s="77">
        <f>IF(テーブル2[[#This Row],[体重]]="",0,(テーブル2[[#This Row],[体重]]-テーブル2[[#This Row],[標準体重]])/テーブル2[[#This Row],[標準体重]]*100)</f>
        <v>0</v>
      </c>
      <c r="AF84" s="26">
        <f>COUNTA(テーブル2[[#This Row],[握力]:[ボール投げ]])</f>
        <v>0</v>
      </c>
      <c r="AG84" s="1" t="str">
        <f>IF(テーブル2[[#This Row],[判定]]=$BE$10,"○","")</f>
        <v/>
      </c>
      <c r="AH84" s="1" t="str">
        <f>IF(AG84="","",COUNTIF($AG$6:AG84,"○"))</f>
        <v/>
      </c>
    </row>
    <row r="85" spans="1:34" ht="14.25" customHeight="1" x14ac:dyDescent="0.15">
      <c r="A85" s="44">
        <v>80</v>
      </c>
      <c r="B85" s="148"/>
      <c r="C85" s="151"/>
      <c r="D85" s="148"/>
      <c r="E85" s="152"/>
      <c r="F85" s="148"/>
      <c r="G85" s="148"/>
      <c r="H85" s="150"/>
      <c r="I85" s="150"/>
      <c r="J85" s="151"/>
      <c r="K85" s="148"/>
      <c r="L85" s="196"/>
      <c r="M85" s="151"/>
      <c r="N85" s="197"/>
      <c r="O85" s="151"/>
      <c r="P85" s="153"/>
      <c r="Q8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 s="144" t="str">
        <f>IF(テーブル2[[#This Row],[得点]]=0,"",IF(テーブル2[[#This Row],[年齢]]=17,LOOKUP(Q85,$BH$6:$BH$10,$BE$6:$BE$10),IF(テーブル2[[#This Row],[年齢]]=16,LOOKUP(Q85,$BG$6:$BG$10,$BE$6:$BE$10),IF(テーブル2[[#This Row],[年齢]]=15,LOOKUP(Q85,$BF$6:$BF$10,$BE$6:$BE$10),IF(テーブル2[[#This Row],[年齢]]=14,LOOKUP(Q85,$BD$6:$BD$10,$BE$6:$BE$10),IF(テーブル2[[#This Row],[年齢]]=13,LOOKUP(Q85,$BC$6:$BC$10,$BE$6:$BE$10),LOOKUP(Q85,$BB$6:$BB$10,$BE$6:$BE$10)))))))</f>
        <v/>
      </c>
      <c r="S85" s="145">
        <f>IF(H85="",0,(IF(テーブル2[[#This Row],[性別]]="男",LOOKUP(テーブル2[[#This Row],[握力]],$AI$6:$AJ$15),LOOKUP(テーブル2[[#This Row],[握力]],$AI$20:$AJ$29))))</f>
        <v>0</v>
      </c>
      <c r="T85" s="145">
        <f>IF(テーブル2[[#This Row],[上体]]="",0,(IF(テーブル2[[#This Row],[性別]]="男",LOOKUP(テーブル2[[#This Row],[上体]],$AK$6:$AL$15),LOOKUP(テーブル2[[#This Row],[上体]],$AK$20:$AL$29))))</f>
        <v>0</v>
      </c>
      <c r="U85" s="145">
        <f>IF(テーブル2[[#This Row],[長座]]="",0,(IF(テーブル2[[#This Row],[性別]]="男",LOOKUP(テーブル2[[#This Row],[長座]],$AM$6:$AN$15),LOOKUP(テーブル2[[#This Row],[長座]],$AM$20:$AN$29))))</f>
        <v>0</v>
      </c>
      <c r="V85" s="145">
        <f>IF(テーブル2[[#This Row],[反復]]="",0,(IF(テーブル2[[#This Row],[性別]]="男",LOOKUP(テーブル2[[#This Row],[反復]],$AO$6:$AP$15),LOOKUP(テーブル2[[#This Row],[反復]],$AO$20:$AP$29))))</f>
        <v>0</v>
      </c>
      <c r="W85" s="145">
        <f>IF(テーブル2[[#This Row],[持久走]]="",0,(IF(テーブル2[[#This Row],[性別]]="男",LOOKUP(テーブル2[[#This Row],[持久走]],$AQ$6:$AR$15),LOOKUP(テーブル2[[#This Row],[持久走]],$AQ$20:$AR$29))))</f>
        <v>0</v>
      </c>
      <c r="X85" s="145">
        <f>IF(テーブル2[[#This Row],[ｼｬﾄﾙﾗﾝ]]="",0,(IF(テーブル2[[#This Row],[性別]]="男",LOOKUP(テーブル2[[#This Row],[ｼｬﾄﾙﾗﾝ]],$AS$6:$AT$15),LOOKUP(テーブル2[[#This Row],[ｼｬﾄﾙﾗﾝ]],$AS$20:$AT$29))))</f>
        <v>0</v>
      </c>
      <c r="Y85" s="145">
        <f>IF(テーブル2[[#This Row],[50m走]]="",0,(IF(テーブル2[[#This Row],[性別]]="男",LOOKUP(テーブル2[[#This Row],[50m走]],$AU$6:$AV$15),LOOKUP(テーブル2[[#This Row],[50m走]],$AU$20:$AV$29))))</f>
        <v>0</v>
      </c>
      <c r="Z85" s="145">
        <f>IF(テーブル2[[#This Row],[立幅とび]]="",0,(IF(テーブル2[[#This Row],[性別]]="男",LOOKUP(テーブル2[[#This Row],[立幅とび]],$AW$6:$AX$15),LOOKUP(テーブル2[[#This Row],[立幅とび]],$AW$20:$AX$29))))</f>
        <v>0</v>
      </c>
      <c r="AA85" s="145">
        <f>IF(テーブル2[[#This Row],[ボール投げ]]="",0,(IF(テーブル2[[#This Row],[性別]]="男",LOOKUP(テーブル2[[#This Row],[ボール投げ]],$AY$6:$AZ$15),LOOKUP(テーブル2[[#This Row],[ボール投げ]],$AY$20:$AZ$29))))</f>
        <v>0</v>
      </c>
      <c r="AB85" s="146" t="str">
        <f>IF(テーブル2[[#This Row],[学年]]=1,12,IF(テーブル2[[#This Row],[学年]]=2,13,IF(テーブル2[[#This Row],[学年]]=3,14,"")))</f>
        <v/>
      </c>
      <c r="AC85" s="192" t="str">
        <f>IF(テーブル2[[#This Row],[肥満度数値]]=0,"",LOOKUP(AE85,$AW$39:$AW$44,$AX$39:$AX$44))</f>
        <v/>
      </c>
      <c r="AD8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5" s="77">
        <f>IF(テーブル2[[#This Row],[体重]]="",0,(テーブル2[[#This Row],[体重]]-テーブル2[[#This Row],[標準体重]])/テーブル2[[#This Row],[標準体重]]*100)</f>
        <v>0</v>
      </c>
      <c r="AF85" s="26">
        <f>COUNTA(テーブル2[[#This Row],[握力]:[ボール投げ]])</f>
        <v>0</v>
      </c>
      <c r="AG85" s="1" t="str">
        <f>IF(テーブル2[[#This Row],[判定]]=$BE$10,"○","")</f>
        <v/>
      </c>
      <c r="AH85" s="1" t="str">
        <f>IF(AG85="","",COUNTIF($AG$6:AG85,"○"))</f>
        <v/>
      </c>
    </row>
    <row r="86" spans="1:34" ht="14.25" customHeight="1" x14ac:dyDescent="0.15">
      <c r="A86" s="44">
        <v>81</v>
      </c>
      <c r="B86" s="148"/>
      <c r="C86" s="151"/>
      <c r="D86" s="148"/>
      <c r="E86" s="152"/>
      <c r="F86" s="148"/>
      <c r="G86" s="148"/>
      <c r="H86" s="150"/>
      <c r="I86" s="150"/>
      <c r="J86" s="151"/>
      <c r="K86" s="148"/>
      <c r="L86" s="196"/>
      <c r="M86" s="151"/>
      <c r="N86" s="197"/>
      <c r="O86" s="151"/>
      <c r="P86" s="153"/>
      <c r="Q8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 s="144" t="str">
        <f>IF(テーブル2[[#This Row],[得点]]=0,"",IF(テーブル2[[#This Row],[年齢]]=17,LOOKUP(Q86,$BH$6:$BH$10,$BE$6:$BE$10),IF(テーブル2[[#This Row],[年齢]]=16,LOOKUP(Q86,$BG$6:$BG$10,$BE$6:$BE$10),IF(テーブル2[[#This Row],[年齢]]=15,LOOKUP(Q86,$BF$6:$BF$10,$BE$6:$BE$10),IF(テーブル2[[#This Row],[年齢]]=14,LOOKUP(Q86,$BD$6:$BD$10,$BE$6:$BE$10),IF(テーブル2[[#This Row],[年齢]]=13,LOOKUP(Q86,$BC$6:$BC$10,$BE$6:$BE$10),LOOKUP(Q86,$BB$6:$BB$10,$BE$6:$BE$10)))))))</f>
        <v/>
      </c>
      <c r="S86" s="145">
        <f>IF(H86="",0,(IF(テーブル2[[#This Row],[性別]]="男",LOOKUP(テーブル2[[#This Row],[握力]],$AI$6:$AJ$15),LOOKUP(テーブル2[[#This Row],[握力]],$AI$20:$AJ$29))))</f>
        <v>0</v>
      </c>
      <c r="T86" s="145">
        <f>IF(テーブル2[[#This Row],[上体]]="",0,(IF(テーブル2[[#This Row],[性別]]="男",LOOKUP(テーブル2[[#This Row],[上体]],$AK$6:$AL$15),LOOKUP(テーブル2[[#This Row],[上体]],$AK$20:$AL$29))))</f>
        <v>0</v>
      </c>
      <c r="U86" s="145">
        <f>IF(テーブル2[[#This Row],[長座]]="",0,(IF(テーブル2[[#This Row],[性別]]="男",LOOKUP(テーブル2[[#This Row],[長座]],$AM$6:$AN$15),LOOKUP(テーブル2[[#This Row],[長座]],$AM$20:$AN$29))))</f>
        <v>0</v>
      </c>
      <c r="V86" s="145">
        <f>IF(テーブル2[[#This Row],[反復]]="",0,(IF(テーブル2[[#This Row],[性別]]="男",LOOKUP(テーブル2[[#This Row],[反復]],$AO$6:$AP$15),LOOKUP(テーブル2[[#This Row],[反復]],$AO$20:$AP$29))))</f>
        <v>0</v>
      </c>
      <c r="W86" s="145">
        <f>IF(テーブル2[[#This Row],[持久走]]="",0,(IF(テーブル2[[#This Row],[性別]]="男",LOOKUP(テーブル2[[#This Row],[持久走]],$AQ$6:$AR$15),LOOKUP(テーブル2[[#This Row],[持久走]],$AQ$20:$AR$29))))</f>
        <v>0</v>
      </c>
      <c r="X86" s="145">
        <f>IF(テーブル2[[#This Row],[ｼｬﾄﾙﾗﾝ]]="",0,(IF(テーブル2[[#This Row],[性別]]="男",LOOKUP(テーブル2[[#This Row],[ｼｬﾄﾙﾗﾝ]],$AS$6:$AT$15),LOOKUP(テーブル2[[#This Row],[ｼｬﾄﾙﾗﾝ]],$AS$20:$AT$29))))</f>
        <v>0</v>
      </c>
      <c r="Y86" s="145">
        <f>IF(テーブル2[[#This Row],[50m走]]="",0,(IF(テーブル2[[#This Row],[性別]]="男",LOOKUP(テーブル2[[#This Row],[50m走]],$AU$6:$AV$15),LOOKUP(テーブル2[[#This Row],[50m走]],$AU$20:$AV$29))))</f>
        <v>0</v>
      </c>
      <c r="Z86" s="145">
        <f>IF(テーブル2[[#This Row],[立幅とび]]="",0,(IF(テーブル2[[#This Row],[性別]]="男",LOOKUP(テーブル2[[#This Row],[立幅とび]],$AW$6:$AX$15),LOOKUP(テーブル2[[#This Row],[立幅とび]],$AW$20:$AX$29))))</f>
        <v>0</v>
      </c>
      <c r="AA86" s="145">
        <f>IF(テーブル2[[#This Row],[ボール投げ]]="",0,(IF(テーブル2[[#This Row],[性別]]="男",LOOKUP(テーブル2[[#This Row],[ボール投げ]],$AY$6:$AZ$15),LOOKUP(テーブル2[[#This Row],[ボール投げ]],$AY$20:$AZ$29))))</f>
        <v>0</v>
      </c>
      <c r="AB86" s="146" t="str">
        <f>IF(テーブル2[[#This Row],[学年]]=1,12,IF(テーブル2[[#This Row],[学年]]=2,13,IF(テーブル2[[#This Row],[学年]]=3,14,"")))</f>
        <v/>
      </c>
      <c r="AC86" s="192" t="str">
        <f>IF(テーブル2[[#This Row],[肥満度数値]]=0,"",LOOKUP(AE86,$AW$39:$AW$44,$AX$39:$AX$44))</f>
        <v/>
      </c>
      <c r="AD8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6" s="77">
        <f>IF(テーブル2[[#This Row],[体重]]="",0,(テーブル2[[#This Row],[体重]]-テーブル2[[#This Row],[標準体重]])/テーブル2[[#This Row],[標準体重]]*100)</f>
        <v>0</v>
      </c>
      <c r="AF86" s="26">
        <f>COUNTA(テーブル2[[#This Row],[握力]:[ボール投げ]])</f>
        <v>0</v>
      </c>
      <c r="AG86" s="1" t="str">
        <f>IF(テーブル2[[#This Row],[判定]]=$BE$10,"○","")</f>
        <v/>
      </c>
      <c r="AH86" s="1" t="str">
        <f>IF(AG86="","",COUNTIF($AG$6:AG86,"○"))</f>
        <v/>
      </c>
    </row>
    <row r="87" spans="1:34" ht="14.25" customHeight="1" x14ac:dyDescent="0.15">
      <c r="A87" s="44">
        <v>82</v>
      </c>
      <c r="B87" s="148"/>
      <c r="C87" s="151"/>
      <c r="D87" s="148"/>
      <c r="E87" s="152"/>
      <c r="F87" s="148"/>
      <c r="G87" s="148"/>
      <c r="H87" s="150"/>
      <c r="I87" s="150"/>
      <c r="J87" s="151"/>
      <c r="K87" s="148"/>
      <c r="L87" s="196"/>
      <c r="M87" s="151"/>
      <c r="N87" s="197"/>
      <c r="O87" s="151"/>
      <c r="P87" s="153"/>
      <c r="Q8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 s="144" t="str">
        <f>IF(テーブル2[[#This Row],[得点]]=0,"",IF(テーブル2[[#This Row],[年齢]]=17,LOOKUP(Q87,$BH$6:$BH$10,$BE$6:$BE$10),IF(テーブル2[[#This Row],[年齢]]=16,LOOKUP(Q87,$BG$6:$BG$10,$BE$6:$BE$10),IF(テーブル2[[#This Row],[年齢]]=15,LOOKUP(Q87,$BF$6:$BF$10,$BE$6:$BE$10),IF(テーブル2[[#This Row],[年齢]]=14,LOOKUP(Q87,$BD$6:$BD$10,$BE$6:$BE$10),IF(テーブル2[[#This Row],[年齢]]=13,LOOKUP(Q87,$BC$6:$BC$10,$BE$6:$BE$10),LOOKUP(Q87,$BB$6:$BB$10,$BE$6:$BE$10)))))))</f>
        <v/>
      </c>
      <c r="S87" s="145">
        <f>IF(H87="",0,(IF(テーブル2[[#This Row],[性別]]="男",LOOKUP(テーブル2[[#This Row],[握力]],$AI$6:$AJ$15),LOOKUP(テーブル2[[#This Row],[握力]],$AI$20:$AJ$29))))</f>
        <v>0</v>
      </c>
      <c r="T87" s="145">
        <f>IF(テーブル2[[#This Row],[上体]]="",0,(IF(テーブル2[[#This Row],[性別]]="男",LOOKUP(テーブル2[[#This Row],[上体]],$AK$6:$AL$15),LOOKUP(テーブル2[[#This Row],[上体]],$AK$20:$AL$29))))</f>
        <v>0</v>
      </c>
      <c r="U87" s="145">
        <f>IF(テーブル2[[#This Row],[長座]]="",0,(IF(テーブル2[[#This Row],[性別]]="男",LOOKUP(テーブル2[[#This Row],[長座]],$AM$6:$AN$15),LOOKUP(テーブル2[[#This Row],[長座]],$AM$20:$AN$29))))</f>
        <v>0</v>
      </c>
      <c r="V87" s="145">
        <f>IF(テーブル2[[#This Row],[反復]]="",0,(IF(テーブル2[[#This Row],[性別]]="男",LOOKUP(テーブル2[[#This Row],[反復]],$AO$6:$AP$15),LOOKUP(テーブル2[[#This Row],[反復]],$AO$20:$AP$29))))</f>
        <v>0</v>
      </c>
      <c r="W87" s="145">
        <f>IF(テーブル2[[#This Row],[持久走]]="",0,(IF(テーブル2[[#This Row],[性別]]="男",LOOKUP(テーブル2[[#This Row],[持久走]],$AQ$6:$AR$15),LOOKUP(テーブル2[[#This Row],[持久走]],$AQ$20:$AR$29))))</f>
        <v>0</v>
      </c>
      <c r="X87" s="145">
        <f>IF(テーブル2[[#This Row],[ｼｬﾄﾙﾗﾝ]]="",0,(IF(テーブル2[[#This Row],[性別]]="男",LOOKUP(テーブル2[[#This Row],[ｼｬﾄﾙﾗﾝ]],$AS$6:$AT$15),LOOKUP(テーブル2[[#This Row],[ｼｬﾄﾙﾗﾝ]],$AS$20:$AT$29))))</f>
        <v>0</v>
      </c>
      <c r="Y87" s="145">
        <f>IF(テーブル2[[#This Row],[50m走]]="",0,(IF(テーブル2[[#This Row],[性別]]="男",LOOKUP(テーブル2[[#This Row],[50m走]],$AU$6:$AV$15),LOOKUP(テーブル2[[#This Row],[50m走]],$AU$20:$AV$29))))</f>
        <v>0</v>
      </c>
      <c r="Z87" s="145">
        <f>IF(テーブル2[[#This Row],[立幅とび]]="",0,(IF(テーブル2[[#This Row],[性別]]="男",LOOKUP(テーブル2[[#This Row],[立幅とび]],$AW$6:$AX$15),LOOKUP(テーブル2[[#This Row],[立幅とび]],$AW$20:$AX$29))))</f>
        <v>0</v>
      </c>
      <c r="AA87" s="145">
        <f>IF(テーブル2[[#This Row],[ボール投げ]]="",0,(IF(テーブル2[[#This Row],[性別]]="男",LOOKUP(テーブル2[[#This Row],[ボール投げ]],$AY$6:$AZ$15),LOOKUP(テーブル2[[#This Row],[ボール投げ]],$AY$20:$AZ$29))))</f>
        <v>0</v>
      </c>
      <c r="AB87" s="146" t="str">
        <f>IF(テーブル2[[#This Row],[学年]]=1,12,IF(テーブル2[[#This Row],[学年]]=2,13,IF(テーブル2[[#This Row],[学年]]=3,14,"")))</f>
        <v/>
      </c>
      <c r="AC87" s="192" t="str">
        <f>IF(テーブル2[[#This Row],[肥満度数値]]=0,"",LOOKUP(AE87,$AW$39:$AW$44,$AX$39:$AX$44))</f>
        <v/>
      </c>
      <c r="AD8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7" s="77">
        <f>IF(テーブル2[[#This Row],[体重]]="",0,(テーブル2[[#This Row],[体重]]-テーブル2[[#This Row],[標準体重]])/テーブル2[[#This Row],[標準体重]]*100)</f>
        <v>0</v>
      </c>
      <c r="AF87" s="26">
        <f>COUNTA(テーブル2[[#This Row],[握力]:[ボール投げ]])</f>
        <v>0</v>
      </c>
      <c r="AG87" s="1" t="str">
        <f>IF(テーブル2[[#This Row],[判定]]=$BE$10,"○","")</f>
        <v/>
      </c>
      <c r="AH87" s="1" t="str">
        <f>IF(AG87="","",COUNTIF($AG$6:AG87,"○"))</f>
        <v/>
      </c>
    </row>
    <row r="88" spans="1:34" ht="14.25" customHeight="1" x14ac:dyDescent="0.15">
      <c r="A88" s="44">
        <v>83</v>
      </c>
      <c r="B88" s="148"/>
      <c r="C88" s="151"/>
      <c r="D88" s="148"/>
      <c r="E88" s="152"/>
      <c r="F88" s="148"/>
      <c r="G88" s="148"/>
      <c r="H88" s="150"/>
      <c r="I88" s="150"/>
      <c r="J88" s="151"/>
      <c r="K88" s="148"/>
      <c r="L88" s="196"/>
      <c r="M88" s="151"/>
      <c r="N88" s="197"/>
      <c r="O88" s="151"/>
      <c r="P88" s="153"/>
      <c r="Q8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 s="144" t="str">
        <f>IF(テーブル2[[#This Row],[得点]]=0,"",IF(テーブル2[[#This Row],[年齢]]=17,LOOKUP(Q88,$BH$6:$BH$10,$BE$6:$BE$10),IF(テーブル2[[#This Row],[年齢]]=16,LOOKUP(Q88,$BG$6:$BG$10,$BE$6:$BE$10),IF(テーブル2[[#This Row],[年齢]]=15,LOOKUP(Q88,$BF$6:$BF$10,$BE$6:$BE$10),IF(テーブル2[[#This Row],[年齢]]=14,LOOKUP(Q88,$BD$6:$BD$10,$BE$6:$BE$10),IF(テーブル2[[#This Row],[年齢]]=13,LOOKUP(Q88,$BC$6:$BC$10,$BE$6:$BE$10),LOOKUP(Q88,$BB$6:$BB$10,$BE$6:$BE$10)))))))</f>
        <v/>
      </c>
      <c r="S88" s="145">
        <f>IF(H88="",0,(IF(テーブル2[[#This Row],[性別]]="男",LOOKUP(テーブル2[[#This Row],[握力]],$AI$6:$AJ$15),LOOKUP(テーブル2[[#This Row],[握力]],$AI$20:$AJ$29))))</f>
        <v>0</v>
      </c>
      <c r="T88" s="145">
        <f>IF(テーブル2[[#This Row],[上体]]="",0,(IF(テーブル2[[#This Row],[性別]]="男",LOOKUP(テーブル2[[#This Row],[上体]],$AK$6:$AL$15),LOOKUP(テーブル2[[#This Row],[上体]],$AK$20:$AL$29))))</f>
        <v>0</v>
      </c>
      <c r="U88" s="145">
        <f>IF(テーブル2[[#This Row],[長座]]="",0,(IF(テーブル2[[#This Row],[性別]]="男",LOOKUP(テーブル2[[#This Row],[長座]],$AM$6:$AN$15),LOOKUP(テーブル2[[#This Row],[長座]],$AM$20:$AN$29))))</f>
        <v>0</v>
      </c>
      <c r="V88" s="145">
        <f>IF(テーブル2[[#This Row],[反復]]="",0,(IF(テーブル2[[#This Row],[性別]]="男",LOOKUP(テーブル2[[#This Row],[反復]],$AO$6:$AP$15),LOOKUP(テーブル2[[#This Row],[反復]],$AO$20:$AP$29))))</f>
        <v>0</v>
      </c>
      <c r="W88" s="145">
        <f>IF(テーブル2[[#This Row],[持久走]]="",0,(IF(テーブル2[[#This Row],[性別]]="男",LOOKUP(テーブル2[[#This Row],[持久走]],$AQ$6:$AR$15),LOOKUP(テーブル2[[#This Row],[持久走]],$AQ$20:$AR$29))))</f>
        <v>0</v>
      </c>
      <c r="X88" s="145">
        <f>IF(テーブル2[[#This Row],[ｼｬﾄﾙﾗﾝ]]="",0,(IF(テーブル2[[#This Row],[性別]]="男",LOOKUP(テーブル2[[#This Row],[ｼｬﾄﾙﾗﾝ]],$AS$6:$AT$15),LOOKUP(テーブル2[[#This Row],[ｼｬﾄﾙﾗﾝ]],$AS$20:$AT$29))))</f>
        <v>0</v>
      </c>
      <c r="Y88" s="145">
        <f>IF(テーブル2[[#This Row],[50m走]]="",0,(IF(テーブル2[[#This Row],[性別]]="男",LOOKUP(テーブル2[[#This Row],[50m走]],$AU$6:$AV$15),LOOKUP(テーブル2[[#This Row],[50m走]],$AU$20:$AV$29))))</f>
        <v>0</v>
      </c>
      <c r="Z88" s="145">
        <f>IF(テーブル2[[#This Row],[立幅とび]]="",0,(IF(テーブル2[[#This Row],[性別]]="男",LOOKUP(テーブル2[[#This Row],[立幅とび]],$AW$6:$AX$15),LOOKUP(テーブル2[[#This Row],[立幅とび]],$AW$20:$AX$29))))</f>
        <v>0</v>
      </c>
      <c r="AA88" s="145">
        <f>IF(テーブル2[[#This Row],[ボール投げ]]="",0,(IF(テーブル2[[#This Row],[性別]]="男",LOOKUP(テーブル2[[#This Row],[ボール投げ]],$AY$6:$AZ$15),LOOKUP(テーブル2[[#This Row],[ボール投げ]],$AY$20:$AZ$29))))</f>
        <v>0</v>
      </c>
      <c r="AB88" s="146" t="str">
        <f>IF(テーブル2[[#This Row],[学年]]=1,12,IF(テーブル2[[#This Row],[学年]]=2,13,IF(テーブル2[[#This Row],[学年]]=3,14,"")))</f>
        <v/>
      </c>
      <c r="AC88" s="192" t="str">
        <f>IF(テーブル2[[#This Row],[肥満度数値]]=0,"",LOOKUP(AE88,$AW$39:$AW$44,$AX$39:$AX$44))</f>
        <v/>
      </c>
      <c r="AD8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8" s="77">
        <f>IF(テーブル2[[#This Row],[体重]]="",0,(テーブル2[[#This Row],[体重]]-テーブル2[[#This Row],[標準体重]])/テーブル2[[#This Row],[標準体重]]*100)</f>
        <v>0</v>
      </c>
      <c r="AF88" s="26">
        <f>COUNTA(テーブル2[[#This Row],[握力]:[ボール投げ]])</f>
        <v>0</v>
      </c>
      <c r="AG88" s="1" t="str">
        <f>IF(テーブル2[[#This Row],[判定]]=$BE$10,"○","")</f>
        <v/>
      </c>
      <c r="AH88" s="1" t="str">
        <f>IF(AG88="","",COUNTIF($AG$6:AG88,"○"))</f>
        <v/>
      </c>
    </row>
    <row r="89" spans="1:34" ht="14.25" customHeight="1" x14ac:dyDescent="0.15">
      <c r="A89" s="44">
        <v>84</v>
      </c>
      <c r="B89" s="148"/>
      <c r="C89" s="151"/>
      <c r="D89" s="148"/>
      <c r="E89" s="152"/>
      <c r="F89" s="148"/>
      <c r="G89" s="148"/>
      <c r="H89" s="150"/>
      <c r="I89" s="150"/>
      <c r="J89" s="151"/>
      <c r="K89" s="148"/>
      <c r="L89" s="196"/>
      <c r="M89" s="151"/>
      <c r="N89" s="197"/>
      <c r="O89" s="151"/>
      <c r="P89" s="153"/>
      <c r="Q8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 s="144" t="str">
        <f>IF(テーブル2[[#This Row],[得点]]=0,"",IF(テーブル2[[#This Row],[年齢]]=17,LOOKUP(Q89,$BH$6:$BH$10,$BE$6:$BE$10),IF(テーブル2[[#This Row],[年齢]]=16,LOOKUP(Q89,$BG$6:$BG$10,$BE$6:$BE$10),IF(テーブル2[[#This Row],[年齢]]=15,LOOKUP(Q89,$BF$6:$BF$10,$BE$6:$BE$10),IF(テーブル2[[#This Row],[年齢]]=14,LOOKUP(Q89,$BD$6:$BD$10,$BE$6:$BE$10),IF(テーブル2[[#This Row],[年齢]]=13,LOOKUP(Q89,$BC$6:$BC$10,$BE$6:$BE$10),LOOKUP(Q89,$BB$6:$BB$10,$BE$6:$BE$10)))))))</f>
        <v/>
      </c>
      <c r="S89" s="145">
        <f>IF(H89="",0,(IF(テーブル2[[#This Row],[性別]]="男",LOOKUP(テーブル2[[#This Row],[握力]],$AI$6:$AJ$15),LOOKUP(テーブル2[[#This Row],[握力]],$AI$20:$AJ$29))))</f>
        <v>0</v>
      </c>
      <c r="T89" s="145">
        <f>IF(テーブル2[[#This Row],[上体]]="",0,(IF(テーブル2[[#This Row],[性別]]="男",LOOKUP(テーブル2[[#This Row],[上体]],$AK$6:$AL$15),LOOKUP(テーブル2[[#This Row],[上体]],$AK$20:$AL$29))))</f>
        <v>0</v>
      </c>
      <c r="U89" s="145">
        <f>IF(テーブル2[[#This Row],[長座]]="",0,(IF(テーブル2[[#This Row],[性別]]="男",LOOKUP(テーブル2[[#This Row],[長座]],$AM$6:$AN$15),LOOKUP(テーブル2[[#This Row],[長座]],$AM$20:$AN$29))))</f>
        <v>0</v>
      </c>
      <c r="V89" s="145">
        <f>IF(テーブル2[[#This Row],[反復]]="",0,(IF(テーブル2[[#This Row],[性別]]="男",LOOKUP(テーブル2[[#This Row],[反復]],$AO$6:$AP$15),LOOKUP(テーブル2[[#This Row],[反復]],$AO$20:$AP$29))))</f>
        <v>0</v>
      </c>
      <c r="W89" s="145">
        <f>IF(テーブル2[[#This Row],[持久走]]="",0,(IF(テーブル2[[#This Row],[性別]]="男",LOOKUP(テーブル2[[#This Row],[持久走]],$AQ$6:$AR$15),LOOKUP(テーブル2[[#This Row],[持久走]],$AQ$20:$AR$29))))</f>
        <v>0</v>
      </c>
      <c r="X89" s="145">
        <f>IF(テーブル2[[#This Row],[ｼｬﾄﾙﾗﾝ]]="",0,(IF(テーブル2[[#This Row],[性別]]="男",LOOKUP(テーブル2[[#This Row],[ｼｬﾄﾙﾗﾝ]],$AS$6:$AT$15),LOOKUP(テーブル2[[#This Row],[ｼｬﾄﾙﾗﾝ]],$AS$20:$AT$29))))</f>
        <v>0</v>
      </c>
      <c r="Y89" s="145">
        <f>IF(テーブル2[[#This Row],[50m走]]="",0,(IF(テーブル2[[#This Row],[性別]]="男",LOOKUP(テーブル2[[#This Row],[50m走]],$AU$6:$AV$15),LOOKUP(テーブル2[[#This Row],[50m走]],$AU$20:$AV$29))))</f>
        <v>0</v>
      </c>
      <c r="Z89" s="145">
        <f>IF(テーブル2[[#This Row],[立幅とび]]="",0,(IF(テーブル2[[#This Row],[性別]]="男",LOOKUP(テーブル2[[#This Row],[立幅とび]],$AW$6:$AX$15),LOOKUP(テーブル2[[#This Row],[立幅とび]],$AW$20:$AX$29))))</f>
        <v>0</v>
      </c>
      <c r="AA89" s="145">
        <f>IF(テーブル2[[#This Row],[ボール投げ]]="",0,(IF(テーブル2[[#This Row],[性別]]="男",LOOKUP(テーブル2[[#This Row],[ボール投げ]],$AY$6:$AZ$15),LOOKUP(テーブル2[[#This Row],[ボール投げ]],$AY$20:$AZ$29))))</f>
        <v>0</v>
      </c>
      <c r="AB89" s="146" t="str">
        <f>IF(テーブル2[[#This Row],[学年]]=1,12,IF(テーブル2[[#This Row],[学年]]=2,13,IF(テーブル2[[#This Row],[学年]]=3,14,"")))</f>
        <v/>
      </c>
      <c r="AC89" s="192" t="str">
        <f>IF(テーブル2[[#This Row],[肥満度数値]]=0,"",LOOKUP(AE89,$AW$39:$AW$44,$AX$39:$AX$44))</f>
        <v/>
      </c>
      <c r="AD8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89" s="77">
        <f>IF(テーブル2[[#This Row],[体重]]="",0,(テーブル2[[#This Row],[体重]]-テーブル2[[#This Row],[標準体重]])/テーブル2[[#This Row],[標準体重]]*100)</f>
        <v>0</v>
      </c>
      <c r="AF89" s="26">
        <f>COUNTA(テーブル2[[#This Row],[握力]:[ボール投げ]])</f>
        <v>0</v>
      </c>
      <c r="AG89" s="1" t="str">
        <f>IF(テーブル2[[#This Row],[判定]]=$BE$10,"○","")</f>
        <v/>
      </c>
      <c r="AH89" s="1" t="str">
        <f>IF(AG89="","",COUNTIF($AG$6:AG89,"○"))</f>
        <v/>
      </c>
    </row>
    <row r="90" spans="1:34" ht="14.25" customHeight="1" x14ac:dyDescent="0.15">
      <c r="A90" s="44">
        <v>85</v>
      </c>
      <c r="B90" s="148"/>
      <c r="C90" s="151"/>
      <c r="D90" s="148"/>
      <c r="E90" s="152"/>
      <c r="F90" s="148"/>
      <c r="G90" s="148"/>
      <c r="H90" s="150"/>
      <c r="I90" s="150"/>
      <c r="J90" s="151"/>
      <c r="K90" s="148"/>
      <c r="L90" s="196"/>
      <c r="M90" s="151"/>
      <c r="N90" s="197"/>
      <c r="O90" s="151"/>
      <c r="P90" s="153"/>
      <c r="Q9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 s="144" t="str">
        <f>IF(テーブル2[[#This Row],[得点]]=0,"",IF(テーブル2[[#This Row],[年齢]]=17,LOOKUP(Q90,$BH$6:$BH$10,$BE$6:$BE$10),IF(テーブル2[[#This Row],[年齢]]=16,LOOKUP(Q90,$BG$6:$BG$10,$BE$6:$BE$10),IF(テーブル2[[#This Row],[年齢]]=15,LOOKUP(Q90,$BF$6:$BF$10,$BE$6:$BE$10),IF(テーブル2[[#This Row],[年齢]]=14,LOOKUP(Q90,$BD$6:$BD$10,$BE$6:$BE$10),IF(テーブル2[[#This Row],[年齢]]=13,LOOKUP(Q90,$BC$6:$BC$10,$BE$6:$BE$10),LOOKUP(Q90,$BB$6:$BB$10,$BE$6:$BE$10)))))))</f>
        <v/>
      </c>
      <c r="S90" s="145">
        <f>IF(H90="",0,(IF(テーブル2[[#This Row],[性別]]="男",LOOKUP(テーブル2[[#This Row],[握力]],$AI$6:$AJ$15),LOOKUP(テーブル2[[#This Row],[握力]],$AI$20:$AJ$29))))</f>
        <v>0</v>
      </c>
      <c r="T90" s="145">
        <f>IF(テーブル2[[#This Row],[上体]]="",0,(IF(テーブル2[[#This Row],[性別]]="男",LOOKUP(テーブル2[[#This Row],[上体]],$AK$6:$AL$15),LOOKUP(テーブル2[[#This Row],[上体]],$AK$20:$AL$29))))</f>
        <v>0</v>
      </c>
      <c r="U90" s="145">
        <f>IF(テーブル2[[#This Row],[長座]]="",0,(IF(テーブル2[[#This Row],[性別]]="男",LOOKUP(テーブル2[[#This Row],[長座]],$AM$6:$AN$15),LOOKUP(テーブル2[[#This Row],[長座]],$AM$20:$AN$29))))</f>
        <v>0</v>
      </c>
      <c r="V90" s="145">
        <f>IF(テーブル2[[#This Row],[反復]]="",0,(IF(テーブル2[[#This Row],[性別]]="男",LOOKUP(テーブル2[[#This Row],[反復]],$AO$6:$AP$15),LOOKUP(テーブル2[[#This Row],[反復]],$AO$20:$AP$29))))</f>
        <v>0</v>
      </c>
      <c r="W90" s="145">
        <f>IF(テーブル2[[#This Row],[持久走]]="",0,(IF(テーブル2[[#This Row],[性別]]="男",LOOKUP(テーブル2[[#This Row],[持久走]],$AQ$6:$AR$15),LOOKUP(テーブル2[[#This Row],[持久走]],$AQ$20:$AR$29))))</f>
        <v>0</v>
      </c>
      <c r="X90" s="145">
        <f>IF(テーブル2[[#This Row],[ｼｬﾄﾙﾗﾝ]]="",0,(IF(テーブル2[[#This Row],[性別]]="男",LOOKUP(テーブル2[[#This Row],[ｼｬﾄﾙﾗﾝ]],$AS$6:$AT$15),LOOKUP(テーブル2[[#This Row],[ｼｬﾄﾙﾗﾝ]],$AS$20:$AT$29))))</f>
        <v>0</v>
      </c>
      <c r="Y90" s="145">
        <f>IF(テーブル2[[#This Row],[50m走]]="",0,(IF(テーブル2[[#This Row],[性別]]="男",LOOKUP(テーブル2[[#This Row],[50m走]],$AU$6:$AV$15),LOOKUP(テーブル2[[#This Row],[50m走]],$AU$20:$AV$29))))</f>
        <v>0</v>
      </c>
      <c r="Z90" s="145">
        <f>IF(テーブル2[[#This Row],[立幅とび]]="",0,(IF(テーブル2[[#This Row],[性別]]="男",LOOKUP(テーブル2[[#This Row],[立幅とび]],$AW$6:$AX$15),LOOKUP(テーブル2[[#This Row],[立幅とび]],$AW$20:$AX$29))))</f>
        <v>0</v>
      </c>
      <c r="AA90" s="145">
        <f>IF(テーブル2[[#This Row],[ボール投げ]]="",0,(IF(テーブル2[[#This Row],[性別]]="男",LOOKUP(テーブル2[[#This Row],[ボール投げ]],$AY$6:$AZ$15),LOOKUP(テーブル2[[#This Row],[ボール投げ]],$AY$20:$AZ$29))))</f>
        <v>0</v>
      </c>
      <c r="AB90" s="146" t="str">
        <f>IF(テーブル2[[#This Row],[学年]]=1,12,IF(テーブル2[[#This Row],[学年]]=2,13,IF(テーブル2[[#This Row],[学年]]=3,14,"")))</f>
        <v/>
      </c>
      <c r="AC90" s="192" t="str">
        <f>IF(テーブル2[[#This Row],[肥満度数値]]=0,"",LOOKUP(AE90,$AW$39:$AW$44,$AX$39:$AX$44))</f>
        <v/>
      </c>
      <c r="AD9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0" s="77">
        <f>IF(テーブル2[[#This Row],[体重]]="",0,(テーブル2[[#This Row],[体重]]-テーブル2[[#This Row],[標準体重]])/テーブル2[[#This Row],[標準体重]]*100)</f>
        <v>0</v>
      </c>
      <c r="AF90" s="26">
        <f>COUNTA(テーブル2[[#This Row],[握力]:[ボール投げ]])</f>
        <v>0</v>
      </c>
      <c r="AG90" s="1" t="str">
        <f>IF(テーブル2[[#This Row],[判定]]=$BE$10,"○","")</f>
        <v/>
      </c>
      <c r="AH90" s="1" t="str">
        <f>IF(AG90="","",COUNTIF($AG$6:AG90,"○"))</f>
        <v/>
      </c>
    </row>
    <row r="91" spans="1:34" ht="14.25" customHeight="1" x14ac:dyDescent="0.15">
      <c r="A91" s="44">
        <v>86</v>
      </c>
      <c r="B91" s="148"/>
      <c r="C91" s="151"/>
      <c r="D91" s="148"/>
      <c r="E91" s="152"/>
      <c r="F91" s="148"/>
      <c r="G91" s="148"/>
      <c r="H91" s="150"/>
      <c r="I91" s="150"/>
      <c r="J91" s="151"/>
      <c r="K91" s="148"/>
      <c r="L91" s="196"/>
      <c r="M91" s="151"/>
      <c r="N91" s="197"/>
      <c r="O91" s="151"/>
      <c r="P91" s="153"/>
      <c r="Q9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 s="144" t="str">
        <f>IF(テーブル2[[#This Row],[得点]]=0,"",IF(テーブル2[[#This Row],[年齢]]=17,LOOKUP(Q91,$BH$6:$BH$10,$BE$6:$BE$10),IF(テーブル2[[#This Row],[年齢]]=16,LOOKUP(Q91,$BG$6:$BG$10,$BE$6:$BE$10),IF(テーブル2[[#This Row],[年齢]]=15,LOOKUP(Q91,$BF$6:$BF$10,$BE$6:$BE$10),IF(テーブル2[[#This Row],[年齢]]=14,LOOKUP(Q91,$BD$6:$BD$10,$BE$6:$BE$10),IF(テーブル2[[#This Row],[年齢]]=13,LOOKUP(Q91,$BC$6:$BC$10,$BE$6:$BE$10),LOOKUP(Q91,$BB$6:$BB$10,$BE$6:$BE$10)))))))</f>
        <v/>
      </c>
      <c r="S91" s="145">
        <f>IF(H91="",0,(IF(テーブル2[[#This Row],[性別]]="男",LOOKUP(テーブル2[[#This Row],[握力]],$AI$6:$AJ$15),LOOKUP(テーブル2[[#This Row],[握力]],$AI$20:$AJ$29))))</f>
        <v>0</v>
      </c>
      <c r="T91" s="145">
        <f>IF(テーブル2[[#This Row],[上体]]="",0,(IF(テーブル2[[#This Row],[性別]]="男",LOOKUP(テーブル2[[#This Row],[上体]],$AK$6:$AL$15),LOOKUP(テーブル2[[#This Row],[上体]],$AK$20:$AL$29))))</f>
        <v>0</v>
      </c>
      <c r="U91" s="145">
        <f>IF(テーブル2[[#This Row],[長座]]="",0,(IF(テーブル2[[#This Row],[性別]]="男",LOOKUP(テーブル2[[#This Row],[長座]],$AM$6:$AN$15),LOOKUP(テーブル2[[#This Row],[長座]],$AM$20:$AN$29))))</f>
        <v>0</v>
      </c>
      <c r="V91" s="145">
        <f>IF(テーブル2[[#This Row],[反復]]="",0,(IF(テーブル2[[#This Row],[性別]]="男",LOOKUP(テーブル2[[#This Row],[反復]],$AO$6:$AP$15),LOOKUP(テーブル2[[#This Row],[反復]],$AO$20:$AP$29))))</f>
        <v>0</v>
      </c>
      <c r="W91" s="145">
        <f>IF(テーブル2[[#This Row],[持久走]]="",0,(IF(テーブル2[[#This Row],[性別]]="男",LOOKUP(テーブル2[[#This Row],[持久走]],$AQ$6:$AR$15),LOOKUP(テーブル2[[#This Row],[持久走]],$AQ$20:$AR$29))))</f>
        <v>0</v>
      </c>
      <c r="X91" s="145">
        <f>IF(テーブル2[[#This Row],[ｼｬﾄﾙﾗﾝ]]="",0,(IF(テーブル2[[#This Row],[性別]]="男",LOOKUP(テーブル2[[#This Row],[ｼｬﾄﾙﾗﾝ]],$AS$6:$AT$15),LOOKUP(テーブル2[[#This Row],[ｼｬﾄﾙﾗﾝ]],$AS$20:$AT$29))))</f>
        <v>0</v>
      </c>
      <c r="Y91" s="145">
        <f>IF(テーブル2[[#This Row],[50m走]]="",0,(IF(テーブル2[[#This Row],[性別]]="男",LOOKUP(テーブル2[[#This Row],[50m走]],$AU$6:$AV$15),LOOKUP(テーブル2[[#This Row],[50m走]],$AU$20:$AV$29))))</f>
        <v>0</v>
      </c>
      <c r="Z91" s="145">
        <f>IF(テーブル2[[#This Row],[立幅とび]]="",0,(IF(テーブル2[[#This Row],[性別]]="男",LOOKUP(テーブル2[[#This Row],[立幅とび]],$AW$6:$AX$15),LOOKUP(テーブル2[[#This Row],[立幅とび]],$AW$20:$AX$29))))</f>
        <v>0</v>
      </c>
      <c r="AA91" s="145">
        <f>IF(テーブル2[[#This Row],[ボール投げ]]="",0,(IF(テーブル2[[#This Row],[性別]]="男",LOOKUP(テーブル2[[#This Row],[ボール投げ]],$AY$6:$AZ$15),LOOKUP(テーブル2[[#This Row],[ボール投げ]],$AY$20:$AZ$29))))</f>
        <v>0</v>
      </c>
      <c r="AB91" s="146" t="str">
        <f>IF(テーブル2[[#This Row],[学年]]=1,12,IF(テーブル2[[#This Row],[学年]]=2,13,IF(テーブル2[[#This Row],[学年]]=3,14,"")))</f>
        <v/>
      </c>
      <c r="AC91" s="192" t="str">
        <f>IF(テーブル2[[#This Row],[肥満度数値]]=0,"",LOOKUP(AE91,$AW$39:$AW$44,$AX$39:$AX$44))</f>
        <v/>
      </c>
      <c r="AD9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1" s="77">
        <f>IF(テーブル2[[#This Row],[体重]]="",0,(テーブル2[[#This Row],[体重]]-テーブル2[[#This Row],[標準体重]])/テーブル2[[#This Row],[標準体重]]*100)</f>
        <v>0</v>
      </c>
      <c r="AF91" s="26">
        <f>COUNTA(テーブル2[[#This Row],[握力]:[ボール投げ]])</f>
        <v>0</v>
      </c>
      <c r="AG91" s="1" t="str">
        <f>IF(テーブル2[[#This Row],[判定]]=$BE$10,"○","")</f>
        <v/>
      </c>
      <c r="AH91" s="1" t="str">
        <f>IF(AG91="","",COUNTIF($AG$6:AG91,"○"))</f>
        <v/>
      </c>
    </row>
    <row r="92" spans="1:34" ht="14.25" customHeight="1" x14ac:dyDescent="0.15">
      <c r="A92" s="44">
        <v>87</v>
      </c>
      <c r="B92" s="148"/>
      <c r="C92" s="151"/>
      <c r="D92" s="148"/>
      <c r="E92" s="152"/>
      <c r="F92" s="148"/>
      <c r="G92" s="148"/>
      <c r="H92" s="150"/>
      <c r="I92" s="150"/>
      <c r="J92" s="151"/>
      <c r="K92" s="148"/>
      <c r="L92" s="196"/>
      <c r="M92" s="151"/>
      <c r="N92" s="197"/>
      <c r="O92" s="151"/>
      <c r="P92" s="153"/>
      <c r="Q9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 s="144" t="str">
        <f>IF(テーブル2[[#This Row],[得点]]=0,"",IF(テーブル2[[#This Row],[年齢]]=17,LOOKUP(Q92,$BH$6:$BH$10,$BE$6:$BE$10),IF(テーブル2[[#This Row],[年齢]]=16,LOOKUP(Q92,$BG$6:$BG$10,$BE$6:$BE$10),IF(テーブル2[[#This Row],[年齢]]=15,LOOKUP(Q92,$BF$6:$BF$10,$BE$6:$BE$10),IF(テーブル2[[#This Row],[年齢]]=14,LOOKUP(Q92,$BD$6:$BD$10,$BE$6:$BE$10),IF(テーブル2[[#This Row],[年齢]]=13,LOOKUP(Q92,$BC$6:$BC$10,$BE$6:$BE$10),LOOKUP(Q92,$BB$6:$BB$10,$BE$6:$BE$10)))))))</f>
        <v/>
      </c>
      <c r="S92" s="145">
        <f>IF(H92="",0,(IF(テーブル2[[#This Row],[性別]]="男",LOOKUP(テーブル2[[#This Row],[握力]],$AI$6:$AJ$15),LOOKUP(テーブル2[[#This Row],[握力]],$AI$20:$AJ$29))))</f>
        <v>0</v>
      </c>
      <c r="T92" s="145">
        <f>IF(テーブル2[[#This Row],[上体]]="",0,(IF(テーブル2[[#This Row],[性別]]="男",LOOKUP(テーブル2[[#This Row],[上体]],$AK$6:$AL$15),LOOKUP(テーブル2[[#This Row],[上体]],$AK$20:$AL$29))))</f>
        <v>0</v>
      </c>
      <c r="U92" s="145">
        <f>IF(テーブル2[[#This Row],[長座]]="",0,(IF(テーブル2[[#This Row],[性別]]="男",LOOKUP(テーブル2[[#This Row],[長座]],$AM$6:$AN$15),LOOKUP(テーブル2[[#This Row],[長座]],$AM$20:$AN$29))))</f>
        <v>0</v>
      </c>
      <c r="V92" s="145">
        <f>IF(テーブル2[[#This Row],[反復]]="",0,(IF(テーブル2[[#This Row],[性別]]="男",LOOKUP(テーブル2[[#This Row],[反復]],$AO$6:$AP$15),LOOKUP(テーブル2[[#This Row],[反復]],$AO$20:$AP$29))))</f>
        <v>0</v>
      </c>
      <c r="W92" s="145">
        <f>IF(テーブル2[[#This Row],[持久走]]="",0,(IF(テーブル2[[#This Row],[性別]]="男",LOOKUP(テーブル2[[#This Row],[持久走]],$AQ$6:$AR$15),LOOKUP(テーブル2[[#This Row],[持久走]],$AQ$20:$AR$29))))</f>
        <v>0</v>
      </c>
      <c r="X92" s="145">
        <f>IF(テーブル2[[#This Row],[ｼｬﾄﾙﾗﾝ]]="",0,(IF(テーブル2[[#This Row],[性別]]="男",LOOKUP(テーブル2[[#This Row],[ｼｬﾄﾙﾗﾝ]],$AS$6:$AT$15),LOOKUP(テーブル2[[#This Row],[ｼｬﾄﾙﾗﾝ]],$AS$20:$AT$29))))</f>
        <v>0</v>
      </c>
      <c r="Y92" s="145">
        <f>IF(テーブル2[[#This Row],[50m走]]="",0,(IF(テーブル2[[#This Row],[性別]]="男",LOOKUP(テーブル2[[#This Row],[50m走]],$AU$6:$AV$15),LOOKUP(テーブル2[[#This Row],[50m走]],$AU$20:$AV$29))))</f>
        <v>0</v>
      </c>
      <c r="Z92" s="145">
        <f>IF(テーブル2[[#This Row],[立幅とび]]="",0,(IF(テーブル2[[#This Row],[性別]]="男",LOOKUP(テーブル2[[#This Row],[立幅とび]],$AW$6:$AX$15),LOOKUP(テーブル2[[#This Row],[立幅とび]],$AW$20:$AX$29))))</f>
        <v>0</v>
      </c>
      <c r="AA92" s="145">
        <f>IF(テーブル2[[#This Row],[ボール投げ]]="",0,(IF(テーブル2[[#This Row],[性別]]="男",LOOKUP(テーブル2[[#This Row],[ボール投げ]],$AY$6:$AZ$15),LOOKUP(テーブル2[[#This Row],[ボール投げ]],$AY$20:$AZ$29))))</f>
        <v>0</v>
      </c>
      <c r="AB92" s="146" t="str">
        <f>IF(テーブル2[[#This Row],[学年]]=1,12,IF(テーブル2[[#This Row],[学年]]=2,13,IF(テーブル2[[#This Row],[学年]]=3,14,"")))</f>
        <v/>
      </c>
      <c r="AC92" s="192" t="str">
        <f>IF(テーブル2[[#This Row],[肥満度数値]]=0,"",LOOKUP(AE92,$AW$39:$AW$44,$AX$39:$AX$44))</f>
        <v/>
      </c>
      <c r="AD9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2" s="77">
        <f>IF(テーブル2[[#This Row],[体重]]="",0,(テーブル2[[#This Row],[体重]]-テーブル2[[#This Row],[標準体重]])/テーブル2[[#This Row],[標準体重]]*100)</f>
        <v>0</v>
      </c>
      <c r="AF92" s="26">
        <f>COUNTA(テーブル2[[#This Row],[握力]:[ボール投げ]])</f>
        <v>0</v>
      </c>
      <c r="AG92" s="1" t="str">
        <f>IF(テーブル2[[#This Row],[判定]]=$BE$10,"○","")</f>
        <v/>
      </c>
      <c r="AH92" s="1" t="str">
        <f>IF(AG92="","",COUNTIF($AG$6:AG92,"○"))</f>
        <v/>
      </c>
    </row>
    <row r="93" spans="1:34" ht="14.25" customHeight="1" x14ac:dyDescent="0.15">
      <c r="A93" s="44">
        <v>88</v>
      </c>
      <c r="B93" s="148"/>
      <c r="C93" s="151"/>
      <c r="D93" s="148"/>
      <c r="E93" s="152"/>
      <c r="F93" s="148"/>
      <c r="G93" s="148"/>
      <c r="H93" s="150"/>
      <c r="I93" s="150"/>
      <c r="J93" s="151"/>
      <c r="K93" s="148"/>
      <c r="L93" s="196"/>
      <c r="M93" s="151"/>
      <c r="N93" s="197"/>
      <c r="O93" s="151"/>
      <c r="P93" s="153"/>
      <c r="Q9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 s="144" t="str">
        <f>IF(テーブル2[[#This Row],[得点]]=0,"",IF(テーブル2[[#This Row],[年齢]]=17,LOOKUP(Q93,$BH$6:$BH$10,$BE$6:$BE$10),IF(テーブル2[[#This Row],[年齢]]=16,LOOKUP(Q93,$BG$6:$BG$10,$BE$6:$BE$10),IF(テーブル2[[#This Row],[年齢]]=15,LOOKUP(Q93,$BF$6:$BF$10,$BE$6:$BE$10),IF(テーブル2[[#This Row],[年齢]]=14,LOOKUP(Q93,$BD$6:$BD$10,$BE$6:$BE$10),IF(テーブル2[[#This Row],[年齢]]=13,LOOKUP(Q93,$BC$6:$BC$10,$BE$6:$BE$10),LOOKUP(Q93,$BB$6:$BB$10,$BE$6:$BE$10)))))))</f>
        <v/>
      </c>
      <c r="S93" s="145">
        <f>IF(H93="",0,(IF(テーブル2[[#This Row],[性別]]="男",LOOKUP(テーブル2[[#This Row],[握力]],$AI$6:$AJ$15),LOOKUP(テーブル2[[#This Row],[握力]],$AI$20:$AJ$29))))</f>
        <v>0</v>
      </c>
      <c r="T93" s="145">
        <f>IF(テーブル2[[#This Row],[上体]]="",0,(IF(テーブル2[[#This Row],[性別]]="男",LOOKUP(テーブル2[[#This Row],[上体]],$AK$6:$AL$15),LOOKUP(テーブル2[[#This Row],[上体]],$AK$20:$AL$29))))</f>
        <v>0</v>
      </c>
      <c r="U93" s="145">
        <f>IF(テーブル2[[#This Row],[長座]]="",0,(IF(テーブル2[[#This Row],[性別]]="男",LOOKUP(テーブル2[[#This Row],[長座]],$AM$6:$AN$15),LOOKUP(テーブル2[[#This Row],[長座]],$AM$20:$AN$29))))</f>
        <v>0</v>
      </c>
      <c r="V93" s="145">
        <f>IF(テーブル2[[#This Row],[反復]]="",0,(IF(テーブル2[[#This Row],[性別]]="男",LOOKUP(テーブル2[[#This Row],[反復]],$AO$6:$AP$15),LOOKUP(テーブル2[[#This Row],[反復]],$AO$20:$AP$29))))</f>
        <v>0</v>
      </c>
      <c r="W93" s="145">
        <f>IF(テーブル2[[#This Row],[持久走]]="",0,(IF(テーブル2[[#This Row],[性別]]="男",LOOKUP(テーブル2[[#This Row],[持久走]],$AQ$6:$AR$15),LOOKUP(テーブル2[[#This Row],[持久走]],$AQ$20:$AR$29))))</f>
        <v>0</v>
      </c>
      <c r="X93" s="145">
        <f>IF(テーブル2[[#This Row],[ｼｬﾄﾙﾗﾝ]]="",0,(IF(テーブル2[[#This Row],[性別]]="男",LOOKUP(テーブル2[[#This Row],[ｼｬﾄﾙﾗﾝ]],$AS$6:$AT$15),LOOKUP(テーブル2[[#This Row],[ｼｬﾄﾙﾗﾝ]],$AS$20:$AT$29))))</f>
        <v>0</v>
      </c>
      <c r="Y93" s="145">
        <f>IF(テーブル2[[#This Row],[50m走]]="",0,(IF(テーブル2[[#This Row],[性別]]="男",LOOKUP(テーブル2[[#This Row],[50m走]],$AU$6:$AV$15),LOOKUP(テーブル2[[#This Row],[50m走]],$AU$20:$AV$29))))</f>
        <v>0</v>
      </c>
      <c r="Z93" s="145">
        <f>IF(テーブル2[[#This Row],[立幅とび]]="",0,(IF(テーブル2[[#This Row],[性別]]="男",LOOKUP(テーブル2[[#This Row],[立幅とび]],$AW$6:$AX$15),LOOKUP(テーブル2[[#This Row],[立幅とび]],$AW$20:$AX$29))))</f>
        <v>0</v>
      </c>
      <c r="AA93" s="145">
        <f>IF(テーブル2[[#This Row],[ボール投げ]]="",0,(IF(テーブル2[[#This Row],[性別]]="男",LOOKUP(テーブル2[[#This Row],[ボール投げ]],$AY$6:$AZ$15),LOOKUP(テーブル2[[#This Row],[ボール投げ]],$AY$20:$AZ$29))))</f>
        <v>0</v>
      </c>
      <c r="AB93" s="146" t="str">
        <f>IF(テーブル2[[#This Row],[学年]]=1,12,IF(テーブル2[[#This Row],[学年]]=2,13,IF(テーブル2[[#This Row],[学年]]=3,14,"")))</f>
        <v/>
      </c>
      <c r="AC93" s="192" t="str">
        <f>IF(テーブル2[[#This Row],[肥満度数値]]=0,"",LOOKUP(AE93,$AW$39:$AW$44,$AX$39:$AX$44))</f>
        <v/>
      </c>
      <c r="AD9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3" s="77">
        <f>IF(テーブル2[[#This Row],[体重]]="",0,(テーブル2[[#This Row],[体重]]-テーブル2[[#This Row],[標準体重]])/テーブル2[[#This Row],[標準体重]]*100)</f>
        <v>0</v>
      </c>
      <c r="AF93" s="26">
        <f>COUNTA(テーブル2[[#This Row],[握力]:[ボール投げ]])</f>
        <v>0</v>
      </c>
      <c r="AG93" s="1" t="str">
        <f>IF(テーブル2[[#This Row],[判定]]=$BE$10,"○","")</f>
        <v/>
      </c>
      <c r="AH93" s="1" t="str">
        <f>IF(AG93="","",COUNTIF($AG$6:AG93,"○"))</f>
        <v/>
      </c>
    </row>
    <row r="94" spans="1:34" ht="14.25" customHeight="1" x14ac:dyDescent="0.15">
      <c r="A94" s="44">
        <v>89</v>
      </c>
      <c r="B94" s="148"/>
      <c r="C94" s="151"/>
      <c r="D94" s="148"/>
      <c r="E94" s="152"/>
      <c r="F94" s="148"/>
      <c r="G94" s="148"/>
      <c r="H94" s="150"/>
      <c r="I94" s="150"/>
      <c r="J94" s="151"/>
      <c r="K94" s="148"/>
      <c r="L94" s="196"/>
      <c r="M94" s="151"/>
      <c r="N94" s="197"/>
      <c r="O94" s="151"/>
      <c r="P94" s="153"/>
      <c r="Q9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 s="144" t="str">
        <f>IF(テーブル2[[#This Row],[得点]]=0,"",IF(テーブル2[[#This Row],[年齢]]=17,LOOKUP(Q94,$BH$6:$BH$10,$BE$6:$BE$10),IF(テーブル2[[#This Row],[年齢]]=16,LOOKUP(Q94,$BG$6:$BG$10,$BE$6:$BE$10),IF(テーブル2[[#This Row],[年齢]]=15,LOOKUP(Q94,$BF$6:$BF$10,$BE$6:$BE$10),IF(テーブル2[[#This Row],[年齢]]=14,LOOKUP(Q94,$BD$6:$BD$10,$BE$6:$BE$10),IF(テーブル2[[#This Row],[年齢]]=13,LOOKUP(Q94,$BC$6:$BC$10,$BE$6:$BE$10),LOOKUP(Q94,$BB$6:$BB$10,$BE$6:$BE$10)))))))</f>
        <v/>
      </c>
      <c r="S94" s="145">
        <f>IF(H94="",0,(IF(テーブル2[[#This Row],[性別]]="男",LOOKUP(テーブル2[[#This Row],[握力]],$AI$6:$AJ$15),LOOKUP(テーブル2[[#This Row],[握力]],$AI$20:$AJ$29))))</f>
        <v>0</v>
      </c>
      <c r="T94" s="145">
        <f>IF(テーブル2[[#This Row],[上体]]="",0,(IF(テーブル2[[#This Row],[性別]]="男",LOOKUP(テーブル2[[#This Row],[上体]],$AK$6:$AL$15),LOOKUP(テーブル2[[#This Row],[上体]],$AK$20:$AL$29))))</f>
        <v>0</v>
      </c>
      <c r="U94" s="145">
        <f>IF(テーブル2[[#This Row],[長座]]="",0,(IF(テーブル2[[#This Row],[性別]]="男",LOOKUP(テーブル2[[#This Row],[長座]],$AM$6:$AN$15),LOOKUP(テーブル2[[#This Row],[長座]],$AM$20:$AN$29))))</f>
        <v>0</v>
      </c>
      <c r="V94" s="145">
        <f>IF(テーブル2[[#This Row],[反復]]="",0,(IF(テーブル2[[#This Row],[性別]]="男",LOOKUP(テーブル2[[#This Row],[反復]],$AO$6:$AP$15),LOOKUP(テーブル2[[#This Row],[反復]],$AO$20:$AP$29))))</f>
        <v>0</v>
      </c>
      <c r="W94" s="145">
        <f>IF(テーブル2[[#This Row],[持久走]]="",0,(IF(テーブル2[[#This Row],[性別]]="男",LOOKUP(テーブル2[[#This Row],[持久走]],$AQ$6:$AR$15),LOOKUP(テーブル2[[#This Row],[持久走]],$AQ$20:$AR$29))))</f>
        <v>0</v>
      </c>
      <c r="X94" s="145">
        <f>IF(テーブル2[[#This Row],[ｼｬﾄﾙﾗﾝ]]="",0,(IF(テーブル2[[#This Row],[性別]]="男",LOOKUP(テーブル2[[#This Row],[ｼｬﾄﾙﾗﾝ]],$AS$6:$AT$15),LOOKUP(テーブル2[[#This Row],[ｼｬﾄﾙﾗﾝ]],$AS$20:$AT$29))))</f>
        <v>0</v>
      </c>
      <c r="Y94" s="145">
        <f>IF(テーブル2[[#This Row],[50m走]]="",0,(IF(テーブル2[[#This Row],[性別]]="男",LOOKUP(テーブル2[[#This Row],[50m走]],$AU$6:$AV$15),LOOKUP(テーブル2[[#This Row],[50m走]],$AU$20:$AV$29))))</f>
        <v>0</v>
      </c>
      <c r="Z94" s="145">
        <f>IF(テーブル2[[#This Row],[立幅とび]]="",0,(IF(テーブル2[[#This Row],[性別]]="男",LOOKUP(テーブル2[[#This Row],[立幅とび]],$AW$6:$AX$15),LOOKUP(テーブル2[[#This Row],[立幅とび]],$AW$20:$AX$29))))</f>
        <v>0</v>
      </c>
      <c r="AA94" s="145">
        <f>IF(テーブル2[[#This Row],[ボール投げ]]="",0,(IF(テーブル2[[#This Row],[性別]]="男",LOOKUP(テーブル2[[#This Row],[ボール投げ]],$AY$6:$AZ$15),LOOKUP(テーブル2[[#This Row],[ボール投げ]],$AY$20:$AZ$29))))</f>
        <v>0</v>
      </c>
      <c r="AB94" s="146" t="str">
        <f>IF(テーブル2[[#This Row],[学年]]=1,12,IF(テーブル2[[#This Row],[学年]]=2,13,IF(テーブル2[[#This Row],[学年]]=3,14,"")))</f>
        <v/>
      </c>
      <c r="AC94" s="192" t="str">
        <f>IF(テーブル2[[#This Row],[肥満度数値]]=0,"",LOOKUP(AE94,$AW$39:$AW$44,$AX$39:$AX$44))</f>
        <v/>
      </c>
      <c r="AD9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4" s="77">
        <f>IF(テーブル2[[#This Row],[体重]]="",0,(テーブル2[[#This Row],[体重]]-テーブル2[[#This Row],[標準体重]])/テーブル2[[#This Row],[標準体重]]*100)</f>
        <v>0</v>
      </c>
      <c r="AF94" s="26">
        <f>COUNTA(テーブル2[[#This Row],[握力]:[ボール投げ]])</f>
        <v>0</v>
      </c>
      <c r="AG94" s="1" t="str">
        <f>IF(テーブル2[[#This Row],[判定]]=$BE$10,"○","")</f>
        <v/>
      </c>
      <c r="AH94" s="1" t="str">
        <f>IF(AG94="","",COUNTIF($AG$6:AG94,"○"))</f>
        <v/>
      </c>
    </row>
    <row r="95" spans="1:34" ht="14.25" customHeight="1" x14ac:dyDescent="0.15">
      <c r="A95" s="44">
        <v>90</v>
      </c>
      <c r="B95" s="148"/>
      <c r="C95" s="151"/>
      <c r="D95" s="148"/>
      <c r="E95" s="152"/>
      <c r="F95" s="148"/>
      <c r="G95" s="148"/>
      <c r="H95" s="150"/>
      <c r="I95" s="150"/>
      <c r="J95" s="151"/>
      <c r="K95" s="148"/>
      <c r="L95" s="196"/>
      <c r="M95" s="151"/>
      <c r="N95" s="197"/>
      <c r="O95" s="151"/>
      <c r="P95" s="153"/>
      <c r="Q9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 s="144" t="str">
        <f>IF(テーブル2[[#This Row],[得点]]=0,"",IF(テーブル2[[#This Row],[年齢]]=17,LOOKUP(Q95,$BH$6:$BH$10,$BE$6:$BE$10),IF(テーブル2[[#This Row],[年齢]]=16,LOOKUP(Q95,$BG$6:$BG$10,$BE$6:$BE$10),IF(テーブル2[[#This Row],[年齢]]=15,LOOKUP(Q95,$BF$6:$BF$10,$BE$6:$BE$10),IF(テーブル2[[#This Row],[年齢]]=14,LOOKUP(Q95,$BD$6:$BD$10,$BE$6:$BE$10),IF(テーブル2[[#This Row],[年齢]]=13,LOOKUP(Q95,$BC$6:$BC$10,$BE$6:$BE$10),LOOKUP(Q95,$BB$6:$BB$10,$BE$6:$BE$10)))))))</f>
        <v/>
      </c>
      <c r="S95" s="145">
        <f>IF(H95="",0,(IF(テーブル2[[#This Row],[性別]]="男",LOOKUP(テーブル2[[#This Row],[握力]],$AI$6:$AJ$15),LOOKUP(テーブル2[[#This Row],[握力]],$AI$20:$AJ$29))))</f>
        <v>0</v>
      </c>
      <c r="T95" s="145">
        <f>IF(テーブル2[[#This Row],[上体]]="",0,(IF(テーブル2[[#This Row],[性別]]="男",LOOKUP(テーブル2[[#This Row],[上体]],$AK$6:$AL$15),LOOKUP(テーブル2[[#This Row],[上体]],$AK$20:$AL$29))))</f>
        <v>0</v>
      </c>
      <c r="U95" s="145">
        <f>IF(テーブル2[[#This Row],[長座]]="",0,(IF(テーブル2[[#This Row],[性別]]="男",LOOKUP(テーブル2[[#This Row],[長座]],$AM$6:$AN$15),LOOKUP(テーブル2[[#This Row],[長座]],$AM$20:$AN$29))))</f>
        <v>0</v>
      </c>
      <c r="V95" s="145">
        <f>IF(テーブル2[[#This Row],[反復]]="",0,(IF(テーブル2[[#This Row],[性別]]="男",LOOKUP(テーブル2[[#This Row],[反復]],$AO$6:$AP$15),LOOKUP(テーブル2[[#This Row],[反復]],$AO$20:$AP$29))))</f>
        <v>0</v>
      </c>
      <c r="W95" s="145">
        <f>IF(テーブル2[[#This Row],[持久走]]="",0,(IF(テーブル2[[#This Row],[性別]]="男",LOOKUP(テーブル2[[#This Row],[持久走]],$AQ$6:$AR$15),LOOKUP(テーブル2[[#This Row],[持久走]],$AQ$20:$AR$29))))</f>
        <v>0</v>
      </c>
      <c r="X95" s="145">
        <f>IF(テーブル2[[#This Row],[ｼｬﾄﾙﾗﾝ]]="",0,(IF(テーブル2[[#This Row],[性別]]="男",LOOKUP(テーブル2[[#This Row],[ｼｬﾄﾙﾗﾝ]],$AS$6:$AT$15),LOOKUP(テーブル2[[#This Row],[ｼｬﾄﾙﾗﾝ]],$AS$20:$AT$29))))</f>
        <v>0</v>
      </c>
      <c r="Y95" s="145">
        <f>IF(テーブル2[[#This Row],[50m走]]="",0,(IF(テーブル2[[#This Row],[性別]]="男",LOOKUP(テーブル2[[#This Row],[50m走]],$AU$6:$AV$15),LOOKUP(テーブル2[[#This Row],[50m走]],$AU$20:$AV$29))))</f>
        <v>0</v>
      </c>
      <c r="Z95" s="145">
        <f>IF(テーブル2[[#This Row],[立幅とび]]="",0,(IF(テーブル2[[#This Row],[性別]]="男",LOOKUP(テーブル2[[#This Row],[立幅とび]],$AW$6:$AX$15),LOOKUP(テーブル2[[#This Row],[立幅とび]],$AW$20:$AX$29))))</f>
        <v>0</v>
      </c>
      <c r="AA95" s="145">
        <f>IF(テーブル2[[#This Row],[ボール投げ]]="",0,(IF(テーブル2[[#This Row],[性別]]="男",LOOKUP(テーブル2[[#This Row],[ボール投げ]],$AY$6:$AZ$15),LOOKUP(テーブル2[[#This Row],[ボール投げ]],$AY$20:$AZ$29))))</f>
        <v>0</v>
      </c>
      <c r="AB95" s="146" t="str">
        <f>IF(テーブル2[[#This Row],[学年]]=1,12,IF(テーブル2[[#This Row],[学年]]=2,13,IF(テーブル2[[#This Row],[学年]]=3,14,"")))</f>
        <v/>
      </c>
      <c r="AC95" s="192" t="str">
        <f>IF(テーブル2[[#This Row],[肥満度数値]]=0,"",LOOKUP(AE95,$AW$39:$AW$44,$AX$39:$AX$44))</f>
        <v/>
      </c>
      <c r="AD9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5" s="77">
        <f>IF(テーブル2[[#This Row],[体重]]="",0,(テーブル2[[#This Row],[体重]]-テーブル2[[#This Row],[標準体重]])/テーブル2[[#This Row],[標準体重]]*100)</f>
        <v>0</v>
      </c>
      <c r="AF95" s="26">
        <f>COUNTA(テーブル2[[#This Row],[握力]:[ボール投げ]])</f>
        <v>0</v>
      </c>
      <c r="AG95" s="1" t="str">
        <f>IF(テーブル2[[#This Row],[判定]]=$BE$10,"○","")</f>
        <v/>
      </c>
      <c r="AH95" s="1" t="str">
        <f>IF(AG95="","",COUNTIF($AG$6:AG95,"○"))</f>
        <v/>
      </c>
    </row>
    <row r="96" spans="1:34" ht="14.25" customHeight="1" x14ac:dyDescent="0.15">
      <c r="A96" s="44">
        <v>91</v>
      </c>
      <c r="B96" s="148"/>
      <c r="C96" s="151"/>
      <c r="D96" s="148"/>
      <c r="E96" s="152"/>
      <c r="F96" s="148"/>
      <c r="G96" s="148"/>
      <c r="H96" s="150"/>
      <c r="I96" s="150"/>
      <c r="J96" s="151"/>
      <c r="K96" s="148"/>
      <c r="L96" s="196"/>
      <c r="M96" s="151"/>
      <c r="N96" s="197"/>
      <c r="O96" s="151"/>
      <c r="P96" s="153"/>
      <c r="Q9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 s="144" t="str">
        <f>IF(テーブル2[[#This Row],[得点]]=0,"",IF(テーブル2[[#This Row],[年齢]]=17,LOOKUP(Q96,$BH$6:$BH$10,$BE$6:$BE$10),IF(テーブル2[[#This Row],[年齢]]=16,LOOKUP(Q96,$BG$6:$BG$10,$BE$6:$BE$10),IF(テーブル2[[#This Row],[年齢]]=15,LOOKUP(Q96,$BF$6:$BF$10,$BE$6:$BE$10),IF(テーブル2[[#This Row],[年齢]]=14,LOOKUP(Q96,$BD$6:$BD$10,$BE$6:$BE$10),IF(テーブル2[[#This Row],[年齢]]=13,LOOKUP(Q96,$BC$6:$BC$10,$BE$6:$BE$10),LOOKUP(Q96,$BB$6:$BB$10,$BE$6:$BE$10)))))))</f>
        <v/>
      </c>
      <c r="S96" s="145">
        <f>IF(H96="",0,(IF(テーブル2[[#This Row],[性別]]="男",LOOKUP(テーブル2[[#This Row],[握力]],$AI$6:$AJ$15),LOOKUP(テーブル2[[#This Row],[握力]],$AI$20:$AJ$29))))</f>
        <v>0</v>
      </c>
      <c r="T96" s="145">
        <f>IF(テーブル2[[#This Row],[上体]]="",0,(IF(テーブル2[[#This Row],[性別]]="男",LOOKUP(テーブル2[[#This Row],[上体]],$AK$6:$AL$15),LOOKUP(テーブル2[[#This Row],[上体]],$AK$20:$AL$29))))</f>
        <v>0</v>
      </c>
      <c r="U96" s="145">
        <f>IF(テーブル2[[#This Row],[長座]]="",0,(IF(テーブル2[[#This Row],[性別]]="男",LOOKUP(テーブル2[[#This Row],[長座]],$AM$6:$AN$15),LOOKUP(テーブル2[[#This Row],[長座]],$AM$20:$AN$29))))</f>
        <v>0</v>
      </c>
      <c r="V96" s="145">
        <f>IF(テーブル2[[#This Row],[反復]]="",0,(IF(テーブル2[[#This Row],[性別]]="男",LOOKUP(テーブル2[[#This Row],[反復]],$AO$6:$AP$15),LOOKUP(テーブル2[[#This Row],[反復]],$AO$20:$AP$29))))</f>
        <v>0</v>
      </c>
      <c r="W96" s="145">
        <f>IF(テーブル2[[#This Row],[持久走]]="",0,(IF(テーブル2[[#This Row],[性別]]="男",LOOKUP(テーブル2[[#This Row],[持久走]],$AQ$6:$AR$15),LOOKUP(テーブル2[[#This Row],[持久走]],$AQ$20:$AR$29))))</f>
        <v>0</v>
      </c>
      <c r="X96" s="145">
        <f>IF(テーブル2[[#This Row],[ｼｬﾄﾙﾗﾝ]]="",0,(IF(テーブル2[[#This Row],[性別]]="男",LOOKUP(テーブル2[[#This Row],[ｼｬﾄﾙﾗﾝ]],$AS$6:$AT$15),LOOKUP(テーブル2[[#This Row],[ｼｬﾄﾙﾗﾝ]],$AS$20:$AT$29))))</f>
        <v>0</v>
      </c>
      <c r="Y96" s="145">
        <f>IF(テーブル2[[#This Row],[50m走]]="",0,(IF(テーブル2[[#This Row],[性別]]="男",LOOKUP(テーブル2[[#This Row],[50m走]],$AU$6:$AV$15),LOOKUP(テーブル2[[#This Row],[50m走]],$AU$20:$AV$29))))</f>
        <v>0</v>
      </c>
      <c r="Z96" s="145">
        <f>IF(テーブル2[[#This Row],[立幅とび]]="",0,(IF(テーブル2[[#This Row],[性別]]="男",LOOKUP(テーブル2[[#This Row],[立幅とび]],$AW$6:$AX$15),LOOKUP(テーブル2[[#This Row],[立幅とび]],$AW$20:$AX$29))))</f>
        <v>0</v>
      </c>
      <c r="AA96" s="145">
        <f>IF(テーブル2[[#This Row],[ボール投げ]]="",0,(IF(テーブル2[[#This Row],[性別]]="男",LOOKUP(テーブル2[[#This Row],[ボール投げ]],$AY$6:$AZ$15),LOOKUP(テーブル2[[#This Row],[ボール投げ]],$AY$20:$AZ$29))))</f>
        <v>0</v>
      </c>
      <c r="AB96" s="146" t="str">
        <f>IF(テーブル2[[#This Row],[学年]]=1,12,IF(テーブル2[[#This Row],[学年]]=2,13,IF(テーブル2[[#This Row],[学年]]=3,14,"")))</f>
        <v/>
      </c>
      <c r="AC96" s="192" t="str">
        <f>IF(テーブル2[[#This Row],[肥満度数値]]=0,"",LOOKUP(AE96,$AW$39:$AW$44,$AX$39:$AX$44))</f>
        <v/>
      </c>
      <c r="AD9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6" s="77">
        <f>IF(テーブル2[[#This Row],[体重]]="",0,(テーブル2[[#This Row],[体重]]-テーブル2[[#This Row],[標準体重]])/テーブル2[[#This Row],[標準体重]]*100)</f>
        <v>0</v>
      </c>
      <c r="AF96" s="26">
        <f>COUNTA(テーブル2[[#This Row],[握力]:[ボール投げ]])</f>
        <v>0</v>
      </c>
      <c r="AG96" s="1" t="str">
        <f>IF(テーブル2[[#This Row],[判定]]=$BE$10,"○","")</f>
        <v/>
      </c>
      <c r="AH96" s="1" t="str">
        <f>IF(AG96="","",COUNTIF($AG$6:AG96,"○"))</f>
        <v/>
      </c>
    </row>
    <row r="97" spans="1:34" ht="14.25" customHeight="1" x14ac:dyDescent="0.15">
      <c r="A97" s="44">
        <v>92</v>
      </c>
      <c r="B97" s="148"/>
      <c r="C97" s="151"/>
      <c r="D97" s="148"/>
      <c r="E97" s="152"/>
      <c r="F97" s="148"/>
      <c r="G97" s="148"/>
      <c r="H97" s="150"/>
      <c r="I97" s="150"/>
      <c r="J97" s="151"/>
      <c r="K97" s="148"/>
      <c r="L97" s="196"/>
      <c r="M97" s="151"/>
      <c r="N97" s="197"/>
      <c r="O97" s="151"/>
      <c r="P97" s="153"/>
      <c r="Q9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 s="144" t="str">
        <f>IF(テーブル2[[#This Row],[得点]]=0,"",IF(テーブル2[[#This Row],[年齢]]=17,LOOKUP(Q97,$BH$6:$BH$10,$BE$6:$BE$10),IF(テーブル2[[#This Row],[年齢]]=16,LOOKUP(Q97,$BG$6:$BG$10,$BE$6:$BE$10),IF(テーブル2[[#This Row],[年齢]]=15,LOOKUP(Q97,$BF$6:$BF$10,$BE$6:$BE$10),IF(テーブル2[[#This Row],[年齢]]=14,LOOKUP(Q97,$BD$6:$BD$10,$BE$6:$BE$10),IF(テーブル2[[#This Row],[年齢]]=13,LOOKUP(Q97,$BC$6:$BC$10,$BE$6:$BE$10),LOOKUP(Q97,$BB$6:$BB$10,$BE$6:$BE$10)))))))</f>
        <v/>
      </c>
      <c r="S97" s="145">
        <f>IF(H97="",0,(IF(テーブル2[[#This Row],[性別]]="男",LOOKUP(テーブル2[[#This Row],[握力]],$AI$6:$AJ$15),LOOKUP(テーブル2[[#This Row],[握力]],$AI$20:$AJ$29))))</f>
        <v>0</v>
      </c>
      <c r="T97" s="145">
        <f>IF(テーブル2[[#This Row],[上体]]="",0,(IF(テーブル2[[#This Row],[性別]]="男",LOOKUP(テーブル2[[#This Row],[上体]],$AK$6:$AL$15),LOOKUP(テーブル2[[#This Row],[上体]],$AK$20:$AL$29))))</f>
        <v>0</v>
      </c>
      <c r="U97" s="145">
        <f>IF(テーブル2[[#This Row],[長座]]="",0,(IF(テーブル2[[#This Row],[性別]]="男",LOOKUP(テーブル2[[#This Row],[長座]],$AM$6:$AN$15),LOOKUP(テーブル2[[#This Row],[長座]],$AM$20:$AN$29))))</f>
        <v>0</v>
      </c>
      <c r="V97" s="145">
        <f>IF(テーブル2[[#This Row],[反復]]="",0,(IF(テーブル2[[#This Row],[性別]]="男",LOOKUP(テーブル2[[#This Row],[反復]],$AO$6:$AP$15),LOOKUP(テーブル2[[#This Row],[反復]],$AO$20:$AP$29))))</f>
        <v>0</v>
      </c>
      <c r="W97" s="145">
        <f>IF(テーブル2[[#This Row],[持久走]]="",0,(IF(テーブル2[[#This Row],[性別]]="男",LOOKUP(テーブル2[[#This Row],[持久走]],$AQ$6:$AR$15),LOOKUP(テーブル2[[#This Row],[持久走]],$AQ$20:$AR$29))))</f>
        <v>0</v>
      </c>
      <c r="X97" s="145">
        <f>IF(テーブル2[[#This Row],[ｼｬﾄﾙﾗﾝ]]="",0,(IF(テーブル2[[#This Row],[性別]]="男",LOOKUP(テーブル2[[#This Row],[ｼｬﾄﾙﾗﾝ]],$AS$6:$AT$15),LOOKUP(テーブル2[[#This Row],[ｼｬﾄﾙﾗﾝ]],$AS$20:$AT$29))))</f>
        <v>0</v>
      </c>
      <c r="Y97" s="145">
        <f>IF(テーブル2[[#This Row],[50m走]]="",0,(IF(テーブル2[[#This Row],[性別]]="男",LOOKUP(テーブル2[[#This Row],[50m走]],$AU$6:$AV$15),LOOKUP(テーブル2[[#This Row],[50m走]],$AU$20:$AV$29))))</f>
        <v>0</v>
      </c>
      <c r="Z97" s="145">
        <f>IF(テーブル2[[#This Row],[立幅とび]]="",0,(IF(テーブル2[[#This Row],[性別]]="男",LOOKUP(テーブル2[[#This Row],[立幅とび]],$AW$6:$AX$15),LOOKUP(テーブル2[[#This Row],[立幅とび]],$AW$20:$AX$29))))</f>
        <v>0</v>
      </c>
      <c r="AA97" s="145">
        <f>IF(テーブル2[[#This Row],[ボール投げ]]="",0,(IF(テーブル2[[#This Row],[性別]]="男",LOOKUP(テーブル2[[#This Row],[ボール投げ]],$AY$6:$AZ$15),LOOKUP(テーブル2[[#This Row],[ボール投げ]],$AY$20:$AZ$29))))</f>
        <v>0</v>
      </c>
      <c r="AB97" s="146" t="str">
        <f>IF(テーブル2[[#This Row],[学年]]=1,12,IF(テーブル2[[#This Row],[学年]]=2,13,IF(テーブル2[[#This Row],[学年]]=3,14,"")))</f>
        <v/>
      </c>
      <c r="AC97" s="192" t="str">
        <f>IF(テーブル2[[#This Row],[肥満度数値]]=0,"",LOOKUP(AE97,$AW$39:$AW$44,$AX$39:$AX$44))</f>
        <v/>
      </c>
      <c r="AD9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7" s="77">
        <f>IF(テーブル2[[#This Row],[体重]]="",0,(テーブル2[[#This Row],[体重]]-テーブル2[[#This Row],[標準体重]])/テーブル2[[#This Row],[標準体重]]*100)</f>
        <v>0</v>
      </c>
      <c r="AF97" s="26">
        <f>COUNTA(テーブル2[[#This Row],[握力]:[ボール投げ]])</f>
        <v>0</v>
      </c>
      <c r="AG97" s="1" t="str">
        <f>IF(テーブル2[[#This Row],[判定]]=$BE$10,"○","")</f>
        <v/>
      </c>
      <c r="AH97" s="1" t="str">
        <f>IF(AG97="","",COUNTIF($AG$6:AG97,"○"))</f>
        <v/>
      </c>
    </row>
    <row r="98" spans="1:34" ht="14.25" customHeight="1" x14ac:dyDescent="0.15">
      <c r="A98" s="44">
        <v>93</v>
      </c>
      <c r="B98" s="148"/>
      <c r="C98" s="151"/>
      <c r="D98" s="148"/>
      <c r="E98" s="152"/>
      <c r="F98" s="148"/>
      <c r="G98" s="148"/>
      <c r="H98" s="150"/>
      <c r="I98" s="150"/>
      <c r="J98" s="151"/>
      <c r="K98" s="148"/>
      <c r="L98" s="196"/>
      <c r="M98" s="151"/>
      <c r="N98" s="197"/>
      <c r="O98" s="151"/>
      <c r="P98" s="153"/>
      <c r="Q9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 s="144" t="str">
        <f>IF(テーブル2[[#This Row],[得点]]=0,"",IF(テーブル2[[#This Row],[年齢]]=17,LOOKUP(Q98,$BH$6:$BH$10,$BE$6:$BE$10),IF(テーブル2[[#This Row],[年齢]]=16,LOOKUP(Q98,$BG$6:$BG$10,$BE$6:$BE$10),IF(テーブル2[[#This Row],[年齢]]=15,LOOKUP(Q98,$BF$6:$BF$10,$BE$6:$BE$10),IF(テーブル2[[#This Row],[年齢]]=14,LOOKUP(Q98,$BD$6:$BD$10,$BE$6:$BE$10),IF(テーブル2[[#This Row],[年齢]]=13,LOOKUP(Q98,$BC$6:$BC$10,$BE$6:$BE$10),LOOKUP(Q98,$BB$6:$BB$10,$BE$6:$BE$10)))))))</f>
        <v/>
      </c>
      <c r="S98" s="145">
        <f>IF(H98="",0,(IF(テーブル2[[#This Row],[性別]]="男",LOOKUP(テーブル2[[#This Row],[握力]],$AI$6:$AJ$15),LOOKUP(テーブル2[[#This Row],[握力]],$AI$20:$AJ$29))))</f>
        <v>0</v>
      </c>
      <c r="T98" s="145">
        <f>IF(テーブル2[[#This Row],[上体]]="",0,(IF(テーブル2[[#This Row],[性別]]="男",LOOKUP(テーブル2[[#This Row],[上体]],$AK$6:$AL$15),LOOKUP(テーブル2[[#This Row],[上体]],$AK$20:$AL$29))))</f>
        <v>0</v>
      </c>
      <c r="U98" s="145">
        <f>IF(テーブル2[[#This Row],[長座]]="",0,(IF(テーブル2[[#This Row],[性別]]="男",LOOKUP(テーブル2[[#This Row],[長座]],$AM$6:$AN$15),LOOKUP(テーブル2[[#This Row],[長座]],$AM$20:$AN$29))))</f>
        <v>0</v>
      </c>
      <c r="V98" s="145">
        <f>IF(テーブル2[[#This Row],[反復]]="",0,(IF(テーブル2[[#This Row],[性別]]="男",LOOKUP(テーブル2[[#This Row],[反復]],$AO$6:$AP$15),LOOKUP(テーブル2[[#This Row],[反復]],$AO$20:$AP$29))))</f>
        <v>0</v>
      </c>
      <c r="W98" s="145">
        <f>IF(テーブル2[[#This Row],[持久走]]="",0,(IF(テーブル2[[#This Row],[性別]]="男",LOOKUP(テーブル2[[#This Row],[持久走]],$AQ$6:$AR$15),LOOKUP(テーブル2[[#This Row],[持久走]],$AQ$20:$AR$29))))</f>
        <v>0</v>
      </c>
      <c r="X98" s="145">
        <f>IF(テーブル2[[#This Row],[ｼｬﾄﾙﾗﾝ]]="",0,(IF(テーブル2[[#This Row],[性別]]="男",LOOKUP(テーブル2[[#This Row],[ｼｬﾄﾙﾗﾝ]],$AS$6:$AT$15),LOOKUP(テーブル2[[#This Row],[ｼｬﾄﾙﾗﾝ]],$AS$20:$AT$29))))</f>
        <v>0</v>
      </c>
      <c r="Y98" s="145">
        <f>IF(テーブル2[[#This Row],[50m走]]="",0,(IF(テーブル2[[#This Row],[性別]]="男",LOOKUP(テーブル2[[#This Row],[50m走]],$AU$6:$AV$15),LOOKUP(テーブル2[[#This Row],[50m走]],$AU$20:$AV$29))))</f>
        <v>0</v>
      </c>
      <c r="Z98" s="145">
        <f>IF(テーブル2[[#This Row],[立幅とび]]="",0,(IF(テーブル2[[#This Row],[性別]]="男",LOOKUP(テーブル2[[#This Row],[立幅とび]],$AW$6:$AX$15),LOOKUP(テーブル2[[#This Row],[立幅とび]],$AW$20:$AX$29))))</f>
        <v>0</v>
      </c>
      <c r="AA98" s="145">
        <f>IF(テーブル2[[#This Row],[ボール投げ]]="",0,(IF(テーブル2[[#This Row],[性別]]="男",LOOKUP(テーブル2[[#This Row],[ボール投げ]],$AY$6:$AZ$15),LOOKUP(テーブル2[[#This Row],[ボール投げ]],$AY$20:$AZ$29))))</f>
        <v>0</v>
      </c>
      <c r="AB98" s="146" t="str">
        <f>IF(テーブル2[[#This Row],[学年]]=1,12,IF(テーブル2[[#This Row],[学年]]=2,13,IF(テーブル2[[#This Row],[学年]]=3,14,"")))</f>
        <v/>
      </c>
      <c r="AC98" s="192" t="str">
        <f>IF(テーブル2[[#This Row],[肥満度数値]]=0,"",LOOKUP(AE98,$AW$39:$AW$44,$AX$39:$AX$44))</f>
        <v/>
      </c>
      <c r="AD9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8" s="77">
        <f>IF(テーブル2[[#This Row],[体重]]="",0,(テーブル2[[#This Row],[体重]]-テーブル2[[#This Row],[標準体重]])/テーブル2[[#This Row],[標準体重]]*100)</f>
        <v>0</v>
      </c>
      <c r="AF98" s="26">
        <f>COUNTA(テーブル2[[#This Row],[握力]:[ボール投げ]])</f>
        <v>0</v>
      </c>
      <c r="AG98" s="1" t="str">
        <f>IF(テーブル2[[#This Row],[判定]]=$BE$10,"○","")</f>
        <v/>
      </c>
      <c r="AH98" s="1" t="str">
        <f>IF(AG98="","",COUNTIF($AG$6:AG98,"○"))</f>
        <v/>
      </c>
    </row>
    <row r="99" spans="1:34" ht="14.25" customHeight="1" x14ac:dyDescent="0.15">
      <c r="A99" s="44">
        <v>94</v>
      </c>
      <c r="B99" s="148"/>
      <c r="C99" s="151"/>
      <c r="D99" s="148"/>
      <c r="E99" s="152"/>
      <c r="F99" s="148"/>
      <c r="G99" s="148"/>
      <c r="H99" s="150"/>
      <c r="I99" s="150"/>
      <c r="J99" s="151"/>
      <c r="K99" s="148"/>
      <c r="L99" s="196"/>
      <c r="M99" s="151"/>
      <c r="N99" s="197"/>
      <c r="O99" s="151"/>
      <c r="P99" s="153"/>
      <c r="Q9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 s="144" t="str">
        <f>IF(テーブル2[[#This Row],[得点]]=0,"",IF(テーブル2[[#This Row],[年齢]]=17,LOOKUP(Q99,$BH$6:$BH$10,$BE$6:$BE$10),IF(テーブル2[[#This Row],[年齢]]=16,LOOKUP(Q99,$BG$6:$BG$10,$BE$6:$BE$10),IF(テーブル2[[#This Row],[年齢]]=15,LOOKUP(Q99,$BF$6:$BF$10,$BE$6:$BE$10),IF(テーブル2[[#This Row],[年齢]]=14,LOOKUP(Q99,$BD$6:$BD$10,$BE$6:$BE$10),IF(テーブル2[[#This Row],[年齢]]=13,LOOKUP(Q99,$BC$6:$BC$10,$BE$6:$BE$10),LOOKUP(Q99,$BB$6:$BB$10,$BE$6:$BE$10)))))))</f>
        <v/>
      </c>
      <c r="S99" s="145">
        <f>IF(H99="",0,(IF(テーブル2[[#This Row],[性別]]="男",LOOKUP(テーブル2[[#This Row],[握力]],$AI$6:$AJ$15),LOOKUP(テーブル2[[#This Row],[握力]],$AI$20:$AJ$29))))</f>
        <v>0</v>
      </c>
      <c r="T99" s="145">
        <f>IF(テーブル2[[#This Row],[上体]]="",0,(IF(テーブル2[[#This Row],[性別]]="男",LOOKUP(テーブル2[[#This Row],[上体]],$AK$6:$AL$15),LOOKUP(テーブル2[[#This Row],[上体]],$AK$20:$AL$29))))</f>
        <v>0</v>
      </c>
      <c r="U99" s="145">
        <f>IF(テーブル2[[#This Row],[長座]]="",0,(IF(テーブル2[[#This Row],[性別]]="男",LOOKUP(テーブル2[[#This Row],[長座]],$AM$6:$AN$15),LOOKUP(テーブル2[[#This Row],[長座]],$AM$20:$AN$29))))</f>
        <v>0</v>
      </c>
      <c r="V99" s="145">
        <f>IF(テーブル2[[#This Row],[反復]]="",0,(IF(テーブル2[[#This Row],[性別]]="男",LOOKUP(テーブル2[[#This Row],[反復]],$AO$6:$AP$15),LOOKUP(テーブル2[[#This Row],[反復]],$AO$20:$AP$29))))</f>
        <v>0</v>
      </c>
      <c r="W99" s="145">
        <f>IF(テーブル2[[#This Row],[持久走]]="",0,(IF(テーブル2[[#This Row],[性別]]="男",LOOKUP(テーブル2[[#This Row],[持久走]],$AQ$6:$AR$15),LOOKUP(テーブル2[[#This Row],[持久走]],$AQ$20:$AR$29))))</f>
        <v>0</v>
      </c>
      <c r="X99" s="145">
        <f>IF(テーブル2[[#This Row],[ｼｬﾄﾙﾗﾝ]]="",0,(IF(テーブル2[[#This Row],[性別]]="男",LOOKUP(テーブル2[[#This Row],[ｼｬﾄﾙﾗﾝ]],$AS$6:$AT$15),LOOKUP(テーブル2[[#This Row],[ｼｬﾄﾙﾗﾝ]],$AS$20:$AT$29))))</f>
        <v>0</v>
      </c>
      <c r="Y99" s="145">
        <f>IF(テーブル2[[#This Row],[50m走]]="",0,(IF(テーブル2[[#This Row],[性別]]="男",LOOKUP(テーブル2[[#This Row],[50m走]],$AU$6:$AV$15),LOOKUP(テーブル2[[#This Row],[50m走]],$AU$20:$AV$29))))</f>
        <v>0</v>
      </c>
      <c r="Z99" s="145">
        <f>IF(テーブル2[[#This Row],[立幅とび]]="",0,(IF(テーブル2[[#This Row],[性別]]="男",LOOKUP(テーブル2[[#This Row],[立幅とび]],$AW$6:$AX$15),LOOKUP(テーブル2[[#This Row],[立幅とび]],$AW$20:$AX$29))))</f>
        <v>0</v>
      </c>
      <c r="AA99" s="145">
        <f>IF(テーブル2[[#This Row],[ボール投げ]]="",0,(IF(テーブル2[[#This Row],[性別]]="男",LOOKUP(テーブル2[[#This Row],[ボール投げ]],$AY$6:$AZ$15),LOOKUP(テーブル2[[#This Row],[ボール投げ]],$AY$20:$AZ$29))))</f>
        <v>0</v>
      </c>
      <c r="AB99" s="146" t="str">
        <f>IF(テーブル2[[#This Row],[学年]]=1,12,IF(テーブル2[[#This Row],[学年]]=2,13,IF(テーブル2[[#This Row],[学年]]=3,14,"")))</f>
        <v/>
      </c>
      <c r="AC99" s="192" t="str">
        <f>IF(テーブル2[[#This Row],[肥満度数値]]=0,"",LOOKUP(AE99,$AW$39:$AW$44,$AX$39:$AX$44))</f>
        <v/>
      </c>
      <c r="AD9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99" s="77">
        <f>IF(テーブル2[[#This Row],[体重]]="",0,(テーブル2[[#This Row],[体重]]-テーブル2[[#This Row],[標準体重]])/テーブル2[[#This Row],[標準体重]]*100)</f>
        <v>0</v>
      </c>
      <c r="AF99" s="26">
        <f>COUNTA(テーブル2[[#This Row],[握力]:[ボール投げ]])</f>
        <v>0</v>
      </c>
      <c r="AG99" s="1" t="str">
        <f>IF(テーブル2[[#This Row],[判定]]=$BE$10,"○","")</f>
        <v/>
      </c>
      <c r="AH99" s="1" t="str">
        <f>IF(AG99="","",COUNTIF($AG$6:AG99,"○"))</f>
        <v/>
      </c>
    </row>
    <row r="100" spans="1:34" ht="14.25" customHeight="1" x14ac:dyDescent="0.15">
      <c r="A100" s="44">
        <v>95</v>
      </c>
      <c r="B100" s="148"/>
      <c r="C100" s="151"/>
      <c r="D100" s="148"/>
      <c r="E100" s="152"/>
      <c r="F100" s="148"/>
      <c r="G100" s="148"/>
      <c r="H100" s="150"/>
      <c r="I100" s="150"/>
      <c r="J100" s="151"/>
      <c r="K100" s="148"/>
      <c r="L100" s="196"/>
      <c r="M100" s="151"/>
      <c r="N100" s="197"/>
      <c r="O100" s="151"/>
      <c r="P100" s="153"/>
      <c r="Q10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 s="144" t="str">
        <f>IF(テーブル2[[#This Row],[得点]]=0,"",IF(テーブル2[[#This Row],[年齢]]=17,LOOKUP(Q100,$BH$6:$BH$10,$BE$6:$BE$10),IF(テーブル2[[#This Row],[年齢]]=16,LOOKUP(Q100,$BG$6:$BG$10,$BE$6:$BE$10),IF(テーブル2[[#This Row],[年齢]]=15,LOOKUP(Q100,$BF$6:$BF$10,$BE$6:$BE$10),IF(テーブル2[[#This Row],[年齢]]=14,LOOKUP(Q100,$BD$6:$BD$10,$BE$6:$BE$10),IF(テーブル2[[#This Row],[年齢]]=13,LOOKUP(Q100,$BC$6:$BC$10,$BE$6:$BE$10),LOOKUP(Q100,$BB$6:$BB$10,$BE$6:$BE$10)))))))</f>
        <v/>
      </c>
      <c r="S100" s="145">
        <f>IF(H100="",0,(IF(テーブル2[[#This Row],[性別]]="男",LOOKUP(テーブル2[[#This Row],[握力]],$AI$6:$AJ$15),LOOKUP(テーブル2[[#This Row],[握力]],$AI$20:$AJ$29))))</f>
        <v>0</v>
      </c>
      <c r="T100" s="145">
        <f>IF(テーブル2[[#This Row],[上体]]="",0,(IF(テーブル2[[#This Row],[性別]]="男",LOOKUP(テーブル2[[#This Row],[上体]],$AK$6:$AL$15),LOOKUP(テーブル2[[#This Row],[上体]],$AK$20:$AL$29))))</f>
        <v>0</v>
      </c>
      <c r="U100" s="145">
        <f>IF(テーブル2[[#This Row],[長座]]="",0,(IF(テーブル2[[#This Row],[性別]]="男",LOOKUP(テーブル2[[#This Row],[長座]],$AM$6:$AN$15),LOOKUP(テーブル2[[#This Row],[長座]],$AM$20:$AN$29))))</f>
        <v>0</v>
      </c>
      <c r="V100" s="145">
        <f>IF(テーブル2[[#This Row],[反復]]="",0,(IF(テーブル2[[#This Row],[性別]]="男",LOOKUP(テーブル2[[#This Row],[反復]],$AO$6:$AP$15),LOOKUP(テーブル2[[#This Row],[反復]],$AO$20:$AP$29))))</f>
        <v>0</v>
      </c>
      <c r="W100" s="145">
        <f>IF(テーブル2[[#This Row],[持久走]]="",0,(IF(テーブル2[[#This Row],[性別]]="男",LOOKUP(テーブル2[[#This Row],[持久走]],$AQ$6:$AR$15),LOOKUP(テーブル2[[#This Row],[持久走]],$AQ$20:$AR$29))))</f>
        <v>0</v>
      </c>
      <c r="X100" s="145">
        <f>IF(テーブル2[[#This Row],[ｼｬﾄﾙﾗﾝ]]="",0,(IF(テーブル2[[#This Row],[性別]]="男",LOOKUP(テーブル2[[#This Row],[ｼｬﾄﾙﾗﾝ]],$AS$6:$AT$15),LOOKUP(テーブル2[[#This Row],[ｼｬﾄﾙﾗﾝ]],$AS$20:$AT$29))))</f>
        <v>0</v>
      </c>
      <c r="Y100" s="145">
        <f>IF(テーブル2[[#This Row],[50m走]]="",0,(IF(テーブル2[[#This Row],[性別]]="男",LOOKUP(テーブル2[[#This Row],[50m走]],$AU$6:$AV$15),LOOKUP(テーブル2[[#This Row],[50m走]],$AU$20:$AV$29))))</f>
        <v>0</v>
      </c>
      <c r="Z100" s="145">
        <f>IF(テーブル2[[#This Row],[立幅とび]]="",0,(IF(テーブル2[[#This Row],[性別]]="男",LOOKUP(テーブル2[[#This Row],[立幅とび]],$AW$6:$AX$15),LOOKUP(テーブル2[[#This Row],[立幅とび]],$AW$20:$AX$29))))</f>
        <v>0</v>
      </c>
      <c r="AA100" s="145">
        <f>IF(テーブル2[[#This Row],[ボール投げ]]="",0,(IF(テーブル2[[#This Row],[性別]]="男",LOOKUP(テーブル2[[#This Row],[ボール投げ]],$AY$6:$AZ$15),LOOKUP(テーブル2[[#This Row],[ボール投げ]],$AY$20:$AZ$29))))</f>
        <v>0</v>
      </c>
      <c r="AB100" s="146" t="str">
        <f>IF(テーブル2[[#This Row],[学年]]=1,12,IF(テーブル2[[#This Row],[学年]]=2,13,IF(テーブル2[[#This Row],[学年]]=3,14,"")))</f>
        <v/>
      </c>
      <c r="AC100" s="192" t="str">
        <f>IF(テーブル2[[#This Row],[肥満度数値]]=0,"",LOOKUP(AE100,$AW$39:$AW$44,$AX$39:$AX$44))</f>
        <v/>
      </c>
      <c r="AD10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0" s="77">
        <f>IF(テーブル2[[#This Row],[体重]]="",0,(テーブル2[[#This Row],[体重]]-テーブル2[[#This Row],[標準体重]])/テーブル2[[#This Row],[標準体重]]*100)</f>
        <v>0</v>
      </c>
      <c r="AF100" s="26">
        <f>COUNTA(テーブル2[[#This Row],[握力]:[ボール投げ]])</f>
        <v>0</v>
      </c>
      <c r="AG100" s="1" t="str">
        <f>IF(テーブル2[[#This Row],[判定]]=$BE$10,"○","")</f>
        <v/>
      </c>
      <c r="AH100" s="1" t="str">
        <f>IF(AG100="","",COUNTIF($AG$6:AG100,"○"))</f>
        <v/>
      </c>
    </row>
    <row r="101" spans="1:34" ht="14.25" customHeight="1" x14ac:dyDescent="0.15">
      <c r="A101" s="44">
        <v>96</v>
      </c>
      <c r="B101" s="148"/>
      <c r="C101" s="151"/>
      <c r="D101" s="148"/>
      <c r="E101" s="152"/>
      <c r="F101" s="148"/>
      <c r="G101" s="148"/>
      <c r="H101" s="150"/>
      <c r="I101" s="150"/>
      <c r="J101" s="151"/>
      <c r="K101" s="148"/>
      <c r="L101" s="196"/>
      <c r="M101" s="151"/>
      <c r="N101" s="197"/>
      <c r="O101" s="151"/>
      <c r="P101" s="153"/>
      <c r="Q10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1" s="144" t="str">
        <f>IF(テーブル2[[#This Row],[得点]]=0,"",IF(テーブル2[[#This Row],[年齢]]=17,LOOKUP(Q101,$BH$6:$BH$10,$BE$6:$BE$10),IF(テーブル2[[#This Row],[年齢]]=16,LOOKUP(Q101,$BG$6:$BG$10,$BE$6:$BE$10),IF(テーブル2[[#This Row],[年齢]]=15,LOOKUP(Q101,$BF$6:$BF$10,$BE$6:$BE$10),IF(テーブル2[[#This Row],[年齢]]=14,LOOKUP(Q101,$BD$6:$BD$10,$BE$6:$BE$10),IF(テーブル2[[#This Row],[年齢]]=13,LOOKUP(Q101,$BC$6:$BC$10,$BE$6:$BE$10),LOOKUP(Q101,$BB$6:$BB$10,$BE$6:$BE$10)))))))</f>
        <v/>
      </c>
      <c r="S101" s="145">
        <f>IF(H101="",0,(IF(テーブル2[[#This Row],[性別]]="男",LOOKUP(テーブル2[[#This Row],[握力]],$AI$6:$AJ$15),LOOKUP(テーブル2[[#This Row],[握力]],$AI$20:$AJ$29))))</f>
        <v>0</v>
      </c>
      <c r="T101" s="145">
        <f>IF(テーブル2[[#This Row],[上体]]="",0,(IF(テーブル2[[#This Row],[性別]]="男",LOOKUP(テーブル2[[#This Row],[上体]],$AK$6:$AL$15),LOOKUP(テーブル2[[#This Row],[上体]],$AK$20:$AL$29))))</f>
        <v>0</v>
      </c>
      <c r="U101" s="145">
        <f>IF(テーブル2[[#This Row],[長座]]="",0,(IF(テーブル2[[#This Row],[性別]]="男",LOOKUP(テーブル2[[#This Row],[長座]],$AM$6:$AN$15),LOOKUP(テーブル2[[#This Row],[長座]],$AM$20:$AN$29))))</f>
        <v>0</v>
      </c>
      <c r="V101" s="145">
        <f>IF(テーブル2[[#This Row],[反復]]="",0,(IF(テーブル2[[#This Row],[性別]]="男",LOOKUP(テーブル2[[#This Row],[反復]],$AO$6:$AP$15),LOOKUP(テーブル2[[#This Row],[反復]],$AO$20:$AP$29))))</f>
        <v>0</v>
      </c>
      <c r="W101" s="145">
        <f>IF(テーブル2[[#This Row],[持久走]]="",0,(IF(テーブル2[[#This Row],[性別]]="男",LOOKUP(テーブル2[[#This Row],[持久走]],$AQ$6:$AR$15),LOOKUP(テーブル2[[#This Row],[持久走]],$AQ$20:$AR$29))))</f>
        <v>0</v>
      </c>
      <c r="X101" s="145">
        <f>IF(テーブル2[[#This Row],[ｼｬﾄﾙﾗﾝ]]="",0,(IF(テーブル2[[#This Row],[性別]]="男",LOOKUP(テーブル2[[#This Row],[ｼｬﾄﾙﾗﾝ]],$AS$6:$AT$15),LOOKUP(テーブル2[[#This Row],[ｼｬﾄﾙﾗﾝ]],$AS$20:$AT$29))))</f>
        <v>0</v>
      </c>
      <c r="Y101" s="145">
        <f>IF(テーブル2[[#This Row],[50m走]]="",0,(IF(テーブル2[[#This Row],[性別]]="男",LOOKUP(テーブル2[[#This Row],[50m走]],$AU$6:$AV$15),LOOKUP(テーブル2[[#This Row],[50m走]],$AU$20:$AV$29))))</f>
        <v>0</v>
      </c>
      <c r="Z101" s="145">
        <f>IF(テーブル2[[#This Row],[立幅とび]]="",0,(IF(テーブル2[[#This Row],[性別]]="男",LOOKUP(テーブル2[[#This Row],[立幅とび]],$AW$6:$AX$15),LOOKUP(テーブル2[[#This Row],[立幅とび]],$AW$20:$AX$29))))</f>
        <v>0</v>
      </c>
      <c r="AA101" s="145">
        <f>IF(テーブル2[[#This Row],[ボール投げ]]="",0,(IF(テーブル2[[#This Row],[性別]]="男",LOOKUP(テーブル2[[#This Row],[ボール投げ]],$AY$6:$AZ$15),LOOKUP(テーブル2[[#This Row],[ボール投げ]],$AY$20:$AZ$29))))</f>
        <v>0</v>
      </c>
      <c r="AB101" s="146" t="str">
        <f>IF(テーブル2[[#This Row],[学年]]=1,12,IF(テーブル2[[#This Row],[学年]]=2,13,IF(テーブル2[[#This Row],[学年]]=3,14,"")))</f>
        <v/>
      </c>
      <c r="AC101" s="192" t="str">
        <f>IF(テーブル2[[#This Row],[肥満度数値]]=0,"",LOOKUP(AE101,$AW$39:$AW$44,$AX$39:$AX$44))</f>
        <v/>
      </c>
      <c r="AD10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1" s="77">
        <f>IF(テーブル2[[#This Row],[体重]]="",0,(テーブル2[[#This Row],[体重]]-テーブル2[[#This Row],[標準体重]])/テーブル2[[#This Row],[標準体重]]*100)</f>
        <v>0</v>
      </c>
      <c r="AF101" s="26">
        <f>COUNTA(テーブル2[[#This Row],[握力]:[ボール投げ]])</f>
        <v>0</v>
      </c>
      <c r="AG101" s="1" t="str">
        <f>IF(テーブル2[[#This Row],[判定]]=$BE$10,"○","")</f>
        <v/>
      </c>
      <c r="AH101" s="1" t="str">
        <f>IF(AG101="","",COUNTIF($AG$6:AG101,"○"))</f>
        <v/>
      </c>
    </row>
    <row r="102" spans="1:34" ht="14.25" customHeight="1" x14ac:dyDescent="0.15">
      <c r="A102" s="44">
        <v>97</v>
      </c>
      <c r="B102" s="148"/>
      <c r="C102" s="151"/>
      <c r="D102" s="148"/>
      <c r="E102" s="152"/>
      <c r="F102" s="148"/>
      <c r="G102" s="148"/>
      <c r="H102" s="150"/>
      <c r="I102" s="150"/>
      <c r="J102" s="151"/>
      <c r="K102" s="148"/>
      <c r="L102" s="196"/>
      <c r="M102" s="151"/>
      <c r="N102" s="197"/>
      <c r="O102" s="151"/>
      <c r="P102" s="153"/>
      <c r="Q10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2" s="144" t="str">
        <f>IF(テーブル2[[#This Row],[得点]]=0,"",IF(テーブル2[[#This Row],[年齢]]=17,LOOKUP(Q102,$BH$6:$BH$10,$BE$6:$BE$10),IF(テーブル2[[#This Row],[年齢]]=16,LOOKUP(Q102,$BG$6:$BG$10,$BE$6:$BE$10),IF(テーブル2[[#This Row],[年齢]]=15,LOOKUP(Q102,$BF$6:$BF$10,$BE$6:$BE$10),IF(テーブル2[[#This Row],[年齢]]=14,LOOKUP(Q102,$BD$6:$BD$10,$BE$6:$BE$10),IF(テーブル2[[#This Row],[年齢]]=13,LOOKUP(Q102,$BC$6:$BC$10,$BE$6:$BE$10),LOOKUP(Q102,$BB$6:$BB$10,$BE$6:$BE$10)))))))</f>
        <v/>
      </c>
      <c r="S102" s="145">
        <f>IF(H102="",0,(IF(テーブル2[[#This Row],[性別]]="男",LOOKUP(テーブル2[[#This Row],[握力]],$AI$6:$AJ$15),LOOKUP(テーブル2[[#This Row],[握力]],$AI$20:$AJ$29))))</f>
        <v>0</v>
      </c>
      <c r="T102" s="145">
        <f>IF(テーブル2[[#This Row],[上体]]="",0,(IF(テーブル2[[#This Row],[性別]]="男",LOOKUP(テーブル2[[#This Row],[上体]],$AK$6:$AL$15),LOOKUP(テーブル2[[#This Row],[上体]],$AK$20:$AL$29))))</f>
        <v>0</v>
      </c>
      <c r="U102" s="145">
        <f>IF(テーブル2[[#This Row],[長座]]="",0,(IF(テーブル2[[#This Row],[性別]]="男",LOOKUP(テーブル2[[#This Row],[長座]],$AM$6:$AN$15),LOOKUP(テーブル2[[#This Row],[長座]],$AM$20:$AN$29))))</f>
        <v>0</v>
      </c>
      <c r="V102" s="145">
        <f>IF(テーブル2[[#This Row],[反復]]="",0,(IF(テーブル2[[#This Row],[性別]]="男",LOOKUP(テーブル2[[#This Row],[反復]],$AO$6:$AP$15),LOOKUP(テーブル2[[#This Row],[反復]],$AO$20:$AP$29))))</f>
        <v>0</v>
      </c>
      <c r="W102" s="145">
        <f>IF(テーブル2[[#This Row],[持久走]]="",0,(IF(テーブル2[[#This Row],[性別]]="男",LOOKUP(テーブル2[[#This Row],[持久走]],$AQ$6:$AR$15),LOOKUP(テーブル2[[#This Row],[持久走]],$AQ$20:$AR$29))))</f>
        <v>0</v>
      </c>
      <c r="X102" s="145">
        <f>IF(テーブル2[[#This Row],[ｼｬﾄﾙﾗﾝ]]="",0,(IF(テーブル2[[#This Row],[性別]]="男",LOOKUP(テーブル2[[#This Row],[ｼｬﾄﾙﾗﾝ]],$AS$6:$AT$15),LOOKUP(テーブル2[[#This Row],[ｼｬﾄﾙﾗﾝ]],$AS$20:$AT$29))))</f>
        <v>0</v>
      </c>
      <c r="Y102" s="145">
        <f>IF(テーブル2[[#This Row],[50m走]]="",0,(IF(テーブル2[[#This Row],[性別]]="男",LOOKUP(テーブル2[[#This Row],[50m走]],$AU$6:$AV$15),LOOKUP(テーブル2[[#This Row],[50m走]],$AU$20:$AV$29))))</f>
        <v>0</v>
      </c>
      <c r="Z102" s="145">
        <f>IF(テーブル2[[#This Row],[立幅とび]]="",0,(IF(テーブル2[[#This Row],[性別]]="男",LOOKUP(テーブル2[[#This Row],[立幅とび]],$AW$6:$AX$15),LOOKUP(テーブル2[[#This Row],[立幅とび]],$AW$20:$AX$29))))</f>
        <v>0</v>
      </c>
      <c r="AA102" s="145">
        <f>IF(テーブル2[[#This Row],[ボール投げ]]="",0,(IF(テーブル2[[#This Row],[性別]]="男",LOOKUP(テーブル2[[#This Row],[ボール投げ]],$AY$6:$AZ$15),LOOKUP(テーブル2[[#This Row],[ボール投げ]],$AY$20:$AZ$29))))</f>
        <v>0</v>
      </c>
      <c r="AB102" s="146" t="str">
        <f>IF(テーブル2[[#This Row],[学年]]=1,12,IF(テーブル2[[#This Row],[学年]]=2,13,IF(テーブル2[[#This Row],[学年]]=3,14,"")))</f>
        <v/>
      </c>
      <c r="AC102" s="192" t="str">
        <f>IF(テーブル2[[#This Row],[肥満度数値]]=0,"",LOOKUP(AE102,$AW$39:$AW$44,$AX$39:$AX$44))</f>
        <v/>
      </c>
      <c r="AD10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2" s="77">
        <f>IF(テーブル2[[#This Row],[体重]]="",0,(テーブル2[[#This Row],[体重]]-テーブル2[[#This Row],[標準体重]])/テーブル2[[#This Row],[標準体重]]*100)</f>
        <v>0</v>
      </c>
      <c r="AF102" s="26">
        <f>COUNTA(テーブル2[[#This Row],[握力]:[ボール投げ]])</f>
        <v>0</v>
      </c>
      <c r="AG102" s="1" t="str">
        <f>IF(テーブル2[[#This Row],[判定]]=$BE$10,"○","")</f>
        <v/>
      </c>
      <c r="AH102" s="1" t="str">
        <f>IF(AG102="","",COUNTIF($AG$6:AG102,"○"))</f>
        <v/>
      </c>
    </row>
    <row r="103" spans="1:34" ht="14.25" customHeight="1" x14ac:dyDescent="0.15">
      <c r="A103" s="44">
        <v>98</v>
      </c>
      <c r="B103" s="148"/>
      <c r="C103" s="151"/>
      <c r="D103" s="148"/>
      <c r="E103" s="152"/>
      <c r="F103" s="148"/>
      <c r="G103" s="148"/>
      <c r="H103" s="150"/>
      <c r="I103" s="150"/>
      <c r="J103" s="151"/>
      <c r="K103" s="148"/>
      <c r="L103" s="196"/>
      <c r="M103" s="151"/>
      <c r="N103" s="197"/>
      <c r="O103" s="151"/>
      <c r="P103" s="153"/>
      <c r="Q10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3" s="144" t="str">
        <f>IF(テーブル2[[#This Row],[得点]]=0,"",IF(テーブル2[[#This Row],[年齢]]=17,LOOKUP(Q103,$BH$6:$BH$10,$BE$6:$BE$10),IF(テーブル2[[#This Row],[年齢]]=16,LOOKUP(Q103,$BG$6:$BG$10,$BE$6:$BE$10),IF(テーブル2[[#This Row],[年齢]]=15,LOOKUP(Q103,$BF$6:$BF$10,$BE$6:$BE$10),IF(テーブル2[[#This Row],[年齢]]=14,LOOKUP(Q103,$BD$6:$BD$10,$BE$6:$BE$10),IF(テーブル2[[#This Row],[年齢]]=13,LOOKUP(Q103,$BC$6:$BC$10,$BE$6:$BE$10),LOOKUP(Q103,$BB$6:$BB$10,$BE$6:$BE$10)))))))</f>
        <v/>
      </c>
      <c r="S103" s="145">
        <f>IF(H103="",0,(IF(テーブル2[[#This Row],[性別]]="男",LOOKUP(テーブル2[[#This Row],[握力]],$AI$6:$AJ$15),LOOKUP(テーブル2[[#This Row],[握力]],$AI$20:$AJ$29))))</f>
        <v>0</v>
      </c>
      <c r="T103" s="145">
        <f>IF(テーブル2[[#This Row],[上体]]="",0,(IF(テーブル2[[#This Row],[性別]]="男",LOOKUP(テーブル2[[#This Row],[上体]],$AK$6:$AL$15),LOOKUP(テーブル2[[#This Row],[上体]],$AK$20:$AL$29))))</f>
        <v>0</v>
      </c>
      <c r="U103" s="145">
        <f>IF(テーブル2[[#This Row],[長座]]="",0,(IF(テーブル2[[#This Row],[性別]]="男",LOOKUP(テーブル2[[#This Row],[長座]],$AM$6:$AN$15),LOOKUP(テーブル2[[#This Row],[長座]],$AM$20:$AN$29))))</f>
        <v>0</v>
      </c>
      <c r="V103" s="145">
        <f>IF(テーブル2[[#This Row],[反復]]="",0,(IF(テーブル2[[#This Row],[性別]]="男",LOOKUP(テーブル2[[#This Row],[反復]],$AO$6:$AP$15),LOOKUP(テーブル2[[#This Row],[反復]],$AO$20:$AP$29))))</f>
        <v>0</v>
      </c>
      <c r="W103" s="145">
        <f>IF(テーブル2[[#This Row],[持久走]]="",0,(IF(テーブル2[[#This Row],[性別]]="男",LOOKUP(テーブル2[[#This Row],[持久走]],$AQ$6:$AR$15),LOOKUP(テーブル2[[#This Row],[持久走]],$AQ$20:$AR$29))))</f>
        <v>0</v>
      </c>
      <c r="X103" s="145">
        <f>IF(テーブル2[[#This Row],[ｼｬﾄﾙﾗﾝ]]="",0,(IF(テーブル2[[#This Row],[性別]]="男",LOOKUP(テーブル2[[#This Row],[ｼｬﾄﾙﾗﾝ]],$AS$6:$AT$15),LOOKUP(テーブル2[[#This Row],[ｼｬﾄﾙﾗﾝ]],$AS$20:$AT$29))))</f>
        <v>0</v>
      </c>
      <c r="Y103" s="145">
        <f>IF(テーブル2[[#This Row],[50m走]]="",0,(IF(テーブル2[[#This Row],[性別]]="男",LOOKUP(テーブル2[[#This Row],[50m走]],$AU$6:$AV$15),LOOKUP(テーブル2[[#This Row],[50m走]],$AU$20:$AV$29))))</f>
        <v>0</v>
      </c>
      <c r="Z103" s="145">
        <f>IF(テーブル2[[#This Row],[立幅とび]]="",0,(IF(テーブル2[[#This Row],[性別]]="男",LOOKUP(テーブル2[[#This Row],[立幅とび]],$AW$6:$AX$15),LOOKUP(テーブル2[[#This Row],[立幅とび]],$AW$20:$AX$29))))</f>
        <v>0</v>
      </c>
      <c r="AA103" s="145">
        <f>IF(テーブル2[[#This Row],[ボール投げ]]="",0,(IF(テーブル2[[#This Row],[性別]]="男",LOOKUP(テーブル2[[#This Row],[ボール投げ]],$AY$6:$AZ$15),LOOKUP(テーブル2[[#This Row],[ボール投げ]],$AY$20:$AZ$29))))</f>
        <v>0</v>
      </c>
      <c r="AB103" s="146" t="str">
        <f>IF(テーブル2[[#This Row],[学年]]=1,12,IF(テーブル2[[#This Row],[学年]]=2,13,IF(テーブル2[[#This Row],[学年]]=3,14,"")))</f>
        <v/>
      </c>
      <c r="AC103" s="192" t="str">
        <f>IF(テーブル2[[#This Row],[肥満度数値]]=0,"",LOOKUP(AE103,$AW$39:$AW$44,$AX$39:$AX$44))</f>
        <v/>
      </c>
      <c r="AD10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3" s="77">
        <f>IF(テーブル2[[#This Row],[体重]]="",0,(テーブル2[[#This Row],[体重]]-テーブル2[[#This Row],[標準体重]])/テーブル2[[#This Row],[標準体重]]*100)</f>
        <v>0</v>
      </c>
      <c r="AF103" s="26">
        <f>COUNTA(テーブル2[[#This Row],[握力]:[ボール投げ]])</f>
        <v>0</v>
      </c>
      <c r="AG103" s="1" t="str">
        <f>IF(テーブル2[[#This Row],[判定]]=$BE$10,"○","")</f>
        <v/>
      </c>
      <c r="AH103" s="1" t="str">
        <f>IF(AG103="","",COUNTIF($AG$6:AG103,"○"))</f>
        <v/>
      </c>
    </row>
    <row r="104" spans="1:34" ht="14.25" customHeight="1" x14ac:dyDescent="0.15">
      <c r="A104" s="44">
        <v>99</v>
      </c>
      <c r="B104" s="148"/>
      <c r="C104" s="151"/>
      <c r="D104" s="148"/>
      <c r="E104" s="152"/>
      <c r="F104" s="148"/>
      <c r="G104" s="148"/>
      <c r="H104" s="150"/>
      <c r="I104" s="150"/>
      <c r="J104" s="151"/>
      <c r="K104" s="148"/>
      <c r="L104" s="196"/>
      <c r="M104" s="151"/>
      <c r="N104" s="197"/>
      <c r="O104" s="151"/>
      <c r="P104" s="153"/>
      <c r="Q10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4" s="144" t="str">
        <f>IF(テーブル2[[#This Row],[得点]]=0,"",IF(テーブル2[[#This Row],[年齢]]=17,LOOKUP(Q104,$BH$6:$BH$10,$BE$6:$BE$10),IF(テーブル2[[#This Row],[年齢]]=16,LOOKUP(Q104,$BG$6:$BG$10,$BE$6:$BE$10),IF(テーブル2[[#This Row],[年齢]]=15,LOOKUP(Q104,$BF$6:$BF$10,$BE$6:$BE$10),IF(テーブル2[[#This Row],[年齢]]=14,LOOKUP(Q104,$BD$6:$BD$10,$BE$6:$BE$10),IF(テーブル2[[#This Row],[年齢]]=13,LOOKUP(Q104,$BC$6:$BC$10,$BE$6:$BE$10),LOOKUP(Q104,$BB$6:$BB$10,$BE$6:$BE$10)))))))</f>
        <v/>
      </c>
      <c r="S104" s="145">
        <f>IF(H104="",0,(IF(テーブル2[[#This Row],[性別]]="男",LOOKUP(テーブル2[[#This Row],[握力]],$AI$6:$AJ$15),LOOKUP(テーブル2[[#This Row],[握力]],$AI$20:$AJ$29))))</f>
        <v>0</v>
      </c>
      <c r="T104" s="145">
        <f>IF(テーブル2[[#This Row],[上体]]="",0,(IF(テーブル2[[#This Row],[性別]]="男",LOOKUP(テーブル2[[#This Row],[上体]],$AK$6:$AL$15),LOOKUP(テーブル2[[#This Row],[上体]],$AK$20:$AL$29))))</f>
        <v>0</v>
      </c>
      <c r="U104" s="145">
        <f>IF(テーブル2[[#This Row],[長座]]="",0,(IF(テーブル2[[#This Row],[性別]]="男",LOOKUP(テーブル2[[#This Row],[長座]],$AM$6:$AN$15),LOOKUP(テーブル2[[#This Row],[長座]],$AM$20:$AN$29))))</f>
        <v>0</v>
      </c>
      <c r="V104" s="145">
        <f>IF(テーブル2[[#This Row],[反復]]="",0,(IF(テーブル2[[#This Row],[性別]]="男",LOOKUP(テーブル2[[#This Row],[反復]],$AO$6:$AP$15),LOOKUP(テーブル2[[#This Row],[反復]],$AO$20:$AP$29))))</f>
        <v>0</v>
      </c>
      <c r="W104" s="145">
        <f>IF(テーブル2[[#This Row],[持久走]]="",0,(IF(テーブル2[[#This Row],[性別]]="男",LOOKUP(テーブル2[[#This Row],[持久走]],$AQ$6:$AR$15),LOOKUP(テーブル2[[#This Row],[持久走]],$AQ$20:$AR$29))))</f>
        <v>0</v>
      </c>
      <c r="X104" s="145">
        <f>IF(テーブル2[[#This Row],[ｼｬﾄﾙﾗﾝ]]="",0,(IF(テーブル2[[#This Row],[性別]]="男",LOOKUP(テーブル2[[#This Row],[ｼｬﾄﾙﾗﾝ]],$AS$6:$AT$15),LOOKUP(テーブル2[[#This Row],[ｼｬﾄﾙﾗﾝ]],$AS$20:$AT$29))))</f>
        <v>0</v>
      </c>
      <c r="Y104" s="145">
        <f>IF(テーブル2[[#This Row],[50m走]]="",0,(IF(テーブル2[[#This Row],[性別]]="男",LOOKUP(テーブル2[[#This Row],[50m走]],$AU$6:$AV$15),LOOKUP(テーブル2[[#This Row],[50m走]],$AU$20:$AV$29))))</f>
        <v>0</v>
      </c>
      <c r="Z104" s="145">
        <f>IF(テーブル2[[#This Row],[立幅とび]]="",0,(IF(テーブル2[[#This Row],[性別]]="男",LOOKUP(テーブル2[[#This Row],[立幅とび]],$AW$6:$AX$15),LOOKUP(テーブル2[[#This Row],[立幅とび]],$AW$20:$AX$29))))</f>
        <v>0</v>
      </c>
      <c r="AA104" s="145">
        <f>IF(テーブル2[[#This Row],[ボール投げ]]="",0,(IF(テーブル2[[#This Row],[性別]]="男",LOOKUP(テーブル2[[#This Row],[ボール投げ]],$AY$6:$AZ$15),LOOKUP(テーブル2[[#This Row],[ボール投げ]],$AY$20:$AZ$29))))</f>
        <v>0</v>
      </c>
      <c r="AB104" s="146" t="str">
        <f>IF(テーブル2[[#This Row],[学年]]=1,12,IF(テーブル2[[#This Row],[学年]]=2,13,IF(テーブル2[[#This Row],[学年]]=3,14,"")))</f>
        <v/>
      </c>
      <c r="AC104" s="192" t="str">
        <f>IF(テーブル2[[#This Row],[肥満度数値]]=0,"",LOOKUP(AE104,$AW$39:$AW$44,$AX$39:$AX$44))</f>
        <v/>
      </c>
      <c r="AD10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4" s="77">
        <f>IF(テーブル2[[#This Row],[体重]]="",0,(テーブル2[[#This Row],[体重]]-テーブル2[[#This Row],[標準体重]])/テーブル2[[#This Row],[標準体重]]*100)</f>
        <v>0</v>
      </c>
      <c r="AF104" s="26">
        <f>COUNTA(テーブル2[[#This Row],[握力]:[ボール投げ]])</f>
        <v>0</v>
      </c>
      <c r="AG104" s="1" t="str">
        <f>IF(テーブル2[[#This Row],[判定]]=$BE$10,"○","")</f>
        <v/>
      </c>
      <c r="AH104" s="1" t="str">
        <f>IF(AG104="","",COUNTIF($AG$6:AG104,"○"))</f>
        <v/>
      </c>
    </row>
    <row r="105" spans="1:34" ht="14.25" customHeight="1" x14ac:dyDescent="0.15">
      <c r="A105" s="44">
        <v>100</v>
      </c>
      <c r="B105" s="148"/>
      <c r="C105" s="151"/>
      <c r="D105" s="148"/>
      <c r="E105" s="152"/>
      <c r="F105" s="148"/>
      <c r="G105" s="148"/>
      <c r="H105" s="150"/>
      <c r="I105" s="150"/>
      <c r="J105" s="151"/>
      <c r="K105" s="148"/>
      <c r="L105" s="196"/>
      <c r="M105" s="151"/>
      <c r="N105" s="197"/>
      <c r="O105" s="151"/>
      <c r="P105" s="153"/>
      <c r="Q10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5" s="144" t="str">
        <f>IF(テーブル2[[#This Row],[得点]]=0,"",IF(テーブル2[[#This Row],[年齢]]=17,LOOKUP(Q105,$BH$6:$BH$10,$BE$6:$BE$10),IF(テーブル2[[#This Row],[年齢]]=16,LOOKUP(Q105,$BG$6:$BG$10,$BE$6:$BE$10),IF(テーブル2[[#This Row],[年齢]]=15,LOOKUP(Q105,$BF$6:$BF$10,$BE$6:$BE$10),IF(テーブル2[[#This Row],[年齢]]=14,LOOKUP(Q105,$BD$6:$BD$10,$BE$6:$BE$10),IF(テーブル2[[#This Row],[年齢]]=13,LOOKUP(Q105,$BC$6:$BC$10,$BE$6:$BE$10),LOOKUP(Q105,$BB$6:$BB$10,$BE$6:$BE$10)))))))</f>
        <v/>
      </c>
      <c r="S105" s="145">
        <f>IF(H105="",0,(IF(テーブル2[[#This Row],[性別]]="男",LOOKUP(テーブル2[[#This Row],[握力]],$AI$6:$AJ$15),LOOKUP(テーブル2[[#This Row],[握力]],$AI$20:$AJ$29))))</f>
        <v>0</v>
      </c>
      <c r="T105" s="145">
        <f>IF(テーブル2[[#This Row],[上体]]="",0,(IF(テーブル2[[#This Row],[性別]]="男",LOOKUP(テーブル2[[#This Row],[上体]],$AK$6:$AL$15),LOOKUP(テーブル2[[#This Row],[上体]],$AK$20:$AL$29))))</f>
        <v>0</v>
      </c>
      <c r="U105" s="145">
        <f>IF(テーブル2[[#This Row],[長座]]="",0,(IF(テーブル2[[#This Row],[性別]]="男",LOOKUP(テーブル2[[#This Row],[長座]],$AM$6:$AN$15),LOOKUP(テーブル2[[#This Row],[長座]],$AM$20:$AN$29))))</f>
        <v>0</v>
      </c>
      <c r="V105" s="145">
        <f>IF(テーブル2[[#This Row],[反復]]="",0,(IF(テーブル2[[#This Row],[性別]]="男",LOOKUP(テーブル2[[#This Row],[反復]],$AO$6:$AP$15),LOOKUP(テーブル2[[#This Row],[反復]],$AO$20:$AP$29))))</f>
        <v>0</v>
      </c>
      <c r="W105" s="145">
        <f>IF(テーブル2[[#This Row],[持久走]]="",0,(IF(テーブル2[[#This Row],[性別]]="男",LOOKUP(テーブル2[[#This Row],[持久走]],$AQ$6:$AR$15),LOOKUP(テーブル2[[#This Row],[持久走]],$AQ$20:$AR$29))))</f>
        <v>0</v>
      </c>
      <c r="X105" s="145">
        <f>IF(テーブル2[[#This Row],[ｼｬﾄﾙﾗﾝ]]="",0,(IF(テーブル2[[#This Row],[性別]]="男",LOOKUP(テーブル2[[#This Row],[ｼｬﾄﾙﾗﾝ]],$AS$6:$AT$15),LOOKUP(テーブル2[[#This Row],[ｼｬﾄﾙﾗﾝ]],$AS$20:$AT$29))))</f>
        <v>0</v>
      </c>
      <c r="Y105" s="145">
        <f>IF(テーブル2[[#This Row],[50m走]]="",0,(IF(テーブル2[[#This Row],[性別]]="男",LOOKUP(テーブル2[[#This Row],[50m走]],$AU$6:$AV$15),LOOKUP(テーブル2[[#This Row],[50m走]],$AU$20:$AV$29))))</f>
        <v>0</v>
      </c>
      <c r="Z105" s="145">
        <f>IF(テーブル2[[#This Row],[立幅とび]]="",0,(IF(テーブル2[[#This Row],[性別]]="男",LOOKUP(テーブル2[[#This Row],[立幅とび]],$AW$6:$AX$15),LOOKUP(テーブル2[[#This Row],[立幅とび]],$AW$20:$AX$29))))</f>
        <v>0</v>
      </c>
      <c r="AA105" s="145">
        <f>IF(テーブル2[[#This Row],[ボール投げ]]="",0,(IF(テーブル2[[#This Row],[性別]]="男",LOOKUP(テーブル2[[#This Row],[ボール投げ]],$AY$6:$AZ$15),LOOKUP(テーブル2[[#This Row],[ボール投げ]],$AY$20:$AZ$29))))</f>
        <v>0</v>
      </c>
      <c r="AB105" s="146" t="str">
        <f>IF(テーブル2[[#This Row],[学年]]=1,12,IF(テーブル2[[#This Row],[学年]]=2,13,IF(テーブル2[[#This Row],[学年]]=3,14,"")))</f>
        <v/>
      </c>
      <c r="AC105" s="192" t="str">
        <f>IF(テーブル2[[#This Row],[肥満度数値]]=0,"",LOOKUP(AE105,$AW$39:$AW$44,$AX$39:$AX$44))</f>
        <v/>
      </c>
      <c r="AD10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5" s="77">
        <f>IF(テーブル2[[#This Row],[体重]]="",0,(テーブル2[[#This Row],[体重]]-テーブル2[[#This Row],[標準体重]])/テーブル2[[#This Row],[標準体重]]*100)</f>
        <v>0</v>
      </c>
      <c r="AF105" s="26">
        <f>COUNTA(テーブル2[[#This Row],[握力]:[ボール投げ]])</f>
        <v>0</v>
      </c>
      <c r="AG105" s="1" t="str">
        <f>IF(テーブル2[[#This Row],[判定]]=$BE$10,"○","")</f>
        <v/>
      </c>
      <c r="AH105" s="1" t="str">
        <f>IF(AG105="","",COUNTIF($AG$6:AG105,"○"))</f>
        <v/>
      </c>
    </row>
    <row r="106" spans="1:34" ht="14.25" customHeight="1" x14ac:dyDescent="0.15">
      <c r="A106" s="44">
        <v>101</v>
      </c>
      <c r="B106" s="148"/>
      <c r="C106" s="151"/>
      <c r="D106" s="148"/>
      <c r="E106" s="152"/>
      <c r="F106" s="148"/>
      <c r="G106" s="148"/>
      <c r="H106" s="150"/>
      <c r="I106" s="150"/>
      <c r="J106" s="151"/>
      <c r="K106" s="148"/>
      <c r="L106" s="196"/>
      <c r="M106" s="151"/>
      <c r="N106" s="197"/>
      <c r="O106" s="151"/>
      <c r="P106" s="153"/>
      <c r="Q10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6" s="144" t="str">
        <f>IF(テーブル2[[#This Row],[得点]]=0,"",IF(テーブル2[[#This Row],[年齢]]=17,LOOKUP(Q106,$BH$6:$BH$10,$BE$6:$BE$10),IF(テーブル2[[#This Row],[年齢]]=16,LOOKUP(Q106,$BG$6:$BG$10,$BE$6:$BE$10),IF(テーブル2[[#This Row],[年齢]]=15,LOOKUP(Q106,$BF$6:$BF$10,$BE$6:$BE$10),IF(テーブル2[[#This Row],[年齢]]=14,LOOKUP(Q106,$BD$6:$BD$10,$BE$6:$BE$10),IF(テーブル2[[#This Row],[年齢]]=13,LOOKUP(Q106,$BC$6:$BC$10,$BE$6:$BE$10),LOOKUP(Q106,$BB$6:$BB$10,$BE$6:$BE$10)))))))</f>
        <v/>
      </c>
      <c r="S106" s="145">
        <f>IF(H106="",0,(IF(テーブル2[[#This Row],[性別]]="男",LOOKUP(テーブル2[[#This Row],[握力]],$AI$6:$AJ$15),LOOKUP(テーブル2[[#This Row],[握力]],$AI$20:$AJ$29))))</f>
        <v>0</v>
      </c>
      <c r="T106" s="145">
        <f>IF(テーブル2[[#This Row],[上体]]="",0,(IF(テーブル2[[#This Row],[性別]]="男",LOOKUP(テーブル2[[#This Row],[上体]],$AK$6:$AL$15),LOOKUP(テーブル2[[#This Row],[上体]],$AK$20:$AL$29))))</f>
        <v>0</v>
      </c>
      <c r="U106" s="145">
        <f>IF(テーブル2[[#This Row],[長座]]="",0,(IF(テーブル2[[#This Row],[性別]]="男",LOOKUP(テーブル2[[#This Row],[長座]],$AM$6:$AN$15),LOOKUP(テーブル2[[#This Row],[長座]],$AM$20:$AN$29))))</f>
        <v>0</v>
      </c>
      <c r="V106" s="145">
        <f>IF(テーブル2[[#This Row],[反復]]="",0,(IF(テーブル2[[#This Row],[性別]]="男",LOOKUP(テーブル2[[#This Row],[反復]],$AO$6:$AP$15),LOOKUP(テーブル2[[#This Row],[反復]],$AO$20:$AP$29))))</f>
        <v>0</v>
      </c>
      <c r="W106" s="145">
        <f>IF(テーブル2[[#This Row],[持久走]]="",0,(IF(テーブル2[[#This Row],[性別]]="男",LOOKUP(テーブル2[[#This Row],[持久走]],$AQ$6:$AR$15),LOOKUP(テーブル2[[#This Row],[持久走]],$AQ$20:$AR$29))))</f>
        <v>0</v>
      </c>
      <c r="X106" s="145">
        <f>IF(テーブル2[[#This Row],[ｼｬﾄﾙﾗﾝ]]="",0,(IF(テーブル2[[#This Row],[性別]]="男",LOOKUP(テーブル2[[#This Row],[ｼｬﾄﾙﾗﾝ]],$AS$6:$AT$15),LOOKUP(テーブル2[[#This Row],[ｼｬﾄﾙﾗﾝ]],$AS$20:$AT$29))))</f>
        <v>0</v>
      </c>
      <c r="Y106" s="145">
        <f>IF(テーブル2[[#This Row],[50m走]]="",0,(IF(テーブル2[[#This Row],[性別]]="男",LOOKUP(テーブル2[[#This Row],[50m走]],$AU$6:$AV$15),LOOKUP(テーブル2[[#This Row],[50m走]],$AU$20:$AV$29))))</f>
        <v>0</v>
      </c>
      <c r="Z106" s="145">
        <f>IF(テーブル2[[#This Row],[立幅とび]]="",0,(IF(テーブル2[[#This Row],[性別]]="男",LOOKUP(テーブル2[[#This Row],[立幅とび]],$AW$6:$AX$15),LOOKUP(テーブル2[[#This Row],[立幅とび]],$AW$20:$AX$29))))</f>
        <v>0</v>
      </c>
      <c r="AA106" s="145">
        <f>IF(テーブル2[[#This Row],[ボール投げ]]="",0,(IF(テーブル2[[#This Row],[性別]]="男",LOOKUP(テーブル2[[#This Row],[ボール投げ]],$AY$6:$AZ$15),LOOKUP(テーブル2[[#This Row],[ボール投げ]],$AY$20:$AZ$29))))</f>
        <v>0</v>
      </c>
      <c r="AB106" s="146" t="str">
        <f>IF(テーブル2[[#This Row],[学年]]=1,12,IF(テーブル2[[#This Row],[学年]]=2,13,IF(テーブル2[[#This Row],[学年]]=3,14,"")))</f>
        <v/>
      </c>
      <c r="AC106" s="192" t="str">
        <f>IF(テーブル2[[#This Row],[肥満度数値]]=0,"",LOOKUP(AE106,$AW$39:$AW$44,$AX$39:$AX$44))</f>
        <v/>
      </c>
      <c r="AD10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6" s="77">
        <f>IF(テーブル2[[#This Row],[体重]]="",0,(テーブル2[[#This Row],[体重]]-テーブル2[[#This Row],[標準体重]])/テーブル2[[#This Row],[標準体重]]*100)</f>
        <v>0</v>
      </c>
      <c r="AF106" s="26">
        <f>COUNTA(テーブル2[[#This Row],[握力]:[ボール投げ]])</f>
        <v>0</v>
      </c>
      <c r="AG106" s="1" t="str">
        <f>IF(テーブル2[[#This Row],[判定]]=$BE$10,"○","")</f>
        <v/>
      </c>
      <c r="AH106" s="1" t="str">
        <f>IF(AG106="","",COUNTIF($AG$6:AG106,"○"))</f>
        <v/>
      </c>
    </row>
    <row r="107" spans="1:34" ht="14.25" customHeight="1" x14ac:dyDescent="0.15">
      <c r="A107" s="44">
        <v>102</v>
      </c>
      <c r="B107" s="148"/>
      <c r="C107" s="151"/>
      <c r="D107" s="148"/>
      <c r="E107" s="152"/>
      <c r="F107" s="148"/>
      <c r="G107" s="148"/>
      <c r="H107" s="150"/>
      <c r="I107" s="150"/>
      <c r="J107" s="151"/>
      <c r="K107" s="148"/>
      <c r="L107" s="196"/>
      <c r="M107" s="151"/>
      <c r="N107" s="197"/>
      <c r="O107" s="151"/>
      <c r="P107" s="153"/>
      <c r="Q10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7" s="144" t="str">
        <f>IF(テーブル2[[#This Row],[得点]]=0,"",IF(テーブル2[[#This Row],[年齢]]=17,LOOKUP(Q107,$BH$6:$BH$10,$BE$6:$BE$10),IF(テーブル2[[#This Row],[年齢]]=16,LOOKUP(Q107,$BG$6:$BG$10,$BE$6:$BE$10),IF(テーブル2[[#This Row],[年齢]]=15,LOOKUP(Q107,$BF$6:$BF$10,$BE$6:$BE$10),IF(テーブル2[[#This Row],[年齢]]=14,LOOKUP(Q107,$BD$6:$BD$10,$BE$6:$BE$10),IF(テーブル2[[#This Row],[年齢]]=13,LOOKUP(Q107,$BC$6:$BC$10,$BE$6:$BE$10),LOOKUP(Q107,$BB$6:$BB$10,$BE$6:$BE$10)))))))</f>
        <v/>
      </c>
      <c r="S107" s="145">
        <f>IF(H107="",0,(IF(テーブル2[[#This Row],[性別]]="男",LOOKUP(テーブル2[[#This Row],[握力]],$AI$6:$AJ$15),LOOKUP(テーブル2[[#This Row],[握力]],$AI$20:$AJ$29))))</f>
        <v>0</v>
      </c>
      <c r="T107" s="145">
        <f>IF(テーブル2[[#This Row],[上体]]="",0,(IF(テーブル2[[#This Row],[性別]]="男",LOOKUP(テーブル2[[#This Row],[上体]],$AK$6:$AL$15),LOOKUP(テーブル2[[#This Row],[上体]],$AK$20:$AL$29))))</f>
        <v>0</v>
      </c>
      <c r="U107" s="145">
        <f>IF(テーブル2[[#This Row],[長座]]="",0,(IF(テーブル2[[#This Row],[性別]]="男",LOOKUP(テーブル2[[#This Row],[長座]],$AM$6:$AN$15),LOOKUP(テーブル2[[#This Row],[長座]],$AM$20:$AN$29))))</f>
        <v>0</v>
      </c>
      <c r="V107" s="145">
        <f>IF(テーブル2[[#This Row],[反復]]="",0,(IF(テーブル2[[#This Row],[性別]]="男",LOOKUP(テーブル2[[#This Row],[反復]],$AO$6:$AP$15),LOOKUP(テーブル2[[#This Row],[反復]],$AO$20:$AP$29))))</f>
        <v>0</v>
      </c>
      <c r="W107" s="145">
        <f>IF(テーブル2[[#This Row],[持久走]]="",0,(IF(テーブル2[[#This Row],[性別]]="男",LOOKUP(テーブル2[[#This Row],[持久走]],$AQ$6:$AR$15),LOOKUP(テーブル2[[#This Row],[持久走]],$AQ$20:$AR$29))))</f>
        <v>0</v>
      </c>
      <c r="X107" s="145">
        <f>IF(テーブル2[[#This Row],[ｼｬﾄﾙﾗﾝ]]="",0,(IF(テーブル2[[#This Row],[性別]]="男",LOOKUP(テーブル2[[#This Row],[ｼｬﾄﾙﾗﾝ]],$AS$6:$AT$15),LOOKUP(テーブル2[[#This Row],[ｼｬﾄﾙﾗﾝ]],$AS$20:$AT$29))))</f>
        <v>0</v>
      </c>
      <c r="Y107" s="145">
        <f>IF(テーブル2[[#This Row],[50m走]]="",0,(IF(テーブル2[[#This Row],[性別]]="男",LOOKUP(テーブル2[[#This Row],[50m走]],$AU$6:$AV$15),LOOKUP(テーブル2[[#This Row],[50m走]],$AU$20:$AV$29))))</f>
        <v>0</v>
      </c>
      <c r="Z107" s="145">
        <f>IF(テーブル2[[#This Row],[立幅とび]]="",0,(IF(テーブル2[[#This Row],[性別]]="男",LOOKUP(テーブル2[[#This Row],[立幅とび]],$AW$6:$AX$15),LOOKUP(テーブル2[[#This Row],[立幅とび]],$AW$20:$AX$29))))</f>
        <v>0</v>
      </c>
      <c r="AA107" s="145">
        <f>IF(テーブル2[[#This Row],[ボール投げ]]="",0,(IF(テーブル2[[#This Row],[性別]]="男",LOOKUP(テーブル2[[#This Row],[ボール投げ]],$AY$6:$AZ$15),LOOKUP(テーブル2[[#This Row],[ボール投げ]],$AY$20:$AZ$29))))</f>
        <v>0</v>
      </c>
      <c r="AB107" s="146" t="str">
        <f>IF(テーブル2[[#This Row],[学年]]=1,12,IF(テーブル2[[#This Row],[学年]]=2,13,IF(テーブル2[[#This Row],[学年]]=3,14,"")))</f>
        <v/>
      </c>
      <c r="AC107" s="192" t="str">
        <f>IF(テーブル2[[#This Row],[肥満度数値]]=0,"",LOOKUP(AE107,$AW$39:$AW$44,$AX$39:$AX$44))</f>
        <v/>
      </c>
      <c r="AD10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7" s="77">
        <f>IF(テーブル2[[#This Row],[体重]]="",0,(テーブル2[[#This Row],[体重]]-テーブル2[[#This Row],[標準体重]])/テーブル2[[#This Row],[標準体重]]*100)</f>
        <v>0</v>
      </c>
      <c r="AF107" s="26">
        <f>COUNTA(テーブル2[[#This Row],[握力]:[ボール投げ]])</f>
        <v>0</v>
      </c>
      <c r="AG107" s="1" t="str">
        <f>IF(テーブル2[[#This Row],[判定]]=$BE$10,"○","")</f>
        <v/>
      </c>
      <c r="AH107" s="1" t="str">
        <f>IF(AG107="","",COUNTIF($AG$6:AG107,"○"))</f>
        <v/>
      </c>
    </row>
    <row r="108" spans="1:34" ht="14.25" customHeight="1" x14ac:dyDescent="0.15">
      <c r="A108" s="44">
        <v>103</v>
      </c>
      <c r="B108" s="148"/>
      <c r="C108" s="151"/>
      <c r="D108" s="148"/>
      <c r="E108" s="152"/>
      <c r="F108" s="148"/>
      <c r="G108" s="148"/>
      <c r="H108" s="150"/>
      <c r="I108" s="150"/>
      <c r="J108" s="151"/>
      <c r="K108" s="148"/>
      <c r="L108" s="196"/>
      <c r="M108" s="151"/>
      <c r="N108" s="197"/>
      <c r="O108" s="151"/>
      <c r="P108" s="153"/>
      <c r="Q10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8" s="144" t="str">
        <f>IF(テーブル2[[#This Row],[得点]]=0,"",IF(テーブル2[[#This Row],[年齢]]=17,LOOKUP(Q108,$BH$6:$BH$10,$BE$6:$BE$10),IF(テーブル2[[#This Row],[年齢]]=16,LOOKUP(Q108,$BG$6:$BG$10,$BE$6:$BE$10),IF(テーブル2[[#This Row],[年齢]]=15,LOOKUP(Q108,$BF$6:$BF$10,$BE$6:$BE$10),IF(テーブル2[[#This Row],[年齢]]=14,LOOKUP(Q108,$BD$6:$BD$10,$BE$6:$BE$10),IF(テーブル2[[#This Row],[年齢]]=13,LOOKUP(Q108,$BC$6:$BC$10,$BE$6:$BE$10),LOOKUP(Q108,$BB$6:$BB$10,$BE$6:$BE$10)))))))</f>
        <v/>
      </c>
      <c r="S108" s="145">
        <f>IF(H108="",0,(IF(テーブル2[[#This Row],[性別]]="男",LOOKUP(テーブル2[[#This Row],[握力]],$AI$6:$AJ$15),LOOKUP(テーブル2[[#This Row],[握力]],$AI$20:$AJ$29))))</f>
        <v>0</v>
      </c>
      <c r="T108" s="145">
        <f>IF(テーブル2[[#This Row],[上体]]="",0,(IF(テーブル2[[#This Row],[性別]]="男",LOOKUP(テーブル2[[#This Row],[上体]],$AK$6:$AL$15),LOOKUP(テーブル2[[#This Row],[上体]],$AK$20:$AL$29))))</f>
        <v>0</v>
      </c>
      <c r="U108" s="145">
        <f>IF(テーブル2[[#This Row],[長座]]="",0,(IF(テーブル2[[#This Row],[性別]]="男",LOOKUP(テーブル2[[#This Row],[長座]],$AM$6:$AN$15),LOOKUP(テーブル2[[#This Row],[長座]],$AM$20:$AN$29))))</f>
        <v>0</v>
      </c>
      <c r="V108" s="145">
        <f>IF(テーブル2[[#This Row],[反復]]="",0,(IF(テーブル2[[#This Row],[性別]]="男",LOOKUP(テーブル2[[#This Row],[反復]],$AO$6:$AP$15),LOOKUP(テーブル2[[#This Row],[反復]],$AO$20:$AP$29))))</f>
        <v>0</v>
      </c>
      <c r="W108" s="145">
        <f>IF(テーブル2[[#This Row],[持久走]]="",0,(IF(テーブル2[[#This Row],[性別]]="男",LOOKUP(テーブル2[[#This Row],[持久走]],$AQ$6:$AR$15),LOOKUP(テーブル2[[#This Row],[持久走]],$AQ$20:$AR$29))))</f>
        <v>0</v>
      </c>
      <c r="X108" s="145">
        <f>IF(テーブル2[[#This Row],[ｼｬﾄﾙﾗﾝ]]="",0,(IF(テーブル2[[#This Row],[性別]]="男",LOOKUP(テーブル2[[#This Row],[ｼｬﾄﾙﾗﾝ]],$AS$6:$AT$15),LOOKUP(テーブル2[[#This Row],[ｼｬﾄﾙﾗﾝ]],$AS$20:$AT$29))))</f>
        <v>0</v>
      </c>
      <c r="Y108" s="145">
        <f>IF(テーブル2[[#This Row],[50m走]]="",0,(IF(テーブル2[[#This Row],[性別]]="男",LOOKUP(テーブル2[[#This Row],[50m走]],$AU$6:$AV$15),LOOKUP(テーブル2[[#This Row],[50m走]],$AU$20:$AV$29))))</f>
        <v>0</v>
      </c>
      <c r="Z108" s="145">
        <f>IF(テーブル2[[#This Row],[立幅とび]]="",0,(IF(テーブル2[[#This Row],[性別]]="男",LOOKUP(テーブル2[[#This Row],[立幅とび]],$AW$6:$AX$15),LOOKUP(テーブル2[[#This Row],[立幅とび]],$AW$20:$AX$29))))</f>
        <v>0</v>
      </c>
      <c r="AA108" s="145">
        <f>IF(テーブル2[[#This Row],[ボール投げ]]="",0,(IF(テーブル2[[#This Row],[性別]]="男",LOOKUP(テーブル2[[#This Row],[ボール投げ]],$AY$6:$AZ$15),LOOKUP(テーブル2[[#This Row],[ボール投げ]],$AY$20:$AZ$29))))</f>
        <v>0</v>
      </c>
      <c r="AB108" s="146" t="str">
        <f>IF(テーブル2[[#This Row],[学年]]=1,12,IF(テーブル2[[#This Row],[学年]]=2,13,IF(テーブル2[[#This Row],[学年]]=3,14,"")))</f>
        <v/>
      </c>
      <c r="AC108" s="192" t="str">
        <f>IF(テーブル2[[#This Row],[肥満度数値]]=0,"",LOOKUP(AE108,$AW$39:$AW$44,$AX$39:$AX$44))</f>
        <v/>
      </c>
      <c r="AD10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8" s="77">
        <f>IF(テーブル2[[#This Row],[体重]]="",0,(テーブル2[[#This Row],[体重]]-テーブル2[[#This Row],[標準体重]])/テーブル2[[#This Row],[標準体重]]*100)</f>
        <v>0</v>
      </c>
      <c r="AF108" s="26">
        <f>COUNTA(テーブル2[[#This Row],[握力]:[ボール投げ]])</f>
        <v>0</v>
      </c>
      <c r="AG108" s="1" t="str">
        <f>IF(テーブル2[[#This Row],[判定]]=$BE$10,"○","")</f>
        <v/>
      </c>
      <c r="AH108" s="1" t="str">
        <f>IF(AG108="","",COUNTIF($AG$6:AG108,"○"))</f>
        <v/>
      </c>
    </row>
    <row r="109" spans="1:34" ht="14.25" customHeight="1" x14ac:dyDescent="0.15">
      <c r="A109" s="44">
        <v>104</v>
      </c>
      <c r="B109" s="148"/>
      <c r="C109" s="151"/>
      <c r="D109" s="148"/>
      <c r="E109" s="152"/>
      <c r="F109" s="148"/>
      <c r="G109" s="148"/>
      <c r="H109" s="150"/>
      <c r="I109" s="150"/>
      <c r="J109" s="151"/>
      <c r="K109" s="148"/>
      <c r="L109" s="196"/>
      <c r="M109" s="151"/>
      <c r="N109" s="197"/>
      <c r="O109" s="151"/>
      <c r="P109" s="153"/>
      <c r="Q10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9" s="144" t="str">
        <f>IF(テーブル2[[#This Row],[得点]]=0,"",IF(テーブル2[[#This Row],[年齢]]=17,LOOKUP(Q109,$BH$6:$BH$10,$BE$6:$BE$10),IF(テーブル2[[#This Row],[年齢]]=16,LOOKUP(Q109,$BG$6:$BG$10,$BE$6:$BE$10),IF(テーブル2[[#This Row],[年齢]]=15,LOOKUP(Q109,$BF$6:$BF$10,$BE$6:$BE$10),IF(テーブル2[[#This Row],[年齢]]=14,LOOKUP(Q109,$BD$6:$BD$10,$BE$6:$BE$10),IF(テーブル2[[#This Row],[年齢]]=13,LOOKUP(Q109,$BC$6:$BC$10,$BE$6:$BE$10),LOOKUP(Q109,$BB$6:$BB$10,$BE$6:$BE$10)))))))</f>
        <v/>
      </c>
      <c r="S109" s="145">
        <f>IF(H109="",0,(IF(テーブル2[[#This Row],[性別]]="男",LOOKUP(テーブル2[[#This Row],[握力]],$AI$6:$AJ$15),LOOKUP(テーブル2[[#This Row],[握力]],$AI$20:$AJ$29))))</f>
        <v>0</v>
      </c>
      <c r="T109" s="145">
        <f>IF(テーブル2[[#This Row],[上体]]="",0,(IF(テーブル2[[#This Row],[性別]]="男",LOOKUP(テーブル2[[#This Row],[上体]],$AK$6:$AL$15),LOOKUP(テーブル2[[#This Row],[上体]],$AK$20:$AL$29))))</f>
        <v>0</v>
      </c>
      <c r="U109" s="145">
        <f>IF(テーブル2[[#This Row],[長座]]="",0,(IF(テーブル2[[#This Row],[性別]]="男",LOOKUP(テーブル2[[#This Row],[長座]],$AM$6:$AN$15),LOOKUP(テーブル2[[#This Row],[長座]],$AM$20:$AN$29))))</f>
        <v>0</v>
      </c>
      <c r="V109" s="145">
        <f>IF(テーブル2[[#This Row],[反復]]="",0,(IF(テーブル2[[#This Row],[性別]]="男",LOOKUP(テーブル2[[#This Row],[反復]],$AO$6:$AP$15),LOOKUP(テーブル2[[#This Row],[反復]],$AO$20:$AP$29))))</f>
        <v>0</v>
      </c>
      <c r="W109" s="145">
        <f>IF(テーブル2[[#This Row],[持久走]]="",0,(IF(テーブル2[[#This Row],[性別]]="男",LOOKUP(テーブル2[[#This Row],[持久走]],$AQ$6:$AR$15),LOOKUP(テーブル2[[#This Row],[持久走]],$AQ$20:$AR$29))))</f>
        <v>0</v>
      </c>
      <c r="X109" s="145">
        <f>IF(テーブル2[[#This Row],[ｼｬﾄﾙﾗﾝ]]="",0,(IF(テーブル2[[#This Row],[性別]]="男",LOOKUP(テーブル2[[#This Row],[ｼｬﾄﾙﾗﾝ]],$AS$6:$AT$15),LOOKUP(テーブル2[[#This Row],[ｼｬﾄﾙﾗﾝ]],$AS$20:$AT$29))))</f>
        <v>0</v>
      </c>
      <c r="Y109" s="145">
        <f>IF(テーブル2[[#This Row],[50m走]]="",0,(IF(テーブル2[[#This Row],[性別]]="男",LOOKUP(テーブル2[[#This Row],[50m走]],$AU$6:$AV$15),LOOKUP(テーブル2[[#This Row],[50m走]],$AU$20:$AV$29))))</f>
        <v>0</v>
      </c>
      <c r="Z109" s="145">
        <f>IF(テーブル2[[#This Row],[立幅とび]]="",0,(IF(テーブル2[[#This Row],[性別]]="男",LOOKUP(テーブル2[[#This Row],[立幅とび]],$AW$6:$AX$15),LOOKUP(テーブル2[[#This Row],[立幅とび]],$AW$20:$AX$29))))</f>
        <v>0</v>
      </c>
      <c r="AA109" s="145">
        <f>IF(テーブル2[[#This Row],[ボール投げ]]="",0,(IF(テーブル2[[#This Row],[性別]]="男",LOOKUP(テーブル2[[#This Row],[ボール投げ]],$AY$6:$AZ$15),LOOKUP(テーブル2[[#This Row],[ボール投げ]],$AY$20:$AZ$29))))</f>
        <v>0</v>
      </c>
      <c r="AB109" s="146" t="str">
        <f>IF(テーブル2[[#This Row],[学年]]=1,12,IF(テーブル2[[#This Row],[学年]]=2,13,IF(テーブル2[[#This Row],[学年]]=3,14,"")))</f>
        <v/>
      </c>
      <c r="AC109" s="192" t="str">
        <f>IF(テーブル2[[#This Row],[肥満度数値]]=0,"",LOOKUP(AE109,$AW$39:$AW$44,$AX$39:$AX$44))</f>
        <v/>
      </c>
      <c r="AD10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09" s="77">
        <f>IF(テーブル2[[#This Row],[体重]]="",0,(テーブル2[[#This Row],[体重]]-テーブル2[[#This Row],[標準体重]])/テーブル2[[#This Row],[標準体重]]*100)</f>
        <v>0</v>
      </c>
      <c r="AF109" s="26">
        <f>COUNTA(テーブル2[[#This Row],[握力]:[ボール投げ]])</f>
        <v>0</v>
      </c>
      <c r="AG109" s="1" t="str">
        <f>IF(テーブル2[[#This Row],[判定]]=$BE$10,"○","")</f>
        <v/>
      </c>
      <c r="AH109" s="1" t="str">
        <f>IF(AG109="","",COUNTIF($AG$6:AG109,"○"))</f>
        <v/>
      </c>
    </row>
    <row r="110" spans="1:34" ht="14.25" customHeight="1" x14ac:dyDescent="0.15">
      <c r="A110" s="44">
        <v>105</v>
      </c>
      <c r="B110" s="148"/>
      <c r="C110" s="151"/>
      <c r="D110" s="148"/>
      <c r="E110" s="152"/>
      <c r="F110" s="148"/>
      <c r="G110" s="148"/>
      <c r="H110" s="150"/>
      <c r="I110" s="150"/>
      <c r="J110" s="151"/>
      <c r="K110" s="148"/>
      <c r="L110" s="196"/>
      <c r="M110" s="151"/>
      <c r="N110" s="197"/>
      <c r="O110" s="151"/>
      <c r="P110" s="153"/>
      <c r="Q11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0" s="144" t="str">
        <f>IF(テーブル2[[#This Row],[得点]]=0,"",IF(テーブル2[[#This Row],[年齢]]=17,LOOKUP(Q110,$BH$6:$BH$10,$BE$6:$BE$10),IF(テーブル2[[#This Row],[年齢]]=16,LOOKUP(Q110,$BG$6:$BG$10,$BE$6:$BE$10),IF(テーブル2[[#This Row],[年齢]]=15,LOOKUP(Q110,$BF$6:$BF$10,$BE$6:$BE$10),IF(テーブル2[[#This Row],[年齢]]=14,LOOKUP(Q110,$BD$6:$BD$10,$BE$6:$BE$10),IF(テーブル2[[#This Row],[年齢]]=13,LOOKUP(Q110,$BC$6:$BC$10,$BE$6:$BE$10),LOOKUP(Q110,$BB$6:$BB$10,$BE$6:$BE$10)))))))</f>
        <v/>
      </c>
      <c r="S110" s="145">
        <f>IF(H110="",0,(IF(テーブル2[[#This Row],[性別]]="男",LOOKUP(テーブル2[[#This Row],[握力]],$AI$6:$AJ$15),LOOKUP(テーブル2[[#This Row],[握力]],$AI$20:$AJ$29))))</f>
        <v>0</v>
      </c>
      <c r="T110" s="145">
        <f>IF(テーブル2[[#This Row],[上体]]="",0,(IF(テーブル2[[#This Row],[性別]]="男",LOOKUP(テーブル2[[#This Row],[上体]],$AK$6:$AL$15),LOOKUP(テーブル2[[#This Row],[上体]],$AK$20:$AL$29))))</f>
        <v>0</v>
      </c>
      <c r="U110" s="145">
        <f>IF(テーブル2[[#This Row],[長座]]="",0,(IF(テーブル2[[#This Row],[性別]]="男",LOOKUP(テーブル2[[#This Row],[長座]],$AM$6:$AN$15),LOOKUP(テーブル2[[#This Row],[長座]],$AM$20:$AN$29))))</f>
        <v>0</v>
      </c>
      <c r="V110" s="145">
        <f>IF(テーブル2[[#This Row],[反復]]="",0,(IF(テーブル2[[#This Row],[性別]]="男",LOOKUP(テーブル2[[#This Row],[反復]],$AO$6:$AP$15),LOOKUP(テーブル2[[#This Row],[反復]],$AO$20:$AP$29))))</f>
        <v>0</v>
      </c>
      <c r="W110" s="145">
        <f>IF(テーブル2[[#This Row],[持久走]]="",0,(IF(テーブル2[[#This Row],[性別]]="男",LOOKUP(テーブル2[[#This Row],[持久走]],$AQ$6:$AR$15),LOOKUP(テーブル2[[#This Row],[持久走]],$AQ$20:$AR$29))))</f>
        <v>0</v>
      </c>
      <c r="X110" s="145">
        <f>IF(テーブル2[[#This Row],[ｼｬﾄﾙﾗﾝ]]="",0,(IF(テーブル2[[#This Row],[性別]]="男",LOOKUP(テーブル2[[#This Row],[ｼｬﾄﾙﾗﾝ]],$AS$6:$AT$15),LOOKUP(テーブル2[[#This Row],[ｼｬﾄﾙﾗﾝ]],$AS$20:$AT$29))))</f>
        <v>0</v>
      </c>
      <c r="Y110" s="145">
        <f>IF(テーブル2[[#This Row],[50m走]]="",0,(IF(テーブル2[[#This Row],[性別]]="男",LOOKUP(テーブル2[[#This Row],[50m走]],$AU$6:$AV$15),LOOKUP(テーブル2[[#This Row],[50m走]],$AU$20:$AV$29))))</f>
        <v>0</v>
      </c>
      <c r="Z110" s="145">
        <f>IF(テーブル2[[#This Row],[立幅とび]]="",0,(IF(テーブル2[[#This Row],[性別]]="男",LOOKUP(テーブル2[[#This Row],[立幅とび]],$AW$6:$AX$15),LOOKUP(テーブル2[[#This Row],[立幅とび]],$AW$20:$AX$29))))</f>
        <v>0</v>
      </c>
      <c r="AA110" s="145">
        <f>IF(テーブル2[[#This Row],[ボール投げ]]="",0,(IF(テーブル2[[#This Row],[性別]]="男",LOOKUP(テーブル2[[#This Row],[ボール投げ]],$AY$6:$AZ$15),LOOKUP(テーブル2[[#This Row],[ボール投げ]],$AY$20:$AZ$29))))</f>
        <v>0</v>
      </c>
      <c r="AB110" s="146" t="str">
        <f>IF(テーブル2[[#This Row],[学年]]=1,12,IF(テーブル2[[#This Row],[学年]]=2,13,IF(テーブル2[[#This Row],[学年]]=3,14,"")))</f>
        <v/>
      </c>
      <c r="AC110" s="192" t="str">
        <f>IF(テーブル2[[#This Row],[肥満度数値]]=0,"",LOOKUP(AE110,$AW$39:$AW$44,$AX$39:$AX$44))</f>
        <v/>
      </c>
      <c r="AD11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0" s="77">
        <f>IF(テーブル2[[#This Row],[体重]]="",0,(テーブル2[[#This Row],[体重]]-テーブル2[[#This Row],[標準体重]])/テーブル2[[#This Row],[標準体重]]*100)</f>
        <v>0</v>
      </c>
      <c r="AF110" s="26">
        <f>COUNTA(テーブル2[[#This Row],[握力]:[ボール投げ]])</f>
        <v>0</v>
      </c>
      <c r="AG110" s="1" t="str">
        <f>IF(テーブル2[[#This Row],[判定]]=$BE$10,"○","")</f>
        <v/>
      </c>
      <c r="AH110" s="1" t="str">
        <f>IF(AG110="","",COUNTIF($AG$6:AG110,"○"))</f>
        <v/>
      </c>
    </row>
    <row r="111" spans="1:34" ht="14.25" customHeight="1" x14ac:dyDescent="0.15">
      <c r="A111" s="44">
        <v>106</v>
      </c>
      <c r="B111" s="148"/>
      <c r="C111" s="151"/>
      <c r="D111" s="148"/>
      <c r="E111" s="152"/>
      <c r="F111" s="148"/>
      <c r="G111" s="148"/>
      <c r="H111" s="150"/>
      <c r="I111" s="150"/>
      <c r="J111" s="151"/>
      <c r="K111" s="148"/>
      <c r="L111" s="196"/>
      <c r="M111" s="151"/>
      <c r="N111" s="197"/>
      <c r="O111" s="151"/>
      <c r="P111" s="153"/>
      <c r="Q11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1" s="144" t="str">
        <f>IF(テーブル2[[#This Row],[得点]]=0,"",IF(テーブル2[[#This Row],[年齢]]=17,LOOKUP(Q111,$BH$6:$BH$10,$BE$6:$BE$10),IF(テーブル2[[#This Row],[年齢]]=16,LOOKUP(Q111,$BG$6:$BG$10,$BE$6:$BE$10),IF(テーブル2[[#This Row],[年齢]]=15,LOOKUP(Q111,$BF$6:$BF$10,$BE$6:$BE$10),IF(テーブル2[[#This Row],[年齢]]=14,LOOKUP(Q111,$BD$6:$BD$10,$BE$6:$BE$10),IF(テーブル2[[#This Row],[年齢]]=13,LOOKUP(Q111,$BC$6:$BC$10,$BE$6:$BE$10),LOOKUP(Q111,$BB$6:$BB$10,$BE$6:$BE$10)))))))</f>
        <v/>
      </c>
      <c r="S111" s="145">
        <f>IF(H111="",0,(IF(テーブル2[[#This Row],[性別]]="男",LOOKUP(テーブル2[[#This Row],[握力]],$AI$6:$AJ$15),LOOKUP(テーブル2[[#This Row],[握力]],$AI$20:$AJ$29))))</f>
        <v>0</v>
      </c>
      <c r="T111" s="145">
        <f>IF(テーブル2[[#This Row],[上体]]="",0,(IF(テーブル2[[#This Row],[性別]]="男",LOOKUP(テーブル2[[#This Row],[上体]],$AK$6:$AL$15),LOOKUP(テーブル2[[#This Row],[上体]],$AK$20:$AL$29))))</f>
        <v>0</v>
      </c>
      <c r="U111" s="145">
        <f>IF(テーブル2[[#This Row],[長座]]="",0,(IF(テーブル2[[#This Row],[性別]]="男",LOOKUP(テーブル2[[#This Row],[長座]],$AM$6:$AN$15),LOOKUP(テーブル2[[#This Row],[長座]],$AM$20:$AN$29))))</f>
        <v>0</v>
      </c>
      <c r="V111" s="145">
        <f>IF(テーブル2[[#This Row],[反復]]="",0,(IF(テーブル2[[#This Row],[性別]]="男",LOOKUP(テーブル2[[#This Row],[反復]],$AO$6:$AP$15),LOOKUP(テーブル2[[#This Row],[反復]],$AO$20:$AP$29))))</f>
        <v>0</v>
      </c>
      <c r="W111" s="145">
        <f>IF(テーブル2[[#This Row],[持久走]]="",0,(IF(テーブル2[[#This Row],[性別]]="男",LOOKUP(テーブル2[[#This Row],[持久走]],$AQ$6:$AR$15),LOOKUP(テーブル2[[#This Row],[持久走]],$AQ$20:$AR$29))))</f>
        <v>0</v>
      </c>
      <c r="X111" s="145">
        <f>IF(テーブル2[[#This Row],[ｼｬﾄﾙﾗﾝ]]="",0,(IF(テーブル2[[#This Row],[性別]]="男",LOOKUP(テーブル2[[#This Row],[ｼｬﾄﾙﾗﾝ]],$AS$6:$AT$15),LOOKUP(テーブル2[[#This Row],[ｼｬﾄﾙﾗﾝ]],$AS$20:$AT$29))))</f>
        <v>0</v>
      </c>
      <c r="Y111" s="145">
        <f>IF(テーブル2[[#This Row],[50m走]]="",0,(IF(テーブル2[[#This Row],[性別]]="男",LOOKUP(テーブル2[[#This Row],[50m走]],$AU$6:$AV$15),LOOKUP(テーブル2[[#This Row],[50m走]],$AU$20:$AV$29))))</f>
        <v>0</v>
      </c>
      <c r="Z111" s="145">
        <f>IF(テーブル2[[#This Row],[立幅とび]]="",0,(IF(テーブル2[[#This Row],[性別]]="男",LOOKUP(テーブル2[[#This Row],[立幅とび]],$AW$6:$AX$15),LOOKUP(テーブル2[[#This Row],[立幅とび]],$AW$20:$AX$29))))</f>
        <v>0</v>
      </c>
      <c r="AA111" s="145">
        <f>IF(テーブル2[[#This Row],[ボール投げ]]="",0,(IF(テーブル2[[#This Row],[性別]]="男",LOOKUP(テーブル2[[#This Row],[ボール投げ]],$AY$6:$AZ$15),LOOKUP(テーブル2[[#This Row],[ボール投げ]],$AY$20:$AZ$29))))</f>
        <v>0</v>
      </c>
      <c r="AB111" s="146" t="str">
        <f>IF(テーブル2[[#This Row],[学年]]=1,12,IF(テーブル2[[#This Row],[学年]]=2,13,IF(テーブル2[[#This Row],[学年]]=3,14,"")))</f>
        <v/>
      </c>
      <c r="AC111" s="192" t="str">
        <f>IF(テーブル2[[#This Row],[肥満度数値]]=0,"",LOOKUP(AE111,$AW$39:$AW$44,$AX$39:$AX$44))</f>
        <v/>
      </c>
      <c r="AD11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1" s="77">
        <f>IF(テーブル2[[#This Row],[体重]]="",0,(テーブル2[[#This Row],[体重]]-テーブル2[[#This Row],[標準体重]])/テーブル2[[#This Row],[標準体重]]*100)</f>
        <v>0</v>
      </c>
      <c r="AF111" s="26">
        <f>COUNTA(テーブル2[[#This Row],[握力]:[ボール投げ]])</f>
        <v>0</v>
      </c>
      <c r="AG111" s="1" t="str">
        <f>IF(テーブル2[[#This Row],[判定]]=$BE$10,"○","")</f>
        <v/>
      </c>
      <c r="AH111" s="1" t="str">
        <f>IF(AG111="","",COUNTIF($AG$6:AG111,"○"))</f>
        <v/>
      </c>
    </row>
    <row r="112" spans="1:34" ht="14.25" customHeight="1" x14ac:dyDescent="0.15">
      <c r="A112" s="44">
        <v>107</v>
      </c>
      <c r="B112" s="148"/>
      <c r="C112" s="151"/>
      <c r="D112" s="148"/>
      <c r="E112" s="152"/>
      <c r="F112" s="148"/>
      <c r="G112" s="148"/>
      <c r="H112" s="150"/>
      <c r="I112" s="150"/>
      <c r="J112" s="151"/>
      <c r="K112" s="148"/>
      <c r="L112" s="196"/>
      <c r="M112" s="151"/>
      <c r="N112" s="197"/>
      <c r="O112" s="151"/>
      <c r="P112" s="153"/>
      <c r="Q11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2" s="144" t="str">
        <f>IF(テーブル2[[#This Row],[得点]]=0,"",IF(テーブル2[[#This Row],[年齢]]=17,LOOKUP(Q112,$BH$6:$BH$10,$BE$6:$BE$10),IF(テーブル2[[#This Row],[年齢]]=16,LOOKUP(Q112,$BG$6:$BG$10,$BE$6:$BE$10),IF(テーブル2[[#This Row],[年齢]]=15,LOOKUP(Q112,$BF$6:$BF$10,$BE$6:$BE$10),IF(テーブル2[[#This Row],[年齢]]=14,LOOKUP(Q112,$BD$6:$BD$10,$BE$6:$BE$10),IF(テーブル2[[#This Row],[年齢]]=13,LOOKUP(Q112,$BC$6:$BC$10,$BE$6:$BE$10),LOOKUP(Q112,$BB$6:$BB$10,$BE$6:$BE$10)))))))</f>
        <v/>
      </c>
      <c r="S112" s="145">
        <f>IF(H112="",0,(IF(テーブル2[[#This Row],[性別]]="男",LOOKUP(テーブル2[[#This Row],[握力]],$AI$6:$AJ$15),LOOKUP(テーブル2[[#This Row],[握力]],$AI$20:$AJ$29))))</f>
        <v>0</v>
      </c>
      <c r="T112" s="145">
        <f>IF(テーブル2[[#This Row],[上体]]="",0,(IF(テーブル2[[#This Row],[性別]]="男",LOOKUP(テーブル2[[#This Row],[上体]],$AK$6:$AL$15),LOOKUP(テーブル2[[#This Row],[上体]],$AK$20:$AL$29))))</f>
        <v>0</v>
      </c>
      <c r="U112" s="145">
        <f>IF(テーブル2[[#This Row],[長座]]="",0,(IF(テーブル2[[#This Row],[性別]]="男",LOOKUP(テーブル2[[#This Row],[長座]],$AM$6:$AN$15),LOOKUP(テーブル2[[#This Row],[長座]],$AM$20:$AN$29))))</f>
        <v>0</v>
      </c>
      <c r="V112" s="145">
        <f>IF(テーブル2[[#This Row],[反復]]="",0,(IF(テーブル2[[#This Row],[性別]]="男",LOOKUP(テーブル2[[#This Row],[反復]],$AO$6:$AP$15),LOOKUP(テーブル2[[#This Row],[反復]],$AO$20:$AP$29))))</f>
        <v>0</v>
      </c>
      <c r="W112" s="145">
        <f>IF(テーブル2[[#This Row],[持久走]]="",0,(IF(テーブル2[[#This Row],[性別]]="男",LOOKUP(テーブル2[[#This Row],[持久走]],$AQ$6:$AR$15),LOOKUP(テーブル2[[#This Row],[持久走]],$AQ$20:$AR$29))))</f>
        <v>0</v>
      </c>
      <c r="X112" s="145">
        <f>IF(テーブル2[[#This Row],[ｼｬﾄﾙﾗﾝ]]="",0,(IF(テーブル2[[#This Row],[性別]]="男",LOOKUP(テーブル2[[#This Row],[ｼｬﾄﾙﾗﾝ]],$AS$6:$AT$15),LOOKUP(テーブル2[[#This Row],[ｼｬﾄﾙﾗﾝ]],$AS$20:$AT$29))))</f>
        <v>0</v>
      </c>
      <c r="Y112" s="145">
        <f>IF(テーブル2[[#This Row],[50m走]]="",0,(IF(テーブル2[[#This Row],[性別]]="男",LOOKUP(テーブル2[[#This Row],[50m走]],$AU$6:$AV$15),LOOKUP(テーブル2[[#This Row],[50m走]],$AU$20:$AV$29))))</f>
        <v>0</v>
      </c>
      <c r="Z112" s="145">
        <f>IF(テーブル2[[#This Row],[立幅とび]]="",0,(IF(テーブル2[[#This Row],[性別]]="男",LOOKUP(テーブル2[[#This Row],[立幅とび]],$AW$6:$AX$15),LOOKUP(テーブル2[[#This Row],[立幅とび]],$AW$20:$AX$29))))</f>
        <v>0</v>
      </c>
      <c r="AA112" s="145">
        <f>IF(テーブル2[[#This Row],[ボール投げ]]="",0,(IF(テーブル2[[#This Row],[性別]]="男",LOOKUP(テーブル2[[#This Row],[ボール投げ]],$AY$6:$AZ$15),LOOKUP(テーブル2[[#This Row],[ボール投げ]],$AY$20:$AZ$29))))</f>
        <v>0</v>
      </c>
      <c r="AB112" s="146" t="str">
        <f>IF(テーブル2[[#This Row],[学年]]=1,12,IF(テーブル2[[#This Row],[学年]]=2,13,IF(テーブル2[[#This Row],[学年]]=3,14,"")))</f>
        <v/>
      </c>
      <c r="AC112" s="192" t="str">
        <f>IF(テーブル2[[#This Row],[肥満度数値]]=0,"",LOOKUP(AE112,$AW$39:$AW$44,$AX$39:$AX$44))</f>
        <v/>
      </c>
      <c r="AD11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2" s="77">
        <f>IF(テーブル2[[#This Row],[体重]]="",0,(テーブル2[[#This Row],[体重]]-テーブル2[[#This Row],[標準体重]])/テーブル2[[#This Row],[標準体重]]*100)</f>
        <v>0</v>
      </c>
      <c r="AF112" s="26">
        <f>COUNTA(テーブル2[[#This Row],[握力]:[ボール投げ]])</f>
        <v>0</v>
      </c>
      <c r="AG112" s="1" t="str">
        <f>IF(テーブル2[[#This Row],[判定]]=$BE$10,"○","")</f>
        <v/>
      </c>
      <c r="AH112" s="1" t="str">
        <f>IF(AG112="","",COUNTIF($AG$6:AG112,"○"))</f>
        <v/>
      </c>
    </row>
    <row r="113" spans="1:34" ht="14.25" customHeight="1" x14ac:dyDescent="0.15">
      <c r="A113" s="44">
        <v>108</v>
      </c>
      <c r="B113" s="148"/>
      <c r="C113" s="151"/>
      <c r="D113" s="148"/>
      <c r="E113" s="152"/>
      <c r="F113" s="148"/>
      <c r="G113" s="148"/>
      <c r="H113" s="150"/>
      <c r="I113" s="150"/>
      <c r="J113" s="151"/>
      <c r="K113" s="148"/>
      <c r="L113" s="196"/>
      <c r="M113" s="151"/>
      <c r="N113" s="197"/>
      <c r="O113" s="151"/>
      <c r="P113" s="153"/>
      <c r="Q11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3" s="144" t="str">
        <f>IF(テーブル2[[#This Row],[得点]]=0,"",IF(テーブル2[[#This Row],[年齢]]=17,LOOKUP(Q113,$BH$6:$BH$10,$BE$6:$BE$10),IF(テーブル2[[#This Row],[年齢]]=16,LOOKUP(Q113,$BG$6:$BG$10,$BE$6:$BE$10),IF(テーブル2[[#This Row],[年齢]]=15,LOOKUP(Q113,$BF$6:$BF$10,$BE$6:$BE$10),IF(テーブル2[[#This Row],[年齢]]=14,LOOKUP(Q113,$BD$6:$BD$10,$BE$6:$BE$10),IF(テーブル2[[#This Row],[年齢]]=13,LOOKUP(Q113,$BC$6:$BC$10,$BE$6:$BE$10),LOOKUP(Q113,$BB$6:$BB$10,$BE$6:$BE$10)))))))</f>
        <v/>
      </c>
      <c r="S113" s="145">
        <f>IF(H113="",0,(IF(テーブル2[[#This Row],[性別]]="男",LOOKUP(テーブル2[[#This Row],[握力]],$AI$6:$AJ$15),LOOKUP(テーブル2[[#This Row],[握力]],$AI$20:$AJ$29))))</f>
        <v>0</v>
      </c>
      <c r="T113" s="145">
        <f>IF(テーブル2[[#This Row],[上体]]="",0,(IF(テーブル2[[#This Row],[性別]]="男",LOOKUP(テーブル2[[#This Row],[上体]],$AK$6:$AL$15),LOOKUP(テーブル2[[#This Row],[上体]],$AK$20:$AL$29))))</f>
        <v>0</v>
      </c>
      <c r="U113" s="145">
        <f>IF(テーブル2[[#This Row],[長座]]="",0,(IF(テーブル2[[#This Row],[性別]]="男",LOOKUP(テーブル2[[#This Row],[長座]],$AM$6:$AN$15),LOOKUP(テーブル2[[#This Row],[長座]],$AM$20:$AN$29))))</f>
        <v>0</v>
      </c>
      <c r="V113" s="145">
        <f>IF(テーブル2[[#This Row],[反復]]="",0,(IF(テーブル2[[#This Row],[性別]]="男",LOOKUP(テーブル2[[#This Row],[反復]],$AO$6:$AP$15),LOOKUP(テーブル2[[#This Row],[反復]],$AO$20:$AP$29))))</f>
        <v>0</v>
      </c>
      <c r="W113" s="145">
        <f>IF(テーブル2[[#This Row],[持久走]]="",0,(IF(テーブル2[[#This Row],[性別]]="男",LOOKUP(テーブル2[[#This Row],[持久走]],$AQ$6:$AR$15),LOOKUP(テーブル2[[#This Row],[持久走]],$AQ$20:$AR$29))))</f>
        <v>0</v>
      </c>
      <c r="X113" s="145">
        <f>IF(テーブル2[[#This Row],[ｼｬﾄﾙﾗﾝ]]="",0,(IF(テーブル2[[#This Row],[性別]]="男",LOOKUP(テーブル2[[#This Row],[ｼｬﾄﾙﾗﾝ]],$AS$6:$AT$15),LOOKUP(テーブル2[[#This Row],[ｼｬﾄﾙﾗﾝ]],$AS$20:$AT$29))))</f>
        <v>0</v>
      </c>
      <c r="Y113" s="145">
        <f>IF(テーブル2[[#This Row],[50m走]]="",0,(IF(テーブル2[[#This Row],[性別]]="男",LOOKUP(テーブル2[[#This Row],[50m走]],$AU$6:$AV$15),LOOKUP(テーブル2[[#This Row],[50m走]],$AU$20:$AV$29))))</f>
        <v>0</v>
      </c>
      <c r="Z113" s="145">
        <f>IF(テーブル2[[#This Row],[立幅とび]]="",0,(IF(テーブル2[[#This Row],[性別]]="男",LOOKUP(テーブル2[[#This Row],[立幅とび]],$AW$6:$AX$15),LOOKUP(テーブル2[[#This Row],[立幅とび]],$AW$20:$AX$29))))</f>
        <v>0</v>
      </c>
      <c r="AA113" s="145">
        <f>IF(テーブル2[[#This Row],[ボール投げ]]="",0,(IF(テーブル2[[#This Row],[性別]]="男",LOOKUP(テーブル2[[#This Row],[ボール投げ]],$AY$6:$AZ$15),LOOKUP(テーブル2[[#This Row],[ボール投げ]],$AY$20:$AZ$29))))</f>
        <v>0</v>
      </c>
      <c r="AB113" s="146" t="str">
        <f>IF(テーブル2[[#This Row],[学年]]=1,12,IF(テーブル2[[#This Row],[学年]]=2,13,IF(テーブル2[[#This Row],[学年]]=3,14,"")))</f>
        <v/>
      </c>
      <c r="AC113" s="192" t="str">
        <f>IF(テーブル2[[#This Row],[肥満度数値]]=0,"",LOOKUP(AE113,$AW$39:$AW$44,$AX$39:$AX$44))</f>
        <v/>
      </c>
      <c r="AD11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3" s="77">
        <f>IF(テーブル2[[#This Row],[体重]]="",0,(テーブル2[[#This Row],[体重]]-テーブル2[[#This Row],[標準体重]])/テーブル2[[#This Row],[標準体重]]*100)</f>
        <v>0</v>
      </c>
      <c r="AF113" s="26">
        <f>COUNTA(テーブル2[[#This Row],[握力]:[ボール投げ]])</f>
        <v>0</v>
      </c>
      <c r="AG113" s="1" t="str">
        <f>IF(テーブル2[[#This Row],[判定]]=$BE$10,"○","")</f>
        <v/>
      </c>
      <c r="AH113" s="1" t="str">
        <f>IF(AG113="","",COUNTIF($AG$6:AG113,"○"))</f>
        <v/>
      </c>
    </row>
    <row r="114" spans="1:34" ht="14.25" customHeight="1" x14ac:dyDescent="0.15">
      <c r="A114" s="44">
        <v>109</v>
      </c>
      <c r="B114" s="148"/>
      <c r="C114" s="151"/>
      <c r="D114" s="148"/>
      <c r="E114" s="152"/>
      <c r="F114" s="148"/>
      <c r="G114" s="148"/>
      <c r="H114" s="150"/>
      <c r="I114" s="150"/>
      <c r="J114" s="151"/>
      <c r="K114" s="148"/>
      <c r="L114" s="196"/>
      <c r="M114" s="151"/>
      <c r="N114" s="197"/>
      <c r="O114" s="151"/>
      <c r="P114" s="153"/>
      <c r="Q11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4" s="144" t="str">
        <f>IF(テーブル2[[#This Row],[得点]]=0,"",IF(テーブル2[[#This Row],[年齢]]=17,LOOKUP(Q114,$BH$6:$BH$10,$BE$6:$BE$10),IF(テーブル2[[#This Row],[年齢]]=16,LOOKUP(Q114,$BG$6:$BG$10,$BE$6:$BE$10),IF(テーブル2[[#This Row],[年齢]]=15,LOOKUP(Q114,$BF$6:$BF$10,$BE$6:$BE$10),IF(テーブル2[[#This Row],[年齢]]=14,LOOKUP(Q114,$BD$6:$BD$10,$BE$6:$BE$10),IF(テーブル2[[#This Row],[年齢]]=13,LOOKUP(Q114,$BC$6:$BC$10,$BE$6:$BE$10),LOOKUP(Q114,$BB$6:$BB$10,$BE$6:$BE$10)))))))</f>
        <v/>
      </c>
      <c r="S114" s="145">
        <f>IF(H114="",0,(IF(テーブル2[[#This Row],[性別]]="男",LOOKUP(テーブル2[[#This Row],[握力]],$AI$6:$AJ$15),LOOKUP(テーブル2[[#This Row],[握力]],$AI$20:$AJ$29))))</f>
        <v>0</v>
      </c>
      <c r="T114" s="145">
        <f>IF(テーブル2[[#This Row],[上体]]="",0,(IF(テーブル2[[#This Row],[性別]]="男",LOOKUP(テーブル2[[#This Row],[上体]],$AK$6:$AL$15),LOOKUP(テーブル2[[#This Row],[上体]],$AK$20:$AL$29))))</f>
        <v>0</v>
      </c>
      <c r="U114" s="145">
        <f>IF(テーブル2[[#This Row],[長座]]="",0,(IF(テーブル2[[#This Row],[性別]]="男",LOOKUP(テーブル2[[#This Row],[長座]],$AM$6:$AN$15),LOOKUP(テーブル2[[#This Row],[長座]],$AM$20:$AN$29))))</f>
        <v>0</v>
      </c>
      <c r="V114" s="145">
        <f>IF(テーブル2[[#This Row],[反復]]="",0,(IF(テーブル2[[#This Row],[性別]]="男",LOOKUP(テーブル2[[#This Row],[反復]],$AO$6:$AP$15),LOOKUP(テーブル2[[#This Row],[反復]],$AO$20:$AP$29))))</f>
        <v>0</v>
      </c>
      <c r="W114" s="145">
        <f>IF(テーブル2[[#This Row],[持久走]]="",0,(IF(テーブル2[[#This Row],[性別]]="男",LOOKUP(テーブル2[[#This Row],[持久走]],$AQ$6:$AR$15),LOOKUP(テーブル2[[#This Row],[持久走]],$AQ$20:$AR$29))))</f>
        <v>0</v>
      </c>
      <c r="X114" s="145">
        <f>IF(テーブル2[[#This Row],[ｼｬﾄﾙﾗﾝ]]="",0,(IF(テーブル2[[#This Row],[性別]]="男",LOOKUP(テーブル2[[#This Row],[ｼｬﾄﾙﾗﾝ]],$AS$6:$AT$15),LOOKUP(テーブル2[[#This Row],[ｼｬﾄﾙﾗﾝ]],$AS$20:$AT$29))))</f>
        <v>0</v>
      </c>
      <c r="Y114" s="145">
        <f>IF(テーブル2[[#This Row],[50m走]]="",0,(IF(テーブル2[[#This Row],[性別]]="男",LOOKUP(テーブル2[[#This Row],[50m走]],$AU$6:$AV$15),LOOKUP(テーブル2[[#This Row],[50m走]],$AU$20:$AV$29))))</f>
        <v>0</v>
      </c>
      <c r="Z114" s="145">
        <f>IF(テーブル2[[#This Row],[立幅とび]]="",0,(IF(テーブル2[[#This Row],[性別]]="男",LOOKUP(テーブル2[[#This Row],[立幅とび]],$AW$6:$AX$15),LOOKUP(テーブル2[[#This Row],[立幅とび]],$AW$20:$AX$29))))</f>
        <v>0</v>
      </c>
      <c r="AA114" s="145">
        <f>IF(テーブル2[[#This Row],[ボール投げ]]="",0,(IF(テーブル2[[#This Row],[性別]]="男",LOOKUP(テーブル2[[#This Row],[ボール投げ]],$AY$6:$AZ$15),LOOKUP(テーブル2[[#This Row],[ボール投げ]],$AY$20:$AZ$29))))</f>
        <v>0</v>
      </c>
      <c r="AB114" s="146" t="str">
        <f>IF(テーブル2[[#This Row],[学年]]=1,12,IF(テーブル2[[#This Row],[学年]]=2,13,IF(テーブル2[[#This Row],[学年]]=3,14,"")))</f>
        <v/>
      </c>
      <c r="AC114" s="192" t="str">
        <f>IF(テーブル2[[#This Row],[肥満度数値]]=0,"",LOOKUP(AE114,$AW$39:$AW$44,$AX$39:$AX$44))</f>
        <v/>
      </c>
      <c r="AD11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4" s="77">
        <f>IF(テーブル2[[#This Row],[体重]]="",0,(テーブル2[[#This Row],[体重]]-テーブル2[[#This Row],[標準体重]])/テーブル2[[#This Row],[標準体重]]*100)</f>
        <v>0</v>
      </c>
      <c r="AF114" s="26">
        <f>COUNTA(テーブル2[[#This Row],[握力]:[ボール投げ]])</f>
        <v>0</v>
      </c>
      <c r="AG114" s="1" t="str">
        <f>IF(テーブル2[[#This Row],[判定]]=$BE$10,"○","")</f>
        <v/>
      </c>
      <c r="AH114" s="1" t="str">
        <f>IF(AG114="","",COUNTIF($AG$6:AG114,"○"))</f>
        <v/>
      </c>
    </row>
    <row r="115" spans="1:34" ht="14.25" customHeight="1" x14ac:dyDescent="0.15">
      <c r="A115" s="44">
        <v>110</v>
      </c>
      <c r="B115" s="148"/>
      <c r="C115" s="151"/>
      <c r="D115" s="148"/>
      <c r="E115" s="152"/>
      <c r="F115" s="148"/>
      <c r="G115" s="148"/>
      <c r="H115" s="150"/>
      <c r="I115" s="150"/>
      <c r="J115" s="151"/>
      <c r="K115" s="148"/>
      <c r="L115" s="196"/>
      <c r="M115" s="151"/>
      <c r="N115" s="197"/>
      <c r="O115" s="151"/>
      <c r="P115" s="153"/>
      <c r="Q11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5" s="144" t="str">
        <f>IF(テーブル2[[#This Row],[得点]]=0,"",IF(テーブル2[[#This Row],[年齢]]=17,LOOKUP(Q115,$BH$6:$BH$10,$BE$6:$BE$10),IF(テーブル2[[#This Row],[年齢]]=16,LOOKUP(Q115,$BG$6:$BG$10,$BE$6:$BE$10),IF(テーブル2[[#This Row],[年齢]]=15,LOOKUP(Q115,$BF$6:$BF$10,$BE$6:$BE$10),IF(テーブル2[[#This Row],[年齢]]=14,LOOKUP(Q115,$BD$6:$BD$10,$BE$6:$BE$10),IF(テーブル2[[#This Row],[年齢]]=13,LOOKUP(Q115,$BC$6:$BC$10,$BE$6:$BE$10),LOOKUP(Q115,$BB$6:$BB$10,$BE$6:$BE$10)))))))</f>
        <v/>
      </c>
      <c r="S115" s="145">
        <f>IF(H115="",0,(IF(テーブル2[[#This Row],[性別]]="男",LOOKUP(テーブル2[[#This Row],[握力]],$AI$6:$AJ$15),LOOKUP(テーブル2[[#This Row],[握力]],$AI$20:$AJ$29))))</f>
        <v>0</v>
      </c>
      <c r="T115" s="145">
        <f>IF(テーブル2[[#This Row],[上体]]="",0,(IF(テーブル2[[#This Row],[性別]]="男",LOOKUP(テーブル2[[#This Row],[上体]],$AK$6:$AL$15),LOOKUP(テーブル2[[#This Row],[上体]],$AK$20:$AL$29))))</f>
        <v>0</v>
      </c>
      <c r="U115" s="145">
        <f>IF(テーブル2[[#This Row],[長座]]="",0,(IF(テーブル2[[#This Row],[性別]]="男",LOOKUP(テーブル2[[#This Row],[長座]],$AM$6:$AN$15),LOOKUP(テーブル2[[#This Row],[長座]],$AM$20:$AN$29))))</f>
        <v>0</v>
      </c>
      <c r="V115" s="145">
        <f>IF(テーブル2[[#This Row],[反復]]="",0,(IF(テーブル2[[#This Row],[性別]]="男",LOOKUP(テーブル2[[#This Row],[反復]],$AO$6:$AP$15),LOOKUP(テーブル2[[#This Row],[反復]],$AO$20:$AP$29))))</f>
        <v>0</v>
      </c>
      <c r="W115" s="145">
        <f>IF(テーブル2[[#This Row],[持久走]]="",0,(IF(テーブル2[[#This Row],[性別]]="男",LOOKUP(テーブル2[[#This Row],[持久走]],$AQ$6:$AR$15),LOOKUP(テーブル2[[#This Row],[持久走]],$AQ$20:$AR$29))))</f>
        <v>0</v>
      </c>
      <c r="X115" s="145">
        <f>IF(テーブル2[[#This Row],[ｼｬﾄﾙﾗﾝ]]="",0,(IF(テーブル2[[#This Row],[性別]]="男",LOOKUP(テーブル2[[#This Row],[ｼｬﾄﾙﾗﾝ]],$AS$6:$AT$15),LOOKUP(テーブル2[[#This Row],[ｼｬﾄﾙﾗﾝ]],$AS$20:$AT$29))))</f>
        <v>0</v>
      </c>
      <c r="Y115" s="145">
        <f>IF(テーブル2[[#This Row],[50m走]]="",0,(IF(テーブル2[[#This Row],[性別]]="男",LOOKUP(テーブル2[[#This Row],[50m走]],$AU$6:$AV$15),LOOKUP(テーブル2[[#This Row],[50m走]],$AU$20:$AV$29))))</f>
        <v>0</v>
      </c>
      <c r="Z115" s="145">
        <f>IF(テーブル2[[#This Row],[立幅とび]]="",0,(IF(テーブル2[[#This Row],[性別]]="男",LOOKUP(テーブル2[[#This Row],[立幅とび]],$AW$6:$AX$15),LOOKUP(テーブル2[[#This Row],[立幅とび]],$AW$20:$AX$29))))</f>
        <v>0</v>
      </c>
      <c r="AA115" s="145">
        <f>IF(テーブル2[[#This Row],[ボール投げ]]="",0,(IF(テーブル2[[#This Row],[性別]]="男",LOOKUP(テーブル2[[#This Row],[ボール投げ]],$AY$6:$AZ$15),LOOKUP(テーブル2[[#This Row],[ボール投げ]],$AY$20:$AZ$29))))</f>
        <v>0</v>
      </c>
      <c r="AB115" s="146" t="str">
        <f>IF(テーブル2[[#This Row],[学年]]=1,12,IF(テーブル2[[#This Row],[学年]]=2,13,IF(テーブル2[[#This Row],[学年]]=3,14,"")))</f>
        <v/>
      </c>
      <c r="AC115" s="192" t="str">
        <f>IF(テーブル2[[#This Row],[肥満度数値]]=0,"",LOOKUP(AE115,$AW$39:$AW$44,$AX$39:$AX$44))</f>
        <v/>
      </c>
      <c r="AD11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5" s="77">
        <f>IF(テーブル2[[#This Row],[体重]]="",0,(テーブル2[[#This Row],[体重]]-テーブル2[[#This Row],[標準体重]])/テーブル2[[#This Row],[標準体重]]*100)</f>
        <v>0</v>
      </c>
      <c r="AF115" s="26">
        <f>COUNTA(テーブル2[[#This Row],[握力]:[ボール投げ]])</f>
        <v>0</v>
      </c>
      <c r="AG115" s="1" t="str">
        <f>IF(テーブル2[[#This Row],[判定]]=$BE$10,"○","")</f>
        <v/>
      </c>
      <c r="AH115" s="1" t="str">
        <f>IF(AG115="","",COUNTIF($AG$6:AG115,"○"))</f>
        <v/>
      </c>
    </row>
    <row r="116" spans="1:34" ht="14.25" customHeight="1" x14ac:dyDescent="0.15">
      <c r="A116" s="44">
        <v>111</v>
      </c>
      <c r="B116" s="148"/>
      <c r="C116" s="151"/>
      <c r="D116" s="148"/>
      <c r="E116" s="152"/>
      <c r="F116" s="148"/>
      <c r="G116" s="148"/>
      <c r="H116" s="150"/>
      <c r="I116" s="150"/>
      <c r="J116" s="151"/>
      <c r="K116" s="148"/>
      <c r="L116" s="196"/>
      <c r="M116" s="151"/>
      <c r="N116" s="197"/>
      <c r="O116" s="151"/>
      <c r="P116" s="153"/>
      <c r="Q11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6" s="144" t="str">
        <f>IF(テーブル2[[#This Row],[得点]]=0,"",IF(テーブル2[[#This Row],[年齢]]=17,LOOKUP(Q116,$BH$6:$BH$10,$BE$6:$BE$10),IF(テーブル2[[#This Row],[年齢]]=16,LOOKUP(Q116,$BG$6:$BG$10,$BE$6:$BE$10),IF(テーブル2[[#This Row],[年齢]]=15,LOOKUP(Q116,$BF$6:$BF$10,$BE$6:$BE$10),IF(テーブル2[[#This Row],[年齢]]=14,LOOKUP(Q116,$BD$6:$BD$10,$BE$6:$BE$10),IF(テーブル2[[#This Row],[年齢]]=13,LOOKUP(Q116,$BC$6:$BC$10,$BE$6:$BE$10),LOOKUP(Q116,$BB$6:$BB$10,$BE$6:$BE$10)))))))</f>
        <v/>
      </c>
      <c r="S116" s="145">
        <f>IF(H116="",0,(IF(テーブル2[[#This Row],[性別]]="男",LOOKUP(テーブル2[[#This Row],[握力]],$AI$6:$AJ$15),LOOKUP(テーブル2[[#This Row],[握力]],$AI$20:$AJ$29))))</f>
        <v>0</v>
      </c>
      <c r="T116" s="145">
        <f>IF(テーブル2[[#This Row],[上体]]="",0,(IF(テーブル2[[#This Row],[性別]]="男",LOOKUP(テーブル2[[#This Row],[上体]],$AK$6:$AL$15),LOOKUP(テーブル2[[#This Row],[上体]],$AK$20:$AL$29))))</f>
        <v>0</v>
      </c>
      <c r="U116" s="145">
        <f>IF(テーブル2[[#This Row],[長座]]="",0,(IF(テーブル2[[#This Row],[性別]]="男",LOOKUP(テーブル2[[#This Row],[長座]],$AM$6:$AN$15),LOOKUP(テーブル2[[#This Row],[長座]],$AM$20:$AN$29))))</f>
        <v>0</v>
      </c>
      <c r="V116" s="145">
        <f>IF(テーブル2[[#This Row],[反復]]="",0,(IF(テーブル2[[#This Row],[性別]]="男",LOOKUP(テーブル2[[#This Row],[反復]],$AO$6:$AP$15),LOOKUP(テーブル2[[#This Row],[反復]],$AO$20:$AP$29))))</f>
        <v>0</v>
      </c>
      <c r="W116" s="145">
        <f>IF(テーブル2[[#This Row],[持久走]]="",0,(IF(テーブル2[[#This Row],[性別]]="男",LOOKUP(テーブル2[[#This Row],[持久走]],$AQ$6:$AR$15),LOOKUP(テーブル2[[#This Row],[持久走]],$AQ$20:$AR$29))))</f>
        <v>0</v>
      </c>
      <c r="X116" s="145">
        <f>IF(テーブル2[[#This Row],[ｼｬﾄﾙﾗﾝ]]="",0,(IF(テーブル2[[#This Row],[性別]]="男",LOOKUP(テーブル2[[#This Row],[ｼｬﾄﾙﾗﾝ]],$AS$6:$AT$15),LOOKUP(テーブル2[[#This Row],[ｼｬﾄﾙﾗﾝ]],$AS$20:$AT$29))))</f>
        <v>0</v>
      </c>
      <c r="Y116" s="145">
        <f>IF(テーブル2[[#This Row],[50m走]]="",0,(IF(テーブル2[[#This Row],[性別]]="男",LOOKUP(テーブル2[[#This Row],[50m走]],$AU$6:$AV$15),LOOKUP(テーブル2[[#This Row],[50m走]],$AU$20:$AV$29))))</f>
        <v>0</v>
      </c>
      <c r="Z116" s="145">
        <f>IF(テーブル2[[#This Row],[立幅とび]]="",0,(IF(テーブル2[[#This Row],[性別]]="男",LOOKUP(テーブル2[[#This Row],[立幅とび]],$AW$6:$AX$15),LOOKUP(テーブル2[[#This Row],[立幅とび]],$AW$20:$AX$29))))</f>
        <v>0</v>
      </c>
      <c r="AA116" s="145">
        <f>IF(テーブル2[[#This Row],[ボール投げ]]="",0,(IF(テーブル2[[#This Row],[性別]]="男",LOOKUP(テーブル2[[#This Row],[ボール投げ]],$AY$6:$AZ$15),LOOKUP(テーブル2[[#This Row],[ボール投げ]],$AY$20:$AZ$29))))</f>
        <v>0</v>
      </c>
      <c r="AB116" s="146" t="str">
        <f>IF(テーブル2[[#This Row],[学年]]=1,12,IF(テーブル2[[#This Row],[学年]]=2,13,IF(テーブル2[[#This Row],[学年]]=3,14,"")))</f>
        <v/>
      </c>
      <c r="AC116" s="192" t="str">
        <f>IF(テーブル2[[#This Row],[肥満度数値]]=0,"",LOOKUP(AE116,$AW$39:$AW$44,$AX$39:$AX$44))</f>
        <v/>
      </c>
      <c r="AD11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6" s="77">
        <f>IF(テーブル2[[#This Row],[体重]]="",0,(テーブル2[[#This Row],[体重]]-テーブル2[[#This Row],[標準体重]])/テーブル2[[#This Row],[標準体重]]*100)</f>
        <v>0</v>
      </c>
      <c r="AF116" s="26">
        <f>COUNTA(テーブル2[[#This Row],[握力]:[ボール投げ]])</f>
        <v>0</v>
      </c>
      <c r="AG116" s="1" t="str">
        <f>IF(テーブル2[[#This Row],[判定]]=$BE$10,"○","")</f>
        <v/>
      </c>
      <c r="AH116" s="1" t="str">
        <f>IF(AG116="","",COUNTIF($AG$6:AG116,"○"))</f>
        <v/>
      </c>
    </row>
    <row r="117" spans="1:34" ht="14.25" customHeight="1" x14ac:dyDescent="0.15">
      <c r="A117" s="44">
        <v>112</v>
      </c>
      <c r="B117" s="148"/>
      <c r="C117" s="151"/>
      <c r="D117" s="148"/>
      <c r="E117" s="152"/>
      <c r="F117" s="148"/>
      <c r="G117" s="148"/>
      <c r="H117" s="150"/>
      <c r="I117" s="150"/>
      <c r="J117" s="151"/>
      <c r="K117" s="148"/>
      <c r="L117" s="196"/>
      <c r="M117" s="151"/>
      <c r="N117" s="197"/>
      <c r="O117" s="151"/>
      <c r="P117" s="153"/>
      <c r="Q11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7" s="144" t="str">
        <f>IF(テーブル2[[#This Row],[得点]]=0,"",IF(テーブル2[[#This Row],[年齢]]=17,LOOKUP(Q117,$BH$6:$BH$10,$BE$6:$BE$10),IF(テーブル2[[#This Row],[年齢]]=16,LOOKUP(Q117,$BG$6:$BG$10,$BE$6:$BE$10),IF(テーブル2[[#This Row],[年齢]]=15,LOOKUP(Q117,$BF$6:$BF$10,$BE$6:$BE$10),IF(テーブル2[[#This Row],[年齢]]=14,LOOKUP(Q117,$BD$6:$BD$10,$BE$6:$BE$10),IF(テーブル2[[#This Row],[年齢]]=13,LOOKUP(Q117,$BC$6:$BC$10,$BE$6:$BE$10),LOOKUP(Q117,$BB$6:$BB$10,$BE$6:$BE$10)))))))</f>
        <v/>
      </c>
      <c r="S117" s="145">
        <f>IF(H117="",0,(IF(テーブル2[[#This Row],[性別]]="男",LOOKUP(テーブル2[[#This Row],[握力]],$AI$6:$AJ$15),LOOKUP(テーブル2[[#This Row],[握力]],$AI$20:$AJ$29))))</f>
        <v>0</v>
      </c>
      <c r="T117" s="145">
        <f>IF(テーブル2[[#This Row],[上体]]="",0,(IF(テーブル2[[#This Row],[性別]]="男",LOOKUP(テーブル2[[#This Row],[上体]],$AK$6:$AL$15),LOOKUP(テーブル2[[#This Row],[上体]],$AK$20:$AL$29))))</f>
        <v>0</v>
      </c>
      <c r="U117" s="145">
        <f>IF(テーブル2[[#This Row],[長座]]="",0,(IF(テーブル2[[#This Row],[性別]]="男",LOOKUP(テーブル2[[#This Row],[長座]],$AM$6:$AN$15),LOOKUP(テーブル2[[#This Row],[長座]],$AM$20:$AN$29))))</f>
        <v>0</v>
      </c>
      <c r="V117" s="145">
        <f>IF(テーブル2[[#This Row],[反復]]="",0,(IF(テーブル2[[#This Row],[性別]]="男",LOOKUP(テーブル2[[#This Row],[反復]],$AO$6:$AP$15),LOOKUP(テーブル2[[#This Row],[反復]],$AO$20:$AP$29))))</f>
        <v>0</v>
      </c>
      <c r="W117" s="145">
        <f>IF(テーブル2[[#This Row],[持久走]]="",0,(IF(テーブル2[[#This Row],[性別]]="男",LOOKUP(テーブル2[[#This Row],[持久走]],$AQ$6:$AR$15),LOOKUP(テーブル2[[#This Row],[持久走]],$AQ$20:$AR$29))))</f>
        <v>0</v>
      </c>
      <c r="X117" s="145">
        <f>IF(テーブル2[[#This Row],[ｼｬﾄﾙﾗﾝ]]="",0,(IF(テーブル2[[#This Row],[性別]]="男",LOOKUP(テーブル2[[#This Row],[ｼｬﾄﾙﾗﾝ]],$AS$6:$AT$15),LOOKUP(テーブル2[[#This Row],[ｼｬﾄﾙﾗﾝ]],$AS$20:$AT$29))))</f>
        <v>0</v>
      </c>
      <c r="Y117" s="145">
        <f>IF(テーブル2[[#This Row],[50m走]]="",0,(IF(テーブル2[[#This Row],[性別]]="男",LOOKUP(テーブル2[[#This Row],[50m走]],$AU$6:$AV$15),LOOKUP(テーブル2[[#This Row],[50m走]],$AU$20:$AV$29))))</f>
        <v>0</v>
      </c>
      <c r="Z117" s="145">
        <f>IF(テーブル2[[#This Row],[立幅とび]]="",0,(IF(テーブル2[[#This Row],[性別]]="男",LOOKUP(テーブル2[[#This Row],[立幅とび]],$AW$6:$AX$15),LOOKUP(テーブル2[[#This Row],[立幅とび]],$AW$20:$AX$29))))</f>
        <v>0</v>
      </c>
      <c r="AA117" s="145">
        <f>IF(テーブル2[[#This Row],[ボール投げ]]="",0,(IF(テーブル2[[#This Row],[性別]]="男",LOOKUP(テーブル2[[#This Row],[ボール投げ]],$AY$6:$AZ$15),LOOKUP(テーブル2[[#This Row],[ボール投げ]],$AY$20:$AZ$29))))</f>
        <v>0</v>
      </c>
      <c r="AB117" s="146" t="str">
        <f>IF(テーブル2[[#This Row],[学年]]=1,12,IF(テーブル2[[#This Row],[学年]]=2,13,IF(テーブル2[[#This Row],[学年]]=3,14,"")))</f>
        <v/>
      </c>
      <c r="AC117" s="192" t="str">
        <f>IF(テーブル2[[#This Row],[肥満度数値]]=0,"",LOOKUP(AE117,$AW$39:$AW$44,$AX$39:$AX$44))</f>
        <v/>
      </c>
      <c r="AD11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7" s="77">
        <f>IF(テーブル2[[#This Row],[体重]]="",0,(テーブル2[[#This Row],[体重]]-テーブル2[[#This Row],[標準体重]])/テーブル2[[#This Row],[標準体重]]*100)</f>
        <v>0</v>
      </c>
      <c r="AF117" s="26">
        <f>COUNTA(テーブル2[[#This Row],[握力]:[ボール投げ]])</f>
        <v>0</v>
      </c>
      <c r="AG117" s="1" t="str">
        <f>IF(テーブル2[[#This Row],[判定]]=$BE$10,"○","")</f>
        <v/>
      </c>
      <c r="AH117" s="1" t="str">
        <f>IF(AG117="","",COUNTIF($AG$6:AG117,"○"))</f>
        <v/>
      </c>
    </row>
    <row r="118" spans="1:34" ht="14.25" customHeight="1" x14ac:dyDescent="0.15">
      <c r="A118" s="44">
        <v>113</v>
      </c>
      <c r="B118" s="148"/>
      <c r="C118" s="151"/>
      <c r="D118" s="148"/>
      <c r="E118" s="152"/>
      <c r="F118" s="148"/>
      <c r="G118" s="148"/>
      <c r="H118" s="150"/>
      <c r="I118" s="150"/>
      <c r="J118" s="151"/>
      <c r="K118" s="148"/>
      <c r="L118" s="196"/>
      <c r="M118" s="151"/>
      <c r="N118" s="197"/>
      <c r="O118" s="151"/>
      <c r="P118" s="153"/>
      <c r="Q11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8" s="144" t="str">
        <f>IF(テーブル2[[#This Row],[得点]]=0,"",IF(テーブル2[[#This Row],[年齢]]=17,LOOKUP(Q118,$BH$6:$BH$10,$BE$6:$BE$10),IF(テーブル2[[#This Row],[年齢]]=16,LOOKUP(Q118,$BG$6:$BG$10,$BE$6:$BE$10),IF(テーブル2[[#This Row],[年齢]]=15,LOOKUP(Q118,$BF$6:$BF$10,$BE$6:$BE$10),IF(テーブル2[[#This Row],[年齢]]=14,LOOKUP(Q118,$BD$6:$BD$10,$BE$6:$BE$10),IF(テーブル2[[#This Row],[年齢]]=13,LOOKUP(Q118,$BC$6:$BC$10,$BE$6:$BE$10),LOOKUP(Q118,$BB$6:$BB$10,$BE$6:$BE$10)))))))</f>
        <v/>
      </c>
      <c r="S118" s="145">
        <f>IF(H118="",0,(IF(テーブル2[[#This Row],[性別]]="男",LOOKUP(テーブル2[[#This Row],[握力]],$AI$6:$AJ$15),LOOKUP(テーブル2[[#This Row],[握力]],$AI$20:$AJ$29))))</f>
        <v>0</v>
      </c>
      <c r="T118" s="145">
        <f>IF(テーブル2[[#This Row],[上体]]="",0,(IF(テーブル2[[#This Row],[性別]]="男",LOOKUP(テーブル2[[#This Row],[上体]],$AK$6:$AL$15),LOOKUP(テーブル2[[#This Row],[上体]],$AK$20:$AL$29))))</f>
        <v>0</v>
      </c>
      <c r="U118" s="145">
        <f>IF(テーブル2[[#This Row],[長座]]="",0,(IF(テーブル2[[#This Row],[性別]]="男",LOOKUP(テーブル2[[#This Row],[長座]],$AM$6:$AN$15),LOOKUP(テーブル2[[#This Row],[長座]],$AM$20:$AN$29))))</f>
        <v>0</v>
      </c>
      <c r="V118" s="145">
        <f>IF(テーブル2[[#This Row],[反復]]="",0,(IF(テーブル2[[#This Row],[性別]]="男",LOOKUP(テーブル2[[#This Row],[反復]],$AO$6:$AP$15),LOOKUP(テーブル2[[#This Row],[反復]],$AO$20:$AP$29))))</f>
        <v>0</v>
      </c>
      <c r="W118" s="145">
        <f>IF(テーブル2[[#This Row],[持久走]]="",0,(IF(テーブル2[[#This Row],[性別]]="男",LOOKUP(テーブル2[[#This Row],[持久走]],$AQ$6:$AR$15),LOOKUP(テーブル2[[#This Row],[持久走]],$AQ$20:$AR$29))))</f>
        <v>0</v>
      </c>
      <c r="X118" s="145">
        <f>IF(テーブル2[[#This Row],[ｼｬﾄﾙﾗﾝ]]="",0,(IF(テーブル2[[#This Row],[性別]]="男",LOOKUP(テーブル2[[#This Row],[ｼｬﾄﾙﾗﾝ]],$AS$6:$AT$15),LOOKUP(テーブル2[[#This Row],[ｼｬﾄﾙﾗﾝ]],$AS$20:$AT$29))))</f>
        <v>0</v>
      </c>
      <c r="Y118" s="145">
        <f>IF(テーブル2[[#This Row],[50m走]]="",0,(IF(テーブル2[[#This Row],[性別]]="男",LOOKUP(テーブル2[[#This Row],[50m走]],$AU$6:$AV$15),LOOKUP(テーブル2[[#This Row],[50m走]],$AU$20:$AV$29))))</f>
        <v>0</v>
      </c>
      <c r="Z118" s="145">
        <f>IF(テーブル2[[#This Row],[立幅とび]]="",0,(IF(テーブル2[[#This Row],[性別]]="男",LOOKUP(テーブル2[[#This Row],[立幅とび]],$AW$6:$AX$15),LOOKUP(テーブル2[[#This Row],[立幅とび]],$AW$20:$AX$29))))</f>
        <v>0</v>
      </c>
      <c r="AA118" s="145">
        <f>IF(テーブル2[[#This Row],[ボール投げ]]="",0,(IF(テーブル2[[#This Row],[性別]]="男",LOOKUP(テーブル2[[#This Row],[ボール投げ]],$AY$6:$AZ$15),LOOKUP(テーブル2[[#This Row],[ボール投げ]],$AY$20:$AZ$29))))</f>
        <v>0</v>
      </c>
      <c r="AB118" s="146" t="str">
        <f>IF(テーブル2[[#This Row],[学年]]=1,12,IF(テーブル2[[#This Row],[学年]]=2,13,IF(テーブル2[[#This Row],[学年]]=3,14,"")))</f>
        <v/>
      </c>
      <c r="AC118" s="192" t="str">
        <f>IF(テーブル2[[#This Row],[肥満度数値]]=0,"",LOOKUP(AE118,$AW$39:$AW$44,$AX$39:$AX$44))</f>
        <v/>
      </c>
      <c r="AD11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8" s="77">
        <f>IF(テーブル2[[#This Row],[体重]]="",0,(テーブル2[[#This Row],[体重]]-テーブル2[[#This Row],[標準体重]])/テーブル2[[#This Row],[標準体重]]*100)</f>
        <v>0</v>
      </c>
      <c r="AF118" s="26">
        <f>COUNTA(テーブル2[[#This Row],[握力]:[ボール投げ]])</f>
        <v>0</v>
      </c>
      <c r="AG118" s="1" t="str">
        <f>IF(テーブル2[[#This Row],[判定]]=$BE$10,"○","")</f>
        <v/>
      </c>
      <c r="AH118" s="1" t="str">
        <f>IF(AG118="","",COUNTIF($AG$6:AG118,"○"))</f>
        <v/>
      </c>
    </row>
    <row r="119" spans="1:34" ht="14.25" customHeight="1" x14ac:dyDescent="0.15">
      <c r="A119" s="44">
        <v>114</v>
      </c>
      <c r="B119" s="148"/>
      <c r="C119" s="151"/>
      <c r="D119" s="148"/>
      <c r="E119" s="152"/>
      <c r="F119" s="148"/>
      <c r="G119" s="148"/>
      <c r="H119" s="150"/>
      <c r="I119" s="150"/>
      <c r="J119" s="151"/>
      <c r="K119" s="148"/>
      <c r="L119" s="196"/>
      <c r="M119" s="151"/>
      <c r="N119" s="197"/>
      <c r="O119" s="151"/>
      <c r="P119" s="153"/>
      <c r="Q11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9" s="144" t="str">
        <f>IF(テーブル2[[#This Row],[得点]]=0,"",IF(テーブル2[[#This Row],[年齢]]=17,LOOKUP(Q119,$BH$6:$BH$10,$BE$6:$BE$10),IF(テーブル2[[#This Row],[年齢]]=16,LOOKUP(Q119,$BG$6:$BG$10,$BE$6:$BE$10),IF(テーブル2[[#This Row],[年齢]]=15,LOOKUP(Q119,$BF$6:$BF$10,$BE$6:$BE$10),IF(テーブル2[[#This Row],[年齢]]=14,LOOKUP(Q119,$BD$6:$BD$10,$BE$6:$BE$10),IF(テーブル2[[#This Row],[年齢]]=13,LOOKUP(Q119,$BC$6:$BC$10,$BE$6:$BE$10),LOOKUP(Q119,$BB$6:$BB$10,$BE$6:$BE$10)))))))</f>
        <v/>
      </c>
      <c r="S119" s="145">
        <f>IF(H119="",0,(IF(テーブル2[[#This Row],[性別]]="男",LOOKUP(テーブル2[[#This Row],[握力]],$AI$6:$AJ$15),LOOKUP(テーブル2[[#This Row],[握力]],$AI$20:$AJ$29))))</f>
        <v>0</v>
      </c>
      <c r="T119" s="145">
        <f>IF(テーブル2[[#This Row],[上体]]="",0,(IF(テーブル2[[#This Row],[性別]]="男",LOOKUP(テーブル2[[#This Row],[上体]],$AK$6:$AL$15),LOOKUP(テーブル2[[#This Row],[上体]],$AK$20:$AL$29))))</f>
        <v>0</v>
      </c>
      <c r="U119" s="145">
        <f>IF(テーブル2[[#This Row],[長座]]="",0,(IF(テーブル2[[#This Row],[性別]]="男",LOOKUP(テーブル2[[#This Row],[長座]],$AM$6:$AN$15),LOOKUP(テーブル2[[#This Row],[長座]],$AM$20:$AN$29))))</f>
        <v>0</v>
      </c>
      <c r="V119" s="145">
        <f>IF(テーブル2[[#This Row],[反復]]="",0,(IF(テーブル2[[#This Row],[性別]]="男",LOOKUP(テーブル2[[#This Row],[反復]],$AO$6:$AP$15),LOOKUP(テーブル2[[#This Row],[反復]],$AO$20:$AP$29))))</f>
        <v>0</v>
      </c>
      <c r="W119" s="145">
        <f>IF(テーブル2[[#This Row],[持久走]]="",0,(IF(テーブル2[[#This Row],[性別]]="男",LOOKUP(テーブル2[[#This Row],[持久走]],$AQ$6:$AR$15),LOOKUP(テーブル2[[#This Row],[持久走]],$AQ$20:$AR$29))))</f>
        <v>0</v>
      </c>
      <c r="X119" s="145">
        <f>IF(テーブル2[[#This Row],[ｼｬﾄﾙﾗﾝ]]="",0,(IF(テーブル2[[#This Row],[性別]]="男",LOOKUP(テーブル2[[#This Row],[ｼｬﾄﾙﾗﾝ]],$AS$6:$AT$15),LOOKUP(テーブル2[[#This Row],[ｼｬﾄﾙﾗﾝ]],$AS$20:$AT$29))))</f>
        <v>0</v>
      </c>
      <c r="Y119" s="145">
        <f>IF(テーブル2[[#This Row],[50m走]]="",0,(IF(テーブル2[[#This Row],[性別]]="男",LOOKUP(テーブル2[[#This Row],[50m走]],$AU$6:$AV$15),LOOKUP(テーブル2[[#This Row],[50m走]],$AU$20:$AV$29))))</f>
        <v>0</v>
      </c>
      <c r="Z119" s="145">
        <f>IF(テーブル2[[#This Row],[立幅とび]]="",0,(IF(テーブル2[[#This Row],[性別]]="男",LOOKUP(テーブル2[[#This Row],[立幅とび]],$AW$6:$AX$15),LOOKUP(テーブル2[[#This Row],[立幅とび]],$AW$20:$AX$29))))</f>
        <v>0</v>
      </c>
      <c r="AA119" s="145">
        <f>IF(テーブル2[[#This Row],[ボール投げ]]="",0,(IF(テーブル2[[#This Row],[性別]]="男",LOOKUP(テーブル2[[#This Row],[ボール投げ]],$AY$6:$AZ$15),LOOKUP(テーブル2[[#This Row],[ボール投げ]],$AY$20:$AZ$29))))</f>
        <v>0</v>
      </c>
      <c r="AB119" s="146" t="str">
        <f>IF(テーブル2[[#This Row],[学年]]=1,12,IF(テーブル2[[#This Row],[学年]]=2,13,IF(テーブル2[[#This Row],[学年]]=3,14,"")))</f>
        <v/>
      </c>
      <c r="AC119" s="192" t="str">
        <f>IF(テーブル2[[#This Row],[肥満度数値]]=0,"",LOOKUP(AE119,$AW$39:$AW$44,$AX$39:$AX$44))</f>
        <v/>
      </c>
      <c r="AD11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19" s="77">
        <f>IF(テーブル2[[#This Row],[体重]]="",0,(テーブル2[[#This Row],[体重]]-テーブル2[[#This Row],[標準体重]])/テーブル2[[#This Row],[標準体重]]*100)</f>
        <v>0</v>
      </c>
      <c r="AF119" s="26">
        <f>COUNTA(テーブル2[[#This Row],[握力]:[ボール投げ]])</f>
        <v>0</v>
      </c>
      <c r="AG119" s="1" t="str">
        <f>IF(テーブル2[[#This Row],[判定]]=$BE$10,"○","")</f>
        <v/>
      </c>
      <c r="AH119" s="1" t="str">
        <f>IF(AG119="","",COUNTIF($AG$6:AG119,"○"))</f>
        <v/>
      </c>
    </row>
    <row r="120" spans="1:34" ht="14.25" customHeight="1" x14ac:dyDescent="0.15">
      <c r="A120" s="44">
        <v>115</v>
      </c>
      <c r="B120" s="148"/>
      <c r="C120" s="151"/>
      <c r="D120" s="148"/>
      <c r="E120" s="152"/>
      <c r="F120" s="148"/>
      <c r="G120" s="148"/>
      <c r="H120" s="150"/>
      <c r="I120" s="150"/>
      <c r="J120" s="151"/>
      <c r="K120" s="148"/>
      <c r="L120" s="196"/>
      <c r="M120" s="151"/>
      <c r="N120" s="197"/>
      <c r="O120" s="151"/>
      <c r="P120" s="153"/>
      <c r="Q12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0" s="144" t="str">
        <f>IF(テーブル2[[#This Row],[得点]]=0,"",IF(テーブル2[[#This Row],[年齢]]=17,LOOKUP(Q120,$BH$6:$BH$10,$BE$6:$BE$10),IF(テーブル2[[#This Row],[年齢]]=16,LOOKUP(Q120,$BG$6:$BG$10,$BE$6:$BE$10),IF(テーブル2[[#This Row],[年齢]]=15,LOOKUP(Q120,$BF$6:$BF$10,$BE$6:$BE$10),IF(テーブル2[[#This Row],[年齢]]=14,LOOKUP(Q120,$BD$6:$BD$10,$BE$6:$BE$10),IF(テーブル2[[#This Row],[年齢]]=13,LOOKUP(Q120,$BC$6:$BC$10,$BE$6:$BE$10),LOOKUP(Q120,$BB$6:$BB$10,$BE$6:$BE$10)))))))</f>
        <v/>
      </c>
      <c r="S120" s="145">
        <f>IF(H120="",0,(IF(テーブル2[[#This Row],[性別]]="男",LOOKUP(テーブル2[[#This Row],[握力]],$AI$6:$AJ$15),LOOKUP(テーブル2[[#This Row],[握力]],$AI$20:$AJ$29))))</f>
        <v>0</v>
      </c>
      <c r="T120" s="145">
        <f>IF(テーブル2[[#This Row],[上体]]="",0,(IF(テーブル2[[#This Row],[性別]]="男",LOOKUP(テーブル2[[#This Row],[上体]],$AK$6:$AL$15),LOOKUP(テーブル2[[#This Row],[上体]],$AK$20:$AL$29))))</f>
        <v>0</v>
      </c>
      <c r="U120" s="145">
        <f>IF(テーブル2[[#This Row],[長座]]="",0,(IF(テーブル2[[#This Row],[性別]]="男",LOOKUP(テーブル2[[#This Row],[長座]],$AM$6:$AN$15),LOOKUP(テーブル2[[#This Row],[長座]],$AM$20:$AN$29))))</f>
        <v>0</v>
      </c>
      <c r="V120" s="145">
        <f>IF(テーブル2[[#This Row],[反復]]="",0,(IF(テーブル2[[#This Row],[性別]]="男",LOOKUP(テーブル2[[#This Row],[反復]],$AO$6:$AP$15),LOOKUP(テーブル2[[#This Row],[反復]],$AO$20:$AP$29))))</f>
        <v>0</v>
      </c>
      <c r="W120" s="145">
        <f>IF(テーブル2[[#This Row],[持久走]]="",0,(IF(テーブル2[[#This Row],[性別]]="男",LOOKUP(テーブル2[[#This Row],[持久走]],$AQ$6:$AR$15),LOOKUP(テーブル2[[#This Row],[持久走]],$AQ$20:$AR$29))))</f>
        <v>0</v>
      </c>
      <c r="X120" s="145">
        <f>IF(テーブル2[[#This Row],[ｼｬﾄﾙﾗﾝ]]="",0,(IF(テーブル2[[#This Row],[性別]]="男",LOOKUP(テーブル2[[#This Row],[ｼｬﾄﾙﾗﾝ]],$AS$6:$AT$15),LOOKUP(テーブル2[[#This Row],[ｼｬﾄﾙﾗﾝ]],$AS$20:$AT$29))))</f>
        <v>0</v>
      </c>
      <c r="Y120" s="145">
        <f>IF(テーブル2[[#This Row],[50m走]]="",0,(IF(テーブル2[[#This Row],[性別]]="男",LOOKUP(テーブル2[[#This Row],[50m走]],$AU$6:$AV$15),LOOKUP(テーブル2[[#This Row],[50m走]],$AU$20:$AV$29))))</f>
        <v>0</v>
      </c>
      <c r="Z120" s="145">
        <f>IF(テーブル2[[#This Row],[立幅とび]]="",0,(IF(テーブル2[[#This Row],[性別]]="男",LOOKUP(テーブル2[[#This Row],[立幅とび]],$AW$6:$AX$15),LOOKUP(テーブル2[[#This Row],[立幅とび]],$AW$20:$AX$29))))</f>
        <v>0</v>
      </c>
      <c r="AA120" s="145">
        <f>IF(テーブル2[[#This Row],[ボール投げ]]="",0,(IF(テーブル2[[#This Row],[性別]]="男",LOOKUP(テーブル2[[#This Row],[ボール投げ]],$AY$6:$AZ$15),LOOKUP(テーブル2[[#This Row],[ボール投げ]],$AY$20:$AZ$29))))</f>
        <v>0</v>
      </c>
      <c r="AB120" s="146" t="str">
        <f>IF(テーブル2[[#This Row],[学年]]=1,12,IF(テーブル2[[#This Row],[学年]]=2,13,IF(テーブル2[[#This Row],[学年]]=3,14,"")))</f>
        <v/>
      </c>
      <c r="AC120" s="192" t="str">
        <f>IF(テーブル2[[#This Row],[肥満度数値]]=0,"",LOOKUP(AE120,$AW$39:$AW$44,$AX$39:$AX$44))</f>
        <v/>
      </c>
      <c r="AD12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0" s="77">
        <f>IF(テーブル2[[#This Row],[体重]]="",0,(テーブル2[[#This Row],[体重]]-テーブル2[[#This Row],[標準体重]])/テーブル2[[#This Row],[標準体重]]*100)</f>
        <v>0</v>
      </c>
      <c r="AF120" s="26">
        <f>COUNTA(テーブル2[[#This Row],[握力]:[ボール投げ]])</f>
        <v>0</v>
      </c>
      <c r="AG120" s="1" t="str">
        <f>IF(テーブル2[[#This Row],[判定]]=$BE$10,"○","")</f>
        <v/>
      </c>
      <c r="AH120" s="1" t="str">
        <f>IF(AG120="","",COUNTIF($AG$6:AG120,"○"))</f>
        <v/>
      </c>
    </row>
    <row r="121" spans="1:34" ht="14.25" customHeight="1" x14ac:dyDescent="0.15">
      <c r="A121" s="44">
        <v>116</v>
      </c>
      <c r="B121" s="148"/>
      <c r="C121" s="151"/>
      <c r="D121" s="148"/>
      <c r="E121" s="152"/>
      <c r="F121" s="148"/>
      <c r="G121" s="148"/>
      <c r="H121" s="150"/>
      <c r="I121" s="150"/>
      <c r="J121" s="151"/>
      <c r="K121" s="148"/>
      <c r="L121" s="196"/>
      <c r="M121" s="151"/>
      <c r="N121" s="197"/>
      <c r="O121" s="151"/>
      <c r="P121" s="153"/>
      <c r="Q12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1" s="144" t="str">
        <f>IF(テーブル2[[#This Row],[得点]]=0,"",IF(テーブル2[[#This Row],[年齢]]=17,LOOKUP(Q121,$BH$6:$BH$10,$BE$6:$BE$10),IF(テーブル2[[#This Row],[年齢]]=16,LOOKUP(Q121,$BG$6:$BG$10,$BE$6:$BE$10),IF(テーブル2[[#This Row],[年齢]]=15,LOOKUP(Q121,$BF$6:$BF$10,$BE$6:$BE$10),IF(テーブル2[[#This Row],[年齢]]=14,LOOKUP(Q121,$BD$6:$BD$10,$BE$6:$BE$10),IF(テーブル2[[#This Row],[年齢]]=13,LOOKUP(Q121,$BC$6:$BC$10,$BE$6:$BE$10),LOOKUP(Q121,$BB$6:$BB$10,$BE$6:$BE$10)))))))</f>
        <v/>
      </c>
      <c r="S121" s="145">
        <f>IF(H121="",0,(IF(テーブル2[[#This Row],[性別]]="男",LOOKUP(テーブル2[[#This Row],[握力]],$AI$6:$AJ$15),LOOKUP(テーブル2[[#This Row],[握力]],$AI$20:$AJ$29))))</f>
        <v>0</v>
      </c>
      <c r="T121" s="145">
        <f>IF(テーブル2[[#This Row],[上体]]="",0,(IF(テーブル2[[#This Row],[性別]]="男",LOOKUP(テーブル2[[#This Row],[上体]],$AK$6:$AL$15),LOOKUP(テーブル2[[#This Row],[上体]],$AK$20:$AL$29))))</f>
        <v>0</v>
      </c>
      <c r="U121" s="145">
        <f>IF(テーブル2[[#This Row],[長座]]="",0,(IF(テーブル2[[#This Row],[性別]]="男",LOOKUP(テーブル2[[#This Row],[長座]],$AM$6:$AN$15),LOOKUP(テーブル2[[#This Row],[長座]],$AM$20:$AN$29))))</f>
        <v>0</v>
      </c>
      <c r="V121" s="145">
        <f>IF(テーブル2[[#This Row],[反復]]="",0,(IF(テーブル2[[#This Row],[性別]]="男",LOOKUP(テーブル2[[#This Row],[反復]],$AO$6:$AP$15),LOOKUP(テーブル2[[#This Row],[反復]],$AO$20:$AP$29))))</f>
        <v>0</v>
      </c>
      <c r="W121" s="145">
        <f>IF(テーブル2[[#This Row],[持久走]]="",0,(IF(テーブル2[[#This Row],[性別]]="男",LOOKUP(テーブル2[[#This Row],[持久走]],$AQ$6:$AR$15),LOOKUP(テーブル2[[#This Row],[持久走]],$AQ$20:$AR$29))))</f>
        <v>0</v>
      </c>
      <c r="X121" s="145">
        <f>IF(テーブル2[[#This Row],[ｼｬﾄﾙﾗﾝ]]="",0,(IF(テーブル2[[#This Row],[性別]]="男",LOOKUP(テーブル2[[#This Row],[ｼｬﾄﾙﾗﾝ]],$AS$6:$AT$15),LOOKUP(テーブル2[[#This Row],[ｼｬﾄﾙﾗﾝ]],$AS$20:$AT$29))))</f>
        <v>0</v>
      </c>
      <c r="Y121" s="145">
        <f>IF(テーブル2[[#This Row],[50m走]]="",0,(IF(テーブル2[[#This Row],[性別]]="男",LOOKUP(テーブル2[[#This Row],[50m走]],$AU$6:$AV$15),LOOKUP(テーブル2[[#This Row],[50m走]],$AU$20:$AV$29))))</f>
        <v>0</v>
      </c>
      <c r="Z121" s="145">
        <f>IF(テーブル2[[#This Row],[立幅とび]]="",0,(IF(テーブル2[[#This Row],[性別]]="男",LOOKUP(テーブル2[[#This Row],[立幅とび]],$AW$6:$AX$15),LOOKUP(テーブル2[[#This Row],[立幅とび]],$AW$20:$AX$29))))</f>
        <v>0</v>
      </c>
      <c r="AA121" s="145">
        <f>IF(テーブル2[[#This Row],[ボール投げ]]="",0,(IF(テーブル2[[#This Row],[性別]]="男",LOOKUP(テーブル2[[#This Row],[ボール投げ]],$AY$6:$AZ$15),LOOKUP(テーブル2[[#This Row],[ボール投げ]],$AY$20:$AZ$29))))</f>
        <v>0</v>
      </c>
      <c r="AB121" s="146" t="str">
        <f>IF(テーブル2[[#This Row],[学年]]=1,12,IF(テーブル2[[#This Row],[学年]]=2,13,IF(テーブル2[[#This Row],[学年]]=3,14,"")))</f>
        <v/>
      </c>
      <c r="AC121" s="192" t="str">
        <f>IF(テーブル2[[#This Row],[肥満度数値]]=0,"",LOOKUP(AE121,$AW$39:$AW$44,$AX$39:$AX$44))</f>
        <v/>
      </c>
      <c r="AD12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1" s="77">
        <f>IF(テーブル2[[#This Row],[体重]]="",0,(テーブル2[[#This Row],[体重]]-テーブル2[[#This Row],[標準体重]])/テーブル2[[#This Row],[標準体重]]*100)</f>
        <v>0</v>
      </c>
      <c r="AF121" s="26">
        <f>COUNTA(テーブル2[[#This Row],[握力]:[ボール投げ]])</f>
        <v>0</v>
      </c>
      <c r="AG121" s="1" t="str">
        <f>IF(テーブル2[[#This Row],[判定]]=$BE$10,"○","")</f>
        <v/>
      </c>
      <c r="AH121" s="1" t="str">
        <f>IF(AG121="","",COUNTIF($AG$6:AG121,"○"))</f>
        <v/>
      </c>
    </row>
    <row r="122" spans="1:34" ht="14.25" customHeight="1" x14ac:dyDescent="0.15">
      <c r="A122" s="44">
        <v>117</v>
      </c>
      <c r="B122" s="148"/>
      <c r="C122" s="151"/>
      <c r="D122" s="148"/>
      <c r="E122" s="152"/>
      <c r="F122" s="148"/>
      <c r="G122" s="148"/>
      <c r="H122" s="150"/>
      <c r="I122" s="150"/>
      <c r="J122" s="151"/>
      <c r="K122" s="148"/>
      <c r="L122" s="196"/>
      <c r="M122" s="151"/>
      <c r="N122" s="197"/>
      <c r="O122" s="151"/>
      <c r="P122" s="153"/>
      <c r="Q12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2" s="144" t="str">
        <f>IF(テーブル2[[#This Row],[得点]]=0,"",IF(テーブル2[[#This Row],[年齢]]=17,LOOKUP(Q122,$BH$6:$BH$10,$BE$6:$BE$10),IF(テーブル2[[#This Row],[年齢]]=16,LOOKUP(Q122,$BG$6:$BG$10,$BE$6:$BE$10),IF(テーブル2[[#This Row],[年齢]]=15,LOOKUP(Q122,$BF$6:$BF$10,$BE$6:$BE$10),IF(テーブル2[[#This Row],[年齢]]=14,LOOKUP(Q122,$BD$6:$BD$10,$BE$6:$BE$10),IF(テーブル2[[#This Row],[年齢]]=13,LOOKUP(Q122,$BC$6:$BC$10,$BE$6:$BE$10),LOOKUP(Q122,$BB$6:$BB$10,$BE$6:$BE$10)))))))</f>
        <v/>
      </c>
      <c r="S122" s="145">
        <f>IF(H122="",0,(IF(テーブル2[[#This Row],[性別]]="男",LOOKUP(テーブル2[[#This Row],[握力]],$AI$6:$AJ$15),LOOKUP(テーブル2[[#This Row],[握力]],$AI$20:$AJ$29))))</f>
        <v>0</v>
      </c>
      <c r="T122" s="145">
        <f>IF(テーブル2[[#This Row],[上体]]="",0,(IF(テーブル2[[#This Row],[性別]]="男",LOOKUP(テーブル2[[#This Row],[上体]],$AK$6:$AL$15),LOOKUP(テーブル2[[#This Row],[上体]],$AK$20:$AL$29))))</f>
        <v>0</v>
      </c>
      <c r="U122" s="145">
        <f>IF(テーブル2[[#This Row],[長座]]="",0,(IF(テーブル2[[#This Row],[性別]]="男",LOOKUP(テーブル2[[#This Row],[長座]],$AM$6:$AN$15),LOOKUP(テーブル2[[#This Row],[長座]],$AM$20:$AN$29))))</f>
        <v>0</v>
      </c>
      <c r="V122" s="145">
        <f>IF(テーブル2[[#This Row],[反復]]="",0,(IF(テーブル2[[#This Row],[性別]]="男",LOOKUP(テーブル2[[#This Row],[反復]],$AO$6:$AP$15),LOOKUP(テーブル2[[#This Row],[反復]],$AO$20:$AP$29))))</f>
        <v>0</v>
      </c>
      <c r="W122" s="145">
        <f>IF(テーブル2[[#This Row],[持久走]]="",0,(IF(テーブル2[[#This Row],[性別]]="男",LOOKUP(テーブル2[[#This Row],[持久走]],$AQ$6:$AR$15),LOOKUP(テーブル2[[#This Row],[持久走]],$AQ$20:$AR$29))))</f>
        <v>0</v>
      </c>
      <c r="X122" s="145">
        <f>IF(テーブル2[[#This Row],[ｼｬﾄﾙﾗﾝ]]="",0,(IF(テーブル2[[#This Row],[性別]]="男",LOOKUP(テーブル2[[#This Row],[ｼｬﾄﾙﾗﾝ]],$AS$6:$AT$15),LOOKUP(テーブル2[[#This Row],[ｼｬﾄﾙﾗﾝ]],$AS$20:$AT$29))))</f>
        <v>0</v>
      </c>
      <c r="Y122" s="145">
        <f>IF(テーブル2[[#This Row],[50m走]]="",0,(IF(テーブル2[[#This Row],[性別]]="男",LOOKUP(テーブル2[[#This Row],[50m走]],$AU$6:$AV$15),LOOKUP(テーブル2[[#This Row],[50m走]],$AU$20:$AV$29))))</f>
        <v>0</v>
      </c>
      <c r="Z122" s="145">
        <f>IF(テーブル2[[#This Row],[立幅とび]]="",0,(IF(テーブル2[[#This Row],[性別]]="男",LOOKUP(テーブル2[[#This Row],[立幅とび]],$AW$6:$AX$15),LOOKUP(テーブル2[[#This Row],[立幅とび]],$AW$20:$AX$29))))</f>
        <v>0</v>
      </c>
      <c r="AA122" s="145">
        <f>IF(テーブル2[[#This Row],[ボール投げ]]="",0,(IF(テーブル2[[#This Row],[性別]]="男",LOOKUP(テーブル2[[#This Row],[ボール投げ]],$AY$6:$AZ$15),LOOKUP(テーブル2[[#This Row],[ボール投げ]],$AY$20:$AZ$29))))</f>
        <v>0</v>
      </c>
      <c r="AB122" s="146" t="str">
        <f>IF(テーブル2[[#This Row],[学年]]=1,12,IF(テーブル2[[#This Row],[学年]]=2,13,IF(テーブル2[[#This Row],[学年]]=3,14,"")))</f>
        <v/>
      </c>
      <c r="AC122" s="192" t="str">
        <f>IF(テーブル2[[#This Row],[肥満度数値]]=0,"",LOOKUP(AE122,$AW$39:$AW$44,$AX$39:$AX$44))</f>
        <v/>
      </c>
      <c r="AD12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2" s="77">
        <f>IF(テーブル2[[#This Row],[体重]]="",0,(テーブル2[[#This Row],[体重]]-テーブル2[[#This Row],[標準体重]])/テーブル2[[#This Row],[標準体重]]*100)</f>
        <v>0</v>
      </c>
      <c r="AF122" s="26">
        <f>COUNTA(テーブル2[[#This Row],[握力]:[ボール投げ]])</f>
        <v>0</v>
      </c>
      <c r="AG122" s="1" t="str">
        <f>IF(テーブル2[[#This Row],[判定]]=$BE$10,"○","")</f>
        <v/>
      </c>
      <c r="AH122" s="1" t="str">
        <f>IF(AG122="","",COUNTIF($AG$6:AG122,"○"))</f>
        <v/>
      </c>
    </row>
    <row r="123" spans="1:34" ht="14.25" customHeight="1" x14ac:dyDescent="0.15">
      <c r="A123" s="44">
        <v>118</v>
      </c>
      <c r="B123" s="148"/>
      <c r="C123" s="151"/>
      <c r="D123" s="148"/>
      <c r="E123" s="152"/>
      <c r="F123" s="148"/>
      <c r="G123" s="148"/>
      <c r="H123" s="150"/>
      <c r="I123" s="150"/>
      <c r="J123" s="151"/>
      <c r="K123" s="148"/>
      <c r="L123" s="196"/>
      <c r="M123" s="151"/>
      <c r="N123" s="197"/>
      <c r="O123" s="151"/>
      <c r="P123" s="153"/>
      <c r="Q12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3" s="144" t="str">
        <f>IF(テーブル2[[#This Row],[得点]]=0,"",IF(テーブル2[[#This Row],[年齢]]=17,LOOKUP(Q123,$BH$6:$BH$10,$BE$6:$BE$10),IF(テーブル2[[#This Row],[年齢]]=16,LOOKUP(Q123,$BG$6:$BG$10,$BE$6:$BE$10),IF(テーブル2[[#This Row],[年齢]]=15,LOOKUP(Q123,$BF$6:$BF$10,$BE$6:$BE$10),IF(テーブル2[[#This Row],[年齢]]=14,LOOKUP(Q123,$BD$6:$BD$10,$BE$6:$BE$10),IF(テーブル2[[#This Row],[年齢]]=13,LOOKUP(Q123,$BC$6:$BC$10,$BE$6:$BE$10),LOOKUP(Q123,$BB$6:$BB$10,$BE$6:$BE$10)))))))</f>
        <v/>
      </c>
      <c r="S123" s="145">
        <f>IF(H123="",0,(IF(テーブル2[[#This Row],[性別]]="男",LOOKUP(テーブル2[[#This Row],[握力]],$AI$6:$AJ$15),LOOKUP(テーブル2[[#This Row],[握力]],$AI$20:$AJ$29))))</f>
        <v>0</v>
      </c>
      <c r="T123" s="145">
        <f>IF(テーブル2[[#This Row],[上体]]="",0,(IF(テーブル2[[#This Row],[性別]]="男",LOOKUP(テーブル2[[#This Row],[上体]],$AK$6:$AL$15),LOOKUP(テーブル2[[#This Row],[上体]],$AK$20:$AL$29))))</f>
        <v>0</v>
      </c>
      <c r="U123" s="145">
        <f>IF(テーブル2[[#This Row],[長座]]="",0,(IF(テーブル2[[#This Row],[性別]]="男",LOOKUP(テーブル2[[#This Row],[長座]],$AM$6:$AN$15),LOOKUP(テーブル2[[#This Row],[長座]],$AM$20:$AN$29))))</f>
        <v>0</v>
      </c>
      <c r="V123" s="145">
        <f>IF(テーブル2[[#This Row],[反復]]="",0,(IF(テーブル2[[#This Row],[性別]]="男",LOOKUP(テーブル2[[#This Row],[反復]],$AO$6:$AP$15),LOOKUP(テーブル2[[#This Row],[反復]],$AO$20:$AP$29))))</f>
        <v>0</v>
      </c>
      <c r="W123" s="145">
        <f>IF(テーブル2[[#This Row],[持久走]]="",0,(IF(テーブル2[[#This Row],[性別]]="男",LOOKUP(テーブル2[[#This Row],[持久走]],$AQ$6:$AR$15),LOOKUP(テーブル2[[#This Row],[持久走]],$AQ$20:$AR$29))))</f>
        <v>0</v>
      </c>
      <c r="X123" s="145">
        <f>IF(テーブル2[[#This Row],[ｼｬﾄﾙﾗﾝ]]="",0,(IF(テーブル2[[#This Row],[性別]]="男",LOOKUP(テーブル2[[#This Row],[ｼｬﾄﾙﾗﾝ]],$AS$6:$AT$15),LOOKUP(テーブル2[[#This Row],[ｼｬﾄﾙﾗﾝ]],$AS$20:$AT$29))))</f>
        <v>0</v>
      </c>
      <c r="Y123" s="145">
        <f>IF(テーブル2[[#This Row],[50m走]]="",0,(IF(テーブル2[[#This Row],[性別]]="男",LOOKUP(テーブル2[[#This Row],[50m走]],$AU$6:$AV$15),LOOKUP(テーブル2[[#This Row],[50m走]],$AU$20:$AV$29))))</f>
        <v>0</v>
      </c>
      <c r="Z123" s="145">
        <f>IF(テーブル2[[#This Row],[立幅とび]]="",0,(IF(テーブル2[[#This Row],[性別]]="男",LOOKUP(テーブル2[[#This Row],[立幅とび]],$AW$6:$AX$15),LOOKUP(テーブル2[[#This Row],[立幅とび]],$AW$20:$AX$29))))</f>
        <v>0</v>
      </c>
      <c r="AA123" s="145">
        <f>IF(テーブル2[[#This Row],[ボール投げ]]="",0,(IF(テーブル2[[#This Row],[性別]]="男",LOOKUP(テーブル2[[#This Row],[ボール投げ]],$AY$6:$AZ$15),LOOKUP(テーブル2[[#This Row],[ボール投げ]],$AY$20:$AZ$29))))</f>
        <v>0</v>
      </c>
      <c r="AB123" s="146" t="str">
        <f>IF(テーブル2[[#This Row],[学年]]=1,12,IF(テーブル2[[#This Row],[学年]]=2,13,IF(テーブル2[[#This Row],[学年]]=3,14,"")))</f>
        <v/>
      </c>
      <c r="AC123" s="192" t="str">
        <f>IF(テーブル2[[#This Row],[肥満度数値]]=0,"",LOOKUP(AE123,$AW$39:$AW$44,$AX$39:$AX$44))</f>
        <v/>
      </c>
      <c r="AD12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3" s="77">
        <f>IF(テーブル2[[#This Row],[体重]]="",0,(テーブル2[[#This Row],[体重]]-テーブル2[[#This Row],[標準体重]])/テーブル2[[#This Row],[標準体重]]*100)</f>
        <v>0</v>
      </c>
      <c r="AF123" s="26">
        <f>COUNTA(テーブル2[[#This Row],[握力]:[ボール投げ]])</f>
        <v>0</v>
      </c>
      <c r="AG123" s="1" t="str">
        <f>IF(テーブル2[[#This Row],[判定]]=$BE$10,"○","")</f>
        <v/>
      </c>
      <c r="AH123" s="1" t="str">
        <f>IF(AG123="","",COUNTIF($AG$6:AG123,"○"))</f>
        <v/>
      </c>
    </row>
    <row r="124" spans="1:34" ht="14.25" customHeight="1" x14ac:dyDescent="0.15">
      <c r="A124" s="44">
        <v>119</v>
      </c>
      <c r="B124" s="148"/>
      <c r="C124" s="151"/>
      <c r="D124" s="148"/>
      <c r="E124" s="152"/>
      <c r="F124" s="148"/>
      <c r="G124" s="148"/>
      <c r="H124" s="150"/>
      <c r="I124" s="150"/>
      <c r="J124" s="151"/>
      <c r="K124" s="148"/>
      <c r="L124" s="196"/>
      <c r="M124" s="151"/>
      <c r="N124" s="197"/>
      <c r="O124" s="151"/>
      <c r="P124" s="153"/>
      <c r="Q12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4" s="144" t="str">
        <f>IF(テーブル2[[#This Row],[得点]]=0,"",IF(テーブル2[[#This Row],[年齢]]=17,LOOKUP(Q124,$BH$6:$BH$10,$BE$6:$BE$10),IF(テーブル2[[#This Row],[年齢]]=16,LOOKUP(Q124,$BG$6:$BG$10,$BE$6:$BE$10),IF(テーブル2[[#This Row],[年齢]]=15,LOOKUP(Q124,$BF$6:$BF$10,$BE$6:$BE$10),IF(テーブル2[[#This Row],[年齢]]=14,LOOKUP(Q124,$BD$6:$BD$10,$BE$6:$BE$10),IF(テーブル2[[#This Row],[年齢]]=13,LOOKUP(Q124,$BC$6:$BC$10,$BE$6:$BE$10),LOOKUP(Q124,$BB$6:$BB$10,$BE$6:$BE$10)))))))</f>
        <v/>
      </c>
      <c r="S124" s="145">
        <f>IF(H124="",0,(IF(テーブル2[[#This Row],[性別]]="男",LOOKUP(テーブル2[[#This Row],[握力]],$AI$6:$AJ$15),LOOKUP(テーブル2[[#This Row],[握力]],$AI$20:$AJ$29))))</f>
        <v>0</v>
      </c>
      <c r="T124" s="145">
        <f>IF(テーブル2[[#This Row],[上体]]="",0,(IF(テーブル2[[#This Row],[性別]]="男",LOOKUP(テーブル2[[#This Row],[上体]],$AK$6:$AL$15),LOOKUP(テーブル2[[#This Row],[上体]],$AK$20:$AL$29))))</f>
        <v>0</v>
      </c>
      <c r="U124" s="145">
        <f>IF(テーブル2[[#This Row],[長座]]="",0,(IF(テーブル2[[#This Row],[性別]]="男",LOOKUP(テーブル2[[#This Row],[長座]],$AM$6:$AN$15),LOOKUP(テーブル2[[#This Row],[長座]],$AM$20:$AN$29))))</f>
        <v>0</v>
      </c>
      <c r="V124" s="145">
        <f>IF(テーブル2[[#This Row],[反復]]="",0,(IF(テーブル2[[#This Row],[性別]]="男",LOOKUP(テーブル2[[#This Row],[反復]],$AO$6:$AP$15),LOOKUP(テーブル2[[#This Row],[反復]],$AO$20:$AP$29))))</f>
        <v>0</v>
      </c>
      <c r="W124" s="145">
        <f>IF(テーブル2[[#This Row],[持久走]]="",0,(IF(テーブル2[[#This Row],[性別]]="男",LOOKUP(テーブル2[[#This Row],[持久走]],$AQ$6:$AR$15),LOOKUP(テーブル2[[#This Row],[持久走]],$AQ$20:$AR$29))))</f>
        <v>0</v>
      </c>
      <c r="X124" s="145">
        <f>IF(テーブル2[[#This Row],[ｼｬﾄﾙﾗﾝ]]="",0,(IF(テーブル2[[#This Row],[性別]]="男",LOOKUP(テーブル2[[#This Row],[ｼｬﾄﾙﾗﾝ]],$AS$6:$AT$15),LOOKUP(テーブル2[[#This Row],[ｼｬﾄﾙﾗﾝ]],$AS$20:$AT$29))))</f>
        <v>0</v>
      </c>
      <c r="Y124" s="145">
        <f>IF(テーブル2[[#This Row],[50m走]]="",0,(IF(テーブル2[[#This Row],[性別]]="男",LOOKUP(テーブル2[[#This Row],[50m走]],$AU$6:$AV$15),LOOKUP(テーブル2[[#This Row],[50m走]],$AU$20:$AV$29))))</f>
        <v>0</v>
      </c>
      <c r="Z124" s="145">
        <f>IF(テーブル2[[#This Row],[立幅とび]]="",0,(IF(テーブル2[[#This Row],[性別]]="男",LOOKUP(テーブル2[[#This Row],[立幅とび]],$AW$6:$AX$15),LOOKUP(テーブル2[[#This Row],[立幅とび]],$AW$20:$AX$29))))</f>
        <v>0</v>
      </c>
      <c r="AA124" s="145">
        <f>IF(テーブル2[[#This Row],[ボール投げ]]="",0,(IF(テーブル2[[#This Row],[性別]]="男",LOOKUP(テーブル2[[#This Row],[ボール投げ]],$AY$6:$AZ$15),LOOKUP(テーブル2[[#This Row],[ボール投げ]],$AY$20:$AZ$29))))</f>
        <v>0</v>
      </c>
      <c r="AB124" s="146" t="str">
        <f>IF(テーブル2[[#This Row],[学年]]=1,12,IF(テーブル2[[#This Row],[学年]]=2,13,IF(テーブル2[[#This Row],[学年]]=3,14,"")))</f>
        <v/>
      </c>
      <c r="AC124" s="192" t="str">
        <f>IF(テーブル2[[#This Row],[肥満度数値]]=0,"",LOOKUP(AE124,$AW$39:$AW$44,$AX$39:$AX$44))</f>
        <v/>
      </c>
      <c r="AD12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4" s="77">
        <f>IF(テーブル2[[#This Row],[体重]]="",0,(テーブル2[[#This Row],[体重]]-テーブル2[[#This Row],[標準体重]])/テーブル2[[#This Row],[標準体重]]*100)</f>
        <v>0</v>
      </c>
      <c r="AF124" s="26">
        <f>COUNTA(テーブル2[[#This Row],[握力]:[ボール投げ]])</f>
        <v>0</v>
      </c>
      <c r="AG124" s="1" t="str">
        <f>IF(テーブル2[[#This Row],[判定]]=$BE$10,"○","")</f>
        <v/>
      </c>
      <c r="AH124" s="1" t="str">
        <f>IF(AG124="","",COUNTIF($AG$6:AG124,"○"))</f>
        <v/>
      </c>
    </row>
    <row r="125" spans="1:34" ht="14.25" customHeight="1" x14ac:dyDescent="0.15">
      <c r="A125" s="44">
        <v>120</v>
      </c>
      <c r="B125" s="148"/>
      <c r="C125" s="151"/>
      <c r="D125" s="148"/>
      <c r="E125" s="152"/>
      <c r="F125" s="148"/>
      <c r="G125" s="148"/>
      <c r="H125" s="150"/>
      <c r="I125" s="150"/>
      <c r="J125" s="151"/>
      <c r="K125" s="148"/>
      <c r="L125" s="196"/>
      <c r="M125" s="151"/>
      <c r="N125" s="197"/>
      <c r="O125" s="151"/>
      <c r="P125" s="153"/>
      <c r="Q12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5" s="144" t="str">
        <f>IF(テーブル2[[#This Row],[得点]]=0,"",IF(テーブル2[[#This Row],[年齢]]=17,LOOKUP(Q125,$BH$6:$BH$10,$BE$6:$BE$10),IF(テーブル2[[#This Row],[年齢]]=16,LOOKUP(Q125,$BG$6:$BG$10,$BE$6:$BE$10),IF(テーブル2[[#This Row],[年齢]]=15,LOOKUP(Q125,$BF$6:$BF$10,$BE$6:$BE$10),IF(テーブル2[[#This Row],[年齢]]=14,LOOKUP(Q125,$BD$6:$BD$10,$BE$6:$BE$10),IF(テーブル2[[#This Row],[年齢]]=13,LOOKUP(Q125,$BC$6:$BC$10,$BE$6:$BE$10),LOOKUP(Q125,$BB$6:$BB$10,$BE$6:$BE$10)))))))</f>
        <v/>
      </c>
      <c r="S125" s="145">
        <f>IF(H125="",0,(IF(テーブル2[[#This Row],[性別]]="男",LOOKUP(テーブル2[[#This Row],[握力]],$AI$6:$AJ$15),LOOKUP(テーブル2[[#This Row],[握力]],$AI$20:$AJ$29))))</f>
        <v>0</v>
      </c>
      <c r="T125" s="145">
        <f>IF(テーブル2[[#This Row],[上体]]="",0,(IF(テーブル2[[#This Row],[性別]]="男",LOOKUP(テーブル2[[#This Row],[上体]],$AK$6:$AL$15),LOOKUP(テーブル2[[#This Row],[上体]],$AK$20:$AL$29))))</f>
        <v>0</v>
      </c>
      <c r="U125" s="145">
        <f>IF(テーブル2[[#This Row],[長座]]="",0,(IF(テーブル2[[#This Row],[性別]]="男",LOOKUP(テーブル2[[#This Row],[長座]],$AM$6:$AN$15),LOOKUP(テーブル2[[#This Row],[長座]],$AM$20:$AN$29))))</f>
        <v>0</v>
      </c>
      <c r="V125" s="145">
        <f>IF(テーブル2[[#This Row],[反復]]="",0,(IF(テーブル2[[#This Row],[性別]]="男",LOOKUP(テーブル2[[#This Row],[反復]],$AO$6:$AP$15),LOOKUP(テーブル2[[#This Row],[反復]],$AO$20:$AP$29))))</f>
        <v>0</v>
      </c>
      <c r="W125" s="145">
        <f>IF(テーブル2[[#This Row],[持久走]]="",0,(IF(テーブル2[[#This Row],[性別]]="男",LOOKUP(テーブル2[[#This Row],[持久走]],$AQ$6:$AR$15),LOOKUP(テーブル2[[#This Row],[持久走]],$AQ$20:$AR$29))))</f>
        <v>0</v>
      </c>
      <c r="X125" s="145">
        <f>IF(テーブル2[[#This Row],[ｼｬﾄﾙﾗﾝ]]="",0,(IF(テーブル2[[#This Row],[性別]]="男",LOOKUP(テーブル2[[#This Row],[ｼｬﾄﾙﾗﾝ]],$AS$6:$AT$15),LOOKUP(テーブル2[[#This Row],[ｼｬﾄﾙﾗﾝ]],$AS$20:$AT$29))))</f>
        <v>0</v>
      </c>
      <c r="Y125" s="145">
        <f>IF(テーブル2[[#This Row],[50m走]]="",0,(IF(テーブル2[[#This Row],[性別]]="男",LOOKUP(テーブル2[[#This Row],[50m走]],$AU$6:$AV$15),LOOKUP(テーブル2[[#This Row],[50m走]],$AU$20:$AV$29))))</f>
        <v>0</v>
      </c>
      <c r="Z125" s="145">
        <f>IF(テーブル2[[#This Row],[立幅とび]]="",0,(IF(テーブル2[[#This Row],[性別]]="男",LOOKUP(テーブル2[[#This Row],[立幅とび]],$AW$6:$AX$15),LOOKUP(テーブル2[[#This Row],[立幅とび]],$AW$20:$AX$29))))</f>
        <v>0</v>
      </c>
      <c r="AA125" s="145">
        <f>IF(テーブル2[[#This Row],[ボール投げ]]="",0,(IF(テーブル2[[#This Row],[性別]]="男",LOOKUP(テーブル2[[#This Row],[ボール投げ]],$AY$6:$AZ$15),LOOKUP(テーブル2[[#This Row],[ボール投げ]],$AY$20:$AZ$29))))</f>
        <v>0</v>
      </c>
      <c r="AB125" s="146" t="str">
        <f>IF(テーブル2[[#This Row],[学年]]=1,12,IF(テーブル2[[#This Row],[学年]]=2,13,IF(テーブル2[[#This Row],[学年]]=3,14,"")))</f>
        <v/>
      </c>
      <c r="AC125" s="192" t="str">
        <f>IF(テーブル2[[#This Row],[肥満度数値]]=0,"",LOOKUP(AE125,$AW$39:$AW$44,$AX$39:$AX$44))</f>
        <v/>
      </c>
      <c r="AD12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5" s="77">
        <f>IF(テーブル2[[#This Row],[体重]]="",0,(テーブル2[[#This Row],[体重]]-テーブル2[[#This Row],[標準体重]])/テーブル2[[#This Row],[標準体重]]*100)</f>
        <v>0</v>
      </c>
      <c r="AF125" s="26">
        <f>COUNTA(テーブル2[[#This Row],[握力]:[ボール投げ]])</f>
        <v>0</v>
      </c>
      <c r="AG125" s="1" t="str">
        <f>IF(テーブル2[[#This Row],[判定]]=$BE$10,"○","")</f>
        <v/>
      </c>
      <c r="AH125" s="1" t="str">
        <f>IF(AG125="","",COUNTIF($AG$6:AG125,"○"))</f>
        <v/>
      </c>
    </row>
    <row r="126" spans="1:34" ht="14.25" customHeight="1" x14ac:dyDescent="0.15">
      <c r="A126" s="44">
        <v>121</v>
      </c>
      <c r="B126" s="148"/>
      <c r="C126" s="151"/>
      <c r="D126" s="148"/>
      <c r="E126" s="152"/>
      <c r="F126" s="148"/>
      <c r="G126" s="148"/>
      <c r="H126" s="150"/>
      <c r="I126" s="150"/>
      <c r="J126" s="151"/>
      <c r="K126" s="148"/>
      <c r="L126" s="196"/>
      <c r="M126" s="151"/>
      <c r="N126" s="197"/>
      <c r="O126" s="151"/>
      <c r="P126" s="153"/>
      <c r="Q12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6" s="144" t="str">
        <f>IF(テーブル2[[#This Row],[得点]]=0,"",IF(テーブル2[[#This Row],[年齢]]=17,LOOKUP(Q126,$BH$6:$BH$10,$BE$6:$BE$10),IF(テーブル2[[#This Row],[年齢]]=16,LOOKUP(Q126,$BG$6:$BG$10,$BE$6:$BE$10),IF(テーブル2[[#This Row],[年齢]]=15,LOOKUP(Q126,$BF$6:$BF$10,$BE$6:$BE$10),IF(テーブル2[[#This Row],[年齢]]=14,LOOKUP(Q126,$BD$6:$BD$10,$BE$6:$BE$10),IF(テーブル2[[#This Row],[年齢]]=13,LOOKUP(Q126,$BC$6:$BC$10,$BE$6:$BE$10),LOOKUP(Q126,$BB$6:$BB$10,$BE$6:$BE$10)))))))</f>
        <v/>
      </c>
      <c r="S126" s="145">
        <f>IF(H126="",0,(IF(テーブル2[[#This Row],[性別]]="男",LOOKUP(テーブル2[[#This Row],[握力]],$AI$6:$AJ$15),LOOKUP(テーブル2[[#This Row],[握力]],$AI$20:$AJ$29))))</f>
        <v>0</v>
      </c>
      <c r="T126" s="145">
        <f>IF(テーブル2[[#This Row],[上体]]="",0,(IF(テーブル2[[#This Row],[性別]]="男",LOOKUP(テーブル2[[#This Row],[上体]],$AK$6:$AL$15),LOOKUP(テーブル2[[#This Row],[上体]],$AK$20:$AL$29))))</f>
        <v>0</v>
      </c>
      <c r="U126" s="145">
        <f>IF(テーブル2[[#This Row],[長座]]="",0,(IF(テーブル2[[#This Row],[性別]]="男",LOOKUP(テーブル2[[#This Row],[長座]],$AM$6:$AN$15),LOOKUP(テーブル2[[#This Row],[長座]],$AM$20:$AN$29))))</f>
        <v>0</v>
      </c>
      <c r="V126" s="145">
        <f>IF(テーブル2[[#This Row],[反復]]="",0,(IF(テーブル2[[#This Row],[性別]]="男",LOOKUP(テーブル2[[#This Row],[反復]],$AO$6:$AP$15),LOOKUP(テーブル2[[#This Row],[反復]],$AO$20:$AP$29))))</f>
        <v>0</v>
      </c>
      <c r="W126" s="145">
        <f>IF(テーブル2[[#This Row],[持久走]]="",0,(IF(テーブル2[[#This Row],[性別]]="男",LOOKUP(テーブル2[[#This Row],[持久走]],$AQ$6:$AR$15),LOOKUP(テーブル2[[#This Row],[持久走]],$AQ$20:$AR$29))))</f>
        <v>0</v>
      </c>
      <c r="X126" s="145">
        <f>IF(テーブル2[[#This Row],[ｼｬﾄﾙﾗﾝ]]="",0,(IF(テーブル2[[#This Row],[性別]]="男",LOOKUP(テーブル2[[#This Row],[ｼｬﾄﾙﾗﾝ]],$AS$6:$AT$15),LOOKUP(テーブル2[[#This Row],[ｼｬﾄﾙﾗﾝ]],$AS$20:$AT$29))))</f>
        <v>0</v>
      </c>
      <c r="Y126" s="145">
        <f>IF(テーブル2[[#This Row],[50m走]]="",0,(IF(テーブル2[[#This Row],[性別]]="男",LOOKUP(テーブル2[[#This Row],[50m走]],$AU$6:$AV$15),LOOKUP(テーブル2[[#This Row],[50m走]],$AU$20:$AV$29))))</f>
        <v>0</v>
      </c>
      <c r="Z126" s="145">
        <f>IF(テーブル2[[#This Row],[立幅とび]]="",0,(IF(テーブル2[[#This Row],[性別]]="男",LOOKUP(テーブル2[[#This Row],[立幅とび]],$AW$6:$AX$15),LOOKUP(テーブル2[[#This Row],[立幅とび]],$AW$20:$AX$29))))</f>
        <v>0</v>
      </c>
      <c r="AA126" s="145">
        <f>IF(テーブル2[[#This Row],[ボール投げ]]="",0,(IF(テーブル2[[#This Row],[性別]]="男",LOOKUP(テーブル2[[#This Row],[ボール投げ]],$AY$6:$AZ$15),LOOKUP(テーブル2[[#This Row],[ボール投げ]],$AY$20:$AZ$29))))</f>
        <v>0</v>
      </c>
      <c r="AB126" s="146" t="str">
        <f>IF(テーブル2[[#This Row],[学年]]=1,12,IF(テーブル2[[#This Row],[学年]]=2,13,IF(テーブル2[[#This Row],[学年]]=3,14,"")))</f>
        <v/>
      </c>
      <c r="AC126" s="192" t="str">
        <f>IF(テーブル2[[#This Row],[肥満度数値]]=0,"",LOOKUP(AE126,$AW$39:$AW$44,$AX$39:$AX$44))</f>
        <v/>
      </c>
      <c r="AD12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6" s="77">
        <f>IF(テーブル2[[#This Row],[体重]]="",0,(テーブル2[[#This Row],[体重]]-テーブル2[[#This Row],[標準体重]])/テーブル2[[#This Row],[標準体重]]*100)</f>
        <v>0</v>
      </c>
      <c r="AF126" s="26">
        <f>COUNTA(テーブル2[[#This Row],[握力]:[ボール投げ]])</f>
        <v>0</v>
      </c>
      <c r="AG126" s="1" t="str">
        <f>IF(テーブル2[[#This Row],[判定]]=$BE$10,"○","")</f>
        <v/>
      </c>
      <c r="AH126" s="1" t="str">
        <f>IF(AG126="","",COUNTIF($AG$6:AG126,"○"))</f>
        <v/>
      </c>
    </row>
    <row r="127" spans="1:34" ht="14.25" customHeight="1" x14ac:dyDescent="0.15">
      <c r="A127" s="44">
        <v>122</v>
      </c>
      <c r="B127" s="148"/>
      <c r="C127" s="151"/>
      <c r="D127" s="148"/>
      <c r="E127" s="152"/>
      <c r="F127" s="148"/>
      <c r="G127" s="148"/>
      <c r="H127" s="150"/>
      <c r="I127" s="150"/>
      <c r="J127" s="151"/>
      <c r="K127" s="148"/>
      <c r="L127" s="196"/>
      <c r="M127" s="151"/>
      <c r="N127" s="197"/>
      <c r="O127" s="151"/>
      <c r="P127" s="153"/>
      <c r="Q12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7" s="144" t="str">
        <f>IF(テーブル2[[#This Row],[得点]]=0,"",IF(テーブル2[[#This Row],[年齢]]=17,LOOKUP(Q127,$BH$6:$BH$10,$BE$6:$BE$10),IF(テーブル2[[#This Row],[年齢]]=16,LOOKUP(Q127,$BG$6:$BG$10,$BE$6:$BE$10),IF(テーブル2[[#This Row],[年齢]]=15,LOOKUP(Q127,$BF$6:$BF$10,$BE$6:$BE$10),IF(テーブル2[[#This Row],[年齢]]=14,LOOKUP(Q127,$BD$6:$BD$10,$BE$6:$BE$10),IF(テーブル2[[#This Row],[年齢]]=13,LOOKUP(Q127,$BC$6:$BC$10,$BE$6:$BE$10),LOOKUP(Q127,$BB$6:$BB$10,$BE$6:$BE$10)))))))</f>
        <v/>
      </c>
      <c r="S127" s="145">
        <f>IF(H127="",0,(IF(テーブル2[[#This Row],[性別]]="男",LOOKUP(テーブル2[[#This Row],[握力]],$AI$6:$AJ$15),LOOKUP(テーブル2[[#This Row],[握力]],$AI$20:$AJ$29))))</f>
        <v>0</v>
      </c>
      <c r="T127" s="145">
        <f>IF(テーブル2[[#This Row],[上体]]="",0,(IF(テーブル2[[#This Row],[性別]]="男",LOOKUP(テーブル2[[#This Row],[上体]],$AK$6:$AL$15),LOOKUP(テーブル2[[#This Row],[上体]],$AK$20:$AL$29))))</f>
        <v>0</v>
      </c>
      <c r="U127" s="145">
        <f>IF(テーブル2[[#This Row],[長座]]="",0,(IF(テーブル2[[#This Row],[性別]]="男",LOOKUP(テーブル2[[#This Row],[長座]],$AM$6:$AN$15),LOOKUP(テーブル2[[#This Row],[長座]],$AM$20:$AN$29))))</f>
        <v>0</v>
      </c>
      <c r="V127" s="145">
        <f>IF(テーブル2[[#This Row],[反復]]="",0,(IF(テーブル2[[#This Row],[性別]]="男",LOOKUP(テーブル2[[#This Row],[反復]],$AO$6:$AP$15),LOOKUP(テーブル2[[#This Row],[反復]],$AO$20:$AP$29))))</f>
        <v>0</v>
      </c>
      <c r="W127" s="145">
        <f>IF(テーブル2[[#This Row],[持久走]]="",0,(IF(テーブル2[[#This Row],[性別]]="男",LOOKUP(テーブル2[[#This Row],[持久走]],$AQ$6:$AR$15),LOOKUP(テーブル2[[#This Row],[持久走]],$AQ$20:$AR$29))))</f>
        <v>0</v>
      </c>
      <c r="X127" s="145">
        <f>IF(テーブル2[[#This Row],[ｼｬﾄﾙﾗﾝ]]="",0,(IF(テーブル2[[#This Row],[性別]]="男",LOOKUP(テーブル2[[#This Row],[ｼｬﾄﾙﾗﾝ]],$AS$6:$AT$15),LOOKUP(テーブル2[[#This Row],[ｼｬﾄﾙﾗﾝ]],$AS$20:$AT$29))))</f>
        <v>0</v>
      </c>
      <c r="Y127" s="145">
        <f>IF(テーブル2[[#This Row],[50m走]]="",0,(IF(テーブル2[[#This Row],[性別]]="男",LOOKUP(テーブル2[[#This Row],[50m走]],$AU$6:$AV$15),LOOKUP(テーブル2[[#This Row],[50m走]],$AU$20:$AV$29))))</f>
        <v>0</v>
      </c>
      <c r="Z127" s="145">
        <f>IF(テーブル2[[#This Row],[立幅とび]]="",0,(IF(テーブル2[[#This Row],[性別]]="男",LOOKUP(テーブル2[[#This Row],[立幅とび]],$AW$6:$AX$15),LOOKUP(テーブル2[[#This Row],[立幅とび]],$AW$20:$AX$29))))</f>
        <v>0</v>
      </c>
      <c r="AA127" s="145">
        <f>IF(テーブル2[[#This Row],[ボール投げ]]="",0,(IF(テーブル2[[#This Row],[性別]]="男",LOOKUP(テーブル2[[#This Row],[ボール投げ]],$AY$6:$AZ$15),LOOKUP(テーブル2[[#This Row],[ボール投げ]],$AY$20:$AZ$29))))</f>
        <v>0</v>
      </c>
      <c r="AB127" s="146" t="str">
        <f>IF(テーブル2[[#This Row],[学年]]=1,12,IF(テーブル2[[#This Row],[学年]]=2,13,IF(テーブル2[[#This Row],[学年]]=3,14,"")))</f>
        <v/>
      </c>
      <c r="AC127" s="192" t="str">
        <f>IF(テーブル2[[#This Row],[肥満度数値]]=0,"",LOOKUP(AE127,$AW$39:$AW$44,$AX$39:$AX$44))</f>
        <v/>
      </c>
      <c r="AD12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7" s="77">
        <f>IF(テーブル2[[#This Row],[体重]]="",0,(テーブル2[[#This Row],[体重]]-テーブル2[[#This Row],[標準体重]])/テーブル2[[#This Row],[標準体重]]*100)</f>
        <v>0</v>
      </c>
      <c r="AF127" s="26">
        <f>COUNTA(テーブル2[[#This Row],[握力]:[ボール投げ]])</f>
        <v>0</v>
      </c>
      <c r="AG127" s="1" t="str">
        <f>IF(テーブル2[[#This Row],[判定]]=$BE$10,"○","")</f>
        <v/>
      </c>
      <c r="AH127" s="1" t="str">
        <f>IF(AG127="","",COUNTIF($AG$6:AG127,"○"))</f>
        <v/>
      </c>
    </row>
    <row r="128" spans="1:34" ht="14.25" customHeight="1" x14ac:dyDescent="0.15">
      <c r="A128" s="44">
        <v>123</v>
      </c>
      <c r="B128" s="148"/>
      <c r="C128" s="151"/>
      <c r="D128" s="148"/>
      <c r="E128" s="152"/>
      <c r="F128" s="148"/>
      <c r="G128" s="148"/>
      <c r="H128" s="150"/>
      <c r="I128" s="150"/>
      <c r="J128" s="151"/>
      <c r="K128" s="148"/>
      <c r="L128" s="196"/>
      <c r="M128" s="151"/>
      <c r="N128" s="197"/>
      <c r="O128" s="151"/>
      <c r="P128" s="153"/>
      <c r="Q12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8" s="144" t="str">
        <f>IF(テーブル2[[#This Row],[得点]]=0,"",IF(テーブル2[[#This Row],[年齢]]=17,LOOKUP(Q128,$BH$6:$BH$10,$BE$6:$BE$10),IF(テーブル2[[#This Row],[年齢]]=16,LOOKUP(Q128,$BG$6:$BG$10,$BE$6:$BE$10),IF(テーブル2[[#This Row],[年齢]]=15,LOOKUP(Q128,$BF$6:$BF$10,$BE$6:$BE$10),IF(テーブル2[[#This Row],[年齢]]=14,LOOKUP(Q128,$BD$6:$BD$10,$BE$6:$BE$10),IF(テーブル2[[#This Row],[年齢]]=13,LOOKUP(Q128,$BC$6:$BC$10,$BE$6:$BE$10),LOOKUP(Q128,$BB$6:$BB$10,$BE$6:$BE$10)))))))</f>
        <v/>
      </c>
      <c r="S128" s="145">
        <f>IF(H128="",0,(IF(テーブル2[[#This Row],[性別]]="男",LOOKUP(テーブル2[[#This Row],[握力]],$AI$6:$AJ$15),LOOKUP(テーブル2[[#This Row],[握力]],$AI$20:$AJ$29))))</f>
        <v>0</v>
      </c>
      <c r="T128" s="145">
        <f>IF(テーブル2[[#This Row],[上体]]="",0,(IF(テーブル2[[#This Row],[性別]]="男",LOOKUP(テーブル2[[#This Row],[上体]],$AK$6:$AL$15),LOOKUP(テーブル2[[#This Row],[上体]],$AK$20:$AL$29))))</f>
        <v>0</v>
      </c>
      <c r="U128" s="145">
        <f>IF(テーブル2[[#This Row],[長座]]="",0,(IF(テーブル2[[#This Row],[性別]]="男",LOOKUP(テーブル2[[#This Row],[長座]],$AM$6:$AN$15),LOOKUP(テーブル2[[#This Row],[長座]],$AM$20:$AN$29))))</f>
        <v>0</v>
      </c>
      <c r="V128" s="145">
        <f>IF(テーブル2[[#This Row],[反復]]="",0,(IF(テーブル2[[#This Row],[性別]]="男",LOOKUP(テーブル2[[#This Row],[反復]],$AO$6:$AP$15),LOOKUP(テーブル2[[#This Row],[反復]],$AO$20:$AP$29))))</f>
        <v>0</v>
      </c>
      <c r="W128" s="145">
        <f>IF(テーブル2[[#This Row],[持久走]]="",0,(IF(テーブル2[[#This Row],[性別]]="男",LOOKUP(テーブル2[[#This Row],[持久走]],$AQ$6:$AR$15),LOOKUP(テーブル2[[#This Row],[持久走]],$AQ$20:$AR$29))))</f>
        <v>0</v>
      </c>
      <c r="X128" s="145">
        <f>IF(テーブル2[[#This Row],[ｼｬﾄﾙﾗﾝ]]="",0,(IF(テーブル2[[#This Row],[性別]]="男",LOOKUP(テーブル2[[#This Row],[ｼｬﾄﾙﾗﾝ]],$AS$6:$AT$15),LOOKUP(テーブル2[[#This Row],[ｼｬﾄﾙﾗﾝ]],$AS$20:$AT$29))))</f>
        <v>0</v>
      </c>
      <c r="Y128" s="145">
        <f>IF(テーブル2[[#This Row],[50m走]]="",0,(IF(テーブル2[[#This Row],[性別]]="男",LOOKUP(テーブル2[[#This Row],[50m走]],$AU$6:$AV$15),LOOKUP(テーブル2[[#This Row],[50m走]],$AU$20:$AV$29))))</f>
        <v>0</v>
      </c>
      <c r="Z128" s="145">
        <f>IF(テーブル2[[#This Row],[立幅とび]]="",0,(IF(テーブル2[[#This Row],[性別]]="男",LOOKUP(テーブル2[[#This Row],[立幅とび]],$AW$6:$AX$15),LOOKUP(テーブル2[[#This Row],[立幅とび]],$AW$20:$AX$29))))</f>
        <v>0</v>
      </c>
      <c r="AA128" s="145">
        <f>IF(テーブル2[[#This Row],[ボール投げ]]="",0,(IF(テーブル2[[#This Row],[性別]]="男",LOOKUP(テーブル2[[#This Row],[ボール投げ]],$AY$6:$AZ$15),LOOKUP(テーブル2[[#This Row],[ボール投げ]],$AY$20:$AZ$29))))</f>
        <v>0</v>
      </c>
      <c r="AB128" s="146" t="str">
        <f>IF(テーブル2[[#This Row],[学年]]=1,12,IF(テーブル2[[#This Row],[学年]]=2,13,IF(テーブル2[[#This Row],[学年]]=3,14,"")))</f>
        <v/>
      </c>
      <c r="AC128" s="192" t="str">
        <f>IF(テーブル2[[#This Row],[肥満度数値]]=0,"",LOOKUP(AE128,$AW$39:$AW$44,$AX$39:$AX$44))</f>
        <v/>
      </c>
      <c r="AD12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8" s="77">
        <f>IF(テーブル2[[#This Row],[体重]]="",0,(テーブル2[[#This Row],[体重]]-テーブル2[[#This Row],[標準体重]])/テーブル2[[#This Row],[標準体重]]*100)</f>
        <v>0</v>
      </c>
      <c r="AF128" s="26">
        <f>COUNTA(テーブル2[[#This Row],[握力]:[ボール投げ]])</f>
        <v>0</v>
      </c>
      <c r="AG128" s="1" t="str">
        <f>IF(テーブル2[[#This Row],[判定]]=$BE$10,"○","")</f>
        <v/>
      </c>
      <c r="AH128" s="1" t="str">
        <f>IF(AG128="","",COUNTIF($AG$6:AG128,"○"))</f>
        <v/>
      </c>
    </row>
    <row r="129" spans="1:34" ht="14.25" customHeight="1" x14ac:dyDescent="0.15">
      <c r="A129" s="44">
        <v>124</v>
      </c>
      <c r="B129" s="148"/>
      <c r="C129" s="151"/>
      <c r="D129" s="148"/>
      <c r="E129" s="152"/>
      <c r="F129" s="148"/>
      <c r="G129" s="148"/>
      <c r="H129" s="150"/>
      <c r="I129" s="150"/>
      <c r="J129" s="151"/>
      <c r="K129" s="148"/>
      <c r="L129" s="196"/>
      <c r="M129" s="151"/>
      <c r="N129" s="197"/>
      <c r="O129" s="151"/>
      <c r="P129" s="153"/>
      <c r="Q12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9" s="144" t="str">
        <f>IF(テーブル2[[#This Row],[得点]]=0,"",IF(テーブル2[[#This Row],[年齢]]=17,LOOKUP(Q129,$BH$6:$BH$10,$BE$6:$BE$10),IF(テーブル2[[#This Row],[年齢]]=16,LOOKUP(Q129,$BG$6:$BG$10,$BE$6:$BE$10),IF(テーブル2[[#This Row],[年齢]]=15,LOOKUP(Q129,$BF$6:$BF$10,$BE$6:$BE$10),IF(テーブル2[[#This Row],[年齢]]=14,LOOKUP(Q129,$BD$6:$BD$10,$BE$6:$BE$10),IF(テーブル2[[#This Row],[年齢]]=13,LOOKUP(Q129,$BC$6:$BC$10,$BE$6:$BE$10),LOOKUP(Q129,$BB$6:$BB$10,$BE$6:$BE$10)))))))</f>
        <v/>
      </c>
      <c r="S129" s="145">
        <f>IF(H129="",0,(IF(テーブル2[[#This Row],[性別]]="男",LOOKUP(テーブル2[[#This Row],[握力]],$AI$6:$AJ$15),LOOKUP(テーブル2[[#This Row],[握力]],$AI$20:$AJ$29))))</f>
        <v>0</v>
      </c>
      <c r="T129" s="145">
        <f>IF(テーブル2[[#This Row],[上体]]="",0,(IF(テーブル2[[#This Row],[性別]]="男",LOOKUP(テーブル2[[#This Row],[上体]],$AK$6:$AL$15),LOOKUP(テーブル2[[#This Row],[上体]],$AK$20:$AL$29))))</f>
        <v>0</v>
      </c>
      <c r="U129" s="145">
        <f>IF(テーブル2[[#This Row],[長座]]="",0,(IF(テーブル2[[#This Row],[性別]]="男",LOOKUP(テーブル2[[#This Row],[長座]],$AM$6:$AN$15),LOOKUP(テーブル2[[#This Row],[長座]],$AM$20:$AN$29))))</f>
        <v>0</v>
      </c>
      <c r="V129" s="145">
        <f>IF(テーブル2[[#This Row],[反復]]="",0,(IF(テーブル2[[#This Row],[性別]]="男",LOOKUP(テーブル2[[#This Row],[反復]],$AO$6:$AP$15),LOOKUP(テーブル2[[#This Row],[反復]],$AO$20:$AP$29))))</f>
        <v>0</v>
      </c>
      <c r="W129" s="145">
        <f>IF(テーブル2[[#This Row],[持久走]]="",0,(IF(テーブル2[[#This Row],[性別]]="男",LOOKUP(テーブル2[[#This Row],[持久走]],$AQ$6:$AR$15),LOOKUP(テーブル2[[#This Row],[持久走]],$AQ$20:$AR$29))))</f>
        <v>0</v>
      </c>
      <c r="X129" s="145">
        <f>IF(テーブル2[[#This Row],[ｼｬﾄﾙﾗﾝ]]="",0,(IF(テーブル2[[#This Row],[性別]]="男",LOOKUP(テーブル2[[#This Row],[ｼｬﾄﾙﾗﾝ]],$AS$6:$AT$15),LOOKUP(テーブル2[[#This Row],[ｼｬﾄﾙﾗﾝ]],$AS$20:$AT$29))))</f>
        <v>0</v>
      </c>
      <c r="Y129" s="145">
        <f>IF(テーブル2[[#This Row],[50m走]]="",0,(IF(テーブル2[[#This Row],[性別]]="男",LOOKUP(テーブル2[[#This Row],[50m走]],$AU$6:$AV$15),LOOKUP(テーブル2[[#This Row],[50m走]],$AU$20:$AV$29))))</f>
        <v>0</v>
      </c>
      <c r="Z129" s="145">
        <f>IF(テーブル2[[#This Row],[立幅とび]]="",0,(IF(テーブル2[[#This Row],[性別]]="男",LOOKUP(テーブル2[[#This Row],[立幅とび]],$AW$6:$AX$15),LOOKUP(テーブル2[[#This Row],[立幅とび]],$AW$20:$AX$29))))</f>
        <v>0</v>
      </c>
      <c r="AA129" s="145">
        <f>IF(テーブル2[[#This Row],[ボール投げ]]="",0,(IF(テーブル2[[#This Row],[性別]]="男",LOOKUP(テーブル2[[#This Row],[ボール投げ]],$AY$6:$AZ$15),LOOKUP(テーブル2[[#This Row],[ボール投げ]],$AY$20:$AZ$29))))</f>
        <v>0</v>
      </c>
      <c r="AB129" s="146" t="str">
        <f>IF(テーブル2[[#This Row],[学年]]=1,12,IF(テーブル2[[#This Row],[学年]]=2,13,IF(テーブル2[[#This Row],[学年]]=3,14,"")))</f>
        <v/>
      </c>
      <c r="AC129" s="192" t="str">
        <f>IF(テーブル2[[#This Row],[肥満度数値]]=0,"",LOOKUP(AE129,$AW$39:$AW$44,$AX$39:$AX$44))</f>
        <v/>
      </c>
      <c r="AD12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29" s="77">
        <f>IF(テーブル2[[#This Row],[体重]]="",0,(テーブル2[[#This Row],[体重]]-テーブル2[[#This Row],[標準体重]])/テーブル2[[#This Row],[標準体重]]*100)</f>
        <v>0</v>
      </c>
      <c r="AF129" s="26">
        <f>COUNTA(テーブル2[[#This Row],[握力]:[ボール投げ]])</f>
        <v>0</v>
      </c>
      <c r="AG129" s="1" t="str">
        <f>IF(テーブル2[[#This Row],[判定]]=$BE$10,"○","")</f>
        <v/>
      </c>
      <c r="AH129" s="1" t="str">
        <f>IF(AG129="","",COUNTIF($AG$6:AG129,"○"))</f>
        <v/>
      </c>
    </row>
    <row r="130" spans="1:34" ht="14.25" customHeight="1" x14ac:dyDescent="0.15">
      <c r="A130" s="44">
        <v>125</v>
      </c>
      <c r="B130" s="148"/>
      <c r="C130" s="151"/>
      <c r="D130" s="148"/>
      <c r="E130" s="152"/>
      <c r="F130" s="148"/>
      <c r="G130" s="148"/>
      <c r="H130" s="150"/>
      <c r="I130" s="150"/>
      <c r="J130" s="151"/>
      <c r="K130" s="148"/>
      <c r="L130" s="196"/>
      <c r="M130" s="151"/>
      <c r="N130" s="197"/>
      <c r="O130" s="151"/>
      <c r="P130" s="153"/>
      <c r="Q13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0" s="144" t="str">
        <f>IF(テーブル2[[#This Row],[得点]]=0,"",IF(テーブル2[[#This Row],[年齢]]=17,LOOKUP(Q130,$BH$6:$BH$10,$BE$6:$BE$10),IF(テーブル2[[#This Row],[年齢]]=16,LOOKUP(Q130,$BG$6:$BG$10,$BE$6:$BE$10),IF(テーブル2[[#This Row],[年齢]]=15,LOOKUP(Q130,$BF$6:$BF$10,$BE$6:$BE$10),IF(テーブル2[[#This Row],[年齢]]=14,LOOKUP(Q130,$BD$6:$BD$10,$BE$6:$BE$10),IF(テーブル2[[#This Row],[年齢]]=13,LOOKUP(Q130,$BC$6:$BC$10,$BE$6:$BE$10),LOOKUP(Q130,$BB$6:$BB$10,$BE$6:$BE$10)))))))</f>
        <v/>
      </c>
      <c r="S130" s="145">
        <f>IF(H130="",0,(IF(テーブル2[[#This Row],[性別]]="男",LOOKUP(テーブル2[[#This Row],[握力]],$AI$6:$AJ$15),LOOKUP(テーブル2[[#This Row],[握力]],$AI$20:$AJ$29))))</f>
        <v>0</v>
      </c>
      <c r="T130" s="145">
        <f>IF(テーブル2[[#This Row],[上体]]="",0,(IF(テーブル2[[#This Row],[性別]]="男",LOOKUP(テーブル2[[#This Row],[上体]],$AK$6:$AL$15),LOOKUP(テーブル2[[#This Row],[上体]],$AK$20:$AL$29))))</f>
        <v>0</v>
      </c>
      <c r="U130" s="145">
        <f>IF(テーブル2[[#This Row],[長座]]="",0,(IF(テーブル2[[#This Row],[性別]]="男",LOOKUP(テーブル2[[#This Row],[長座]],$AM$6:$AN$15),LOOKUP(テーブル2[[#This Row],[長座]],$AM$20:$AN$29))))</f>
        <v>0</v>
      </c>
      <c r="V130" s="145">
        <f>IF(テーブル2[[#This Row],[反復]]="",0,(IF(テーブル2[[#This Row],[性別]]="男",LOOKUP(テーブル2[[#This Row],[反復]],$AO$6:$AP$15),LOOKUP(テーブル2[[#This Row],[反復]],$AO$20:$AP$29))))</f>
        <v>0</v>
      </c>
      <c r="W130" s="145">
        <f>IF(テーブル2[[#This Row],[持久走]]="",0,(IF(テーブル2[[#This Row],[性別]]="男",LOOKUP(テーブル2[[#This Row],[持久走]],$AQ$6:$AR$15),LOOKUP(テーブル2[[#This Row],[持久走]],$AQ$20:$AR$29))))</f>
        <v>0</v>
      </c>
      <c r="X130" s="145">
        <f>IF(テーブル2[[#This Row],[ｼｬﾄﾙﾗﾝ]]="",0,(IF(テーブル2[[#This Row],[性別]]="男",LOOKUP(テーブル2[[#This Row],[ｼｬﾄﾙﾗﾝ]],$AS$6:$AT$15),LOOKUP(テーブル2[[#This Row],[ｼｬﾄﾙﾗﾝ]],$AS$20:$AT$29))))</f>
        <v>0</v>
      </c>
      <c r="Y130" s="145">
        <f>IF(テーブル2[[#This Row],[50m走]]="",0,(IF(テーブル2[[#This Row],[性別]]="男",LOOKUP(テーブル2[[#This Row],[50m走]],$AU$6:$AV$15),LOOKUP(テーブル2[[#This Row],[50m走]],$AU$20:$AV$29))))</f>
        <v>0</v>
      </c>
      <c r="Z130" s="145">
        <f>IF(テーブル2[[#This Row],[立幅とび]]="",0,(IF(テーブル2[[#This Row],[性別]]="男",LOOKUP(テーブル2[[#This Row],[立幅とび]],$AW$6:$AX$15),LOOKUP(テーブル2[[#This Row],[立幅とび]],$AW$20:$AX$29))))</f>
        <v>0</v>
      </c>
      <c r="AA130" s="145">
        <f>IF(テーブル2[[#This Row],[ボール投げ]]="",0,(IF(テーブル2[[#This Row],[性別]]="男",LOOKUP(テーブル2[[#This Row],[ボール投げ]],$AY$6:$AZ$15),LOOKUP(テーブル2[[#This Row],[ボール投げ]],$AY$20:$AZ$29))))</f>
        <v>0</v>
      </c>
      <c r="AB130" s="146" t="str">
        <f>IF(テーブル2[[#This Row],[学年]]=1,12,IF(テーブル2[[#This Row],[学年]]=2,13,IF(テーブル2[[#This Row],[学年]]=3,14,"")))</f>
        <v/>
      </c>
      <c r="AC130" s="192" t="str">
        <f>IF(テーブル2[[#This Row],[肥満度数値]]=0,"",LOOKUP(AE130,$AW$39:$AW$44,$AX$39:$AX$44))</f>
        <v/>
      </c>
      <c r="AD13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0" s="77">
        <f>IF(テーブル2[[#This Row],[体重]]="",0,(テーブル2[[#This Row],[体重]]-テーブル2[[#This Row],[標準体重]])/テーブル2[[#This Row],[標準体重]]*100)</f>
        <v>0</v>
      </c>
      <c r="AF130" s="26">
        <f>COUNTA(テーブル2[[#This Row],[握力]:[ボール投げ]])</f>
        <v>0</v>
      </c>
      <c r="AG130" s="1" t="str">
        <f>IF(テーブル2[[#This Row],[判定]]=$BE$10,"○","")</f>
        <v/>
      </c>
      <c r="AH130" s="1" t="str">
        <f>IF(AG130="","",COUNTIF($AG$6:AG130,"○"))</f>
        <v/>
      </c>
    </row>
    <row r="131" spans="1:34" ht="14.25" customHeight="1" x14ac:dyDescent="0.15">
      <c r="A131" s="44">
        <v>126</v>
      </c>
      <c r="B131" s="148"/>
      <c r="C131" s="151"/>
      <c r="D131" s="148"/>
      <c r="E131" s="152"/>
      <c r="F131" s="148"/>
      <c r="G131" s="148"/>
      <c r="H131" s="150"/>
      <c r="I131" s="150"/>
      <c r="J131" s="151"/>
      <c r="K131" s="148"/>
      <c r="L131" s="196"/>
      <c r="M131" s="151"/>
      <c r="N131" s="197"/>
      <c r="O131" s="151"/>
      <c r="P131" s="153"/>
      <c r="Q13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1" s="144" t="str">
        <f>IF(テーブル2[[#This Row],[得点]]=0,"",IF(テーブル2[[#This Row],[年齢]]=17,LOOKUP(Q131,$BH$6:$BH$10,$BE$6:$BE$10),IF(テーブル2[[#This Row],[年齢]]=16,LOOKUP(Q131,$BG$6:$BG$10,$BE$6:$BE$10),IF(テーブル2[[#This Row],[年齢]]=15,LOOKUP(Q131,$BF$6:$BF$10,$BE$6:$BE$10),IF(テーブル2[[#This Row],[年齢]]=14,LOOKUP(Q131,$BD$6:$BD$10,$BE$6:$BE$10),IF(テーブル2[[#This Row],[年齢]]=13,LOOKUP(Q131,$BC$6:$BC$10,$BE$6:$BE$10),LOOKUP(Q131,$BB$6:$BB$10,$BE$6:$BE$10)))))))</f>
        <v/>
      </c>
      <c r="S131" s="145">
        <f>IF(H131="",0,(IF(テーブル2[[#This Row],[性別]]="男",LOOKUP(テーブル2[[#This Row],[握力]],$AI$6:$AJ$15),LOOKUP(テーブル2[[#This Row],[握力]],$AI$20:$AJ$29))))</f>
        <v>0</v>
      </c>
      <c r="T131" s="145">
        <f>IF(テーブル2[[#This Row],[上体]]="",0,(IF(テーブル2[[#This Row],[性別]]="男",LOOKUP(テーブル2[[#This Row],[上体]],$AK$6:$AL$15),LOOKUP(テーブル2[[#This Row],[上体]],$AK$20:$AL$29))))</f>
        <v>0</v>
      </c>
      <c r="U131" s="145">
        <f>IF(テーブル2[[#This Row],[長座]]="",0,(IF(テーブル2[[#This Row],[性別]]="男",LOOKUP(テーブル2[[#This Row],[長座]],$AM$6:$AN$15),LOOKUP(テーブル2[[#This Row],[長座]],$AM$20:$AN$29))))</f>
        <v>0</v>
      </c>
      <c r="V131" s="145">
        <f>IF(テーブル2[[#This Row],[反復]]="",0,(IF(テーブル2[[#This Row],[性別]]="男",LOOKUP(テーブル2[[#This Row],[反復]],$AO$6:$AP$15),LOOKUP(テーブル2[[#This Row],[反復]],$AO$20:$AP$29))))</f>
        <v>0</v>
      </c>
      <c r="W131" s="145">
        <f>IF(テーブル2[[#This Row],[持久走]]="",0,(IF(テーブル2[[#This Row],[性別]]="男",LOOKUP(テーブル2[[#This Row],[持久走]],$AQ$6:$AR$15),LOOKUP(テーブル2[[#This Row],[持久走]],$AQ$20:$AR$29))))</f>
        <v>0</v>
      </c>
      <c r="X131" s="145">
        <f>IF(テーブル2[[#This Row],[ｼｬﾄﾙﾗﾝ]]="",0,(IF(テーブル2[[#This Row],[性別]]="男",LOOKUP(テーブル2[[#This Row],[ｼｬﾄﾙﾗﾝ]],$AS$6:$AT$15),LOOKUP(テーブル2[[#This Row],[ｼｬﾄﾙﾗﾝ]],$AS$20:$AT$29))))</f>
        <v>0</v>
      </c>
      <c r="Y131" s="145">
        <f>IF(テーブル2[[#This Row],[50m走]]="",0,(IF(テーブル2[[#This Row],[性別]]="男",LOOKUP(テーブル2[[#This Row],[50m走]],$AU$6:$AV$15),LOOKUP(テーブル2[[#This Row],[50m走]],$AU$20:$AV$29))))</f>
        <v>0</v>
      </c>
      <c r="Z131" s="145">
        <f>IF(テーブル2[[#This Row],[立幅とび]]="",0,(IF(テーブル2[[#This Row],[性別]]="男",LOOKUP(テーブル2[[#This Row],[立幅とび]],$AW$6:$AX$15),LOOKUP(テーブル2[[#This Row],[立幅とび]],$AW$20:$AX$29))))</f>
        <v>0</v>
      </c>
      <c r="AA131" s="145">
        <f>IF(テーブル2[[#This Row],[ボール投げ]]="",0,(IF(テーブル2[[#This Row],[性別]]="男",LOOKUP(テーブル2[[#This Row],[ボール投げ]],$AY$6:$AZ$15),LOOKUP(テーブル2[[#This Row],[ボール投げ]],$AY$20:$AZ$29))))</f>
        <v>0</v>
      </c>
      <c r="AB131" s="146" t="str">
        <f>IF(テーブル2[[#This Row],[学年]]=1,12,IF(テーブル2[[#This Row],[学年]]=2,13,IF(テーブル2[[#This Row],[学年]]=3,14,"")))</f>
        <v/>
      </c>
      <c r="AC131" s="192" t="str">
        <f>IF(テーブル2[[#This Row],[肥満度数値]]=0,"",LOOKUP(AE131,$AW$39:$AW$44,$AX$39:$AX$44))</f>
        <v/>
      </c>
      <c r="AD13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1" s="77">
        <f>IF(テーブル2[[#This Row],[体重]]="",0,(テーブル2[[#This Row],[体重]]-テーブル2[[#This Row],[標準体重]])/テーブル2[[#This Row],[標準体重]]*100)</f>
        <v>0</v>
      </c>
      <c r="AF131" s="26">
        <f>COUNTA(テーブル2[[#This Row],[握力]:[ボール投げ]])</f>
        <v>0</v>
      </c>
      <c r="AG131" s="1" t="str">
        <f>IF(テーブル2[[#This Row],[判定]]=$BE$10,"○","")</f>
        <v/>
      </c>
      <c r="AH131" s="1" t="str">
        <f>IF(AG131="","",COUNTIF($AG$6:AG131,"○"))</f>
        <v/>
      </c>
    </row>
    <row r="132" spans="1:34" ht="14.25" customHeight="1" x14ac:dyDescent="0.15">
      <c r="A132" s="44">
        <v>127</v>
      </c>
      <c r="B132" s="148"/>
      <c r="C132" s="151"/>
      <c r="D132" s="148"/>
      <c r="E132" s="152"/>
      <c r="F132" s="148"/>
      <c r="G132" s="148"/>
      <c r="H132" s="150"/>
      <c r="I132" s="150"/>
      <c r="J132" s="151"/>
      <c r="K132" s="148"/>
      <c r="L132" s="196"/>
      <c r="M132" s="151"/>
      <c r="N132" s="197"/>
      <c r="O132" s="151"/>
      <c r="P132" s="153"/>
      <c r="Q13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2" s="144" t="str">
        <f>IF(テーブル2[[#This Row],[得点]]=0,"",IF(テーブル2[[#This Row],[年齢]]=17,LOOKUP(Q132,$BH$6:$BH$10,$BE$6:$BE$10),IF(テーブル2[[#This Row],[年齢]]=16,LOOKUP(Q132,$BG$6:$BG$10,$BE$6:$BE$10),IF(テーブル2[[#This Row],[年齢]]=15,LOOKUP(Q132,$BF$6:$BF$10,$BE$6:$BE$10),IF(テーブル2[[#This Row],[年齢]]=14,LOOKUP(Q132,$BD$6:$BD$10,$BE$6:$BE$10),IF(テーブル2[[#This Row],[年齢]]=13,LOOKUP(Q132,$BC$6:$BC$10,$BE$6:$BE$10),LOOKUP(Q132,$BB$6:$BB$10,$BE$6:$BE$10)))))))</f>
        <v/>
      </c>
      <c r="S132" s="145">
        <f>IF(H132="",0,(IF(テーブル2[[#This Row],[性別]]="男",LOOKUP(テーブル2[[#This Row],[握力]],$AI$6:$AJ$15),LOOKUP(テーブル2[[#This Row],[握力]],$AI$20:$AJ$29))))</f>
        <v>0</v>
      </c>
      <c r="T132" s="145">
        <f>IF(テーブル2[[#This Row],[上体]]="",0,(IF(テーブル2[[#This Row],[性別]]="男",LOOKUP(テーブル2[[#This Row],[上体]],$AK$6:$AL$15),LOOKUP(テーブル2[[#This Row],[上体]],$AK$20:$AL$29))))</f>
        <v>0</v>
      </c>
      <c r="U132" s="145">
        <f>IF(テーブル2[[#This Row],[長座]]="",0,(IF(テーブル2[[#This Row],[性別]]="男",LOOKUP(テーブル2[[#This Row],[長座]],$AM$6:$AN$15),LOOKUP(テーブル2[[#This Row],[長座]],$AM$20:$AN$29))))</f>
        <v>0</v>
      </c>
      <c r="V132" s="145">
        <f>IF(テーブル2[[#This Row],[反復]]="",0,(IF(テーブル2[[#This Row],[性別]]="男",LOOKUP(テーブル2[[#This Row],[反復]],$AO$6:$AP$15),LOOKUP(テーブル2[[#This Row],[反復]],$AO$20:$AP$29))))</f>
        <v>0</v>
      </c>
      <c r="W132" s="145">
        <f>IF(テーブル2[[#This Row],[持久走]]="",0,(IF(テーブル2[[#This Row],[性別]]="男",LOOKUP(テーブル2[[#This Row],[持久走]],$AQ$6:$AR$15),LOOKUP(テーブル2[[#This Row],[持久走]],$AQ$20:$AR$29))))</f>
        <v>0</v>
      </c>
      <c r="X132" s="145">
        <f>IF(テーブル2[[#This Row],[ｼｬﾄﾙﾗﾝ]]="",0,(IF(テーブル2[[#This Row],[性別]]="男",LOOKUP(テーブル2[[#This Row],[ｼｬﾄﾙﾗﾝ]],$AS$6:$AT$15),LOOKUP(テーブル2[[#This Row],[ｼｬﾄﾙﾗﾝ]],$AS$20:$AT$29))))</f>
        <v>0</v>
      </c>
      <c r="Y132" s="145">
        <f>IF(テーブル2[[#This Row],[50m走]]="",0,(IF(テーブル2[[#This Row],[性別]]="男",LOOKUP(テーブル2[[#This Row],[50m走]],$AU$6:$AV$15),LOOKUP(テーブル2[[#This Row],[50m走]],$AU$20:$AV$29))))</f>
        <v>0</v>
      </c>
      <c r="Z132" s="145">
        <f>IF(テーブル2[[#This Row],[立幅とび]]="",0,(IF(テーブル2[[#This Row],[性別]]="男",LOOKUP(テーブル2[[#This Row],[立幅とび]],$AW$6:$AX$15),LOOKUP(テーブル2[[#This Row],[立幅とび]],$AW$20:$AX$29))))</f>
        <v>0</v>
      </c>
      <c r="AA132" s="145">
        <f>IF(テーブル2[[#This Row],[ボール投げ]]="",0,(IF(テーブル2[[#This Row],[性別]]="男",LOOKUP(テーブル2[[#This Row],[ボール投げ]],$AY$6:$AZ$15),LOOKUP(テーブル2[[#This Row],[ボール投げ]],$AY$20:$AZ$29))))</f>
        <v>0</v>
      </c>
      <c r="AB132" s="146" t="str">
        <f>IF(テーブル2[[#This Row],[学年]]=1,12,IF(テーブル2[[#This Row],[学年]]=2,13,IF(テーブル2[[#This Row],[学年]]=3,14,"")))</f>
        <v/>
      </c>
      <c r="AC132" s="192" t="str">
        <f>IF(テーブル2[[#This Row],[肥満度数値]]=0,"",LOOKUP(AE132,$AW$39:$AW$44,$AX$39:$AX$44))</f>
        <v/>
      </c>
      <c r="AD13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2" s="77">
        <f>IF(テーブル2[[#This Row],[体重]]="",0,(テーブル2[[#This Row],[体重]]-テーブル2[[#This Row],[標準体重]])/テーブル2[[#This Row],[標準体重]]*100)</f>
        <v>0</v>
      </c>
      <c r="AF132" s="26">
        <f>COUNTA(テーブル2[[#This Row],[握力]:[ボール投げ]])</f>
        <v>0</v>
      </c>
      <c r="AG132" s="1" t="str">
        <f>IF(テーブル2[[#This Row],[判定]]=$BE$10,"○","")</f>
        <v/>
      </c>
      <c r="AH132" s="1" t="str">
        <f>IF(AG132="","",COUNTIF($AG$6:AG132,"○"))</f>
        <v/>
      </c>
    </row>
    <row r="133" spans="1:34" ht="14.25" customHeight="1" x14ac:dyDescent="0.15">
      <c r="A133" s="44">
        <v>128</v>
      </c>
      <c r="B133" s="148"/>
      <c r="C133" s="151"/>
      <c r="D133" s="148"/>
      <c r="E133" s="152"/>
      <c r="F133" s="148"/>
      <c r="G133" s="148"/>
      <c r="H133" s="150"/>
      <c r="I133" s="150"/>
      <c r="J133" s="151"/>
      <c r="K133" s="148"/>
      <c r="L133" s="196"/>
      <c r="M133" s="151"/>
      <c r="N133" s="197"/>
      <c r="O133" s="151"/>
      <c r="P133" s="153"/>
      <c r="Q13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3" s="144" t="str">
        <f>IF(テーブル2[[#This Row],[得点]]=0,"",IF(テーブル2[[#This Row],[年齢]]=17,LOOKUP(Q133,$BH$6:$BH$10,$BE$6:$BE$10),IF(テーブル2[[#This Row],[年齢]]=16,LOOKUP(Q133,$BG$6:$BG$10,$BE$6:$BE$10),IF(テーブル2[[#This Row],[年齢]]=15,LOOKUP(Q133,$BF$6:$BF$10,$BE$6:$BE$10),IF(テーブル2[[#This Row],[年齢]]=14,LOOKUP(Q133,$BD$6:$BD$10,$BE$6:$BE$10),IF(テーブル2[[#This Row],[年齢]]=13,LOOKUP(Q133,$BC$6:$BC$10,$BE$6:$BE$10),LOOKUP(Q133,$BB$6:$BB$10,$BE$6:$BE$10)))))))</f>
        <v/>
      </c>
      <c r="S133" s="145">
        <f>IF(H133="",0,(IF(テーブル2[[#This Row],[性別]]="男",LOOKUP(テーブル2[[#This Row],[握力]],$AI$6:$AJ$15),LOOKUP(テーブル2[[#This Row],[握力]],$AI$20:$AJ$29))))</f>
        <v>0</v>
      </c>
      <c r="T133" s="145">
        <f>IF(テーブル2[[#This Row],[上体]]="",0,(IF(テーブル2[[#This Row],[性別]]="男",LOOKUP(テーブル2[[#This Row],[上体]],$AK$6:$AL$15),LOOKUP(テーブル2[[#This Row],[上体]],$AK$20:$AL$29))))</f>
        <v>0</v>
      </c>
      <c r="U133" s="145">
        <f>IF(テーブル2[[#This Row],[長座]]="",0,(IF(テーブル2[[#This Row],[性別]]="男",LOOKUP(テーブル2[[#This Row],[長座]],$AM$6:$AN$15),LOOKUP(テーブル2[[#This Row],[長座]],$AM$20:$AN$29))))</f>
        <v>0</v>
      </c>
      <c r="V133" s="145">
        <f>IF(テーブル2[[#This Row],[反復]]="",0,(IF(テーブル2[[#This Row],[性別]]="男",LOOKUP(テーブル2[[#This Row],[反復]],$AO$6:$AP$15),LOOKUP(テーブル2[[#This Row],[反復]],$AO$20:$AP$29))))</f>
        <v>0</v>
      </c>
      <c r="W133" s="145">
        <f>IF(テーブル2[[#This Row],[持久走]]="",0,(IF(テーブル2[[#This Row],[性別]]="男",LOOKUP(テーブル2[[#This Row],[持久走]],$AQ$6:$AR$15),LOOKUP(テーブル2[[#This Row],[持久走]],$AQ$20:$AR$29))))</f>
        <v>0</v>
      </c>
      <c r="X133" s="145">
        <f>IF(テーブル2[[#This Row],[ｼｬﾄﾙﾗﾝ]]="",0,(IF(テーブル2[[#This Row],[性別]]="男",LOOKUP(テーブル2[[#This Row],[ｼｬﾄﾙﾗﾝ]],$AS$6:$AT$15),LOOKUP(テーブル2[[#This Row],[ｼｬﾄﾙﾗﾝ]],$AS$20:$AT$29))))</f>
        <v>0</v>
      </c>
      <c r="Y133" s="145">
        <f>IF(テーブル2[[#This Row],[50m走]]="",0,(IF(テーブル2[[#This Row],[性別]]="男",LOOKUP(テーブル2[[#This Row],[50m走]],$AU$6:$AV$15),LOOKUP(テーブル2[[#This Row],[50m走]],$AU$20:$AV$29))))</f>
        <v>0</v>
      </c>
      <c r="Z133" s="145">
        <f>IF(テーブル2[[#This Row],[立幅とび]]="",0,(IF(テーブル2[[#This Row],[性別]]="男",LOOKUP(テーブル2[[#This Row],[立幅とび]],$AW$6:$AX$15),LOOKUP(テーブル2[[#This Row],[立幅とび]],$AW$20:$AX$29))))</f>
        <v>0</v>
      </c>
      <c r="AA133" s="145">
        <f>IF(テーブル2[[#This Row],[ボール投げ]]="",0,(IF(テーブル2[[#This Row],[性別]]="男",LOOKUP(テーブル2[[#This Row],[ボール投げ]],$AY$6:$AZ$15),LOOKUP(テーブル2[[#This Row],[ボール投げ]],$AY$20:$AZ$29))))</f>
        <v>0</v>
      </c>
      <c r="AB133" s="146" t="str">
        <f>IF(テーブル2[[#This Row],[学年]]=1,12,IF(テーブル2[[#This Row],[学年]]=2,13,IF(テーブル2[[#This Row],[学年]]=3,14,"")))</f>
        <v/>
      </c>
      <c r="AC133" s="192" t="str">
        <f>IF(テーブル2[[#This Row],[肥満度数値]]=0,"",LOOKUP(AE133,$AW$39:$AW$44,$AX$39:$AX$44))</f>
        <v/>
      </c>
      <c r="AD13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3" s="77">
        <f>IF(テーブル2[[#This Row],[体重]]="",0,(テーブル2[[#This Row],[体重]]-テーブル2[[#This Row],[標準体重]])/テーブル2[[#This Row],[標準体重]]*100)</f>
        <v>0</v>
      </c>
      <c r="AF133" s="26">
        <f>COUNTA(テーブル2[[#This Row],[握力]:[ボール投げ]])</f>
        <v>0</v>
      </c>
      <c r="AG133" s="1" t="str">
        <f>IF(テーブル2[[#This Row],[判定]]=$BE$10,"○","")</f>
        <v/>
      </c>
      <c r="AH133" s="1" t="str">
        <f>IF(AG133="","",COUNTIF($AG$6:AG133,"○"))</f>
        <v/>
      </c>
    </row>
    <row r="134" spans="1:34" ht="14.25" customHeight="1" x14ac:dyDescent="0.15">
      <c r="A134" s="44">
        <v>129</v>
      </c>
      <c r="B134" s="148"/>
      <c r="C134" s="151"/>
      <c r="D134" s="148"/>
      <c r="E134" s="152"/>
      <c r="F134" s="148"/>
      <c r="G134" s="148"/>
      <c r="H134" s="150"/>
      <c r="I134" s="150"/>
      <c r="J134" s="151"/>
      <c r="K134" s="148"/>
      <c r="L134" s="196"/>
      <c r="M134" s="151"/>
      <c r="N134" s="197"/>
      <c r="O134" s="151"/>
      <c r="P134" s="153"/>
      <c r="Q13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4" s="144" t="str">
        <f>IF(テーブル2[[#This Row],[得点]]=0,"",IF(テーブル2[[#This Row],[年齢]]=17,LOOKUP(Q134,$BH$6:$BH$10,$BE$6:$BE$10),IF(テーブル2[[#This Row],[年齢]]=16,LOOKUP(Q134,$BG$6:$BG$10,$BE$6:$BE$10),IF(テーブル2[[#This Row],[年齢]]=15,LOOKUP(Q134,$BF$6:$BF$10,$BE$6:$BE$10),IF(テーブル2[[#This Row],[年齢]]=14,LOOKUP(Q134,$BD$6:$BD$10,$BE$6:$BE$10),IF(テーブル2[[#This Row],[年齢]]=13,LOOKUP(Q134,$BC$6:$BC$10,$BE$6:$BE$10),LOOKUP(Q134,$BB$6:$BB$10,$BE$6:$BE$10)))))))</f>
        <v/>
      </c>
      <c r="S134" s="145">
        <f>IF(H134="",0,(IF(テーブル2[[#This Row],[性別]]="男",LOOKUP(テーブル2[[#This Row],[握力]],$AI$6:$AJ$15),LOOKUP(テーブル2[[#This Row],[握力]],$AI$20:$AJ$29))))</f>
        <v>0</v>
      </c>
      <c r="T134" s="145">
        <f>IF(テーブル2[[#This Row],[上体]]="",0,(IF(テーブル2[[#This Row],[性別]]="男",LOOKUP(テーブル2[[#This Row],[上体]],$AK$6:$AL$15),LOOKUP(テーブル2[[#This Row],[上体]],$AK$20:$AL$29))))</f>
        <v>0</v>
      </c>
      <c r="U134" s="145">
        <f>IF(テーブル2[[#This Row],[長座]]="",0,(IF(テーブル2[[#This Row],[性別]]="男",LOOKUP(テーブル2[[#This Row],[長座]],$AM$6:$AN$15),LOOKUP(テーブル2[[#This Row],[長座]],$AM$20:$AN$29))))</f>
        <v>0</v>
      </c>
      <c r="V134" s="145">
        <f>IF(テーブル2[[#This Row],[反復]]="",0,(IF(テーブル2[[#This Row],[性別]]="男",LOOKUP(テーブル2[[#This Row],[反復]],$AO$6:$AP$15),LOOKUP(テーブル2[[#This Row],[反復]],$AO$20:$AP$29))))</f>
        <v>0</v>
      </c>
      <c r="W134" s="145">
        <f>IF(テーブル2[[#This Row],[持久走]]="",0,(IF(テーブル2[[#This Row],[性別]]="男",LOOKUP(テーブル2[[#This Row],[持久走]],$AQ$6:$AR$15),LOOKUP(テーブル2[[#This Row],[持久走]],$AQ$20:$AR$29))))</f>
        <v>0</v>
      </c>
      <c r="X134" s="145">
        <f>IF(テーブル2[[#This Row],[ｼｬﾄﾙﾗﾝ]]="",0,(IF(テーブル2[[#This Row],[性別]]="男",LOOKUP(テーブル2[[#This Row],[ｼｬﾄﾙﾗﾝ]],$AS$6:$AT$15),LOOKUP(テーブル2[[#This Row],[ｼｬﾄﾙﾗﾝ]],$AS$20:$AT$29))))</f>
        <v>0</v>
      </c>
      <c r="Y134" s="145">
        <f>IF(テーブル2[[#This Row],[50m走]]="",0,(IF(テーブル2[[#This Row],[性別]]="男",LOOKUP(テーブル2[[#This Row],[50m走]],$AU$6:$AV$15),LOOKUP(テーブル2[[#This Row],[50m走]],$AU$20:$AV$29))))</f>
        <v>0</v>
      </c>
      <c r="Z134" s="145">
        <f>IF(テーブル2[[#This Row],[立幅とび]]="",0,(IF(テーブル2[[#This Row],[性別]]="男",LOOKUP(テーブル2[[#This Row],[立幅とび]],$AW$6:$AX$15),LOOKUP(テーブル2[[#This Row],[立幅とび]],$AW$20:$AX$29))))</f>
        <v>0</v>
      </c>
      <c r="AA134" s="145">
        <f>IF(テーブル2[[#This Row],[ボール投げ]]="",0,(IF(テーブル2[[#This Row],[性別]]="男",LOOKUP(テーブル2[[#This Row],[ボール投げ]],$AY$6:$AZ$15),LOOKUP(テーブル2[[#This Row],[ボール投げ]],$AY$20:$AZ$29))))</f>
        <v>0</v>
      </c>
      <c r="AB134" s="146" t="str">
        <f>IF(テーブル2[[#This Row],[学年]]=1,12,IF(テーブル2[[#This Row],[学年]]=2,13,IF(テーブル2[[#This Row],[学年]]=3,14,"")))</f>
        <v/>
      </c>
      <c r="AC134" s="192" t="str">
        <f>IF(テーブル2[[#This Row],[肥満度数値]]=0,"",LOOKUP(AE134,$AW$39:$AW$44,$AX$39:$AX$44))</f>
        <v/>
      </c>
      <c r="AD13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4" s="77">
        <f>IF(テーブル2[[#This Row],[体重]]="",0,(テーブル2[[#This Row],[体重]]-テーブル2[[#This Row],[標準体重]])/テーブル2[[#This Row],[標準体重]]*100)</f>
        <v>0</v>
      </c>
      <c r="AF134" s="26">
        <f>COUNTA(テーブル2[[#This Row],[握力]:[ボール投げ]])</f>
        <v>0</v>
      </c>
      <c r="AG134" s="1" t="str">
        <f>IF(テーブル2[[#This Row],[判定]]=$BE$10,"○","")</f>
        <v/>
      </c>
      <c r="AH134" s="1" t="str">
        <f>IF(AG134="","",COUNTIF($AG$6:AG134,"○"))</f>
        <v/>
      </c>
    </row>
    <row r="135" spans="1:34" ht="14.25" customHeight="1" x14ac:dyDescent="0.15">
      <c r="A135" s="44">
        <v>130</v>
      </c>
      <c r="B135" s="148"/>
      <c r="C135" s="151"/>
      <c r="D135" s="148"/>
      <c r="E135" s="152"/>
      <c r="F135" s="148"/>
      <c r="G135" s="148"/>
      <c r="H135" s="150"/>
      <c r="I135" s="150"/>
      <c r="J135" s="151"/>
      <c r="K135" s="148"/>
      <c r="L135" s="196"/>
      <c r="M135" s="151"/>
      <c r="N135" s="197"/>
      <c r="O135" s="151"/>
      <c r="P135" s="153"/>
      <c r="Q13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5" s="144" t="str">
        <f>IF(テーブル2[[#This Row],[得点]]=0,"",IF(テーブル2[[#This Row],[年齢]]=17,LOOKUP(Q135,$BH$6:$BH$10,$BE$6:$BE$10),IF(テーブル2[[#This Row],[年齢]]=16,LOOKUP(Q135,$BG$6:$BG$10,$BE$6:$BE$10),IF(テーブル2[[#This Row],[年齢]]=15,LOOKUP(Q135,$BF$6:$BF$10,$BE$6:$BE$10),IF(テーブル2[[#This Row],[年齢]]=14,LOOKUP(Q135,$BD$6:$BD$10,$BE$6:$BE$10),IF(テーブル2[[#This Row],[年齢]]=13,LOOKUP(Q135,$BC$6:$BC$10,$BE$6:$BE$10),LOOKUP(Q135,$BB$6:$BB$10,$BE$6:$BE$10)))))))</f>
        <v/>
      </c>
      <c r="S135" s="145">
        <f>IF(H135="",0,(IF(テーブル2[[#This Row],[性別]]="男",LOOKUP(テーブル2[[#This Row],[握力]],$AI$6:$AJ$15),LOOKUP(テーブル2[[#This Row],[握力]],$AI$20:$AJ$29))))</f>
        <v>0</v>
      </c>
      <c r="T135" s="145">
        <f>IF(テーブル2[[#This Row],[上体]]="",0,(IF(テーブル2[[#This Row],[性別]]="男",LOOKUP(テーブル2[[#This Row],[上体]],$AK$6:$AL$15),LOOKUP(テーブル2[[#This Row],[上体]],$AK$20:$AL$29))))</f>
        <v>0</v>
      </c>
      <c r="U135" s="145">
        <f>IF(テーブル2[[#This Row],[長座]]="",0,(IF(テーブル2[[#This Row],[性別]]="男",LOOKUP(テーブル2[[#This Row],[長座]],$AM$6:$AN$15),LOOKUP(テーブル2[[#This Row],[長座]],$AM$20:$AN$29))))</f>
        <v>0</v>
      </c>
      <c r="V135" s="145">
        <f>IF(テーブル2[[#This Row],[反復]]="",0,(IF(テーブル2[[#This Row],[性別]]="男",LOOKUP(テーブル2[[#This Row],[反復]],$AO$6:$AP$15),LOOKUP(テーブル2[[#This Row],[反復]],$AO$20:$AP$29))))</f>
        <v>0</v>
      </c>
      <c r="W135" s="145">
        <f>IF(テーブル2[[#This Row],[持久走]]="",0,(IF(テーブル2[[#This Row],[性別]]="男",LOOKUP(テーブル2[[#This Row],[持久走]],$AQ$6:$AR$15),LOOKUP(テーブル2[[#This Row],[持久走]],$AQ$20:$AR$29))))</f>
        <v>0</v>
      </c>
      <c r="X135" s="145">
        <f>IF(テーブル2[[#This Row],[ｼｬﾄﾙﾗﾝ]]="",0,(IF(テーブル2[[#This Row],[性別]]="男",LOOKUP(テーブル2[[#This Row],[ｼｬﾄﾙﾗﾝ]],$AS$6:$AT$15),LOOKUP(テーブル2[[#This Row],[ｼｬﾄﾙﾗﾝ]],$AS$20:$AT$29))))</f>
        <v>0</v>
      </c>
      <c r="Y135" s="145">
        <f>IF(テーブル2[[#This Row],[50m走]]="",0,(IF(テーブル2[[#This Row],[性別]]="男",LOOKUP(テーブル2[[#This Row],[50m走]],$AU$6:$AV$15),LOOKUP(テーブル2[[#This Row],[50m走]],$AU$20:$AV$29))))</f>
        <v>0</v>
      </c>
      <c r="Z135" s="145">
        <f>IF(テーブル2[[#This Row],[立幅とび]]="",0,(IF(テーブル2[[#This Row],[性別]]="男",LOOKUP(テーブル2[[#This Row],[立幅とび]],$AW$6:$AX$15),LOOKUP(テーブル2[[#This Row],[立幅とび]],$AW$20:$AX$29))))</f>
        <v>0</v>
      </c>
      <c r="AA135" s="145">
        <f>IF(テーブル2[[#This Row],[ボール投げ]]="",0,(IF(テーブル2[[#This Row],[性別]]="男",LOOKUP(テーブル2[[#This Row],[ボール投げ]],$AY$6:$AZ$15),LOOKUP(テーブル2[[#This Row],[ボール投げ]],$AY$20:$AZ$29))))</f>
        <v>0</v>
      </c>
      <c r="AB135" s="146" t="str">
        <f>IF(テーブル2[[#This Row],[学年]]=1,12,IF(テーブル2[[#This Row],[学年]]=2,13,IF(テーブル2[[#This Row],[学年]]=3,14,"")))</f>
        <v/>
      </c>
      <c r="AC135" s="192" t="str">
        <f>IF(テーブル2[[#This Row],[肥満度数値]]=0,"",LOOKUP(AE135,$AW$39:$AW$44,$AX$39:$AX$44))</f>
        <v/>
      </c>
      <c r="AD13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5" s="77">
        <f>IF(テーブル2[[#This Row],[体重]]="",0,(テーブル2[[#This Row],[体重]]-テーブル2[[#This Row],[標準体重]])/テーブル2[[#This Row],[標準体重]]*100)</f>
        <v>0</v>
      </c>
      <c r="AF135" s="26">
        <f>COUNTA(テーブル2[[#This Row],[握力]:[ボール投げ]])</f>
        <v>0</v>
      </c>
      <c r="AG135" s="1" t="str">
        <f>IF(テーブル2[[#This Row],[判定]]=$BE$10,"○","")</f>
        <v/>
      </c>
      <c r="AH135" s="1" t="str">
        <f>IF(AG135="","",COUNTIF($AG$6:AG135,"○"))</f>
        <v/>
      </c>
    </row>
    <row r="136" spans="1:34" ht="14.25" customHeight="1" x14ac:dyDescent="0.15">
      <c r="A136" s="44">
        <v>131</v>
      </c>
      <c r="B136" s="148"/>
      <c r="C136" s="151"/>
      <c r="D136" s="148"/>
      <c r="E136" s="152"/>
      <c r="F136" s="148"/>
      <c r="G136" s="148"/>
      <c r="H136" s="150"/>
      <c r="I136" s="150"/>
      <c r="J136" s="151"/>
      <c r="K136" s="148"/>
      <c r="L136" s="196"/>
      <c r="M136" s="151"/>
      <c r="N136" s="197"/>
      <c r="O136" s="151"/>
      <c r="P136" s="153"/>
      <c r="Q13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6" s="144" t="str">
        <f>IF(テーブル2[[#This Row],[得点]]=0,"",IF(テーブル2[[#This Row],[年齢]]=17,LOOKUP(Q136,$BH$6:$BH$10,$BE$6:$BE$10),IF(テーブル2[[#This Row],[年齢]]=16,LOOKUP(Q136,$BG$6:$BG$10,$BE$6:$BE$10),IF(テーブル2[[#This Row],[年齢]]=15,LOOKUP(Q136,$BF$6:$BF$10,$BE$6:$BE$10),IF(テーブル2[[#This Row],[年齢]]=14,LOOKUP(Q136,$BD$6:$BD$10,$BE$6:$BE$10),IF(テーブル2[[#This Row],[年齢]]=13,LOOKUP(Q136,$BC$6:$BC$10,$BE$6:$BE$10),LOOKUP(Q136,$BB$6:$BB$10,$BE$6:$BE$10)))))))</f>
        <v/>
      </c>
      <c r="S136" s="145">
        <f>IF(H136="",0,(IF(テーブル2[[#This Row],[性別]]="男",LOOKUP(テーブル2[[#This Row],[握力]],$AI$6:$AJ$15),LOOKUP(テーブル2[[#This Row],[握力]],$AI$20:$AJ$29))))</f>
        <v>0</v>
      </c>
      <c r="T136" s="145">
        <f>IF(テーブル2[[#This Row],[上体]]="",0,(IF(テーブル2[[#This Row],[性別]]="男",LOOKUP(テーブル2[[#This Row],[上体]],$AK$6:$AL$15),LOOKUP(テーブル2[[#This Row],[上体]],$AK$20:$AL$29))))</f>
        <v>0</v>
      </c>
      <c r="U136" s="145">
        <f>IF(テーブル2[[#This Row],[長座]]="",0,(IF(テーブル2[[#This Row],[性別]]="男",LOOKUP(テーブル2[[#This Row],[長座]],$AM$6:$AN$15),LOOKUP(テーブル2[[#This Row],[長座]],$AM$20:$AN$29))))</f>
        <v>0</v>
      </c>
      <c r="V136" s="145">
        <f>IF(テーブル2[[#This Row],[反復]]="",0,(IF(テーブル2[[#This Row],[性別]]="男",LOOKUP(テーブル2[[#This Row],[反復]],$AO$6:$AP$15),LOOKUP(テーブル2[[#This Row],[反復]],$AO$20:$AP$29))))</f>
        <v>0</v>
      </c>
      <c r="W136" s="145">
        <f>IF(テーブル2[[#This Row],[持久走]]="",0,(IF(テーブル2[[#This Row],[性別]]="男",LOOKUP(テーブル2[[#This Row],[持久走]],$AQ$6:$AR$15),LOOKUP(テーブル2[[#This Row],[持久走]],$AQ$20:$AR$29))))</f>
        <v>0</v>
      </c>
      <c r="X136" s="145">
        <f>IF(テーブル2[[#This Row],[ｼｬﾄﾙﾗﾝ]]="",0,(IF(テーブル2[[#This Row],[性別]]="男",LOOKUP(テーブル2[[#This Row],[ｼｬﾄﾙﾗﾝ]],$AS$6:$AT$15),LOOKUP(テーブル2[[#This Row],[ｼｬﾄﾙﾗﾝ]],$AS$20:$AT$29))))</f>
        <v>0</v>
      </c>
      <c r="Y136" s="145">
        <f>IF(テーブル2[[#This Row],[50m走]]="",0,(IF(テーブル2[[#This Row],[性別]]="男",LOOKUP(テーブル2[[#This Row],[50m走]],$AU$6:$AV$15),LOOKUP(テーブル2[[#This Row],[50m走]],$AU$20:$AV$29))))</f>
        <v>0</v>
      </c>
      <c r="Z136" s="145">
        <f>IF(テーブル2[[#This Row],[立幅とび]]="",0,(IF(テーブル2[[#This Row],[性別]]="男",LOOKUP(テーブル2[[#This Row],[立幅とび]],$AW$6:$AX$15),LOOKUP(テーブル2[[#This Row],[立幅とび]],$AW$20:$AX$29))))</f>
        <v>0</v>
      </c>
      <c r="AA136" s="145">
        <f>IF(テーブル2[[#This Row],[ボール投げ]]="",0,(IF(テーブル2[[#This Row],[性別]]="男",LOOKUP(テーブル2[[#This Row],[ボール投げ]],$AY$6:$AZ$15),LOOKUP(テーブル2[[#This Row],[ボール投げ]],$AY$20:$AZ$29))))</f>
        <v>0</v>
      </c>
      <c r="AB136" s="146" t="str">
        <f>IF(テーブル2[[#This Row],[学年]]=1,12,IF(テーブル2[[#This Row],[学年]]=2,13,IF(テーブル2[[#This Row],[学年]]=3,14,"")))</f>
        <v/>
      </c>
      <c r="AC136" s="192" t="str">
        <f>IF(テーブル2[[#This Row],[肥満度数値]]=0,"",LOOKUP(AE136,$AW$39:$AW$44,$AX$39:$AX$44))</f>
        <v/>
      </c>
      <c r="AD13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6" s="77">
        <f>IF(テーブル2[[#This Row],[体重]]="",0,(テーブル2[[#This Row],[体重]]-テーブル2[[#This Row],[標準体重]])/テーブル2[[#This Row],[標準体重]]*100)</f>
        <v>0</v>
      </c>
      <c r="AF136" s="26">
        <f>COUNTA(テーブル2[[#This Row],[握力]:[ボール投げ]])</f>
        <v>0</v>
      </c>
      <c r="AG136" s="1" t="str">
        <f>IF(テーブル2[[#This Row],[判定]]=$BE$10,"○","")</f>
        <v/>
      </c>
      <c r="AH136" s="1" t="str">
        <f>IF(AG136="","",COUNTIF($AG$6:AG136,"○"))</f>
        <v/>
      </c>
    </row>
    <row r="137" spans="1:34" ht="14.25" customHeight="1" x14ac:dyDescent="0.15">
      <c r="A137" s="44">
        <v>132</v>
      </c>
      <c r="B137" s="148"/>
      <c r="C137" s="151"/>
      <c r="D137" s="148"/>
      <c r="E137" s="152"/>
      <c r="F137" s="148"/>
      <c r="G137" s="148"/>
      <c r="H137" s="150"/>
      <c r="I137" s="150"/>
      <c r="J137" s="151"/>
      <c r="K137" s="148"/>
      <c r="L137" s="196"/>
      <c r="M137" s="151"/>
      <c r="N137" s="197"/>
      <c r="O137" s="151"/>
      <c r="P137" s="153"/>
      <c r="Q13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7" s="144" t="str">
        <f>IF(テーブル2[[#This Row],[得点]]=0,"",IF(テーブル2[[#This Row],[年齢]]=17,LOOKUP(Q137,$BH$6:$BH$10,$BE$6:$BE$10),IF(テーブル2[[#This Row],[年齢]]=16,LOOKUP(Q137,$BG$6:$BG$10,$BE$6:$BE$10),IF(テーブル2[[#This Row],[年齢]]=15,LOOKUP(Q137,$BF$6:$BF$10,$BE$6:$BE$10),IF(テーブル2[[#This Row],[年齢]]=14,LOOKUP(Q137,$BD$6:$BD$10,$BE$6:$BE$10),IF(テーブル2[[#This Row],[年齢]]=13,LOOKUP(Q137,$BC$6:$BC$10,$BE$6:$BE$10),LOOKUP(Q137,$BB$6:$BB$10,$BE$6:$BE$10)))))))</f>
        <v/>
      </c>
      <c r="S137" s="145">
        <f>IF(H137="",0,(IF(テーブル2[[#This Row],[性別]]="男",LOOKUP(テーブル2[[#This Row],[握力]],$AI$6:$AJ$15),LOOKUP(テーブル2[[#This Row],[握力]],$AI$20:$AJ$29))))</f>
        <v>0</v>
      </c>
      <c r="T137" s="145">
        <f>IF(テーブル2[[#This Row],[上体]]="",0,(IF(テーブル2[[#This Row],[性別]]="男",LOOKUP(テーブル2[[#This Row],[上体]],$AK$6:$AL$15),LOOKUP(テーブル2[[#This Row],[上体]],$AK$20:$AL$29))))</f>
        <v>0</v>
      </c>
      <c r="U137" s="145">
        <f>IF(テーブル2[[#This Row],[長座]]="",0,(IF(テーブル2[[#This Row],[性別]]="男",LOOKUP(テーブル2[[#This Row],[長座]],$AM$6:$AN$15),LOOKUP(テーブル2[[#This Row],[長座]],$AM$20:$AN$29))))</f>
        <v>0</v>
      </c>
      <c r="V137" s="145">
        <f>IF(テーブル2[[#This Row],[反復]]="",0,(IF(テーブル2[[#This Row],[性別]]="男",LOOKUP(テーブル2[[#This Row],[反復]],$AO$6:$AP$15),LOOKUP(テーブル2[[#This Row],[反復]],$AO$20:$AP$29))))</f>
        <v>0</v>
      </c>
      <c r="W137" s="145">
        <f>IF(テーブル2[[#This Row],[持久走]]="",0,(IF(テーブル2[[#This Row],[性別]]="男",LOOKUP(テーブル2[[#This Row],[持久走]],$AQ$6:$AR$15),LOOKUP(テーブル2[[#This Row],[持久走]],$AQ$20:$AR$29))))</f>
        <v>0</v>
      </c>
      <c r="X137" s="145">
        <f>IF(テーブル2[[#This Row],[ｼｬﾄﾙﾗﾝ]]="",0,(IF(テーブル2[[#This Row],[性別]]="男",LOOKUP(テーブル2[[#This Row],[ｼｬﾄﾙﾗﾝ]],$AS$6:$AT$15),LOOKUP(テーブル2[[#This Row],[ｼｬﾄﾙﾗﾝ]],$AS$20:$AT$29))))</f>
        <v>0</v>
      </c>
      <c r="Y137" s="145">
        <f>IF(テーブル2[[#This Row],[50m走]]="",0,(IF(テーブル2[[#This Row],[性別]]="男",LOOKUP(テーブル2[[#This Row],[50m走]],$AU$6:$AV$15),LOOKUP(テーブル2[[#This Row],[50m走]],$AU$20:$AV$29))))</f>
        <v>0</v>
      </c>
      <c r="Z137" s="145">
        <f>IF(テーブル2[[#This Row],[立幅とび]]="",0,(IF(テーブル2[[#This Row],[性別]]="男",LOOKUP(テーブル2[[#This Row],[立幅とび]],$AW$6:$AX$15),LOOKUP(テーブル2[[#This Row],[立幅とび]],$AW$20:$AX$29))))</f>
        <v>0</v>
      </c>
      <c r="AA137" s="145">
        <f>IF(テーブル2[[#This Row],[ボール投げ]]="",0,(IF(テーブル2[[#This Row],[性別]]="男",LOOKUP(テーブル2[[#This Row],[ボール投げ]],$AY$6:$AZ$15),LOOKUP(テーブル2[[#This Row],[ボール投げ]],$AY$20:$AZ$29))))</f>
        <v>0</v>
      </c>
      <c r="AB137" s="146" t="str">
        <f>IF(テーブル2[[#This Row],[学年]]=1,12,IF(テーブル2[[#This Row],[学年]]=2,13,IF(テーブル2[[#This Row],[学年]]=3,14,"")))</f>
        <v/>
      </c>
      <c r="AC137" s="192" t="str">
        <f>IF(テーブル2[[#This Row],[肥満度数値]]=0,"",LOOKUP(AE137,$AW$39:$AW$44,$AX$39:$AX$44))</f>
        <v/>
      </c>
      <c r="AD13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7" s="77">
        <f>IF(テーブル2[[#This Row],[体重]]="",0,(テーブル2[[#This Row],[体重]]-テーブル2[[#This Row],[標準体重]])/テーブル2[[#This Row],[標準体重]]*100)</f>
        <v>0</v>
      </c>
      <c r="AF137" s="26">
        <f>COUNTA(テーブル2[[#This Row],[握力]:[ボール投げ]])</f>
        <v>0</v>
      </c>
      <c r="AG137" s="1" t="str">
        <f>IF(テーブル2[[#This Row],[判定]]=$BE$10,"○","")</f>
        <v/>
      </c>
      <c r="AH137" s="1" t="str">
        <f>IF(AG137="","",COUNTIF($AG$6:AG137,"○"))</f>
        <v/>
      </c>
    </row>
    <row r="138" spans="1:34" ht="14.25" customHeight="1" x14ac:dyDescent="0.15">
      <c r="A138" s="44">
        <v>133</v>
      </c>
      <c r="B138" s="148"/>
      <c r="C138" s="151"/>
      <c r="D138" s="148"/>
      <c r="E138" s="152"/>
      <c r="F138" s="148"/>
      <c r="G138" s="148"/>
      <c r="H138" s="150"/>
      <c r="I138" s="150"/>
      <c r="J138" s="151"/>
      <c r="K138" s="148"/>
      <c r="L138" s="196"/>
      <c r="M138" s="151"/>
      <c r="N138" s="197"/>
      <c r="O138" s="151"/>
      <c r="P138" s="153"/>
      <c r="Q13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8" s="144" t="str">
        <f>IF(テーブル2[[#This Row],[得点]]=0,"",IF(テーブル2[[#This Row],[年齢]]=17,LOOKUP(Q138,$BH$6:$BH$10,$BE$6:$BE$10),IF(テーブル2[[#This Row],[年齢]]=16,LOOKUP(Q138,$BG$6:$BG$10,$BE$6:$BE$10),IF(テーブル2[[#This Row],[年齢]]=15,LOOKUP(Q138,$BF$6:$BF$10,$BE$6:$BE$10),IF(テーブル2[[#This Row],[年齢]]=14,LOOKUP(Q138,$BD$6:$BD$10,$BE$6:$BE$10),IF(テーブル2[[#This Row],[年齢]]=13,LOOKUP(Q138,$BC$6:$BC$10,$BE$6:$BE$10),LOOKUP(Q138,$BB$6:$BB$10,$BE$6:$BE$10)))))))</f>
        <v/>
      </c>
      <c r="S138" s="145">
        <f>IF(H138="",0,(IF(テーブル2[[#This Row],[性別]]="男",LOOKUP(テーブル2[[#This Row],[握力]],$AI$6:$AJ$15),LOOKUP(テーブル2[[#This Row],[握力]],$AI$20:$AJ$29))))</f>
        <v>0</v>
      </c>
      <c r="T138" s="145">
        <f>IF(テーブル2[[#This Row],[上体]]="",0,(IF(テーブル2[[#This Row],[性別]]="男",LOOKUP(テーブル2[[#This Row],[上体]],$AK$6:$AL$15),LOOKUP(テーブル2[[#This Row],[上体]],$AK$20:$AL$29))))</f>
        <v>0</v>
      </c>
      <c r="U138" s="145">
        <f>IF(テーブル2[[#This Row],[長座]]="",0,(IF(テーブル2[[#This Row],[性別]]="男",LOOKUP(テーブル2[[#This Row],[長座]],$AM$6:$AN$15),LOOKUP(テーブル2[[#This Row],[長座]],$AM$20:$AN$29))))</f>
        <v>0</v>
      </c>
      <c r="V138" s="145">
        <f>IF(テーブル2[[#This Row],[反復]]="",0,(IF(テーブル2[[#This Row],[性別]]="男",LOOKUP(テーブル2[[#This Row],[反復]],$AO$6:$AP$15),LOOKUP(テーブル2[[#This Row],[反復]],$AO$20:$AP$29))))</f>
        <v>0</v>
      </c>
      <c r="W138" s="145">
        <f>IF(テーブル2[[#This Row],[持久走]]="",0,(IF(テーブル2[[#This Row],[性別]]="男",LOOKUP(テーブル2[[#This Row],[持久走]],$AQ$6:$AR$15),LOOKUP(テーブル2[[#This Row],[持久走]],$AQ$20:$AR$29))))</f>
        <v>0</v>
      </c>
      <c r="X138" s="145">
        <f>IF(テーブル2[[#This Row],[ｼｬﾄﾙﾗﾝ]]="",0,(IF(テーブル2[[#This Row],[性別]]="男",LOOKUP(テーブル2[[#This Row],[ｼｬﾄﾙﾗﾝ]],$AS$6:$AT$15),LOOKUP(テーブル2[[#This Row],[ｼｬﾄﾙﾗﾝ]],$AS$20:$AT$29))))</f>
        <v>0</v>
      </c>
      <c r="Y138" s="145">
        <f>IF(テーブル2[[#This Row],[50m走]]="",0,(IF(テーブル2[[#This Row],[性別]]="男",LOOKUP(テーブル2[[#This Row],[50m走]],$AU$6:$AV$15),LOOKUP(テーブル2[[#This Row],[50m走]],$AU$20:$AV$29))))</f>
        <v>0</v>
      </c>
      <c r="Z138" s="145">
        <f>IF(テーブル2[[#This Row],[立幅とび]]="",0,(IF(テーブル2[[#This Row],[性別]]="男",LOOKUP(テーブル2[[#This Row],[立幅とび]],$AW$6:$AX$15),LOOKUP(テーブル2[[#This Row],[立幅とび]],$AW$20:$AX$29))))</f>
        <v>0</v>
      </c>
      <c r="AA138" s="145">
        <f>IF(テーブル2[[#This Row],[ボール投げ]]="",0,(IF(テーブル2[[#This Row],[性別]]="男",LOOKUP(テーブル2[[#This Row],[ボール投げ]],$AY$6:$AZ$15),LOOKUP(テーブル2[[#This Row],[ボール投げ]],$AY$20:$AZ$29))))</f>
        <v>0</v>
      </c>
      <c r="AB138" s="146" t="str">
        <f>IF(テーブル2[[#This Row],[学年]]=1,12,IF(テーブル2[[#This Row],[学年]]=2,13,IF(テーブル2[[#This Row],[学年]]=3,14,"")))</f>
        <v/>
      </c>
      <c r="AC138" s="192" t="str">
        <f>IF(テーブル2[[#This Row],[肥満度数値]]=0,"",LOOKUP(AE138,$AW$39:$AW$44,$AX$39:$AX$44))</f>
        <v/>
      </c>
      <c r="AD13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8" s="77">
        <f>IF(テーブル2[[#This Row],[体重]]="",0,(テーブル2[[#This Row],[体重]]-テーブル2[[#This Row],[標準体重]])/テーブル2[[#This Row],[標準体重]]*100)</f>
        <v>0</v>
      </c>
      <c r="AF138" s="26">
        <f>COUNTA(テーブル2[[#This Row],[握力]:[ボール投げ]])</f>
        <v>0</v>
      </c>
      <c r="AG138" s="1" t="str">
        <f>IF(テーブル2[[#This Row],[判定]]=$BE$10,"○","")</f>
        <v/>
      </c>
      <c r="AH138" s="1" t="str">
        <f>IF(AG138="","",COUNTIF($AG$6:AG138,"○"))</f>
        <v/>
      </c>
    </row>
    <row r="139" spans="1:34" ht="14.25" customHeight="1" x14ac:dyDescent="0.15">
      <c r="A139" s="44">
        <v>134</v>
      </c>
      <c r="B139" s="148"/>
      <c r="C139" s="151"/>
      <c r="D139" s="148"/>
      <c r="E139" s="152"/>
      <c r="F139" s="148"/>
      <c r="G139" s="148"/>
      <c r="H139" s="150"/>
      <c r="I139" s="150"/>
      <c r="J139" s="151"/>
      <c r="K139" s="148"/>
      <c r="L139" s="196"/>
      <c r="M139" s="151"/>
      <c r="N139" s="197"/>
      <c r="O139" s="151"/>
      <c r="P139" s="153"/>
      <c r="Q13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9" s="144" t="str">
        <f>IF(テーブル2[[#This Row],[得点]]=0,"",IF(テーブル2[[#This Row],[年齢]]=17,LOOKUP(Q139,$BH$6:$BH$10,$BE$6:$BE$10),IF(テーブル2[[#This Row],[年齢]]=16,LOOKUP(Q139,$BG$6:$BG$10,$BE$6:$BE$10),IF(テーブル2[[#This Row],[年齢]]=15,LOOKUP(Q139,$BF$6:$BF$10,$BE$6:$BE$10),IF(テーブル2[[#This Row],[年齢]]=14,LOOKUP(Q139,$BD$6:$BD$10,$BE$6:$BE$10),IF(テーブル2[[#This Row],[年齢]]=13,LOOKUP(Q139,$BC$6:$BC$10,$BE$6:$BE$10),LOOKUP(Q139,$BB$6:$BB$10,$BE$6:$BE$10)))))))</f>
        <v/>
      </c>
      <c r="S139" s="145">
        <f>IF(H139="",0,(IF(テーブル2[[#This Row],[性別]]="男",LOOKUP(テーブル2[[#This Row],[握力]],$AI$6:$AJ$15),LOOKUP(テーブル2[[#This Row],[握力]],$AI$20:$AJ$29))))</f>
        <v>0</v>
      </c>
      <c r="T139" s="145">
        <f>IF(テーブル2[[#This Row],[上体]]="",0,(IF(テーブル2[[#This Row],[性別]]="男",LOOKUP(テーブル2[[#This Row],[上体]],$AK$6:$AL$15),LOOKUP(テーブル2[[#This Row],[上体]],$AK$20:$AL$29))))</f>
        <v>0</v>
      </c>
      <c r="U139" s="145">
        <f>IF(テーブル2[[#This Row],[長座]]="",0,(IF(テーブル2[[#This Row],[性別]]="男",LOOKUP(テーブル2[[#This Row],[長座]],$AM$6:$AN$15),LOOKUP(テーブル2[[#This Row],[長座]],$AM$20:$AN$29))))</f>
        <v>0</v>
      </c>
      <c r="V139" s="145">
        <f>IF(テーブル2[[#This Row],[反復]]="",0,(IF(テーブル2[[#This Row],[性別]]="男",LOOKUP(テーブル2[[#This Row],[反復]],$AO$6:$AP$15),LOOKUP(テーブル2[[#This Row],[反復]],$AO$20:$AP$29))))</f>
        <v>0</v>
      </c>
      <c r="W139" s="145">
        <f>IF(テーブル2[[#This Row],[持久走]]="",0,(IF(テーブル2[[#This Row],[性別]]="男",LOOKUP(テーブル2[[#This Row],[持久走]],$AQ$6:$AR$15),LOOKUP(テーブル2[[#This Row],[持久走]],$AQ$20:$AR$29))))</f>
        <v>0</v>
      </c>
      <c r="X139" s="145">
        <f>IF(テーブル2[[#This Row],[ｼｬﾄﾙﾗﾝ]]="",0,(IF(テーブル2[[#This Row],[性別]]="男",LOOKUP(テーブル2[[#This Row],[ｼｬﾄﾙﾗﾝ]],$AS$6:$AT$15),LOOKUP(テーブル2[[#This Row],[ｼｬﾄﾙﾗﾝ]],$AS$20:$AT$29))))</f>
        <v>0</v>
      </c>
      <c r="Y139" s="145">
        <f>IF(テーブル2[[#This Row],[50m走]]="",0,(IF(テーブル2[[#This Row],[性別]]="男",LOOKUP(テーブル2[[#This Row],[50m走]],$AU$6:$AV$15),LOOKUP(テーブル2[[#This Row],[50m走]],$AU$20:$AV$29))))</f>
        <v>0</v>
      </c>
      <c r="Z139" s="145">
        <f>IF(テーブル2[[#This Row],[立幅とび]]="",0,(IF(テーブル2[[#This Row],[性別]]="男",LOOKUP(テーブル2[[#This Row],[立幅とび]],$AW$6:$AX$15),LOOKUP(テーブル2[[#This Row],[立幅とび]],$AW$20:$AX$29))))</f>
        <v>0</v>
      </c>
      <c r="AA139" s="145">
        <f>IF(テーブル2[[#This Row],[ボール投げ]]="",0,(IF(テーブル2[[#This Row],[性別]]="男",LOOKUP(テーブル2[[#This Row],[ボール投げ]],$AY$6:$AZ$15),LOOKUP(テーブル2[[#This Row],[ボール投げ]],$AY$20:$AZ$29))))</f>
        <v>0</v>
      </c>
      <c r="AB139" s="146" t="str">
        <f>IF(テーブル2[[#This Row],[学年]]=1,12,IF(テーブル2[[#This Row],[学年]]=2,13,IF(テーブル2[[#This Row],[学年]]=3,14,"")))</f>
        <v/>
      </c>
      <c r="AC139" s="192" t="str">
        <f>IF(テーブル2[[#This Row],[肥満度数値]]=0,"",LOOKUP(AE139,$AW$39:$AW$44,$AX$39:$AX$44))</f>
        <v/>
      </c>
      <c r="AD13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39" s="77">
        <f>IF(テーブル2[[#This Row],[体重]]="",0,(テーブル2[[#This Row],[体重]]-テーブル2[[#This Row],[標準体重]])/テーブル2[[#This Row],[標準体重]]*100)</f>
        <v>0</v>
      </c>
      <c r="AF139" s="26">
        <f>COUNTA(テーブル2[[#This Row],[握力]:[ボール投げ]])</f>
        <v>0</v>
      </c>
      <c r="AG139" s="1" t="str">
        <f>IF(テーブル2[[#This Row],[判定]]=$BE$10,"○","")</f>
        <v/>
      </c>
      <c r="AH139" s="1" t="str">
        <f>IF(AG139="","",COUNTIF($AG$6:AG139,"○"))</f>
        <v/>
      </c>
    </row>
    <row r="140" spans="1:34" ht="14.25" customHeight="1" x14ac:dyDescent="0.15">
      <c r="A140" s="44">
        <v>135</v>
      </c>
      <c r="B140" s="148"/>
      <c r="C140" s="151"/>
      <c r="D140" s="148"/>
      <c r="E140" s="152"/>
      <c r="F140" s="148"/>
      <c r="G140" s="148"/>
      <c r="H140" s="150"/>
      <c r="I140" s="150"/>
      <c r="J140" s="151"/>
      <c r="K140" s="148"/>
      <c r="L140" s="196"/>
      <c r="M140" s="151"/>
      <c r="N140" s="197"/>
      <c r="O140" s="151"/>
      <c r="P140" s="153"/>
      <c r="Q14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0" s="144" t="str">
        <f>IF(テーブル2[[#This Row],[得点]]=0,"",IF(テーブル2[[#This Row],[年齢]]=17,LOOKUP(Q140,$BH$6:$BH$10,$BE$6:$BE$10),IF(テーブル2[[#This Row],[年齢]]=16,LOOKUP(Q140,$BG$6:$BG$10,$BE$6:$BE$10),IF(テーブル2[[#This Row],[年齢]]=15,LOOKUP(Q140,$BF$6:$BF$10,$BE$6:$BE$10),IF(テーブル2[[#This Row],[年齢]]=14,LOOKUP(Q140,$BD$6:$BD$10,$BE$6:$BE$10),IF(テーブル2[[#This Row],[年齢]]=13,LOOKUP(Q140,$BC$6:$BC$10,$BE$6:$BE$10),LOOKUP(Q140,$BB$6:$BB$10,$BE$6:$BE$10)))))))</f>
        <v/>
      </c>
      <c r="S140" s="145">
        <f>IF(H140="",0,(IF(テーブル2[[#This Row],[性別]]="男",LOOKUP(テーブル2[[#This Row],[握力]],$AI$6:$AJ$15),LOOKUP(テーブル2[[#This Row],[握力]],$AI$20:$AJ$29))))</f>
        <v>0</v>
      </c>
      <c r="T140" s="145">
        <f>IF(テーブル2[[#This Row],[上体]]="",0,(IF(テーブル2[[#This Row],[性別]]="男",LOOKUP(テーブル2[[#This Row],[上体]],$AK$6:$AL$15),LOOKUP(テーブル2[[#This Row],[上体]],$AK$20:$AL$29))))</f>
        <v>0</v>
      </c>
      <c r="U140" s="145">
        <f>IF(テーブル2[[#This Row],[長座]]="",0,(IF(テーブル2[[#This Row],[性別]]="男",LOOKUP(テーブル2[[#This Row],[長座]],$AM$6:$AN$15),LOOKUP(テーブル2[[#This Row],[長座]],$AM$20:$AN$29))))</f>
        <v>0</v>
      </c>
      <c r="V140" s="145">
        <f>IF(テーブル2[[#This Row],[反復]]="",0,(IF(テーブル2[[#This Row],[性別]]="男",LOOKUP(テーブル2[[#This Row],[反復]],$AO$6:$AP$15),LOOKUP(テーブル2[[#This Row],[反復]],$AO$20:$AP$29))))</f>
        <v>0</v>
      </c>
      <c r="W140" s="145">
        <f>IF(テーブル2[[#This Row],[持久走]]="",0,(IF(テーブル2[[#This Row],[性別]]="男",LOOKUP(テーブル2[[#This Row],[持久走]],$AQ$6:$AR$15),LOOKUP(テーブル2[[#This Row],[持久走]],$AQ$20:$AR$29))))</f>
        <v>0</v>
      </c>
      <c r="X140" s="145">
        <f>IF(テーブル2[[#This Row],[ｼｬﾄﾙﾗﾝ]]="",0,(IF(テーブル2[[#This Row],[性別]]="男",LOOKUP(テーブル2[[#This Row],[ｼｬﾄﾙﾗﾝ]],$AS$6:$AT$15),LOOKUP(テーブル2[[#This Row],[ｼｬﾄﾙﾗﾝ]],$AS$20:$AT$29))))</f>
        <v>0</v>
      </c>
      <c r="Y140" s="145">
        <f>IF(テーブル2[[#This Row],[50m走]]="",0,(IF(テーブル2[[#This Row],[性別]]="男",LOOKUP(テーブル2[[#This Row],[50m走]],$AU$6:$AV$15),LOOKUP(テーブル2[[#This Row],[50m走]],$AU$20:$AV$29))))</f>
        <v>0</v>
      </c>
      <c r="Z140" s="145">
        <f>IF(テーブル2[[#This Row],[立幅とび]]="",0,(IF(テーブル2[[#This Row],[性別]]="男",LOOKUP(テーブル2[[#This Row],[立幅とび]],$AW$6:$AX$15),LOOKUP(テーブル2[[#This Row],[立幅とび]],$AW$20:$AX$29))))</f>
        <v>0</v>
      </c>
      <c r="AA140" s="145">
        <f>IF(テーブル2[[#This Row],[ボール投げ]]="",0,(IF(テーブル2[[#This Row],[性別]]="男",LOOKUP(テーブル2[[#This Row],[ボール投げ]],$AY$6:$AZ$15),LOOKUP(テーブル2[[#This Row],[ボール投げ]],$AY$20:$AZ$29))))</f>
        <v>0</v>
      </c>
      <c r="AB140" s="146" t="str">
        <f>IF(テーブル2[[#This Row],[学年]]=1,12,IF(テーブル2[[#This Row],[学年]]=2,13,IF(テーブル2[[#This Row],[学年]]=3,14,"")))</f>
        <v/>
      </c>
      <c r="AC140" s="192" t="str">
        <f>IF(テーブル2[[#This Row],[肥満度数値]]=0,"",LOOKUP(AE140,$AW$39:$AW$44,$AX$39:$AX$44))</f>
        <v/>
      </c>
      <c r="AD14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0" s="77">
        <f>IF(テーブル2[[#This Row],[体重]]="",0,(テーブル2[[#This Row],[体重]]-テーブル2[[#This Row],[標準体重]])/テーブル2[[#This Row],[標準体重]]*100)</f>
        <v>0</v>
      </c>
      <c r="AF140" s="26">
        <f>COUNTA(テーブル2[[#This Row],[握力]:[ボール投げ]])</f>
        <v>0</v>
      </c>
      <c r="AG140" s="1" t="str">
        <f>IF(テーブル2[[#This Row],[判定]]=$BE$10,"○","")</f>
        <v/>
      </c>
      <c r="AH140" s="1" t="str">
        <f>IF(AG140="","",COUNTIF($AG$6:AG140,"○"))</f>
        <v/>
      </c>
    </row>
    <row r="141" spans="1:34" ht="14.25" customHeight="1" x14ac:dyDescent="0.15">
      <c r="A141" s="44">
        <v>136</v>
      </c>
      <c r="B141" s="148"/>
      <c r="C141" s="151"/>
      <c r="D141" s="148"/>
      <c r="E141" s="152"/>
      <c r="F141" s="148"/>
      <c r="G141" s="148"/>
      <c r="H141" s="150"/>
      <c r="I141" s="150"/>
      <c r="J141" s="151"/>
      <c r="K141" s="148"/>
      <c r="L141" s="196"/>
      <c r="M141" s="151"/>
      <c r="N141" s="197"/>
      <c r="O141" s="151"/>
      <c r="P141" s="153"/>
      <c r="Q14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1" s="144" t="str">
        <f>IF(テーブル2[[#This Row],[得点]]=0,"",IF(テーブル2[[#This Row],[年齢]]=17,LOOKUP(Q141,$BH$6:$BH$10,$BE$6:$BE$10),IF(テーブル2[[#This Row],[年齢]]=16,LOOKUP(Q141,$BG$6:$BG$10,$BE$6:$BE$10),IF(テーブル2[[#This Row],[年齢]]=15,LOOKUP(Q141,$BF$6:$BF$10,$BE$6:$BE$10),IF(テーブル2[[#This Row],[年齢]]=14,LOOKUP(Q141,$BD$6:$BD$10,$BE$6:$BE$10),IF(テーブル2[[#This Row],[年齢]]=13,LOOKUP(Q141,$BC$6:$BC$10,$BE$6:$BE$10),LOOKUP(Q141,$BB$6:$BB$10,$BE$6:$BE$10)))))))</f>
        <v/>
      </c>
      <c r="S141" s="145">
        <f>IF(H141="",0,(IF(テーブル2[[#This Row],[性別]]="男",LOOKUP(テーブル2[[#This Row],[握力]],$AI$6:$AJ$15),LOOKUP(テーブル2[[#This Row],[握力]],$AI$20:$AJ$29))))</f>
        <v>0</v>
      </c>
      <c r="T141" s="145">
        <f>IF(テーブル2[[#This Row],[上体]]="",0,(IF(テーブル2[[#This Row],[性別]]="男",LOOKUP(テーブル2[[#This Row],[上体]],$AK$6:$AL$15),LOOKUP(テーブル2[[#This Row],[上体]],$AK$20:$AL$29))))</f>
        <v>0</v>
      </c>
      <c r="U141" s="145">
        <f>IF(テーブル2[[#This Row],[長座]]="",0,(IF(テーブル2[[#This Row],[性別]]="男",LOOKUP(テーブル2[[#This Row],[長座]],$AM$6:$AN$15),LOOKUP(テーブル2[[#This Row],[長座]],$AM$20:$AN$29))))</f>
        <v>0</v>
      </c>
      <c r="V141" s="145">
        <f>IF(テーブル2[[#This Row],[反復]]="",0,(IF(テーブル2[[#This Row],[性別]]="男",LOOKUP(テーブル2[[#This Row],[反復]],$AO$6:$AP$15),LOOKUP(テーブル2[[#This Row],[反復]],$AO$20:$AP$29))))</f>
        <v>0</v>
      </c>
      <c r="W141" s="145">
        <f>IF(テーブル2[[#This Row],[持久走]]="",0,(IF(テーブル2[[#This Row],[性別]]="男",LOOKUP(テーブル2[[#This Row],[持久走]],$AQ$6:$AR$15),LOOKUP(テーブル2[[#This Row],[持久走]],$AQ$20:$AR$29))))</f>
        <v>0</v>
      </c>
      <c r="X141" s="145">
        <f>IF(テーブル2[[#This Row],[ｼｬﾄﾙﾗﾝ]]="",0,(IF(テーブル2[[#This Row],[性別]]="男",LOOKUP(テーブル2[[#This Row],[ｼｬﾄﾙﾗﾝ]],$AS$6:$AT$15),LOOKUP(テーブル2[[#This Row],[ｼｬﾄﾙﾗﾝ]],$AS$20:$AT$29))))</f>
        <v>0</v>
      </c>
      <c r="Y141" s="145">
        <f>IF(テーブル2[[#This Row],[50m走]]="",0,(IF(テーブル2[[#This Row],[性別]]="男",LOOKUP(テーブル2[[#This Row],[50m走]],$AU$6:$AV$15),LOOKUP(テーブル2[[#This Row],[50m走]],$AU$20:$AV$29))))</f>
        <v>0</v>
      </c>
      <c r="Z141" s="145">
        <f>IF(テーブル2[[#This Row],[立幅とび]]="",0,(IF(テーブル2[[#This Row],[性別]]="男",LOOKUP(テーブル2[[#This Row],[立幅とび]],$AW$6:$AX$15),LOOKUP(テーブル2[[#This Row],[立幅とび]],$AW$20:$AX$29))))</f>
        <v>0</v>
      </c>
      <c r="AA141" s="145">
        <f>IF(テーブル2[[#This Row],[ボール投げ]]="",0,(IF(テーブル2[[#This Row],[性別]]="男",LOOKUP(テーブル2[[#This Row],[ボール投げ]],$AY$6:$AZ$15),LOOKUP(テーブル2[[#This Row],[ボール投げ]],$AY$20:$AZ$29))))</f>
        <v>0</v>
      </c>
      <c r="AB141" s="146" t="str">
        <f>IF(テーブル2[[#This Row],[学年]]=1,12,IF(テーブル2[[#This Row],[学年]]=2,13,IF(テーブル2[[#This Row],[学年]]=3,14,"")))</f>
        <v/>
      </c>
      <c r="AC141" s="192" t="str">
        <f>IF(テーブル2[[#This Row],[肥満度数値]]=0,"",LOOKUP(AE141,$AW$39:$AW$44,$AX$39:$AX$44))</f>
        <v/>
      </c>
      <c r="AD14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1" s="77">
        <f>IF(テーブル2[[#This Row],[体重]]="",0,(テーブル2[[#This Row],[体重]]-テーブル2[[#This Row],[標準体重]])/テーブル2[[#This Row],[標準体重]]*100)</f>
        <v>0</v>
      </c>
      <c r="AF141" s="26">
        <f>COUNTA(テーブル2[[#This Row],[握力]:[ボール投げ]])</f>
        <v>0</v>
      </c>
      <c r="AG141" s="1" t="str">
        <f>IF(テーブル2[[#This Row],[判定]]=$BE$10,"○","")</f>
        <v/>
      </c>
      <c r="AH141" s="1" t="str">
        <f>IF(AG141="","",COUNTIF($AG$6:AG141,"○"))</f>
        <v/>
      </c>
    </row>
    <row r="142" spans="1:34" ht="14.25" customHeight="1" x14ac:dyDescent="0.15">
      <c r="A142" s="44">
        <v>137</v>
      </c>
      <c r="B142" s="148"/>
      <c r="C142" s="151"/>
      <c r="D142" s="148"/>
      <c r="E142" s="152"/>
      <c r="F142" s="148"/>
      <c r="G142" s="148"/>
      <c r="H142" s="150"/>
      <c r="I142" s="150"/>
      <c r="J142" s="151"/>
      <c r="K142" s="148"/>
      <c r="L142" s="196"/>
      <c r="M142" s="151"/>
      <c r="N142" s="197"/>
      <c r="O142" s="151"/>
      <c r="P142" s="153"/>
      <c r="Q14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2" s="144" t="str">
        <f>IF(テーブル2[[#This Row],[得点]]=0,"",IF(テーブル2[[#This Row],[年齢]]=17,LOOKUP(Q142,$BH$6:$BH$10,$BE$6:$BE$10),IF(テーブル2[[#This Row],[年齢]]=16,LOOKUP(Q142,$BG$6:$BG$10,$BE$6:$BE$10),IF(テーブル2[[#This Row],[年齢]]=15,LOOKUP(Q142,$BF$6:$BF$10,$BE$6:$BE$10),IF(テーブル2[[#This Row],[年齢]]=14,LOOKUP(Q142,$BD$6:$BD$10,$BE$6:$BE$10),IF(テーブル2[[#This Row],[年齢]]=13,LOOKUP(Q142,$BC$6:$BC$10,$BE$6:$BE$10),LOOKUP(Q142,$BB$6:$BB$10,$BE$6:$BE$10)))))))</f>
        <v/>
      </c>
      <c r="S142" s="145">
        <f>IF(H142="",0,(IF(テーブル2[[#This Row],[性別]]="男",LOOKUP(テーブル2[[#This Row],[握力]],$AI$6:$AJ$15),LOOKUP(テーブル2[[#This Row],[握力]],$AI$20:$AJ$29))))</f>
        <v>0</v>
      </c>
      <c r="T142" s="145">
        <f>IF(テーブル2[[#This Row],[上体]]="",0,(IF(テーブル2[[#This Row],[性別]]="男",LOOKUP(テーブル2[[#This Row],[上体]],$AK$6:$AL$15),LOOKUP(テーブル2[[#This Row],[上体]],$AK$20:$AL$29))))</f>
        <v>0</v>
      </c>
      <c r="U142" s="145">
        <f>IF(テーブル2[[#This Row],[長座]]="",0,(IF(テーブル2[[#This Row],[性別]]="男",LOOKUP(テーブル2[[#This Row],[長座]],$AM$6:$AN$15),LOOKUP(テーブル2[[#This Row],[長座]],$AM$20:$AN$29))))</f>
        <v>0</v>
      </c>
      <c r="V142" s="145">
        <f>IF(テーブル2[[#This Row],[反復]]="",0,(IF(テーブル2[[#This Row],[性別]]="男",LOOKUP(テーブル2[[#This Row],[反復]],$AO$6:$AP$15),LOOKUP(テーブル2[[#This Row],[反復]],$AO$20:$AP$29))))</f>
        <v>0</v>
      </c>
      <c r="W142" s="145">
        <f>IF(テーブル2[[#This Row],[持久走]]="",0,(IF(テーブル2[[#This Row],[性別]]="男",LOOKUP(テーブル2[[#This Row],[持久走]],$AQ$6:$AR$15),LOOKUP(テーブル2[[#This Row],[持久走]],$AQ$20:$AR$29))))</f>
        <v>0</v>
      </c>
      <c r="X142" s="145">
        <f>IF(テーブル2[[#This Row],[ｼｬﾄﾙﾗﾝ]]="",0,(IF(テーブル2[[#This Row],[性別]]="男",LOOKUP(テーブル2[[#This Row],[ｼｬﾄﾙﾗﾝ]],$AS$6:$AT$15),LOOKUP(テーブル2[[#This Row],[ｼｬﾄﾙﾗﾝ]],$AS$20:$AT$29))))</f>
        <v>0</v>
      </c>
      <c r="Y142" s="145">
        <f>IF(テーブル2[[#This Row],[50m走]]="",0,(IF(テーブル2[[#This Row],[性別]]="男",LOOKUP(テーブル2[[#This Row],[50m走]],$AU$6:$AV$15),LOOKUP(テーブル2[[#This Row],[50m走]],$AU$20:$AV$29))))</f>
        <v>0</v>
      </c>
      <c r="Z142" s="145">
        <f>IF(テーブル2[[#This Row],[立幅とび]]="",0,(IF(テーブル2[[#This Row],[性別]]="男",LOOKUP(テーブル2[[#This Row],[立幅とび]],$AW$6:$AX$15),LOOKUP(テーブル2[[#This Row],[立幅とび]],$AW$20:$AX$29))))</f>
        <v>0</v>
      </c>
      <c r="AA142" s="145">
        <f>IF(テーブル2[[#This Row],[ボール投げ]]="",0,(IF(テーブル2[[#This Row],[性別]]="男",LOOKUP(テーブル2[[#This Row],[ボール投げ]],$AY$6:$AZ$15),LOOKUP(テーブル2[[#This Row],[ボール投げ]],$AY$20:$AZ$29))))</f>
        <v>0</v>
      </c>
      <c r="AB142" s="146" t="str">
        <f>IF(テーブル2[[#This Row],[学年]]=1,12,IF(テーブル2[[#This Row],[学年]]=2,13,IF(テーブル2[[#This Row],[学年]]=3,14,"")))</f>
        <v/>
      </c>
      <c r="AC142" s="192" t="str">
        <f>IF(テーブル2[[#This Row],[肥満度数値]]=0,"",LOOKUP(AE142,$AW$39:$AW$44,$AX$39:$AX$44))</f>
        <v/>
      </c>
      <c r="AD14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2" s="77">
        <f>IF(テーブル2[[#This Row],[体重]]="",0,(テーブル2[[#This Row],[体重]]-テーブル2[[#This Row],[標準体重]])/テーブル2[[#This Row],[標準体重]]*100)</f>
        <v>0</v>
      </c>
      <c r="AF142" s="26">
        <f>COUNTA(テーブル2[[#This Row],[握力]:[ボール投げ]])</f>
        <v>0</v>
      </c>
      <c r="AG142" s="1" t="str">
        <f>IF(テーブル2[[#This Row],[判定]]=$BE$10,"○","")</f>
        <v/>
      </c>
      <c r="AH142" s="1" t="str">
        <f>IF(AG142="","",COUNTIF($AG$6:AG142,"○"))</f>
        <v/>
      </c>
    </row>
    <row r="143" spans="1:34" ht="14.25" customHeight="1" x14ac:dyDescent="0.15">
      <c r="A143" s="44">
        <v>138</v>
      </c>
      <c r="B143" s="148"/>
      <c r="C143" s="151"/>
      <c r="D143" s="148"/>
      <c r="E143" s="152"/>
      <c r="F143" s="148"/>
      <c r="G143" s="148"/>
      <c r="H143" s="150"/>
      <c r="I143" s="150"/>
      <c r="J143" s="151"/>
      <c r="K143" s="148"/>
      <c r="L143" s="196"/>
      <c r="M143" s="151"/>
      <c r="N143" s="197"/>
      <c r="O143" s="151"/>
      <c r="P143" s="153"/>
      <c r="Q14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3" s="144" t="str">
        <f>IF(テーブル2[[#This Row],[得点]]=0,"",IF(テーブル2[[#This Row],[年齢]]=17,LOOKUP(Q143,$BH$6:$BH$10,$BE$6:$BE$10),IF(テーブル2[[#This Row],[年齢]]=16,LOOKUP(Q143,$BG$6:$BG$10,$BE$6:$BE$10),IF(テーブル2[[#This Row],[年齢]]=15,LOOKUP(Q143,$BF$6:$BF$10,$BE$6:$BE$10),IF(テーブル2[[#This Row],[年齢]]=14,LOOKUP(Q143,$BD$6:$BD$10,$BE$6:$BE$10),IF(テーブル2[[#This Row],[年齢]]=13,LOOKUP(Q143,$BC$6:$BC$10,$BE$6:$BE$10),LOOKUP(Q143,$BB$6:$BB$10,$BE$6:$BE$10)))))))</f>
        <v/>
      </c>
      <c r="S143" s="145">
        <f>IF(H143="",0,(IF(テーブル2[[#This Row],[性別]]="男",LOOKUP(テーブル2[[#This Row],[握力]],$AI$6:$AJ$15),LOOKUP(テーブル2[[#This Row],[握力]],$AI$20:$AJ$29))))</f>
        <v>0</v>
      </c>
      <c r="T143" s="145">
        <f>IF(テーブル2[[#This Row],[上体]]="",0,(IF(テーブル2[[#This Row],[性別]]="男",LOOKUP(テーブル2[[#This Row],[上体]],$AK$6:$AL$15),LOOKUP(テーブル2[[#This Row],[上体]],$AK$20:$AL$29))))</f>
        <v>0</v>
      </c>
      <c r="U143" s="145">
        <f>IF(テーブル2[[#This Row],[長座]]="",0,(IF(テーブル2[[#This Row],[性別]]="男",LOOKUP(テーブル2[[#This Row],[長座]],$AM$6:$AN$15),LOOKUP(テーブル2[[#This Row],[長座]],$AM$20:$AN$29))))</f>
        <v>0</v>
      </c>
      <c r="V143" s="145">
        <f>IF(テーブル2[[#This Row],[反復]]="",0,(IF(テーブル2[[#This Row],[性別]]="男",LOOKUP(テーブル2[[#This Row],[反復]],$AO$6:$AP$15),LOOKUP(テーブル2[[#This Row],[反復]],$AO$20:$AP$29))))</f>
        <v>0</v>
      </c>
      <c r="W143" s="145">
        <f>IF(テーブル2[[#This Row],[持久走]]="",0,(IF(テーブル2[[#This Row],[性別]]="男",LOOKUP(テーブル2[[#This Row],[持久走]],$AQ$6:$AR$15),LOOKUP(テーブル2[[#This Row],[持久走]],$AQ$20:$AR$29))))</f>
        <v>0</v>
      </c>
      <c r="X143" s="145">
        <f>IF(テーブル2[[#This Row],[ｼｬﾄﾙﾗﾝ]]="",0,(IF(テーブル2[[#This Row],[性別]]="男",LOOKUP(テーブル2[[#This Row],[ｼｬﾄﾙﾗﾝ]],$AS$6:$AT$15),LOOKUP(テーブル2[[#This Row],[ｼｬﾄﾙﾗﾝ]],$AS$20:$AT$29))))</f>
        <v>0</v>
      </c>
      <c r="Y143" s="145">
        <f>IF(テーブル2[[#This Row],[50m走]]="",0,(IF(テーブル2[[#This Row],[性別]]="男",LOOKUP(テーブル2[[#This Row],[50m走]],$AU$6:$AV$15),LOOKUP(テーブル2[[#This Row],[50m走]],$AU$20:$AV$29))))</f>
        <v>0</v>
      </c>
      <c r="Z143" s="145">
        <f>IF(テーブル2[[#This Row],[立幅とび]]="",0,(IF(テーブル2[[#This Row],[性別]]="男",LOOKUP(テーブル2[[#This Row],[立幅とび]],$AW$6:$AX$15),LOOKUP(テーブル2[[#This Row],[立幅とび]],$AW$20:$AX$29))))</f>
        <v>0</v>
      </c>
      <c r="AA143" s="145">
        <f>IF(テーブル2[[#This Row],[ボール投げ]]="",0,(IF(テーブル2[[#This Row],[性別]]="男",LOOKUP(テーブル2[[#This Row],[ボール投げ]],$AY$6:$AZ$15),LOOKUP(テーブル2[[#This Row],[ボール投げ]],$AY$20:$AZ$29))))</f>
        <v>0</v>
      </c>
      <c r="AB143" s="146" t="str">
        <f>IF(テーブル2[[#This Row],[学年]]=1,12,IF(テーブル2[[#This Row],[学年]]=2,13,IF(テーブル2[[#This Row],[学年]]=3,14,"")))</f>
        <v/>
      </c>
      <c r="AC143" s="192" t="str">
        <f>IF(テーブル2[[#This Row],[肥満度数値]]=0,"",LOOKUP(AE143,$AW$39:$AW$44,$AX$39:$AX$44))</f>
        <v/>
      </c>
      <c r="AD14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3" s="77">
        <f>IF(テーブル2[[#This Row],[体重]]="",0,(テーブル2[[#This Row],[体重]]-テーブル2[[#This Row],[標準体重]])/テーブル2[[#This Row],[標準体重]]*100)</f>
        <v>0</v>
      </c>
      <c r="AF143" s="26">
        <f>COUNTA(テーブル2[[#This Row],[握力]:[ボール投げ]])</f>
        <v>0</v>
      </c>
      <c r="AG143" s="1" t="str">
        <f>IF(テーブル2[[#This Row],[判定]]=$BE$10,"○","")</f>
        <v/>
      </c>
      <c r="AH143" s="1" t="str">
        <f>IF(AG143="","",COUNTIF($AG$6:AG143,"○"))</f>
        <v/>
      </c>
    </row>
    <row r="144" spans="1:34" ht="14.25" customHeight="1" x14ac:dyDescent="0.15">
      <c r="A144" s="44">
        <v>139</v>
      </c>
      <c r="B144" s="148"/>
      <c r="C144" s="151"/>
      <c r="D144" s="148"/>
      <c r="E144" s="152"/>
      <c r="F144" s="148"/>
      <c r="G144" s="148"/>
      <c r="H144" s="150"/>
      <c r="I144" s="150"/>
      <c r="J144" s="151"/>
      <c r="K144" s="148"/>
      <c r="L144" s="196"/>
      <c r="M144" s="151"/>
      <c r="N144" s="197"/>
      <c r="O144" s="151"/>
      <c r="P144" s="153"/>
      <c r="Q14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4" s="144" t="str">
        <f>IF(テーブル2[[#This Row],[得点]]=0,"",IF(テーブル2[[#This Row],[年齢]]=17,LOOKUP(Q144,$BH$6:$BH$10,$BE$6:$BE$10),IF(テーブル2[[#This Row],[年齢]]=16,LOOKUP(Q144,$BG$6:$BG$10,$BE$6:$BE$10),IF(テーブル2[[#This Row],[年齢]]=15,LOOKUP(Q144,$BF$6:$BF$10,$BE$6:$BE$10),IF(テーブル2[[#This Row],[年齢]]=14,LOOKUP(Q144,$BD$6:$BD$10,$BE$6:$BE$10),IF(テーブル2[[#This Row],[年齢]]=13,LOOKUP(Q144,$BC$6:$BC$10,$BE$6:$BE$10),LOOKUP(Q144,$BB$6:$BB$10,$BE$6:$BE$10)))))))</f>
        <v/>
      </c>
      <c r="S144" s="145">
        <f>IF(H144="",0,(IF(テーブル2[[#This Row],[性別]]="男",LOOKUP(テーブル2[[#This Row],[握力]],$AI$6:$AJ$15),LOOKUP(テーブル2[[#This Row],[握力]],$AI$20:$AJ$29))))</f>
        <v>0</v>
      </c>
      <c r="T144" s="145">
        <f>IF(テーブル2[[#This Row],[上体]]="",0,(IF(テーブル2[[#This Row],[性別]]="男",LOOKUP(テーブル2[[#This Row],[上体]],$AK$6:$AL$15),LOOKUP(テーブル2[[#This Row],[上体]],$AK$20:$AL$29))))</f>
        <v>0</v>
      </c>
      <c r="U144" s="145">
        <f>IF(テーブル2[[#This Row],[長座]]="",0,(IF(テーブル2[[#This Row],[性別]]="男",LOOKUP(テーブル2[[#This Row],[長座]],$AM$6:$AN$15),LOOKUP(テーブル2[[#This Row],[長座]],$AM$20:$AN$29))))</f>
        <v>0</v>
      </c>
      <c r="V144" s="145">
        <f>IF(テーブル2[[#This Row],[反復]]="",0,(IF(テーブル2[[#This Row],[性別]]="男",LOOKUP(テーブル2[[#This Row],[反復]],$AO$6:$AP$15),LOOKUP(テーブル2[[#This Row],[反復]],$AO$20:$AP$29))))</f>
        <v>0</v>
      </c>
      <c r="W144" s="145">
        <f>IF(テーブル2[[#This Row],[持久走]]="",0,(IF(テーブル2[[#This Row],[性別]]="男",LOOKUP(テーブル2[[#This Row],[持久走]],$AQ$6:$AR$15),LOOKUP(テーブル2[[#This Row],[持久走]],$AQ$20:$AR$29))))</f>
        <v>0</v>
      </c>
      <c r="X144" s="145">
        <f>IF(テーブル2[[#This Row],[ｼｬﾄﾙﾗﾝ]]="",0,(IF(テーブル2[[#This Row],[性別]]="男",LOOKUP(テーブル2[[#This Row],[ｼｬﾄﾙﾗﾝ]],$AS$6:$AT$15),LOOKUP(テーブル2[[#This Row],[ｼｬﾄﾙﾗﾝ]],$AS$20:$AT$29))))</f>
        <v>0</v>
      </c>
      <c r="Y144" s="145">
        <f>IF(テーブル2[[#This Row],[50m走]]="",0,(IF(テーブル2[[#This Row],[性別]]="男",LOOKUP(テーブル2[[#This Row],[50m走]],$AU$6:$AV$15),LOOKUP(テーブル2[[#This Row],[50m走]],$AU$20:$AV$29))))</f>
        <v>0</v>
      </c>
      <c r="Z144" s="145">
        <f>IF(テーブル2[[#This Row],[立幅とび]]="",0,(IF(テーブル2[[#This Row],[性別]]="男",LOOKUP(テーブル2[[#This Row],[立幅とび]],$AW$6:$AX$15),LOOKUP(テーブル2[[#This Row],[立幅とび]],$AW$20:$AX$29))))</f>
        <v>0</v>
      </c>
      <c r="AA144" s="145">
        <f>IF(テーブル2[[#This Row],[ボール投げ]]="",0,(IF(テーブル2[[#This Row],[性別]]="男",LOOKUP(テーブル2[[#This Row],[ボール投げ]],$AY$6:$AZ$15),LOOKUP(テーブル2[[#This Row],[ボール投げ]],$AY$20:$AZ$29))))</f>
        <v>0</v>
      </c>
      <c r="AB144" s="146" t="str">
        <f>IF(テーブル2[[#This Row],[学年]]=1,12,IF(テーブル2[[#This Row],[学年]]=2,13,IF(テーブル2[[#This Row],[学年]]=3,14,"")))</f>
        <v/>
      </c>
      <c r="AC144" s="192" t="str">
        <f>IF(テーブル2[[#This Row],[肥満度数値]]=0,"",LOOKUP(AE144,$AW$39:$AW$44,$AX$39:$AX$44))</f>
        <v/>
      </c>
      <c r="AD14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4" s="77">
        <f>IF(テーブル2[[#This Row],[体重]]="",0,(テーブル2[[#This Row],[体重]]-テーブル2[[#This Row],[標準体重]])/テーブル2[[#This Row],[標準体重]]*100)</f>
        <v>0</v>
      </c>
      <c r="AF144" s="26">
        <f>COUNTA(テーブル2[[#This Row],[握力]:[ボール投げ]])</f>
        <v>0</v>
      </c>
      <c r="AG144" s="1" t="str">
        <f>IF(テーブル2[[#This Row],[判定]]=$BE$10,"○","")</f>
        <v/>
      </c>
      <c r="AH144" s="1" t="str">
        <f>IF(AG144="","",COUNTIF($AG$6:AG144,"○"))</f>
        <v/>
      </c>
    </row>
    <row r="145" spans="1:34" ht="14.25" customHeight="1" x14ac:dyDescent="0.15">
      <c r="A145" s="44">
        <v>140</v>
      </c>
      <c r="B145" s="148"/>
      <c r="C145" s="151"/>
      <c r="D145" s="148"/>
      <c r="E145" s="152"/>
      <c r="F145" s="148"/>
      <c r="G145" s="148"/>
      <c r="H145" s="150"/>
      <c r="I145" s="150"/>
      <c r="J145" s="151"/>
      <c r="K145" s="148"/>
      <c r="L145" s="196"/>
      <c r="M145" s="151"/>
      <c r="N145" s="197"/>
      <c r="O145" s="151"/>
      <c r="P145" s="153"/>
      <c r="Q14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5" s="144" t="str">
        <f>IF(テーブル2[[#This Row],[得点]]=0,"",IF(テーブル2[[#This Row],[年齢]]=17,LOOKUP(Q145,$BH$6:$BH$10,$BE$6:$BE$10),IF(テーブル2[[#This Row],[年齢]]=16,LOOKUP(Q145,$BG$6:$BG$10,$BE$6:$BE$10),IF(テーブル2[[#This Row],[年齢]]=15,LOOKUP(Q145,$BF$6:$BF$10,$BE$6:$BE$10),IF(テーブル2[[#This Row],[年齢]]=14,LOOKUP(Q145,$BD$6:$BD$10,$BE$6:$BE$10),IF(テーブル2[[#This Row],[年齢]]=13,LOOKUP(Q145,$BC$6:$BC$10,$BE$6:$BE$10),LOOKUP(Q145,$BB$6:$BB$10,$BE$6:$BE$10)))))))</f>
        <v/>
      </c>
      <c r="S145" s="145">
        <f>IF(H145="",0,(IF(テーブル2[[#This Row],[性別]]="男",LOOKUP(テーブル2[[#This Row],[握力]],$AI$6:$AJ$15),LOOKUP(テーブル2[[#This Row],[握力]],$AI$20:$AJ$29))))</f>
        <v>0</v>
      </c>
      <c r="T145" s="145">
        <f>IF(テーブル2[[#This Row],[上体]]="",0,(IF(テーブル2[[#This Row],[性別]]="男",LOOKUP(テーブル2[[#This Row],[上体]],$AK$6:$AL$15),LOOKUP(テーブル2[[#This Row],[上体]],$AK$20:$AL$29))))</f>
        <v>0</v>
      </c>
      <c r="U145" s="145">
        <f>IF(テーブル2[[#This Row],[長座]]="",0,(IF(テーブル2[[#This Row],[性別]]="男",LOOKUP(テーブル2[[#This Row],[長座]],$AM$6:$AN$15),LOOKUP(テーブル2[[#This Row],[長座]],$AM$20:$AN$29))))</f>
        <v>0</v>
      </c>
      <c r="V145" s="145">
        <f>IF(テーブル2[[#This Row],[反復]]="",0,(IF(テーブル2[[#This Row],[性別]]="男",LOOKUP(テーブル2[[#This Row],[反復]],$AO$6:$AP$15),LOOKUP(テーブル2[[#This Row],[反復]],$AO$20:$AP$29))))</f>
        <v>0</v>
      </c>
      <c r="W145" s="145">
        <f>IF(テーブル2[[#This Row],[持久走]]="",0,(IF(テーブル2[[#This Row],[性別]]="男",LOOKUP(テーブル2[[#This Row],[持久走]],$AQ$6:$AR$15),LOOKUP(テーブル2[[#This Row],[持久走]],$AQ$20:$AR$29))))</f>
        <v>0</v>
      </c>
      <c r="X145" s="145">
        <f>IF(テーブル2[[#This Row],[ｼｬﾄﾙﾗﾝ]]="",0,(IF(テーブル2[[#This Row],[性別]]="男",LOOKUP(テーブル2[[#This Row],[ｼｬﾄﾙﾗﾝ]],$AS$6:$AT$15),LOOKUP(テーブル2[[#This Row],[ｼｬﾄﾙﾗﾝ]],$AS$20:$AT$29))))</f>
        <v>0</v>
      </c>
      <c r="Y145" s="145">
        <f>IF(テーブル2[[#This Row],[50m走]]="",0,(IF(テーブル2[[#This Row],[性別]]="男",LOOKUP(テーブル2[[#This Row],[50m走]],$AU$6:$AV$15),LOOKUP(テーブル2[[#This Row],[50m走]],$AU$20:$AV$29))))</f>
        <v>0</v>
      </c>
      <c r="Z145" s="145">
        <f>IF(テーブル2[[#This Row],[立幅とび]]="",0,(IF(テーブル2[[#This Row],[性別]]="男",LOOKUP(テーブル2[[#This Row],[立幅とび]],$AW$6:$AX$15),LOOKUP(テーブル2[[#This Row],[立幅とび]],$AW$20:$AX$29))))</f>
        <v>0</v>
      </c>
      <c r="AA145" s="145">
        <f>IF(テーブル2[[#This Row],[ボール投げ]]="",0,(IF(テーブル2[[#This Row],[性別]]="男",LOOKUP(テーブル2[[#This Row],[ボール投げ]],$AY$6:$AZ$15),LOOKUP(テーブル2[[#This Row],[ボール投げ]],$AY$20:$AZ$29))))</f>
        <v>0</v>
      </c>
      <c r="AB145" s="146" t="str">
        <f>IF(テーブル2[[#This Row],[学年]]=1,12,IF(テーブル2[[#This Row],[学年]]=2,13,IF(テーブル2[[#This Row],[学年]]=3,14,"")))</f>
        <v/>
      </c>
      <c r="AC145" s="192" t="str">
        <f>IF(テーブル2[[#This Row],[肥満度数値]]=0,"",LOOKUP(AE145,$AW$39:$AW$44,$AX$39:$AX$44))</f>
        <v/>
      </c>
      <c r="AD14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5" s="77">
        <f>IF(テーブル2[[#This Row],[体重]]="",0,(テーブル2[[#This Row],[体重]]-テーブル2[[#This Row],[標準体重]])/テーブル2[[#This Row],[標準体重]]*100)</f>
        <v>0</v>
      </c>
      <c r="AF145" s="26">
        <f>COUNTA(テーブル2[[#This Row],[握力]:[ボール投げ]])</f>
        <v>0</v>
      </c>
      <c r="AG145" s="1" t="str">
        <f>IF(テーブル2[[#This Row],[判定]]=$BE$10,"○","")</f>
        <v/>
      </c>
      <c r="AH145" s="1" t="str">
        <f>IF(AG145="","",COUNTIF($AG$6:AG145,"○"))</f>
        <v/>
      </c>
    </row>
    <row r="146" spans="1:34" ht="14.25" customHeight="1" x14ac:dyDescent="0.15">
      <c r="A146" s="44">
        <v>141</v>
      </c>
      <c r="B146" s="148"/>
      <c r="C146" s="151"/>
      <c r="D146" s="148"/>
      <c r="E146" s="152"/>
      <c r="F146" s="148"/>
      <c r="G146" s="148"/>
      <c r="H146" s="150"/>
      <c r="I146" s="150"/>
      <c r="J146" s="151"/>
      <c r="K146" s="148"/>
      <c r="L146" s="196"/>
      <c r="M146" s="151"/>
      <c r="N146" s="197"/>
      <c r="O146" s="151"/>
      <c r="P146" s="153"/>
      <c r="Q14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6" s="144" t="str">
        <f>IF(テーブル2[[#This Row],[得点]]=0,"",IF(テーブル2[[#This Row],[年齢]]=17,LOOKUP(Q146,$BH$6:$BH$10,$BE$6:$BE$10),IF(テーブル2[[#This Row],[年齢]]=16,LOOKUP(Q146,$BG$6:$BG$10,$BE$6:$BE$10),IF(テーブル2[[#This Row],[年齢]]=15,LOOKUP(Q146,$BF$6:$BF$10,$BE$6:$BE$10),IF(テーブル2[[#This Row],[年齢]]=14,LOOKUP(Q146,$BD$6:$BD$10,$BE$6:$BE$10),IF(テーブル2[[#This Row],[年齢]]=13,LOOKUP(Q146,$BC$6:$BC$10,$BE$6:$BE$10),LOOKUP(Q146,$BB$6:$BB$10,$BE$6:$BE$10)))))))</f>
        <v/>
      </c>
      <c r="S146" s="145">
        <f>IF(H146="",0,(IF(テーブル2[[#This Row],[性別]]="男",LOOKUP(テーブル2[[#This Row],[握力]],$AI$6:$AJ$15),LOOKUP(テーブル2[[#This Row],[握力]],$AI$20:$AJ$29))))</f>
        <v>0</v>
      </c>
      <c r="T146" s="145">
        <f>IF(テーブル2[[#This Row],[上体]]="",0,(IF(テーブル2[[#This Row],[性別]]="男",LOOKUP(テーブル2[[#This Row],[上体]],$AK$6:$AL$15),LOOKUP(テーブル2[[#This Row],[上体]],$AK$20:$AL$29))))</f>
        <v>0</v>
      </c>
      <c r="U146" s="145">
        <f>IF(テーブル2[[#This Row],[長座]]="",0,(IF(テーブル2[[#This Row],[性別]]="男",LOOKUP(テーブル2[[#This Row],[長座]],$AM$6:$AN$15),LOOKUP(テーブル2[[#This Row],[長座]],$AM$20:$AN$29))))</f>
        <v>0</v>
      </c>
      <c r="V146" s="145">
        <f>IF(テーブル2[[#This Row],[反復]]="",0,(IF(テーブル2[[#This Row],[性別]]="男",LOOKUP(テーブル2[[#This Row],[反復]],$AO$6:$AP$15),LOOKUP(テーブル2[[#This Row],[反復]],$AO$20:$AP$29))))</f>
        <v>0</v>
      </c>
      <c r="W146" s="145">
        <f>IF(テーブル2[[#This Row],[持久走]]="",0,(IF(テーブル2[[#This Row],[性別]]="男",LOOKUP(テーブル2[[#This Row],[持久走]],$AQ$6:$AR$15),LOOKUP(テーブル2[[#This Row],[持久走]],$AQ$20:$AR$29))))</f>
        <v>0</v>
      </c>
      <c r="X146" s="145">
        <f>IF(テーブル2[[#This Row],[ｼｬﾄﾙﾗﾝ]]="",0,(IF(テーブル2[[#This Row],[性別]]="男",LOOKUP(テーブル2[[#This Row],[ｼｬﾄﾙﾗﾝ]],$AS$6:$AT$15),LOOKUP(テーブル2[[#This Row],[ｼｬﾄﾙﾗﾝ]],$AS$20:$AT$29))))</f>
        <v>0</v>
      </c>
      <c r="Y146" s="145">
        <f>IF(テーブル2[[#This Row],[50m走]]="",0,(IF(テーブル2[[#This Row],[性別]]="男",LOOKUP(テーブル2[[#This Row],[50m走]],$AU$6:$AV$15),LOOKUP(テーブル2[[#This Row],[50m走]],$AU$20:$AV$29))))</f>
        <v>0</v>
      </c>
      <c r="Z146" s="145">
        <f>IF(テーブル2[[#This Row],[立幅とび]]="",0,(IF(テーブル2[[#This Row],[性別]]="男",LOOKUP(テーブル2[[#This Row],[立幅とび]],$AW$6:$AX$15),LOOKUP(テーブル2[[#This Row],[立幅とび]],$AW$20:$AX$29))))</f>
        <v>0</v>
      </c>
      <c r="AA146" s="145">
        <f>IF(テーブル2[[#This Row],[ボール投げ]]="",0,(IF(テーブル2[[#This Row],[性別]]="男",LOOKUP(テーブル2[[#This Row],[ボール投げ]],$AY$6:$AZ$15),LOOKUP(テーブル2[[#This Row],[ボール投げ]],$AY$20:$AZ$29))))</f>
        <v>0</v>
      </c>
      <c r="AB146" s="146" t="str">
        <f>IF(テーブル2[[#This Row],[学年]]=1,12,IF(テーブル2[[#This Row],[学年]]=2,13,IF(テーブル2[[#This Row],[学年]]=3,14,"")))</f>
        <v/>
      </c>
      <c r="AC146" s="192" t="str">
        <f>IF(テーブル2[[#This Row],[肥満度数値]]=0,"",LOOKUP(AE146,$AW$39:$AW$44,$AX$39:$AX$44))</f>
        <v/>
      </c>
      <c r="AD14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6" s="77">
        <f>IF(テーブル2[[#This Row],[体重]]="",0,(テーブル2[[#This Row],[体重]]-テーブル2[[#This Row],[標準体重]])/テーブル2[[#This Row],[標準体重]]*100)</f>
        <v>0</v>
      </c>
      <c r="AF146" s="26">
        <f>COUNTA(テーブル2[[#This Row],[握力]:[ボール投げ]])</f>
        <v>0</v>
      </c>
      <c r="AG146" s="1" t="str">
        <f>IF(テーブル2[[#This Row],[判定]]=$BE$10,"○","")</f>
        <v/>
      </c>
      <c r="AH146" s="1" t="str">
        <f>IF(AG146="","",COUNTIF($AG$6:AG146,"○"))</f>
        <v/>
      </c>
    </row>
    <row r="147" spans="1:34" ht="14.25" customHeight="1" x14ac:dyDescent="0.15">
      <c r="A147" s="44">
        <v>142</v>
      </c>
      <c r="B147" s="148"/>
      <c r="C147" s="151"/>
      <c r="D147" s="148"/>
      <c r="E147" s="152"/>
      <c r="F147" s="148"/>
      <c r="G147" s="148"/>
      <c r="H147" s="150"/>
      <c r="I147" s="150"/>
      <c r="J147" s="151"/>
      <c r="K147" s="148"/>
      <c r="L147" s="196"/>
      <c r="M147" s="151"/>
      <c r="N147" s="197"/>
      <c r="O147" s="151"/>
      <c r="P147" s="153"/>
      <c r="Q14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7" s="144" t="str">
        <f>IF(テーブル2[[#This Row],[得点]]=0,"",IF(テーブル2[[#This Row],[年齢]]=17,LOOKUP(Q147,$BH$6:$BH$10,$BE$6:$BE$10),IF(テーブル2[[#This Row],[年齢]]=16,LOOKUP(Q147,$BG$6:$BG$10,$BE$6:$BE$10),IF(テーブル2[[#This Row],[年齢]]=15,LOOKUP(Q147,$BF$6:$BF$10,$BE$6:$BE$10),IF(テーブル2[[#This Row],[年齢]]=14,LOOKUP(Q147,$BD$6:$BD$10,$BE$6:$BE$10),IF(テーブル2[[#This Row],[年齢]]=13,LOOKUP(Q147,$BC$6:$BC$10,$BE$6:$BE$10),LOOKUP(Q147,$BB$6:$BB$10,$BE$6:$BE$10)))))))</f>
        <v/>
      </c>
      <c r="S147" s="145">
        <f>IF(H147="",0,(IF(テーブル2[[#This Row],[性別]]="男",LOOKUP(テーブル2[[#This Row],[握力]],$AI$6:$AJ$15),LOOKUP(テーブル2[[#This Row],[握力]],$AI$20:$AJ$29))))</f>
        <v>0</v>
      </c>
      <c r="T147" s="145">
        <f>IF(テーブル2[[#This Row],[上体]]="",0,(IF(テーブル2[[#This Row],[性別]]="男",LOOKUP(テーブル2[[#This Row],[上体]],$AK$6:$AL$15),LOOKUP(テーブル2[[#This Row],[上体]],$AK$20:$AL$29))))</f>
        <v>0</v>
      </c>
      <c r="U147" s="145">
        <f>IF(テーブル2[[#This Row],[長座]]="",0,(IF(テーブル2[[#This Row],[性別]]="男",LOOKUP(テーブル2[[#This Row],[長座]],$AM$6:$AN$15),LOOKUP(テーブル2[[#This Row],[長座]],$AM$20:$AN$29))))</f>
        <v>0</v>
      </c>
      <c r="V147" s="145">
        <f>IF(テーブル2[[#This Row],[反復]]="",0,(IF(テーブル2[[#This Row],[性別]]="男",LOOKUP(テーブル2[[#This Row],[反復]],$AO$6:$AP$15),LOOKUP(テーブル2[[#This Row],[反復]],$AO$20:$AP$29))))</f>
        <v>0</v>
      </c>
      <c r="W147" s="145">
        <f>IF(テーブル2[[#This Row],[持久走]]="",0,(IF(テーブル2[[#This Row],[性別]]="男",LOOKUP(テーブル2[[#This Row],[持久走]],$AQ$6:$AR$15),LOOKUP(テーブル2[[#This Row],[持久走]],$AQ$20:$AR$29))))</f>
        <v>0</v>
      </c>
      <c r="X147" s="145">
        <f>IF(テーブル2[[#This Row],[ｼｬﾄﾙﾗﾝ]]="",0,(IF(テーブル2[[#This Row],[性別]]="男",LOOKUP(テーブル2[[#This Row],[ｼｬﾄﾙﾗﾝ]],$AS$6:$AT$15),LOOKUP(テーブル2[[#This Row],[ｼｬﾄﾙﾗﾝ]],$AS$20:$AT$29))))</f>
        <v>0</v>
      </c>
      <c r="Y147" s="145">
        <f>IF(テーブル2[[#This Row],[50m走]]="",0,(IF(テーブル2[[#This Row],[性別]]="男",LOOKUP(テーブル2[[#This Row],[50m走]],$AU$6:$AV$15),LOOKUP(テーブル2[[#This Row],[50m走]],$AU$20:$AV$29))))</f>
        <v>0</v>
      </c>
      <c r="Z147" s="145">
        <f>IF(テーブル2[[#This Row],[立幅とび]]="",0,(IF(テーブル2[[#This Row],[性別]]="男",LOOKUP(テーブル2[[#This Row],[立幅とび]],$AW$6:$AX$15),LOOKUP(テーブル2[[#This Row],[立幅とび]],$AW$20:$AX$29))))</f>
        <v>0</v>
      </c>
      <c r="AA147" s="145">
        <f>IF(テーブル2[[#This Row],[ボール投げ]]="",0,(IF(テーブル2[[#This Row],[性別]]="男",LOOKUP(テーブル2[[#This Row],[ボール投げ]],$AY$6:$AZ$15),LOOKUP(テーブル2[[#This Row],[ボール投げ]],$AY$20:$AZ$29))))</f>
        <v>0</v>
      </c>
      <c r="AB147" s="146" t="str">
        <f>IF(テーブル2[[#This Row],[学年]]=1,12,IF(テーブル2[[#This Row],[学年]]=2,13,IF(テーブル2[[#This Row],[学年]]=3,14,"")))</f>
        <v/>
      </c>
      <c r="AC147" s="192" t="str">
        <f>IF(テーブル2[[#This Row],[肥満度数値]]=0,"",LOOKUP(AE147,$AW$39:$AW$44,$AX$39:$AX$44))</f>
        <v/>
      </c>
      <c r="AD14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7" s="77">
        <f>IF(テーブル2[[#This Row],[体重]]="",0,(テーブル2[[#This Row],[体重]]-テーブル2[[#This Row],[標準体重]])/テーブル2[[#This Row],[標準体重]]*100)</f>
        <v>0</v>
      </c>
      <c r="AF147" s="26">
        <f>COUNTA(テーブル2[[#This Row],[握力]:[ボール投げ]])</f>
        <v>0</v>
      </c>
      <c r="AG147" s="1" t="str">
        <f>IF(テーブル2[[#This Row],[判定]]=$BE$10,"○","")</f>
        <v/>
      </c>
      <c r="AH147" s="1" t="str">
        <f>IF(AG147="","",COUNTIF($AG$6:AG147,"○"))</f>
        <v/>
      </c>
    </row>
    <row r="148" spans="1:34" ht="14.25" customHeight="1" x14ac:dyDescent="0.15">
      <c r="A148" s="44">
        <v>143</v>
      </c>
      <c r="B148" s="148"/>
      <c r="C148" s="151"/>
      <c r="D148" s="148"/>
      <c r="E148" s="152"/>
      <c r="F148" s="148"/>
      <c r="G148" s="148"/>
      <c r="H148" s="150"/>
      <c r="I148" s="150"/>
      <c r="J148" s="151"/>
      <c r="K148" s="148"/>
      <c r="L148" s="196"/>
      <c r="M148" s="151"/>
      <c r="N148" s="197"/>
      <c r="O148" s="151"/>
      <c r="P148" s="153"/>
      <c r="Q14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8" s="144" t="str">
        <f>IF(テーブル2[[#This Row],[得点]]=0,"",IF(テーブル2[[#This Row],[年齢]]=17,LOOKUP(Q148,$BH$6:$BH$10,$BE$6:$BE$10),IF(テーブル2[[#This Row],[年齢]]=16,LOOKUP(Q148,$BG$6:$BG$10,$BE$6:$BE$10),IF(テーブル2[[#This Row],[年齢]]=15,LOOKUP(Q148,$BF$6:$BF$10,$BE$6:$BE$10),IF(テーブル2[[#This Row],[年齢]]=14,LOOKUP(Q148,$BD$6:$BD$10,$BE$6:$BE$10),IF(テーブル2[[#This Row],[年齢]]=13,LOOKUP(Q148,$BC$6:$BC$10,$BE$6:$BE$10),LOOKUP(Q148,$BB$6:$BB$10,$BE$6:$BE$10)))))))</f>
        <v/>
      </c>
      <c r="S148" s="145">
        <f>IF(H148="",0,(IF(テーブル2[[#This Row],[性別]]="男",LOOKUP(テーブル2[[#This Row],[握力]],$AI$6:$AJ$15),LOOKUP(テーブル2[[#This Row],[握力]],$AI$20:$AJ$29))))</f>
        <v>0</v>
      </c>
      <c r="T148" s="145">
        <f>IF(テーブル2[[#This Row],[上体]]="",0,(IF(テーブル2[[#This Row],[性別]]="男",LOOKUP(テーブル2[[#This Row],[上体]],$AK$6:$AL$15),LOOKUP(テーブル2[[#This Row],[上体]],$AK$20:$AL$29))))</f>
        <v>0</v>
      </c>
      <c r="U148" s="145">
        <f>IF(テーブル2[[#This Row],[長座]]="",0,(IF(テーブル2[[#This Row],[性別]]="男",LOOKUP(テーブル2[[#This Row],[長座]],$AM$6:$AN$15),LOOKUP(テーブル2[[#This Row],[長座]],$AM$20:$AN$29))))</f>
        <v>0</v>
      </c>
      <c r="V148" s="145">
        <f>IF(テーブル2[[#This Row],[反復]]="",0,(IF(テーブル2[[#This Row],[性別]]="男",LOOKUP(テーブル2[[#This Row],[反復]],$AO$6:$AP$15),LOOKUP(テーブル2[[#This Row],[反復]],$AO$20:$AP$29))))</f>
        <v>0</v>
      </c>
      <c r="W148" s="145">
        <f>IF(テーブル2[[#This Row],[持久走]]="",0,(IF(テーブル2[[#This Row],[性別]]="男",LOOKUP(テーブル2[[#This Row],[持久走]],$AQ$6:$AR$15),LOOKUP(テーブル2[[#This Row],[持久走]],$AQ$20:$AR$29))))</f>
        <v>0</v>
      </c>
      <c r="X148" s="145">
        <f>IF(テーブル2[[#This Row],[ｼｬﾄﾙﾗﾝ]]="",0,(IF(テーブル2[[#This Row],[性別]]="男",LOOKUP(テーブル2[[#This Row],[ｼｬﾄﾙﾗﾝ]],$AS$6:$AT$15),LOOKUP(テーブル2[[#This Row],[ｼｬﾄﾙﾗﾝ]],$AS$20:$AT$29))))</f>
        <v>0</v>
      </c>
      <c r="Y148" s="145">
        <f>IF(テーブル2[[#This Row],[50m走]]="",0,(IF(テーブル2[[#This Row],[性別]]="男",LOOKUP(テーブル2[[#This Row],[50m走]],$AU$6:$AV$15),LOOKUP(テーブル2[[#This Row],[50m走]],$AU$20:$AV$29))))</f>
        <v>0</v>
      </c>
      <c r="Z148" s="145">
        <f>IF(テーブル2[[#This Row],[立幅とび]]="",0,(IF(テーブル2[[#This Row],[性別]]="男",LOOKUP(テーブル2[[#This Row],[立幅とび]],$AW$6:$AX$15),LOOKUP(テーブル2[[#This Row],[立幅とび]],$AW$20:$AX$29))))</f>
        <v>0</v>
      </c>
      <c r="AA148" s="145">
        <f>IF(テーブル2[[#This Row],[ボール投げ]]="",0,(IF(テーブル2[[#This Row],[性別]]="男",LOOKUP(テーブル2[[#This Row],[ボール投げ]],$AY$6:$AZ$15),LOOKUP(テーブル2[[#This Row],[ボール投げ]],$AY$20:$AZ$29))))</f>
        <v>0</v>
      </c>
      <c r="AB148" s="146" t="str">
        <f>IF(テーブル2[[#This Row],[学年]]=1,12,IF(テーブル2[[#This Row],[学年]]=2,13,IF(テーブル2[[#This Row],[学年]]=3,14,"")))</f>
        <v/>
      </c>
      <c r="AC148" s="192" t="str">
        <f>IF(テーブル2[[#This Row],[肥満度数値]]=0,"",LOOKUP(AE148,$AW$39:$AW$44,$AX$39:$AX$44))</f>
        <v/>
      </c>
      <c r="AD14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8" s="77">
        <f>IF(テーブル2[[#This Row],[体重]]="",0,(テーブル2[[#This Row],[体重]]-テーブル2[[#This Row],[標準体重]])/テーブル2[[#This Row],[標準体重]]*100)</f>
        <v>0</v>
      </c>
      <c r="AF148" s="26">
        <f>COUNTA(テーブル2[[#This Row],[握力]:[ボール投げ]])</f>
        <v>0</v>
      </c>
      <c r="AG148" s="1" t="str">
        <f>IF(テーブル2[[#This Row],[判定]]=$BE$10,"○","")</f>
        <v/>
      </c>
      <c r="AH148" s="1" t="str">
        <f>IF(AG148="","",COUNTIF($AG$6:AG148,"○"))</f>
        <v/>
      </c>
    </row>
    <row r="149" spans="1:34" ht="14.25" customHeight="1" x14ac:dyDescent="0.15">
      <c r="A149" s="44">
        <v>144</v>
      </c>
      <c r="B149" s="148"/>
      <c r="C149" s="151"/>
      <c r="D149" s="148"/>
      <c r="E149" s="152"/>
      <c r="F149" s="148"/>
      <c r="G149" s="148"/>
      <c r="H149" s="150"/>
      <c r="I149" s="150"/>
      <c r="J149" s="151"/>
      <c r="K149" s="148"/>
      <c r="L149" s="196"/>
      <c r="M149" s="151"/>
      <c r="N149" s="197"/>
      <c r="O149" s="151"/>
      <c r="P149" s="153"/>
      <c r="Q14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9" s="144" t="str">
        <f>IF(テーブル2[[#This Row],[得点]]=0,"",IF(テーブル2[[#This Row],[年齢]]=17,LOOKUP(Q149,$BH$6:$BH$10,$BE$6:$BE$10),IF(テーブル2[[#This Row],[年齢]]=16,LOOKUP(Q149,$BG$6:$BG$10,$BE$6:$BE$10),IF(テーブル2[[#This Row],[年齢]]=15,LOOKUP(Q149,$BF$6:$BF$10,$BE$6:$BE$10),IF(テーブル2[[#This Row],[年齢]]=14,LOOKUP(Q149,$BD$6:$BD$10,$BE$6:$BE$10),IF(テーブル2[[#This Row],[年齢]]=13,LOOKUP(Q149,$BC$6:$BC$10,$BE$6:$BE$10),LOOKUP(Q149,$BB$6:$BB$10,$BE$6:$BE$10)))))))</f>
        <v/>
      </c>
      <c r="S149" s="145">
        <f>IF(H149="",0,(IF(テーブル2[[#This Row],[性別]]="男",LOOKUP(テーブル2[[#This Row],[握力]],$AI$6:$AJ$15),LOOKUP(テーブル2[[#This Row],[握力]],$AI$20:$AJ$29))))</f>
        <v>0</v>
      </c>
      <c r="T149" s="145">
        <f>IF(テーブル2[[#This Row],[上体]]="",0,(IF(テーブル2[[#This Row],[性別]]="男",LOOKUP(テーブル2[[#This Row],[上体]],$AK$6:$AL$15),LOOKUP(テーブル2[[#This Row],[上体]],$AK$20:$AL$29))))</f>
        <v>0</v>
      </c>
      <c r="U149" s="145">
        <f>IF(テーブル2[[#This Row],[長座]]="",0,(IF(テーブル2[[#This Row],[性別]]="男",LOOKUP(テーブル2[[#This Row],[長座]],$AM$6:$AN$15),LOOKUP(テーブル2[[#This Row],[長座]],$AM$20:$AN$29))))</f>
        <v>0</v>
      </c>
      <c r="V149" s="145">
        <f>IF(テーブル2[[#This Row],[反復]]="",0,(IF(テーブル2[[#This Row],[性別]]="男",LOOKUP(テーブル2[[#This Row],[反復]],$AO$6:$AP$15),LOOKUP(テーブル2[[#This Row],[反復]],$AO$20:$AP$29))))</f>
        <v>0</v>
      </c>
      <c r="W149" s="145">
        <f>IF(テーブル2[[#This Row],[持久走]]="",0,(IF(テーブル2[[#This Row],[性別]]="男",LOOKUP(テーブル2[[#This Row],[持久走]],$AQ$6:$AR$15),LOOKUP(テーブル2[[#This Row],[持久走]],$AQ$20:$AR$29))))</f>
        <v>0</v>
      </c>
      <c r="X149" s="145">
        <f>IF(テーブル2[[#This Row],[ｼｬﾄﾙﾗﾝ]]="",0,(IF(テーブル2[[#This Row],[性別]]="男",LOOKUP(テーブル2[[#This Row],[ｼｬﾄﾙﾗﾝ]],$AS$6:$AT$15),LOOKUP(テーブル2[[#This Row],[ｼｬﾄﾙﾗﾝ]],$AS$20:$AT$29))))</f>
        <v>0</v>
      </c>
      <c r="Y149" s="145">
        <f>IF(テーブル2[[#This Row],[50m走]]="",0,(IF(テーブル2[[#This Row],[性別]]="男",LOOKUP(テーブル2[[#This Row],[50m走]],$AU$6:$AV$15),LOOKUP(テーブル2[[#This Row],[50m走]],$AU$20:$AV$29))))</f>
        <v>0</v>
      </c>
      <c r="Z149" s="145">
        <f>IF(テーブル2[[#This Row],[立幅とび]]="",0,(IF(テーブル2[[#This Row],[性別]]="男",LOOKUP(テーブル2[[#This Row],[立幅とび]],$AW$6:$AX$15),LOOKUP(テーブル2[[#This Row],[立幅とび]],$AW$20:$AX$29))))</f>
        <v>0</v>
      </c>
      <c r="AA149" s="145">
        <f>IF(テーブル2[[#This Row],[ボール投げ]]="",0,(IF(テーブル2[[#This Row],[性別]]="男",LOOKUP(テーブル2[[#This Row],[ボール投げ]],$AY$6:$AZ$15),LOOKUP(テーブル2[[#This Row],[ボール投げ]],$AY$20:$AZ$29))))</f>
        <v>0</v>
      </c>
      <c r="AB149" s="146" t="str">
        <f>IF(テーブル2[[#This Row],[学年]]=1,12,IF(テーブル2[[#This Row],[学年]]=2,13,IF(テーブル2[[#This Row],[学年]]=3,14,"")))</f>
        <v/>
      </c>
      <c r="AC149" s="192" t="str">
        <f>IF(テーブル2[[#This Row],[肥満度数値]]=0,"",LOOKUP(AE149,$AW$39:$AW$44,$AX$39:$AX$44))</f>
        <v/>
      </c>
      <c r="AD14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49" s="77">
        <f>IF(テーブル2[[#This Row],[体重]]="",0,(テーブル2[[#This Row],[体重]]-テーブル2[[#This Row],[標準体重]])/テーブル2[[#This Row],[標準体重]]*100)</f>
        <v>0</v>
      </c>
      <c r="AF149" s="26">
        <f>COUNTA(テーブル2[[#This Row],[握力]:[ボール投げ]])</f>
        <v>0</v>
      </c>
      <c r="AG149" s="1" t="str">
        <f>IF(テーブル2[[#This Row],[判定]]=$BE$10,"○","")</f>
        <v/>
      </c>
      <c r="AH149" s="1" t="str">
        <f>IF(AG149="","",COUNTIF($AG$6:AG149,"○"))</f>
        <v/>
      </c>
    </row>
    <row r="150" spans="1:34" ht="14.25" customHeight="1" x14ac:dyDescent="0.15">
      <c r="A150" s="44">
        <v>145</v>
      </c>
      <c r="B150" s="148"/>
      <c r="C150" s="151"/>
      <c r="D150" s="148"/>
      <c r="E150" s="152"/>
      <c r="F150" s="148"/>
      <c r="G150" s="148"/>
      <c r="H150" s="150"/>
      <c r="I150" s="150"/>
      <c r="J150" s="151"/>
      <c r="K150" s="148"/>
      <c r="L150" s="196"/>
      <c r="M150" s="151"/>
      <c r="N150" s="197"/>
      <c r="O150" s="151"/>
      <c r="P150" s="153"/>
      <c r="Q15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0" s="144" t="str">
        <f>IF(テーブル2[[#This Row],[得点]]=0,"",IF(テーブル2[[#This Row],[年齢]]=17,LOOKUP(Q150,$BH$6:$BH$10,$BE$6:$BE$10),IF(テーブル2[[#This Row],[年齢]]=16,LOOKUP(Q150,$BG$6:$BG$10,$BE$6:$BE$10),IF(テーブル2[[#This Row],[年齢]]=15,LOOKUP(Q150,$BF$6:$BF$10,$BE$6:$BE$10),IF(テーブル2[[#This Row],[年齢]]=14,LOOKUP(Q150,$BD$6:$BD$10,$BE$6:$BE$10),IF(テーブル2[[#This Row],[年齢]]=13,LOOKUP(Q150,$BC$6:$BC$10,$BE$6:$BE$10),LOOKUP(Q150,$BB$6:$BB$10,$BE$6:$BE$10)))))))</f>
        <v/>
      </c>
      <c r="S150" s="145">
        <f>IF(H150="",0,(IF(テーブル2[[#This Row],[性別]]="男",LOOKUP(テーブル2[[#This Row],[握力]],$AI$6:$AJ$15),LOOKUP(テーブル2[[#This Row],[握力]],$AI$20:$AJ$29))))</f>
        <v>0</v>
      </c>
      <c r="T150" s="145">
        <f>IF(テーブル2[[#This Row],[上体]]="",0,(IF(テーブル2[[#This Row],[性別]]="男",LOOKUP(テーブル2[[#This Row],[上体]],$AK$6:$AL$15),LOOKUP(テーブル2[[#This Row],[上体]],$AK$20:$AL$29))))</f>
        <v>0</v>
      </c>
      <c r="U150" s="145">
        <f>IF(テーブル2[[#This Row],[長座]]="",0,(IF(テーブル2[[#This Row],[性別]]="男",LOOKUP(テーブル2[[#This Row],[長座]],$AM$6:$AN$15),LOOKUP(テーブル2[[#This Row],[長座]],$AM$20:$AN$29))))</f>
        <v>0</v>
      </c>
      <c r="V150" s="145">
        <f>IF(テーブル2[[#This Row],[反復]]="",0,(IF(テーブル2[[#This Row],[性別]]="男",LOOKUP(テーブル2[[#This Row],[反復]],$AO$6:$AP$15),LOOKUP(テーブル2[[#This Row],[反復]],$AO$20:$AP$29))))</f>
        <v>0</v>
      </c>
      <c r="W150" s="145">
        <f>IF(テーブル2[[#This Row],[持久走]]="",0,(IF(テーブル2[[#This Row],[性別]]="男",LOOKUP(テーブル2[[#This Row],[持久走]],$AQ$6:$AR$15),LOOKUP(テーブル2[[#This Row],[持久走]],$AQ$20:$AR$29))))</f>
        <v>0</v>
      </c>
      <c r="X150" s="145">
        <f>IF(テーブル2[[#This Row],[ｼｬﾄﾙﾗﾝ]]="",0,(IF(テーブル2[[#This Row],[性別]]="男",LOOKUP(テーブル2[[#This Row],[ｼｬﾄﾙﾗﾝ]],$AS$6:$AT$15),LOOKUP(テーブル2[[#This Row],[ｼｬﾄﾙﾗﾝ]],$AS$20:$AT$29))))</f>
        <v>0</v>
      </c>
      <c r="Y150" s="145">
        <f>IF(テーブル2[[#This Row],[50m走]]="",0,(IF(テーブル2[[#This Row],[性別]]="男",LOOKUP(テーブル2[[#This Row],[50m走]],$AU$6:$AV$15),LOOKUP(テーブル2[[#This Row],[50m走]],$AU$20:$AV$29))))</f>
        <v>0</v>
      </c>
      <c r="Z150" s="145">
        <f>IF(テーブル2[[#This Row],[立幅とび]]="",0,(IF(テーブル2[[#This Row],[性別]]="男",LOOKUP(テーブル2[[#This Row],[立幅とび]],$AW$6:$AX$15),LOOKUP(テーブル2[[#This Row],[立幅とび]],$AW$20:$AX$29))))</f>
        <v>0</v>
      </c>
      <c r="AA150" s="145">
        <f>IF(テーブル2[[#This Row],[ボール投げ]]="",0,(IF(テーブル2[[#This Row],[性別]]="男",LOOKUP(テーブル2[[#This Row],[ボール投げ]],$AY$6:$AZ$15),LOOKUP(テーブル2[[#This Row],[ボール投げ]],$AY$20:$AZ$29))))</f>
        <v>0</v>
      </c>
      <c r="AB150" s="146" t="str">
        <f>IF(テーブル2[[#This Row],[学年]]=1,12,IF(テーブル2[[#This Row],[学年]]=2,13,IF(テーブル2[[#This Row],[学年]]=3,14,"")))</f>
        <v/>
      </c>
      <c r="AC150" s="192" t="str">
        <f>IF(テーブル2[[#This Row],[肥満度数値]]=0,"",LOOKUP(AE150,$AW$39:$AW$44,$AX$39:$AX$44))</f>
        <v/>
      </c>
      <c r="AD15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0" s="77">
        <f>IF(テーブル2[[#This Row],[体重]]="",0,(テーブル2[[#This Row],[体重]]-テーブル2[[#This Row],[標準体重]])/テーブル2[[#This Row],[標準体重]]*100)</f>
        <v>0</v>
      </c>
      <c r="AF150" s="26">
        <f>COUNTA(テーブル2[[#This Row],[握力]:[ボール投げ]])</f>
        <v>0</v>
      </c>
      <c r="AG150" s="1" t="str">
        <f>IF(テーブル2[[#This Row],[判定]]=$BE$10,"○","")</f>
        <v/>
      </c>
      <c r="AH150" s="1" t="str">
        <f>IF(AG150="","",COUNTIF($AG$6:AG150,"○"))</f>
        <v/>
      </c>
    </row>
    <row r="151" spans="1:34" ht="14.25" customHeight="1" x14ac:dyDescent="0.15">
      <c r="A151" s="44">
        <v>146</v>
      </c>
      <c r="B151" s="148"/>
      <c r="C151" s="151"/>
      <c r="D151" s="148"/>
      <c r="E151" s="152"/>
      <c r="F151" s="148"/>
      <c r="G151" s="148"/>
      <c r="H151" s="150"/>
      <c r="I151" s="150"/>
      <c r="J151" s="151"/>
      <c r="K151" s="148"/>
      <c r="L151" s="196"/>
      <c r="M151" s="151"/>
      <c r="N151" s="197"/>
      <c r="O151" s="151"/>
      <c r="P151" s="153"/>
      <c r="Q15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1" s="144" t="str">
        <f>IF(テーブル2[[#This Row],[得点]]=0,"",IF(テーブル2[[#This Row],[年齢]]=17,LOOKUP(Q151,$BH$6:$BH$10,$BE$6:$BE$10),IF(テーブル2[[#This Row],[年齢]]=16,LOOKUP(Q151,$BG$6:$BG$10,$BE$6:$BE$10),IF(テーブル2[[#This Row],[年齢]]=15,LOOKUP(Q151,$BF$6:$BF$10,$BE$6:$BE$10),IF(テーブル2[[#This Row],[年齢]]=14,LOOKUP(Q151,$BD$6:$BD$10,$BE$6:$BE$10),IF(テーブル2[[#This Row],[年齢]]=13,LOOKUP(Q151,$BC$6:$BC$10,$BE$6:$BE$10),LOOKUP(Q151,$BB$6:$BB$10,$BE$6:$BE$10)))))))</f>
        <v/>
      </c>
      <c r="S151" s="145">
        <f>IF(H151="",0,(IF(テーブル2[[#This Row],[性別]]="男",LOOKUP(テーブル2[[#This Row],[握力]],$AI$6:$AJ$15),LOOKUP(テーブル2[[#This Row],[握力]],$AI$20:$AJ$29))))</f>
        <v>0</v>
      </c>
      <c r="T151" s="145">
        <f>IF(テーブル2[[#This Row],[上体]]="",0,(IF(テーブル2[[#This Row],[性別]]="男",LOOKUP(テーブル2[[#This Row],[上体]],$AK$6:$AL$15),LOOKUP(テーブル2[[#This Row],[上体]],$AK$20:$AL$29))))</f>
        <v>0</v>
      </c>
      <c r="U151" s="145">
        <f>IF(テーブル2[[#This Row],[長座]]="",0,(IF(テーブル2[[#This Row],[性別]]="男",LOOKUP(テーブル2[[#This Row],[長座]],$AM$6:$AN$15),LOOKUP(テーブル2[[#This Row],[長座]],$AM$20:$AN$29))))</f>
        <v>0</v>
      </c>
      <c r="V151" s="145">
        <f>IF(テーブル2[[#This Row],[反復]]="",0,(IF(テーブル2[[#This Row],[性別]]="男",LOOKUP(テーブル2[[#This Row],[反復]],$AO$6:$AP$15),LOOKUP(テーブル2[[#This Row],[反復]],$AO$20:$AP$29))))</f>
        <v>0</v>
      </c>
      <c r="W151" s="145">
        <f>IF(テーブル2[[#This Row],[持久走]]="",0,(IF(テーブル2[[#This Row],[性別]]="男",LOOKUP(テーブル2[[#This Row],[持久走]],$AQ$6:$AR$15),LOOKUP(テーブル2[[#This Row],[持久走]],$AQ$20:$AR$29))))</f>
        <v>0</v>
      </c>
      <c r="X151" s="145">
        <f>IF(テーブル2[[#This Row],[ｼｬﾄﾙﾗﾝ]]="",0,(IF(テーブル2[[#This Row],[性別]]="男",LOOKUP(テーブル2[[#This Row],[ｼｬﾄﾙﾗﾝ]],$AS$6:$AT$15),LOOKUP(テーブル2[[#This Row],[ｼｬﾄﾙﾗﾝ]],$AS$20:$AT$29))))</f>
        <v>0</v>
      </c>
      <c r="Y151" s="145">
        <f>IF(テーブル2[[#This Row],[50m走]]="",0,(IF(テーブル2[[#This Row],[性別]]="男",LOOKUP(テーブル2[[#This Row],[50m走]],$AU$6:$AV$15),LOOKUP(テーブル2[[#This Row],[50m走]],$AU$20:$AV$29))))</f>
        <v>0</v>
      </c>
      <c r="Z151" s="145">
        <f>IF(テーブル2[[#This Row],[立幅とび]]="",0,(IF(テーブル2[[#This Row],[性別]]="男",LOOKUP(テーブル2[[#This Row],[立幅とび]],$AW$6:$AX$15),LOOKUP(テーブル2[[#This Row],[立幅とび]],$AW$20:$AX$29))))</f>
        <v>0</v>
      </c>
      <c r="AA151" s="145">
        <f>IF(テーブル2[[#This Row],[ボール投げ]]="",0,(IF(テーブル2[[#This Row],[性別]]="男",LOOKUP(テーブル2[[#This Row],[ボール投げ]],$AY$6:$AZ$15),LOOKUP(テーブル2[[#This Row],[ボール投げ]],$AY$20:$AZ$29))))</f>
        <v>0</v>
      </c>
      <c r="AB151" s="146" t="str">
        <f>IF(テーブル2[[#This Row],[学年]]=1,12,IF(テーブル2[[#This Row],[学年]]=2,13,IF(テーブル2[[#This Row],[学年]]=3,14,"")))</f>
        <v/>
      </c>
      <c r="AC151" s="192" t="str">
        <f>IF(テーブル2[[#This Row],[肥満度数値]]=0,"",LOOKUP(AE151,$AW$39:$AW$44,$AX$39:$AX$44))</f>
        <v/>
      </c>
      <c r="AD15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1" s="77">
        <f>IF(テーブル2[[#This Row],[体重]]="",0,(テーブル2[[#This Row],[体重]]-テーブル2[[#This Row],[標準体重]])/テーブル2[[#This Row],[標準体重]]*100)</f>
        <v>0</v>
      </c>
      <c r="AF151" s="26">
        <f>COUNTA(テーブル2[[#This Row],[握力]:[ボール投げ]])</f>
        <v>0</v>
      </c>
      <c r="AG151" s="1" t="str">
        <f>IF(テーブル2[[#This Row],[判定]]=$BE$10,"○","")</f>
        <v/>
      </c>
      <c r="AH151" s="1" t="str">
        <f>IF(AG151="","",COUNTIF($AG$6:AG151,"○"))</f>
        <v/>
      </c>
    </row>
    <row r="152" spans="1:34" ht="14.25" customHeight="1" x14ac:dyDescent="0.15">
      <c r="A152" s="44">
        <v>147</v>
      </c>
      <c r="B152" s="148"/>
      <c r="C152" s="151"/>
      <c r="D152" s="148"/>
      <c r="E152" s="152"/>
      <c r="F152" s="148"/>
      <c r="G152" s="148"/>
      <c r="H152" s="150"/>
      <c r="I152" s="150"/>
      <c r="J152" s="151"/>
      <c r="K152" s="148"/>
      <c r="L152" s="196"/>
      <c r="M152" s="151"/>
      <c r="N152" s="197"/>
      <c r="O152" s="151"/>
      <c r="P152" s="153"/>
      <c r="Q15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2" s="144" t="str">
        <f>IF(テーブル2[[#This Row],[得点]]=0,"",IF(テーブル2[[#This Row],[年齢]]=17,LOOKUP(Q152,$BH$6:$BH$10,$BE$6:$BE$10),IF(テーブル2[[#This Row],[年齢]]=16,LOOKUP(Q152,$BG$6:$BG$10,$BE$6:$BE$10),IF(テーブル2[[#This Row],[年齢]]=15,LOOKUP(Q152,$BF$6:$BF$10,$BE$6:$BE$10),IF(テーブル2[[#This Row],[年齢]]=14,LOOKUP(Q152,$BD$6:$BD$10,$BE$6:$BE$10),IF(テーブル2[[#This Row],[年齢]]=13,LOOKUP(Q152,$BC$6:$BC$10,$BE$6:$BE$10),LOOKUP(Q152,$BB$6:$BB$10,$BE$6:$BE$10)))))))</f>
        <v/>
      </c>
      <c r="S152" s="145">
        <f>IF(H152="",0,(IF(テーブル2[[#This Row],[性別]]="男",LOOKUP(テーブル2[[#This Row],[握力]],$AI$6:$AJ$15),LOOKUP(テーブル2[[#This Row],[握力]],$AI$20:$AJ$29))))</f>
        <v>0</v>
      </c>
      <c r="T152" s="145">
        <f>IF(テーブル2[[#This Row],[上体]]="",0,(IF(テーブル2[[#This Row],[性別]]="男",LOOKUP(テーブル2[[#This Row],[上体]],$AK$6:$AL$15),LOOKUP(テーブル2[[#This Row],[上体]],$AK$20:$AL$29))))</f>
        <v>0</v>
      </c>
      <c r="U152" s="145">
        <f>IF(テーブル2[[#This Row],[長座]]="",0,(IF(テーブル2[[#This Row],[性別]]="男",LOOKUP(テーブル2[[#This Row],[長座]],$AM$6:$AN$15),LOOKUP(テーブル2[[#This Row],[長座]],$AM$20:$AN$29))))</f>
        <v>0</v>
      </c>
      <c r="V152" s="145">
        <f>IF(テーブル2[[#This Row],[反復]]="",0,(IF(テーブル2[[#This Row],[性別]]="男",LOOKUP(テーブル2[[#This Row],[反復]],$AO$6:$AP$15),LOOKUP(テーブル2[[#This Row],[反復]],$AO$20:$AP$29))))</f>
        <v>0</v>
      </c>
      <c r="W152" s="145">
        <f>IF(テーブル2[[#This Row],[持久走]]="",0,(IF(テーブル2[[#This Row],[性別]]="男",LOOKUP(テーブル2[[#This Row],[持久走]],$AQ$6:$AR$15),LOOKUP(テーブル2[[#This Row],[持久走]],$AQ$20:$AR$29))))</f>
        <v>0</v>
      </c>
      <c r="X152" s="145">
        <f>IF(テーブル2[[#This Row],[ｼｬﾄﾙﾗﾝ]]="",0,(IF(テーブル2[[#This Row],[性別]]="男",LOOKUP(テーブル2[[#This Row],[ｼｬﾄﾙﾗﾝ]],$AS$6:$AT$15),LOOKUP(テーブル2[[#This Row],[ｼｬﾄﾙﾗﾝ]],$AS$20:$AT$29))))</f>
        <v>0</v>
      </c>
      <c r="Y152" s="145">
        <f>IF(テーブル2[[#This Row],[50m走]]="",0,(IF(テーブル2[[#This Row],[性別]]="男",LOOKUP(テーブル2[[#This Row],[50m走]],$AU$6:$AV$15),LOOKUP(テーブル2[[#This Row],[50m走]],$AU$20:$AV$29))))</f>
        <v>0</v>
      </c>
      <c r="Z152" s="145">
        <f>IF(テーブル2[[#This Row],[立幅とび]]="",0,(IF(テーブル2[[#This Row],[性別]]="男",LOOKUP(テーブル2[[#This Row],[立幅とび]],$AW$6:$AX$15),LOOKUP(テーブル2[[#This Row],[立幅とび]],$AW$20:$AX$29))))</f>
        <v>0</v>
      </c>
      <c r="AA152" s="145">
        <f>IF(テーブル2[[#This Row],[ボール投げ]]="",0,(IF(テーブル2[[#This Row],[性別]]="男",LOOKUP(テーブル2[[#This Row],[ボール投げ]],$AY$6:$AZ$15),LOOKUP(テーブル2[[#This Row],[ボール投げ]],$AY$20:$AZ$29))))</f>
        <v>0</v>
      </c>
      <c r="AB152" s="146" t="str">
        <f>IF(テーブル2[[#This Row],[学年]]=1,12,IF(テーブル2[[#This Row],[学年]]=2,13,IF(テーブル2[[#This Row],[学年]]=3,14,"")))</f>
        <v/>
      </c>
      <c r="AC152" s="192" t="str">
        <f>IF(テーブル2[[#This Row],[肥満度数値]]=0,"",LOOKUP(AE152,$AW$39:$AW$44,$AX$39:$AX$44))</f>
        <v/>
      </c>
      <c r="AD15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2" s="77">
        <f>IF(テーブル2[[#This Row],[体重]]="",0,(テーブル2[[#This Row],[体重]]-テーブル2[[#This Row],[標準体重]])/テーブル2[[#This Row],[標準体重]]*100)</f>
        <v>0</v>
      </c>
      <c r="AF152" s="26">
        <f>COUNTA(テーブル2[[#This Row],[握力]:[ボール投げ]])</f>
        <v>0</v>
      </c>
      <c r="AG152" s="1" t="str">
        <f>IF(テーブル2[[#This Row],[判定]]=$BE$10,"○","")</f>
        <v/>
      </c>
      <c r="AH152" s="1" t="str">
        <f>IF(AG152="","",COUNTIF($AG$6:AG152,"○"))</f>
        <v/>
      </c>
    </row>
    <row r="153" spans="1:34" ht="14.25" customHeight="1" x14ac:dyDescent="0.15">
      <c r="A153" s="44">
        <v>148</v>
      </c>
      <c r="B153" s="148"/>
      <c r="C153" s="151"/>
      <c r="D153" s="148"/>
      <c r="E153" s="152"/>
      <c r="F153" s="148"/>
      <c r="G153" s="148"/>
      <c r="H153" s="150"/>
      <c r="I153" s="150"/>
      <c r="J153" s="151"/>
      <c r="K153" s="148"/>
      <c r="L153" s="196"/>
      <c r="M153" s="151"/>
      <c r="N153" s="197"/>
      <c r="O153" s="151"/>
      <c r="P153" s="153"/>
      <c r="Q15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3" s="144" t="str">
        <f>IF(テーブル2[[#This Row],[得点]]=0,"",IF(テーブル2[[#This Row],[年齢]]=17,LOOKUP(Q153,$BH$6:$BH$10,$BE$6:$BE$10),IF(テーブル2[[#This Row],[年齢]]=16,LOOKUP(Q153,$BG$6:$BG$10,$BE$6:$BE$10),IF(テーブル2[[#This Row],[年齢]]=15,LOOKUP(Q153,$BF$6:$BF$10,$BE$6:$BE$10),IF(テーブル2[[#This Row],[年齢]]=14,LOOKUP(Q153,$BD$6:$BD$10,$BE$6:$BE$10),IF(テーブル2[[#This Row],[年齢]]=13,LOOKUP(Q153,$BC$6:$BC$10,$BE$6:$BE$10),LOOKUP(Q153,$BB$6:$BB$10,$BE$6:$BE$10)))))))</f>
        <v/>
      </c>
      <c r="S153" s="145">
        <f>IF(H153="",0,(IF(テーブル2[[#This Row],[性別]]="男",LOOKUP(テーブル2[[#This Row],[握力]],$AI$6:$AJ$15),LOOKUP(テーブル2[[#This Row],[握力]],$AI$20:$AJ$29))))</f>
        <v>0</v>
      </c>
      <c r="T153" s="145">
        <f>IF(テーブル2[[#This Row],[上体]]="",0,(IF(テーブル2[[#This Row],[性別]]="男",LOOKUP(テーブル2[[#This Row],[上体]],$AK$6:$AL$15),LOOKUP(テーブル2[[#This Row],[上体]],$AK$20:$AL$29))))</f>
        <v>0</v>
      </c>
      <c r="U153" s="145">
        <f>IF(テーブル2[[#This Row],[長座]]="",0,(IF(テーブル2[[#This Row],[性別]]="男",LOOKUP(テーブル2[[#This Row],[長座]],$AM$6:$AN$15),LOOKUP(テーブル2[[#This Row],[長座]],$AM$20:$AN$29))))</f>
        <v>0</v>
      </c>
      <c r="V153" s="145">
        <f>IF(テーブル2[[#This Row],[反復]]="",0,(IF(テーブル2[[#This Row],[性別]]="男",LOOKUP(テーブル2[[#This Row],[反復]],$AO$6:$AP$15),LOOKUP(テーブル2[[#This Row],[反復]],$AO$20:$AP$29))))</f>
        <v>0</v>
      </c>
      <c r="W153" s="145">
        <f>IF(テーブル2[[#This Row],[持久走]]="",0,(IF(テーブル2[[#This Row],[性別]]="男",LOOKUP(テーブル2[[#This Row],[持久走]],$AQ$6:$AR$15),LOOKUP(テーブル2[[#This Row],[持久走]],$AQ$20:$AR$29))))</f>
        <v>0</v>
      </c>
      <c r="X153" s="145">
        <f>IF(テーブル2[[#This Row],[ｼｬﾄﾙﾗﾝ]]="",0,(IF(テーブル2[[#This Row],[性別]]="男",LOOKUP(テーブル2[[#This Row],[ｼｬﾄﾙﾗﾝ]],$AS$6:$AT$15),LOOKUP(テーブル2[[#This Row],[ｼｬﾄﾙﾗﾝ]],$AS$20:$AT$29))))</f>
        <v>0</v>
      </c>
      <c r="Y153" s="145">
        <f>IF(テーブル2[[#This Row],[50m走]]="",0,(IF(テーブル2[[#This Row],[性別]]="男",LOOKUP(テーブル2[[#This Row],[50m走]],$AU$6:$AV$15),LOOKUP(テーブル2[[#This Row],[50m走]],$AU$20:$AV$29))))</f>
        <v>0</v>
      </c>
      <c r="Z153" s="145">
        <f>IF(テーブル2[[#This Row],[立幅とび]]="",0,(IF(テーブル2[[#This Row],[性別]]="男",LOOKUP(テーブル2[[#This Row],[立幅とび]],$AW$6:$AX$15),LOOKUP(テーブル2[[#This Row],[立幅とび]],$AW$20:$AX$29))))</f>
        <v>0</v>
      </c>
      <c r="AA153" s="145">
        <f>IF(テーブル2[[#This Row],[ボール投げ]]="",0,(IF(テーブル2[[#This Row],[性別]]="男",LOOKUP(テーブル2[[#This Row],[ボール投げ]],$AY$6:$AZ$15),LOOKUP(テーブル2[[#This Row],[ボール投げ]],$AY$20:$AZ$29))))</f>
        <v>0</v>
      </c>
      <c r="AB153" s="146" t="str">
        <f>IF(テーブル2[[#This Row],[学年]]=1,12,IF(テーブル2[[#This Row],[学年]]=2,13,IF(テーブル2[[#This Row],[学年]]=3,14,"")))</f>
        <v/>
      </c>
      <c r="AC153" s="192" t="str">
        <f>IF(テーブル2[[#This Row],[肥満度数値]]=0,"",LOOKUP(AE153,$AW$39:$AW$44,$AX$39:$AX$44))</f>
        <v/>
      </c>
      <c r="AD15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3" s="77">
        <f>IF(テーブル2[[#This Row],[体重]]="",0,(テーブル2[[#This Row],[体重]]-テーブル2[[#This Row],[標準体重]])/テーブル2[[#This Row],[標準体重]]*100)</f>
        <v>0</v>
      </c>
      <c r="AF153" s="26">
        <f>COUNTA(テーブル2[[#This Row],[握力]:[ボール投げ]])</f>
        <v>0</v>
      </c>
      <c r="AG153" s="1" t="str">
        <f>IF(テーブル2[[#This Row],[判定]]=$BE$10,"○","")</f>
        <v/>
      </c>
      <c r="AH153" s="1" t="str">
        <f>IF(AG153="","",COUNTIF($AG$6:AG153,"○"))</f>
        <v/>
      </c>
    </row>
    <row r="154" spans="1:34" ht="14.25" customHeight="1" x14ac:dyDescent="0.15">
      <c r="A154" s="44">
        <v>149</v>
      </c>
      <c r="B154" s="148"/>
      <c r="C154" s="151"/>
      <c r="D154" s="148"/>
      <c r="E154" s="152"/>
      <c r="F154" s="148"/>
      <c r="G154" s="148"/>
      <c r="H154" s="150"/>
      <c r="I154" s="150"/>
      <c r="J154" s="151"/>
      <c r="K154" s="148"/>
      <c r="L154" s="196"/>
      <c r="M154" s="151"/>
      <c r="N154" s="197"/>
      <c r="O154" s="151"/>
      <c r="P154" s="153"/>
      <c r="Q15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4" s="144" t="str">
        <f>IF(テーブル2[[#This Row],[得点]]=0,"",IF(テーブル2[[#This Row],[年齢]]=17,LOOKUP(Q154,$BH$6:$BH$10,$BE$6:$BE$10),IF(テーブル2[[#This Row],[年齢]]=16,LOOKUP(Q154,$BG$6:$BG$10,$BE$6:$BE$10),IF(テーブル2[[#This Row],[年齢]]=15,LOOKUP(Q154,$BF$6:$BF$10,$BE$6:$BE$10),IF(テーブル2[[#This Row],[年齢]]=14,LOOKUP(Q154,$BD$6:$BD$10,$BE$6:$BE$10),IF(テーブル2[[#This Row],[年齢]]=13,LOOKUP(Q154,$BC$6:$BC$10,$BE$6:$BE$10),LOOKUP(Q154,$BB$6:$BB$10,$BE$6:$BE$10)))))))</f>
        <v/>
      </c>
      <c r="S154" s="145">
        <f>IF(H154="",0,(IF(テーブル2[[#This Row],[性別]]="男",LOOKUP(テーブル2[[#This Row],[握力]],$AI$6:$AJ$15),LOOKUP(テーブル2[[#This Row],[握力]],$AI$20:$AJ$29))))</f>
        <v>0</v>
      </c>
      <c r="T154" s="145">
        <f>IF(テーブル2[[#This Row],[上体]]="",0,(IF(テーブル2[[#This Row],[性別]]="男",LOOKUP(テーブル2[[#This Row],[上体]],$AK$6:$AL$15),LOOKUP(テーブル2[[#This Row],[上体]],$AK$20:$AL$29))))</f>
        <v>0</v>
      </c>
      <c r="U154" s="145">
        <f>IF(テーブル2[[#This Row],[長座]]="",0,(IF(テーブル2[[#This Row],[性別]]="男",LOOKUP(テーブル2[[#This Row],[長座]],$AM$6:$AN$15),LOOKUP(テーブル2[[#This Row],[長座]],$AM$20:$AN$29))))</f>
        <v>0</v>
      </c>
      <c r="V154" s="145">
        <f>IF(テーブル2[[#This Row],[反復]]="",0,(IF(テーブル2[[#This Row],[性別]]="男",LOOKUP(テーブル2[[#This Row],[反復]],$AO$6:$AP$15),LOOKUP(テーブル2[[#This Row],[反復]],$AO$20:$AP$29))))</f>
        <v>0</v>
      </c>
      <c r="W154" s="145">
        <f>IF(テーブル2[[#This Row],[持久走]]="",0,(IF(テーブル2[[#This Row],[性別]]="男",LOOKUP(テーブル2[[#This Row],[持久走]],$AQ$6:$AR$15),LOOKUP(テーブル2[[#This Row],[持久走]],$AQ$20:$AR$29))))</f>
        <v>0</v>
      </c>
      <c r="X154" s="145">
        <f>IF(テーブル2[[#This Row],[ｼｬﾄﾙﾗﾝ]]="",0,(IF(テーブル2[[#This Row],[性別]]="男",LOOKUP(テーブル2[[#This Row],[ｼｬﾄﾙﾗﾝ]],$AS$6:$AT$15),LOOKUP(テーブル2[[#This Row],[ｼｬﾄﾙﾗﾝ]],$AS$20:$AT$29))))</f>
        <v>0</v>
      </c>
      <c r="Y154" s="145">
        <f>IF(テーブル2[[#This Row],[50m走]]="",0,(IF(テーブル2[[#This Row],[性別]]="男",LOOKUP(テーブル2[[#This Row],[50m走]],$AU$6:$AV$15),LOOKUP(テーブル2[[#This Row],[50m走]],$AU$20:$AV$29))))</f>
        <v>0</v>
      </c>
      <c r="Z154" s="145">
        <f>IF(テーブル2[[#This Row],[立幅とび]]="",0,(IF(テーブル2[[#This Row],[性別]]="男",LOOKUP(テーブル2[[#This Row],[立幅とび]],$AW$6:$AX$15),LOOKUP(テーブル2[[#This Row],[立幅とび]],$AW$20:$AX$29))))</f>
        <v>0</v>
      </c>
      <c r="AA154" s="145">
        <f>IF(テーブル2[[#This Row],[ボール投げ]]="",0,(IF(テーブル2[[#This Row],[性別]]="男",LOOKUP(テーブル2[[#This Row],[ボール投げ]],$AY$6:$AZ$15),LOOKUP(テーブル2[[#This Row],[ボール投げ]],$AY$20:$AZ$29))))</f>
        <v>0</v>
      </c>
      <c r="AB154" s="146" t="str">
        <f>IF(テーブル2[[#This Row],[学年]]=1,12,IF(テーブル2[[#This Row],[学年]]=2,13,IF(テーブル2[[#This Row],[学年]]=3,14,"")))</f>
        <v/>
      </c>
      <c r="AC154" s="192" t="str">
        <f>IF(テーブル2[[#This Row],[肥満度数値]]=0,"",LOOKUP(AE154,$AW$39:$AW$44,$AX$39:$AX$44))</f>
        <v/>
      </c>
      <c r="AD15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4" s="77">
        <f>IF(テーブル2[[#This Row],[体重]]="",0,(テーブル2[[#This Row],[体重]]-テーブル2[[#This Row],[標準体重]])/テーブル2[[#This Row],[標準体重]]*100)</f>
        <v>0</v>
      </c>
      <c r="AF154" s="26">
        <f>COUNTA(テーブル2[[#This Row],[握力]:[ボール投げ]])</f>
        <v>0</v>
      </c>
      <c r="AG154" s="1" t="str">
        <f>IF(テーブル2[[#This Row],[判定]]=$BE$10,"○","")</f>
        <v/>
      </c>
      <c r="AH154" s="1" t="str">
        <f>IF(AG154="","",COUNTIF($AG$6:AG154,"○"))</f>
        <v/>
      </c>
    </row>
    <row r="155" spans="1:34" ht="14.25" customHeight="1" x14ac:dyDescent="0.15">
      <c r="A155" s="44">
        <v>150</v>
      </c>
      <c r="B155" s="148"/>
      <c r="C155" s="151"/>
      <c r="D155" s="148"/>
      <c r="E155" s="152"/>
      <c r="F155" s="148"/>
      <c r="G155" s="148"/>
      <c r="H155" s="150"/>
      <c r="I155" s="150"/>
      <c r="J155" s="151"/>
      <c r="K155" s="148"/>
      <c r="L155" s="196"/>
      <c r="M155" s="151"/>
      <c r="N155" s="197"/>
      <c r="O155" s="151"/>
      <c r="P155" s="153"/>
      <c r="Q15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5" s="144" t="str">
        <f>IF(テーブル2[[#This Row],[得点]]=0,"",IF(テーブル2[[#This Row],[年齢]]=17,LOOKUP(Q155,$BH$6:$BH$10,$BE$6:$BE$10),IF(テーブル2[[#This Row],[年齢]]=16,LOOKUP(Q155,$BG$6:$BG$10,$BE$6:$BE$10),IF(テーブル2[[#This Row],[年齢]]=15,LOOKUP(Q155,$BF$6:$BF$10,$BE$6:$BE$10),IF(テーブル2[[#This Row],[年齢]]=14,LOOKUP(Q155,$BD$6:$BD$10,$BE$6:$BE$10),IF(テーブル2[[#This Row],[年齢]]=13,LOOKUP(Q155,$BC$6:$BC$10,$BE$6:$BE$10),LOOKUP(Q155,$BB$6:$BB$10,$BE$6:$BE$10)))))))</f>
        <v/>
      </c>
      <c r="S155" s="145">
        <f>IF(H155="",0,(IF(テーブル2[[#This Row],[性別]]="男",LOOKUP(テーブル2[[#This Row],[握力]],$AI$6:$AJ$15),LOOKUP(テーブル2[[#This Row],[握力]],$AI$20:$AJ$29))))</f>
        <v>0</v>
      </c>
      <c r="T155" s="145">
        <f>IF(テーブル2[[#This Row],[上体]]="",0,(IF(テーブル2[[#This Row],[性別]]="男",LOOKUP(テーブル2[[#This Row],[上体]],$AK$6:$AL$15),LOOKUP(テーブル2[[#This Row],[上体]],$AK$20:$AL$29))))</f>
        <v>0</v>
      </c>
      <c r="U155" s="145">
        <f>IF(テーブル2[[#This Row],[長座]]="",0,(IF(テーブル2[[#This Row],[性別]]="男",LOOKUP(テーブル2[[#This Row],[長座]],$AM$6:$AN$15),LOOKUP(テーブル2[[#This Row],[長座]],$AM$20:$AN$29))))</f>
        <v>0</v>
      </c>
      <c r="V155" s="145">
        <f>IF(テーブル2[[#This Row],[反復]]="",0,(IF(テーブル2[[#This Row],[性別]]="男",LOOKUP(テーブル2[[#This Row],[反復]],$AO$6:$AP$15),LOOKUP(テーブル2[[#This Row],[反復]],$AO$20:$AP$29))))</f>
        <v>0</v>
      </c>
      <c r="W155" s="145">
        <f>IF(テーブル2[[#This Row],[持久走]]="",0,(IF(テーブル2[[#This Row],[性別]]="男",LOOKUP(テーブル2[[#This Row],[持久走]],$AQ$6:$AR$15),LOOKUP(テーブル2[[#This Row],[持久走]],$AQ$20:$AR$29))))</f>
        <v>0</v>
      </c>
      <c r="X155" s="145">
        <f>IF(テーブル2[[#This Row],[ｼｬﾄﾙﾗﾝ]]="",0,(IF(テーブル2[[#This Row],[性別]]="男",LOOKUP(テーブル2[[#This Row],[ｼｬﾄﾙﾗﾝ]],$AS$6:$AT$15),LOOKUP(テーブル2[[#This Row],[ｼｬﾄﾙﾗﾝ]],$AS$20:$AT$29))))</f>
        <v>0</v>
      </c>
      <c r="Y155" s="145">
        <f>IF(テーブル2[[#This Row],[50m走]]="",0,(IF(テーブル2[[#This Row],[性別]]="男",LOOKUP(テーブル2[[#This Row],[50m走]],$AU$6:$AV$15),LOOKUP(テーブル2[[#This Row],[50m走]],$AU$20:$AV$29))))</f>
        <v>0</v>
      </c>
      <c r="Z155" s="145">
        <f>IF(テーブル2[[#This Row],[立幅とび]]="",0,(IF(テーブル2[[#This Row],[性別]]="男",LOOKUP(テーブル2[[#This Row],[立幅とび]],$AW$6:$AX$15),LOOKUP(テーブル2[[#This Row],[立幅とび]],$AW$20:$AX$29))))</f>
        <v>0</v>
      </c>
      <c r="AA155" s="145">
        <f>IF(テーブル2[[#This Row],[ボール投げ]]="",0,(IF(テーブル2[[#This Row],[性別]]="男",LOOKUP(テーブル2[[#This Row],[ボール投げ]],$AY$6:$AZ$15),LOOKUP(テーブル2[[#This Row],[ボール投げ]],$AY$20:$AZ$29))))</f>
        <v>0</v>
      </c>
      <c r="AB155" s="146" t="str">
        <f>IF(テーブル2[[#This Row],[学年]]=1,12,IF(テーブル2[[#This Row],[学年]]=2,13,IF(テーブル2[[#This Row],[学年]]=3,14,"")))</f>
        <v/>
      </c>
      <c r="AC155" s="192" t="str">
        <f>IF(テーブル2[[#This Row],[肥満度数値]]=0,"",LOOKUP(AE155,$AW$39:$AW$44,$AX$39:$AX$44))</f>
        <v/>
      </c>
      <c r="AD15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5" s="77">
        <f>IF(テーブル2[[#This Row],[体重]]="",0,(テーブル2[[#This Row],[体重]]-テーブル2[[#This Row],[標準体重]])/テーブル2[[#This Row],[標準体重]]*100)</f>
        <v>0</v>
      </c>
      <c r="AF155" s="26">
        <f>COUNTA(テーブル2[[#This Row],[握力]:[ボール投げ]])</f>
        <v>0</v>
      </c>
      <c r="AG155" s="1" t="str">
        <f>IF(テーブル2[[#This Row],[判定]]=$BE$10,"○","")</f>
        <v/>
      </c>
      <c r="AH155" s="1" t="str">
        <f>IF(AG155="","",COUNTIF($AG$6:AG155,"○"))</f>
        <v/>
      </c>
    </row>
    <row r="156" spans="1:34" ht="14.25" customHeight="1" x14ac:dyDescent="0.15">
      <c r="A156" s="44">
        <v>151</v>
      </c>
      <c r="B156" s="148"/>
      <c r="C156" s="151"/>
      <c r="D156" s="148"/>
      <c r="E156" s="152"/>
      <c r="F156" s="148"/>
      <c r="G156" s="148"/>
      <c r="H156" s="150"/>
      <c r="I156" s="150"/>
      <c r="J156" s="151"/>
      <c r="K156" s="148"/>
      <c r="L156" s="196"/>
      <c r="M156" s="151"/>
      <c r="N156" s="197"/>
      <c r="O156" s="151"/>
      <c r="P156" s="153"/>
      <c r="Q15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6" s="144" t="str">
        <f>IF(テーブル2[[#This Row],[得点]]=0,"",IF(テーブル2[[#This Row],[年齢]]=17,LOOKUP(Q156,$BH$6:$BH$10,$BE$6:$BE$10),IF(テーブル2[[#This Row],[年齢]]=16,LOOKUP(Q156,$BG$6:$BG$10,$BE$6:$BE$10),IF(テーブル2[[#This Row],[年齢]]=15,LOOKUP(Q156,$BF$6:$BF$10,$BE$6:$BE$10),IF(テーブル2[[#This Row],[年齢]]=14,LOOKUP(Q156,$BD$6:$BD$10,$BE$6:$BE$10),IF(テーブル2[[#This Row],[年齢]]=13,LOOKUP(Q156,$BC$6:$BC$10,$BE$6:$BE$10),LOOKUP(Q156,$BB$6:$BB$10,$BE$6:$BE$10)))))))</f>
        <v/>
      </c>
      <c r="S156" s="145">
        <f>IF(H156="",0,(IF(テーブル2[[#This Row],[性別]]="男",LOOKUP(テーブル2[[#This Row],[握力]],$AI$6:$AJ$15),LOOKUP(テーブル2[[#This Row],[握力]],$AI$20:$AJ$29))))</f>
        <v>0</v>
      </c>
      <c r="T156" s="145">
        <f>IF(テーブル2[[#This Row],[上体]]="",0,(IF(テーブル2[[#This Row],[性別]]="男",LOOKUP(テーブル2[[#This Row],[上体]],$AK$6:$AL$15),LOOKUP(テーブル2[[#This Row],[上体]],$AK$20:$AL$29))))</f>
        <v>0</v>
      </c>
      <c r="U156" s="145">
        <f>IF(テーブル2[[#This Row],[長座]]="",0,(IF(テーブル2[[#This Row],[性別]]="男",LOOKUP(テーブル2[[#This Row],[長座]],$AM$6:$AN$15),LOOKUP(テーブル2[[#This Row],[長座]],$AM$20:$AN$29))))</f>
        <v>0</v>
      </c>
      <c r="V156" s="145">
        <f>IF(テーブル2[[#This Row],[反復]]="",0,(IF(テーブル2[[#This Row],[性別]]="男",LOOKUP(テーブル2[[#This Row],[反復]],$AO$6:$AP$15),LOOKUP(テーブル2[[#This Row],[反復]],$AO$20:$AP$29))))</f>
        <v>0</v>
      </c>
      <c r="W156" s="145">
        <f>IF(テーブル2[[#This Row],[持久走]]="",0,(IF(テーブル2[[#This Row],[性別]]="男",LOOKUP(テーブル2[[#This Row],[持久走]],$AQ$6:$AR$15),LOOKUP(テーブル2[[#This Row],[持久走]],$AQ$20:$AR$29))))</f>
        <v>0</v>
      </c>
      <c r="X156" s="145">
        <f>IF(テーブル2[[#This Row],[ｼｬﾄﾙﾗﾝ]]="",0,(IF(テーブル2[[#This Row],[性別]]="男",LOOKUP(テーブル2[[#This Row],[ｼｬﾄﾙﾗﾝ]],$AS$6:$AT$15),LOOKUP(テーブル2[[#This Row],[ｼｬﾄﾙﾗﾝ]],$AS$20:$AT$29))))</f>
        <v>0</v>
      </c>
      <c r="Y156" s="145">
        <f>IF(テーブル2[[#This Row],[50m走]]="",0,(IF(テーブル2[[#This Row],[性別]]="男",LOOKUP(テーブル2[[#This Row],[50m走]],$AU$6:$AV$15),LOOKUP(テーブル2[[#This Row],[50m走]],$AU$20:$AV$29))))</f>
        <v>0</v>
      </c>
      <c r="Z156" s="145">
        <f>IF(テーブル2[[#This Row],[立幅とび]]="",0,(IF(テーブル2[[#This Row],[性別]]="男",LOOKUP(テーブル2[[#This Row],[立幅とび]],$AW$6:$AX$15),LOOKUP(テーブル2[[#This Row],[立幅とび]],$AW$20:$AX$29))))</f>
        <v>0</v>
      </c>
      <c r="AA156" s="145">
        <f>IF(テーブル2[[#This Row],[ボール投げ]]="",0,(IF(テーブル2[[#This Row],[性別]]="男",LOOKUP(テーブル2[[#This Row],[ボール投げ]],$AY$6:$AZ$15),LOOKUP(テーブル2[[#This Row],[ボール投げ]],$AY$20:$AZ$29))))</f>
        <v>0</v>
      </c>
      <c r="AB156" s="146" t="str">
        <f>IF(テーブル2[[#This Row],[学年]]=1,12,IF(テーブル2[[#This Row],[学年]]=2,13,IF(テーブル2[[#This Row],[学年]]=3,14,"")))</f>
        <v/>
      </c>
      <c r="AC156" s="192" t="str">
        <f>IF(テーブル2[[#This Row],[肥満度数値]]=0,"",LOOKUP(AE156,$AW$39:$AW$44,$AX$39:$AX$44))</f>
        <v/>
      </c>
      <c r="AD15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6" s="77">
        <f>IF(テーブル2[[#This Row],[体重]]="",0,(テーブル2[[#This Row],[体重]]-テーブル2[[#This Row],[標準体重]])/テーブル2[[#This Row],[標準体重]]*100)</f>
        <v>0</v>
      </c>
      <c r="AF156" s="26">
        <f>COUNTA(テーブル2[[#This Row],[握力]:[ボール投げ]])</f>
        <v>0</v>
      </c>
      <c r="AG156" s="1" t="str">
        <f>IF(テーブル2[[#This Row],[判定]]=$BE$10,"○","")</f>
        <v/>
      </c>
      <c r="AH156" s="1" t="str">
        <f>IF(AG156="","",COUNTIF($AG$6:AG156,"○"))</f>
        <v/>
      </c>
    </row>
    <row r="157" spans="1:34" ht="14.25" customHeight="1" x14ac:dyDescent="0.15">
      <c r="A157" s="44">
        <v>152</v>
      </c>
      <c r="B157" s="148"/>
      <c r="C157" s="151"/>
      <c r="D157" s="148"/>
      <c r="E157" s="152"/>
      <c r="F157" s="148"/>
      <c r="G157" s="148"/>
      <c r="H157" s="150"/>
      <c r="I157" s="150"/>
      <c r="J157" s="151"/>
      <c r="K157" s="148"/>
      <c r="L157" s="196"/>
      <c r="M157" s="151"/>
      <c r="N157" s="197"/>
      <c r="O157" s="151"/>
      <c r="P157" s="153"/>
      <c r="Q15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7" s="144" t="str">
        <f>IF(テーブル2[[#This Row],[得点]]=0,"",IF(テーブル2[[#This Row],[年齢]]=17,LOOKUP(Q157,$BH$6:$BH$10,$BE$6:$BE$10),IF(テーブル2[[#This Row],[年齢]]=16,LOOKUP(Q157,$BG$6:$BG$10,$BE$6:$BE$10),IF(テーブル2[[#This Row],[年齢]]=15,LOOKUP(Q157,$BF$6:$BF$10,$BE$6:$BE$10),IF(テーブル2[[#This Row],[年齢]]=14,LOOKUP(Q157,$BD$6:$BD$10,$BE$6:$BE$10),IF(テーブル2[[#This Row],[年齢]]=13,LOOKUP(Q157,$BC$6:$BC$10,$BE$6:$BE$10),LOOKUP(Q157,$BB$6:$BB$10,$BE$6:$BE$10)))))))</f>
        <v/>
      </c>
      <c r="S157" s="145">
        <f>IF(H157="",0,(IF(テーブル2[[#This Row],[性別]]="男",LOOKUP(テーブル2[[#This Row],[握力]],$AI$6:$AJ$15),LOOKUP(テーブル2[[#This Row],[握力]],$AI$20:$AJ$29))))</f>
        <v>0</v>
      </c>
      <c r="T157" s="145">
        <f>IF(テーブル2[[#This Row],[上体]]="",0,(IF(テーブル2[[#This Row],[性別]]="男",LOOKUP(テーブル2[[#This Row],[上体]],$AK$6:$AL$15),LOOKUP(テーブル2[[#This Row],[上体]],$AK$20:$AL$29))))</f>
        <v>0</v>
      </c>
      <c r="U157" s="145">
        <f>IF(テーブル2[[#This Row],[長座]]="",0,(IF(テーブル2[[#This Row],[性別]]="男",LOOKUP(テーブル2[[#This Row],[長座]],$AM$6:$AN$15),LOOKUP(テーブル2[[#This Row],[長座]],$AM$20:$AN$29))))</f>
        <v>0</v>
      </c>
      <c r="V157" s="145">
        <f>IF(テーブル2[[#This Row],[反復]]="",0,(IF(テーブル2[[#This Row],[性別]]="男",LOOKUP(テーブル2[[#This Row],[反復]],$AO$6:$AP$15),LOOKUP(テーブル2[[#This Row],[反復]],$AO$20:$AP$29))))</f>
        <v>0</v>
      </c>
      <c r="W157" s="145">
        <f>IF(テーブル2[[#This Row],[持久走]]="",0,(IF(テーブル2[[#This Row],[性別]]="男",LOOKUP(テーブル2[[#This Row],[持久走]],$AQ$6:$AR$15),LOOKUP(テーブル2[[#This Row],[持久走]],$AQ$20:$AR$29))))</f>
        <v>0</v>
      </c>
      <c r="X157" s="145">
        <f>IF(テーブル2[[#This Row],[ｼｬﾄﾙﾗﾝ]]="",0,(IF(テーブル2[[#This Row],[性別]]="男",LOOKUP(テーブル2[[#This Row],[ｼｬﾄﾙﾗﾝ]],$AS$6:$AT$15),LOOKUP(テーブル2[[#This Row],[ｼｬﾄﾙﾗﾝ]],$AS$20:$AT$29))))</f>
        <v>0</v>
      </c>
      <c r="Y157" s="145">
        <f>IF(テーブル2[[#This Row],[50m走]]="",0,(IF(テーブル2[[#This Row],[性別]]="男",LOOKUP(テーブル2[[#This Row],[50m走]],$AU$6:$AV$15),LOOKUP(テーブル2[[#This Row],[50m走]],$AU$20:$AV$29))))</f>
        <v>0</v>
      </c>
      <c r="Z157" s="145">
        <f>IF(テーブル2[[#This Row],[立幅とび]]="",0,(IF(テーブル2[[#This Row],[性別]]="男",LOOKUP(テーブル2[[#This Row],[立幅とび]],$AW$6:$AX$15),LOOKUP(テーブル2[[#This Row],[立幅とび]],$AW$20:$AX$29))))</f>
        <v>0</v>
      </c>
      <c r="AA157" s="145">
        <f>IF(テーブル2[[#This Row],[ボール投げ]]="",0,(IF(テーブル2[[#This Row],[性別]]="男",LOOKUP(テーブル2[[#This Row],[ボール投げ]],$AY$6:$AZ$15),LOOKUP(テーブル2[[#This Row],[ボール投げ]],$AY$20:$AZ$29))))</f>
        <v>0</v>
      </c>
      <c r="AB157" s="146" t="str">
        <f>IF(テーブル2[[#This Row],[学年]]=1,12,IF(テーブル2[[#This Row],[学年]]=2,13,IF(テーブル2[[#This Row],[学年]]=3,14,"")))</f>
        <v/>
      </c>
      <c r="AC157" s="192" t="str">
        <f>IF(テーブル2[[#This Row],[肥満度数値]]=0,"",LOOKUP(AE157,$AW$39:$AW$44,$AX$39:$AX$44))</f>
        <v/>
      </c>
      <c r="AD15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7" s="77">
        <f>IF(テーブル2[[#This Row],[体重]]="",0,(テーブル2[[#This Row],[体重]]-テーブル2[[#This Row],[標準体重]])/テーブル2[[#This Row],[標準体重]]*100)</f>
        <v>0</v>
      </c>
      <c r="AF157" s="26">
        <f>COUNTA(テーブル2[[#This Row],[握力]:[ボール投げ]])</f>
        <v>0</v>
      </c>
      <c r="AG157" s="1" t="str">
        <f>IF(テーブル2[[#This Row],[判定]]=$BE$10,"○","")</f>
        <v/>
      </c>
      <c r="AH157" s="1" t="str">
        <f>IF(AG157="","",COUNTIF($AG$6:AG157,"○"))</f>
        <v/>
      </c>
    </row>
    <row r="158" spans="1:34" ht="14.25" customHeight="1" x14ac:dyDescent="0.15">
      <c r="A158" s="44">
        <v>153</v>
      </c>
      <c r="B158" s="148"/>
      <c r="C158" s="151"/>
      <c r="D158" s="148"/>
      <c r="E158" s="152"/>
      <c r="F158" s="148"/>
      <c r="G158" s="148"/>
      <c r="H158" s="150"/>
      <c r="I158" s="150"/>
      <c r="J158" s="151"/>
      <c r="K158" s="148"/>
      <c r="L158" s="196"/>
      <c r="M158" s="151"/>
      <c r="N158" s="197"/>
      <c r="O158" s="151"/>
      <c r="P158" s="153"/>
      <c r="Q15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8" s="144" t="str">
        <f>IF(テーブル2[[#This Row],[得点]]=0,"",IF(テーブル2[[#This Row],[年齢]]=17,LOOKUP(Q158,$BH$6:$BH$10,$BE$6:$BE$10),IF(テーブル2[[#This Row],[年齢]]=16,LOOKUP(Q158,$BG$6:$BG$10,$BE$6:$BE$10),IF(テーブル2[[#This Row],[年齢]]=15,LOOKUP(Q158,$BF$6:$BF$10,$BE$6:$BE$10),IF(テーブル2[[#This Row],[年齢]]=14,LOOKUP(Q158,$BD$6:$BD$10,$BE$6:$BE$10),IF(テーブル2[[#This Row],[年齢]]=13,LOOKUP(Q158,$BC$6:$BC$10,$BE$6:$BE$10),LOOKUP(Q158,$BB$6:$BB$10,$BE$6:$BE$10)))))))</f>
        <v/>
      </c>
      <c r="S158" s="145">
        <f>IF(H158="",0,(IF(テーブル2[[#This Row],[性別]]="男",LOOKUP(テーブル2[[#This Row],[握力]],$AI$6:$AJ$15),LOOKUP(テーブル2[[#This Row],[握力]],$AI$20:$AJ$29))))</f>
        <v>0</v>
      </c>
      <c r="T158" s="145">
        <f>IF(テーブル2[[#This Row],[上体]]="",0,(IF(テーブル2[[#This Row],[性別]]="男",LOOKUP(テーブル2[[#This Row],[上体]],$AK$6:$AL$15),LOOKUP(テーブル2[[#This Row],[上体]],$AK$20:$AL$29))))</f>
        <v>0</v>
      </c>
      <c r="U158" s="145">
        <f>IF(テーブル2[[#This Row],[長座]]="",0,(IF(テーブル2[[#This Row],[性別]]="男",LOOKUP(テーブル2[[#This Row],[長座]],$AM$6:$AN$15),LOOKUP(テーブル2[[#This Row],[長座]],$AM$20:$AN$29))))</f>
        <v>0</v>
      </c>
      <c r="V158" s="145">
        <f>IF(テーブル2[[#This Row],[反復]]="",0,(IF(テーブル2[[#This Row],[性別]]="男",LOOKUP(テーブル2[[#This Row],[反復]],$AO$6:$AP$15),LOOKUP(テーブル2[[#This Row],[反復]],$AO$20:$AP$29))))</f>
        <v>0</v>
      </c>
      <c r="W158" s="145">
        <f>IF(テーブル2[[#This Row],[持久走]]="",0,(IF(テーブル2[[#This Row],[性別]]="男",LOOKUP(テーブル2[[#This Row],[持久走]],$AQ$6:$AR$15),LOOKUP(テーブル2[[#This Row],[持久走]],$AQ$20:$AR$29))))</f>
        <v>0</v>
      </c>
      <c r="X158" s="145">
        <f>IF(テーブル2[[#This Row],[ｼｬﾄﾙﾗﾝ]]="",0,(IF(テーブル2[[#This Row],[性別]]="男",LOOKUP(テーブル2[[#This Row],[ｼｬﾄﾙﾗﾝ]],$AS$6:$AT$15),LOOKUP(テーブル2[[#This Row],[ｼｬﾄﾙﾗﾝ]],$AS$20:$AT$29))))</f>
        <v>0</v>
      </c>
      <c r="Y158" s="145">
        <f>IF(テーブル2[[#This Row],[50m走]]="",0,(IF(テーブル2[[#This Row],[性別]]="男",LOOKUP(テーブル2[[#This Row],[50m走]],$AU$6:$AV$15),LOOKUP(テーブル2[[#This Row],[50m走]],$AU$20:$AV$29))))</f>
        <v>0</v>
      </c>
      <c r="Z158" s="145">
        <f>IF(テーブル2[[#This Row],[立幅とび]]="",0,(IF(テーブル2[[#This Row],[性別]]="男",LOOKUP(テーブル2[[#This Row],[立幅とび]],$AW$6:$AX$15),LOOKUP(テーブル2[[#This Row],[立幅とび]],$AW$20:$AX$29))))</f>
        <v>0</v>
      </c>
      <c r="AA158" s="145">
        <f>IF(テーブル2[[#This Row],[ボール投げ]]="",0,(IF(テーブル2[[#This Row],[性別]]="男",LOOKUP(テーブル2[[#This Row],[ボール投げ]],$AY$6:$AZ$15),LOOKUP(テーブル2[[#This Row],[ボール投げ]],$AY$20:$AZ$29))))</f>
        <v>0</v>
      </c>
      <c r="AB158" s="146" t="str">
        <f>IF(テーブル2[[#This Row],[学年]]=1,12,IF(テーブル2[[#This Row],[学年]]=2,13,IF(テーブル2[[#This Row],[学年]]=3,14,"")))</f>
        <v/>
      </c>
      <c r="AC158" s="192" t="str">
        <f>IF(テーブル2[[#This Row],[肥満度数値]]=0,"",LOOKUP(AE158,$AW$39:$AW$44,$AX$39:$AX$44))</f>
        <v/>
      </c>
      <c r="AD15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8" s="77">
        <f>IF(テーブル2[[#This Row],[体重]]="",0,(テーブル2[[#This Row],[体重]]-テーブル2[[#This Row],[標準体重]])/テーブル2[[#This Row],[標準体重]]*100)</f>
        <v>0</v>
      </c>
      <c r="AF158" s="26">
        <f>COUNTA(テーブル2[[#This Row],[握力]:[ボール投げ]])</f>
        <v>0</v>
      </c>
      <c r="AG158" s="1" t="str">
        <f>IF(テーブル2[[#This Row],[判定]]=$BE$10,"○","")</f>
        <v/>
      </c>
      <c r="AH158" s="1" t="str">
        <f>IF(AG158="","",COUNTIF($AG$6:AG158,"○"))</f>
        <v/>
      </c>
    </row>
    <row r="159" spans="1:34" ht="14.25" customHeight="1" x14ac:dyDescent="0.15">
      <c r="A159" s="44">
        <v>154</v>
      </c>
      <c r="B159" s="148"/>
      <c r="C159" s="151"/>
      <c r="D159" s="148"/>
      <c r="E159" s="152"/>
      <c r="F159" s="148"/>
      <c r="G159" s="148"/>
      <c r="H159" s="150"/>
      <c r="I159" s="150"/>
      <c r="J159" s="151"/>
      <c r="K159" s="148"/>
      <c r="L159" s="196"/>
      <c r="M159" s="151"/>
      <c r="N159" s="197"/>
      <c r="O159" s="151"/>
      <c r="P159" s="153"/>
      <c r="Q15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9" s="144" t="str">
        <f>IF(テーブル2[[#This Row],[得点]]=0,"",IF(テーブル2[[#This Row],[年齢]]=17,LOOKUP(Q159,$BH$6:$BH$10,$BE$6:$BE$10),IF(テーブル2[[#This Row],[年齢]]=16,LOOKUP(Q159,$BG$6:$BG$10,$BE$6:$BE$10),IF(テーブル2[[#This Row],[年齢]]=15,LOOKUP(Q159,$BF$6:$BF$10,$BE$6:$BE$10),IF(テーブル2[[#This Row],[年齢]]=14,LOOKUP(Q159,$BD$6:$BD$10,$BE$6:$BE$10),IF(テーブル2[[#This Row],[年齢]]=13,LOOKUP(Q159,$BC$6:$BC$10,$BE$6:$BE$10),LOOKUP(Q159,$BB$6:$BB$10,$BE$6:$BE$10)))))))</f>
        <v/>
      </c>
      <c r="S159" s="145">
        <f>IF(H159="",0,(IF(テーブル2[[#This Row],[性別]]="男",LOOKUP(テーブル2[[#This Row],[握力]],$AI$6:$AJ$15),LOOKUP(テーブル2[[#This Row],[握力]],$AI$20:$AJ$29))))</f>
        <v>0</v>
      </c>
      <c r="T159" s="145">
        <f>IF(テーブル2[[#This Row],[上体]]="",0,(IF(テーブル2[[#This Row],[性別]]="男",LOOKUP(テーブル2[[#This Row],[上体]],$AK$6:$AL$15),LOOKUP(テーブル2[[#This Row],[上体]],$AK$20:$AL$29))))</f>
        <v>0</v>
      </c>
      <c r="U159" s="145">
        <f>IF(テーブル2[[#This Row],[長座]]="",0,(IF(テーブル2[[#This Row],[性別]]="男",LOOKUP(テーブル2[[#This Row],[長座]],$AM$6:$AN$15),LOOKUP(テーブル2[[#This Row],[長座]],$AM$20:$AN$29))))</f>
        <v>0</v>
      </c>
      <c r="V159" s="145">
        <f>IF(テーブル2[[#This Row],[反復]]="",0,(IF(テーブル2[[#This Row],[性別]]="男",LOOKUP(テーブル2[[#This Row],[反復]],$AO$6:$AP$15),LOOKUP(テーブル2[[#This Row],[反復]],$AO$20:$AP$29))))</f>
        <v>0</v>
      </c>
      <c r="W159" s="145">
        <f>IF(テーブル2[[#This Row],[持久走]]="",0,(IF(テーブル2[[#This Row],[性別]]="男",LOOKUP(テーブル2[[#This Row],[持久走]],$AQ$6:$AR$15),LOOKUP(テーブル2[[#This Row],[持久走]],$AQ$20:$AR$29))))</f>
        <v>0</v>
      </c>
      <c r="X159" s="145">
        <f>IF(テーブル2[[#This Row],[ｼｬﾄﾙﾗﾝ]]="",0,(IF(テーブル2[[#This Row],[性別]]="男",LOOKUP(テーブル2[[#This Row],[ｼｬﾄﾙﾗﾝ]],$AS$6:$AT$15),LOOKUP(テーブル2[[#This Row],[ｼｬﾄﾙﾗﾝ]],$AS$20:$AT$29))))</f>
        <v>0</v>
      </c>
      <c r="Y159" s="145">
        <f>IF(テーブル2[[#This Row],[50m走]]="",0,(IF(テーブル2[[#This Row],[性別]]="男",LOOKUP(テーブル2[[#This Row],[50m走]],$AU$6:$AV$15),LOOKUP(テーブル2[[#This Row],[50m走]],$AU$20:$AV$29))))</f>
        <v>0</v>
      </c>
      <c r="Z159" s="145">
        <f>IF(テーブル2[[#This Row],[立幅とび]]="",0,(IF(テーブル2[[#This Row],[性別]]="男",LOOKUP(テーブル2[[#This Row],[立幅とび]],$AW$6:$AX$15),LOOKUP(テーブル2[[#This Row],[立幅とび]],$AW$20:$AX$29))))</f>
        <v>0</v>
      </c>
      <c r="AA159" s="145">
        <f>IF(テーブル2[[#This Row],[ボール投げ]]="",0,(IF(テーブル2[[#This Row],[性別]]="男",LOOKUP(テーブル2[[#This Row],[ボール投げ]],$AY$6:$AZ$15),LOOKUP(テーブル2[[#This Row],[ボール投げ]],$AY$20:$AZ$29))))</f>
        <v>0</v>
      </c>
      <c r="AB159" s="146" t="str">
        <f>IF(テーブル2[[#This Row],[学年]]=1,12,IF(テーブル2[[#This Row],[学年]]=2,13,IF(テーブル2[[#This Row],[学年]]=3,14,"")))</f>
        <v/>
      </c>
      <c r="AC159" s="192" t="str">
        <f>IF(テーブル2[[#This Row],[肥満度数値]]=0,"",LOOKUP(AE159,$AW$39:$AW$44,$AX$39:$AX$44))</f>
        <v/>
      </c>
      <c r="AD15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59" s="77">
        <f>IF(テーブル2[[#This Row],[体重]]="",0,(テーブル2[[#This Row],[体重]]-テーブル2[[#This Row],[標準体重]])/テーブル2[[#This Row],[標準体重]]*100)</f>
        <v>0</v>
      </c>
      <c r="AF159" s="26">
        <f>COUNTA(テーブル2[[#This Row],[握力]:[ボール投げ]])</f>
        <v>0</v>
      </c>
      <c r="AG159" s="1" t="str">
        <f>IF(テーブル2[[#This Row],[判定]]=$BE$10,"○","")</f>
        <v/>
      </c>
      <c r="AH159" s="1" t="str">
        <f>IF(AG159="","",COUNTIF($AG$6:AG159,"○"))</f>
        <v/>
      </c>
    </row>
    <row r="160" spans="1:34" ht="14.25" customHeight="1" x14ac:dyDescent="0.15">
      <c r="A160" s="44">
        <v>155</v>
      </c>
      <c r="B160" s="148"/>
      <c r="C160" s="151"/>
      <c r="D160" s="148"/>
      <c r="E160" s="152"/>
      <c r="F160" s="148"/>
      <c r="G160" s="148"/>
      <c r="H160" s="150"/>
      <c r="I160" s="150"/>
      <c r="J160" s="151"/>
      <c r="K160" s="148"/>
      <c r="L160" s="196"/>
      <c r="M160" s="151"/>
      <c r="N160" s="197"/>
      <c r="O160" s="151"/>
      <c r="P160" s="153"/>
      <c r="Q16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0" s="144" t="str">
        <f>IF(テーブル2[[#This Row],[得点]]=0,"",IF(テーブル2[[#This Row],[年齢]]=17,LOOKUP(Q160,$BH$6:$BH$10,$BE$6:$BE$10),IF(テーブル2[[#This Row],[年齢]]=16,LOOKUP(Q160,$BG$6:$BG$10,$BE$6:$BE$10),IF(テーブル2[[#This Row],[年齢]]=15,LOOKUP(Q160,$BF$6:$BF$10,$BE$6:$BE$10),IF(テーブル2[[#This Row],[年齢]]=14,LOOKUP(Q160,$BD$6:$BD$10,$BE$6:$BE$10),IF(テーブル2[[#This Row],[年齢]]=13,LOOKUP(Q160,$BC$6:$BC$10,$BE$6:$BE$10),LOOKUP(Q160,$BB$6:$BB$10,$BE$6:$BE$10)))))))</f>
        <v/>
      </c>
      <c r="S160" s="145">
        <f>IF(H160="",0,(IF(テーブル2[[#This Row],[性別]]="男",LOOKUP(テーブル2[[#This Row],[握力]],$AI$6:$AJ$15),LOOKUP(テーブル2[[#This Row],[握力]],$AI$20:$AJ$29))))</f>
        <v>0</v>
      </c>
      <c r="T160" s="145">
        <f>IF(テーブル2[[#This Row],[上体]]="",0,(IF(テーブル2[[#This Row],[性別]]="男",LOOKUP(テーブル2[[#This Row],[上体]],$AK$6:$AL$15),LOOKUP(テーブル2[[#This Row],[上体]],$AK$20:$AL$29))))</f>
        <v>0</v>
      </c>
      <c r="U160" s="145">
        <f>IF(テーブル2[[#This Row],[長座]]="",0,(IF(テーブル2[[#This Row],[性別]]="男",LOOKUP(テーブル2[[#This Row],[長座]],$AM$6:$AN$15),LOOKUP(テーブル2[[#This Row],[長座]],$AM$20:$AN$29))))</f>
        <v>0</v>
      </c>
      <c r="V160" s="145">
        <f>IF(テーブル2[[#This Row],[反復]]="",0,(IF(テーブル2[[#This Row],[性別]]="男",LOOKUP(テーブル2[[#This Row],[反復]],$AO$6:$AP$15),LOOKUP(テーブル2[[#This Row],[反復]],$AO$20:$AP$29))))</f>
        <v>0</v>
      </c>
      <c r="W160" s="145">
        <f>IF(テーブル2[[#This Row],[持久走]]="",0,(IF(テーブル2[[#This Row],[性別]]="男",LOOKUP(テーブル2[[#This Row],[持久走]],$AQ$6:$AR$15),LOOKUP(テーブル2[[#This Row],[持久走]],$AQ$20:$AR$29))))</f>
        <v>0</v>
      </c>
      <c r="X160" s="145">
        <f>IF(テーブル2[[#This Row],[ｼｬﾄﾙﾗﾝ]]="",0,(IF(テーブル2[[#This Row],[性別]]="男",LOOKUP(テーブル2[[#This Row],[ｼｬﾄﾙﾗﾝ]],$AS$6:$AT$15),LOOKUP(テーブル2[[#This Row],[ｼｬﾄﾙﾗﾝ]],$AS$20:$AT$29))))</f>
        <v>0</v>
      </c>
      <c r="Y160" s="145">
        <f>IF(テーブル2[[#This Row],[50m走]]="",0,(IF(テーブル2[[#This Row],[性別]]="男",LOOKUP(テーブル2[[#This Row],[50m走]],$AU$6:$AV$15),LOOKUP(テーブル2[[#This Row],[50m走]],$AU$20:$AV$29))))</f>
        <v>0</v>
      </c>
      <c r="Z160" s="145">
        <f>IF(テーブル2[[#This Row],[立幅とび]]="",0,(IF(テーブル2[[#This Row],[性別]]="男",LOOKUP(テーブル2[[#This Row],[立幅とび]],$AW$6:$AX$15),LOOKUP(テーブル2[[#This Row],[立幅とび]],$AW$20:$AX$29))))</f>
        <v>0</v>
      </c>
      <c r="AA160" s="145">
        <f>IF(テーブル2[[#This Row],[ボール投げ]]="",0,(IF(テーブル2[[#This Row],[性別]]="男",LOOKUP(テーブル2[[#This Row],[ボール投げ]],$AY$6:$AZ$15),LOOKUP(テーブル2[[#This Row],[ボール投げ]],$AY$20:$AZ$29))))</f>
        <v>0</v>
      </c>
      <c r="AB160" s="146" t="str">
        <f>IF(テーブル2[[#This Row],[学年]]=1,12,IF(テーブル2[[#This Row],[学年]]=2,13,IF(テーブル2[[#This Row],[学年]]=3,14,"")))</f>
        <v/>
      </c>
      <c r="AC160" s="192" t="str">
        <f>IF(テーブル2[[#This Row],[肥満度数値]]=0,"",LOOKUP(AE160,$AW$39:$AW$44,$AX$39:$AX$44))</f>
        <v/>
      </c>
      <c r="AD16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0" s="77">
        <f>IF(テーブル2[[#This Row],[体重]]="",0,(テーブル2[[#This Row],[体重]]-テーブル2[[#This Row],[標準体重]])/テーブル2[[#This Row],[標準体重]]*100)</f>
        <v>0</v>
      </c>
      <c r="AF160" s="26">
        <f>COUNTA(テーブル2[[#This Row],[握力]:[ボール投げ]])</f>
        <v>0</v>
      </c>
      <c r="AG160" s="1" t="str">
        <f>IF(テーブル2[[#This Row],[判定]]=$BE$10,"○","")</f>
        <v/>
      </c>
      <c r="AH160" s="1" t="str">
        <f>IF(AG160="","",COUNTIF($AG$6:AG160,"○"))</f>
        <v/>
      </c>
    </row>
    <row r="161" spans="1:34" ht="14.25" customHeight="1" x14ac:dyDescent="0.15">
      <c r="A161" s="44">
        <v>156</v>
      </c>
      <c r="B161" s="148"/>
      <c r="C161" s="151"/>
      <c r="D161" s="148"/>
      <c r="E161" s="152"/>
      <c r="F161" s="148"/>
      <c r="G161" s="148"/>
      <c r="H161" s="150"/>
      <c r="I161" s="150"/>
      <c r="J161" s="151"/>
      <c r="K161" s="148"/>
      <c r="L161" s="196"/>
      <c r="M161" s="151"/>
      <c r="N161" s="197"/>
      <c r="O161" s="151"/>
      <c r="P161" s="153"/>
      <c r="Q16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1" s="144" t="str">
        <f>IF(テーブル2[[#This Row],[得点]]=0,"",IF(テーブル2[[#This Row],[年齢]]=17,LOOKUP(Q161,$BH$6:$BH$10,$BE$6:$BE$10),IF(テーブル2[[#This Row],[年齢]]=16,LOOKUP(Q161,$BG$6:$BG$10,$BE$6:$BE$10),IF(テーブル2[[#This Row],[年齢]]=15,LOOKUP(Q161,$BF$6:$BF$10,$BE$6:$BE$10),IF(テーブル2[[#This Row],[年齢]]=14,LOOKUP(Q161,$BD$6:$BD$10,$BE$6:$BE$10),IF(テーブル2[[#This Row],[年齢]]=13,LOOKUP(Q161,$BC$6:$BC$10,$BE$6:$BE$10),LOOKUP(Q161,$BB$6:$BB$10,$BE$6:$BE$10)))))))</f>
        <v/>
      </c>
      <c r="S161" s="145">
        <f>IF(H161="",0,(IF(テーブル2[[#This Row],[性別]]="男",LOOKUP(テーブル2[[#This Row],[握力]],$AI$6:$AJ$15),LOOKUP(テーブル2[[#This Row],[握力]],$AI$20:$AJ$29))))</f>
        <v>0</v>
      </c>
      <c r="T161" s="145">
        <f>IF(テーブル2[[#This Row],[上体]]="",0,(IF(テーブル2[[#This Row],[性別]]="男",LOOKUP(テーブル2[[#This Row],[上体]],$AK$6:$AL$15),LOOKUP(テーブル2[[#This Row],[上体]],$AK$20:$AL$29))))</f>
        <v>0</v>
      </c>
      <c r="U161" s="145">
        <f>IF(テーブル2[[#This Row],[長座]]="",0,(IF(テーブル2[[#This Row],[性別]]="男",LOOKUP(テーブル2[[#This Row],[長座]],$AM$6:$AN$15),LOOKUP(テーブル2[[#This Row],[長座]],$AM$20:$AN$29))))</f>
        <v>0</v>
      </c>
      <c r="V161" s="145">
        <f>IF(テーブル2[[#This Row],[反復]]="",0,(IF(テーブル2[[#This Row],[性別]]="男",LOOKUP(テーブル2[[#This Row],[反復]],$AO$6:$AP$15),LOOKUP(テーブル2[[#This Row],[反復]],$AO$20:$AP$29))))</f>
        <v>0</v>
      </c>
      <c r="W161" s="145">
        <f>IF(テーブル2[[#This Row],[持久走]]="",0,(IF(テーブル2[[#This Row],[性別]]="男",LOOKUP(テーブル2[[#This Row],[持久走]],$AQ$6:$AR$15),LOOKUP(テーブル2[[#This Row],[持久走]],$AQ$20:$AR$29))))</f>
        <v>0</v>
      </c>
      <c r="X161" s="145">
        <f>IF(テーブル2[[#This Row],[ｼｬﾄﾙﾗﾝ]]="",0,(IF(テーブル2[[#This Row],[性別]]="男",LOOKUP(テーブル2[[#This Row],[ｼｬﾄﾙﾗﾝ]],$AS$6:$AT$15),LOOKUP(テーブル2[[#This Row],[ｼｬﾄﾙﾗﾝ]],$AS$20:$AT$29))))</f>
        <v>0</v>
      </c>
      <c r="Y161" s="145">
        <f>IF(テーブル2[[#This Row],[50m走]]="",0,(IF(テーブル2[[#This Row],[性別]]="男",LOOKUP(テーブル2[[#This Row],[50m走]],$AU$6:$AV$15),LOOKUP(テーブル2[[#This Row],[50m走]],$AU$20:$AV$29))))</f>
        <v>0</v>
      </c>
      <c r="Z161" s="145">
        <f>IF(テーブル2[[#This Row],[立幅とび]]="",0,(IF(テーブル2[[#This Row],[性別]]="男",LOOKUP(テーブル2[[#This Row],[立幅とび]],$AW$6:$AX$15),LOOKUP(テーブル2[[#This Row],[立幅とび]],$AW$20:$AX$29))))</f>
        <v>0</v>
      </c>
      <c r="AA161" s="145">
        <f>IF(テーブル2[[#This Row],[ボール投げ]]="",0,(IF(テーブル2[[#This Row],[性別]]="男",LOOKUP(テーブル2[[#This Row],[ボール投げ]],$AY$6:$AZ$15),LOOKUP(テーブル2[[#This Row],[ボール投げ]],$AY$20:$AZ$29))))</f>
        <v>0</v>
      </c>
      <c r="AB161" s="146" t="str">
        <f>IF(テーブル2[[#This Row],[学年]]=1,12,IF(テーブル2[[#This Row],[学年]]=2,13,IF(テーブル2[[#This Row],[学年]]=3,14,"")))</f>
        <v/>
      </c>
      <c r="AC161" s="192" t="str">
        <f>IF(テーブル2[[#This Row],[肥満度数値]]=0,"",LOOKUP(AE161,$AW$39:$AW$44,$AX$39:$AX$44))</f>
        <v/>
      </c>
      <c r="AD16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1" s="77">
        <f>IF(テーブル2[[#This Row],[体重]]="",0,(テーブル2[[#This Row],[体重]]-テーブル2[[#This Row],[標準体重]])/テーブル2[[#This Row],[標準体重]]*100)</f>
        <v>0</v>
      </c>
      <c r="AF161" s="26">
        <f>COUNTA(テーブル2[[#This Row],[握力]:[ボール投げ]])</f>
        <v>0</v>
      </c>
      <c r="AG161" s="1" t="str">
        <f>IF(テーブル2[[#This Row],[判定]]=$BE$10,"○","")</f>
        <v/>
      </c>
      <c r="AH161" s="1" t="str">
        <f>IF(AG161="","",COUNTIF($AG$6:AG161,"○"))</f>
        <v/>
      </c>
    </row>
    <row r="162" spans="1:34" ht="14.25" customHeight="1" x14ac:dyDescent="0.15">
      <c r="A162" s="44">
        <v>157</v>
      </c>
      <c r="B162" s="148"/>
      <c r="C162" s="151"/>
      <c r="D162" s="148"/>
      <c r="E162" s="152"/>
      <c r="F162" s="148"/>
      <c r="G162" s="148"/>
      <c r="H162" s="150"/>
      <c r="I162" s="150"/>
      <c r="J162" s="151"/>
      <c r="K162" s="148"/>
      <c r="L162" s="196"/>
      <c r="M162" s="151"/>
      <c r="N162" s="197"/>
      <c r="O162" s="151"/>
      <c r="P162" s="153"/>
      <c r="Q16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2" s="144" t="str">
        <f>IF(テーブル2[[#This Row],[得点]]=0,"",IF(テーブル2[[#This Row],[年齢]]=17,LOOKUP(Q162,$BH$6:$BH$10,$BE$6:$BE$10),IF(テーブル2[[#This Row],[年齢]]=16,LOOKUP(Q162,$BG$6:$BG$10,$BE$6:$BE$10),IF(テーブル2[[#This Row],[年齢]]=15,LOOKUP(Q162,$BF$6:$BF$10,$BE$6:$BE$10),IF(テーブル2[[#This Row],[年齢]]=14,LOOKUP(Q162,$BD$6:$BD$10,$BE$6:$BE$10),IF(テーブル2[[#This Row],[年齢]]=13,LOOKUP(Q162,$BC$6:$BC$10,$BE$6:$BE$10),LOOKUP(Q162,$BB$6:$BB$10,$BE$6:$BE$10)))))))</f>
        <v/>
      </c>
      <c r="S162" s="145">
        <f>IF(H162="",0,(IF(テーブル2[[#This Row],[性別]]="男",LOOKUP(テーブル2[[#This Row],[握力]],$AI$6:$AJ$15),LOOKUP(テーブル2[[#This Row],[握力]],$AI$20:$AJ$29))))</f>
        <v>0</v>
      </c>
      <c r="T162" s="145">
        <f>IF(テーブル2[[#This Row],[上体]]="",0,(IF(テーブル2[[#This Row],[性別]]="男",LOOKUP(テーブル2[[#This Row],[上体]],$AK$6:$AL$15),LOOKUP(テーブル2[[#This Row],[上体]],$AK$20:$AL$29))))</f>
        <v>0</v>
      </c>
      <c r="U162" s="145">
        <f>IF(テーブル2[[#This Row],[長座]]="",0,(IF(テーブル2[[#This Row],[性別]]="男",LOOKUP(テーブル2[[#This Row],[長座]],$AM$6:$AN$15),LOOKUP(テーブル2[[#This Row],[長座]],$AM$20:$AN$29))))</f>
        <v>0</v>
      </c>
      <c r="V162" s="145">
        <f>IF(テーブル2[[#This Row],[反復]]="",0,(IF(テーブル2[[#This Row],[性別]]="男",LOOKUP(テーブル2[[#This Row],[反復]],$AO$6:$AP$15),LOOKUP(テーブル2[[#This Row],[反復]],$AO$20:$AP$29))))</f>
        <v>0</v>
      </c>
      <c r="W162" s="145">
        <f>IF(テーブル2[[#This Row],[持久走]]="",0,(IF(テーブル2[[#This Row],[性別]]="男",LOOKUP(テーブル2[[#This Row],[持久走]],$AQ$6:$AR$15),LOOKUP(テーブル2[[#This Row],[持久走]],$AQ$20:$AR$29))))</f>
        <v>0</v>
      </c>
      <c r="X162" s="145">
        <f>IF(テーブル2[[#This Row],[ｼｬﾄﾙﾗﾝ]]="",0,(IF(テーブル2[[#This Row],[性別]]="男",LOOKUP(テーブル2[[#This Row],[ｼｬﾄﾙﾗﾝ]],$AS$6:$AT$15),LOOKUP(テーブル2[[#This Row],[ｼｬﾄﾙﾗﾝ]],$AS$20:$AT$29))))</f>
        <v>0</v>
      </c>
      <c r="Y162" s="145">
        <f>IF(テーブル2[[#This Row],[50m走]]="",0,(IF(テーブル2[[#This Row],[性別]]="男",LOOKUP(テーブル2[[#This Row],[50m走]],$AU$6:$AV$15),LOOKUP(テーブル2[[#This Row],[50m走]],$AU$20:$AV$29))))</f>
        <v>0</v>
      </c>
      <c r="Z162" s="145">
        <f>IF(テーブル2[[#This Row],[立幅とび]]="",0,(IF(テーブル2[[#This Row],[性別]]="男",LOOKUP(テーブル2[[#This Row],[立幅とび]],$AW$6:$AX$15),LOOKUP(テーブル2[[#This Row],[立幅とび]],$AW$20:$AX$29))))</f>
        <v>0</v>
      </c>
      <c r="AA162" s="145">
        <f>IF(テーブル2[[#This Row],[ボール投げ]]="",0,(IF(テーブル2[[#This Row],[性別]]="男",LOOKUP(テーブル2[[#This Row],[ボール投げ]],$AY$6:$AZ$15),LOOKUP(テーブル2[[#This Row],[ボール投げ]],$AY$20:$AZ$29))))</f>
        <v>0</v>
      </c>
      <c r="AB162" s="146" t="str">
        <f>IF(テーブル2[[#This Row],[学年]]=1,12,IF(テーブル2[[#This Row],[学年]]=2,13,IF(テーブル2[[#This Row],[学年]]=3,14,"")))</f>
        <v/>
      </c>
      <c r="AC162" s="192" t="str">
        <f>IF(テーブル2[[#This Row],[肥満度数値]]=0,"",LOOKUP(AE162,$AW$39:$AW$44,$AX$39:$AX$44))</f>
        <v/>
      </c>
      <c r="AD16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2" s="77">
        <f>IF(テーブル2[[#This Row],[体重]]="",0,(テーブル2[[#This Row],[体重]]-テーブル2[[#This Row],[標準体重]])/テーブル2[[#This Row],[標準体重]]*100)</f>
        <v>0</v>
      </c>
      <c r="AF162" s="26">
        <f>COUNTA(テーブル2[[#This Row],[握力]:[ボール投げ]])</f>
        <v>0</v>
      </c>
      <c r="AG162" s="1" t="str">
        <f>IF(テーブル2[[#This Row],[判定]]=$BE$10,"○","")</f>
        <v/>
      </c>
      <c r="AH162" s="1" t="str">
        <f>IF(AG162="","",COUNTIF($AG$6:AG162,"○"))</f>
        <v/>
      </c>
    </row>
    <row r="163" spans="1:34" ht="14.25" customHeight="1" x14ac:dyDescent="0.15">
      <c r="A163" s="44">
        <v>158</v>
      </c>
      <c r="B163" s="148"/>
      <c r="C163" s="151"/>
      <c r="D163" s="148"/>
      <c r="E163" s="152"/>
      <c r="F163" s="148"/>
      <c r="G163" s="148"/>
      <c r="H163" s="150"/>
      <c r="I163" s="150"/>
      <c r="J163" s="151"/>
      <c r="K163" s="148"/>
      <c r="L163" s="196"/>
      <c r="M163" s="151"/>
      <c r="N163" s="197"/>
      <c r="O163" s="151"/>
      <c r="P163" s="153"/>
      <c r="Q16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3" s="144" t="str">
        <f>IF(テーブル2[[#This Row],[得点]]=0,"",IF(テーブル2[[#This Row],[年齢]]=17,LOOKUP(Q163,$BH$6:$BH$10,$BE$6:$BE$10),IF(テーブル2[[#This Row],[年齢]]=16,LOOKUP(Q163,$BG$6:$BG$10,$BE$6:$BE$10),IF(テーブル2[[#This Row],[年齢]]=15,LOOKUP(Q163,$BF$6:$BF$10,$BE$6:$BE$10),IF(テーブル2[[#This Row],[年齢]]=14,LOOKUP(Q163,$BD$6:$BD$10,$BE$6:$BE$10),IF(テーブル2[[#This Row],[年齢]]=13,LOOKUP(Q163,$BC$6:$BC$10,$BE$6:$BE$10),LOOKUP(Q163,$BB$6:$BB$10,$BE$6:$BE$10)))))))</f>
        <v/>
      </c>
      <c r="S163" s="145">
        <f>IF(H163="",0,(IF(テーブル2[[#This Row],[性別]]="男",LOOKUP(テーブル2[[#This Row],[握力]],$AI$6:$AJ$15),LOOKUP(テーブル2[[#This Row],[握力]],$AI$20:$AJ$29))))</f>
        <v>0</v>
      </c>
      <c r="T163" s="145">
        <f>IF(テーブル2[[#This Row],[上体]]="",0,(IF(テーブル2[[#This Row],[性別]]="男",LOOKUP(テーブル2[[#This Row],[上体]],$AK$6:$AL$15),LOOKUP(テーブル2[[#This Row],[上体]],$AK$20:$AL$29))))</f>
        <v>0</v>
      </c>
      <c r="U163" s="145">
        <f>IF(テーブル2[[#This Row],[長座]]="",0,(IF(テーブル2[[#This Row],[性別]]="男",LOOKUP(テーブル2[[#This Row],[長座]],$AM$6:$AN$15),LOOKUP(テーブル2[[#This Row],[長座]],$AM$20:$AN$29))))</f>
        <v>0</v>
      </c>
      <c r="V163" s="145">
        <f>IF(テーブル2[[#This Row],[反復]]="",0,(IF(テーブル2[[#This Row],[性別]]="男",LOOKUP(テーブル2[[#This Row],[反復]],$AO$6:$AP$15),LOOKUP(テーブル2[[#This Row],[反復]],$AO$20:$AP$29))))</f>
        <v>0</v>
      </c>
      <c r="W163" s="145">
        <f>IF(テーブル2[[#This Row],[持久走]]="",0,(IF(テーブル2[[#This Row],[性別]]="男",LOOKUP(テーブル2[[#This Row],[持久走]],$AQ$6:$AR$15),LOOKUP(テーブル2[[#This Row],[持久走]],$AQ$20:$AR$29))))</f>
        <v>0</v>
      </c>
      <c r="X163" s="145">
        <f>IF(テーブル2[[#This Row],[ｼｬﾄﾙﾗﾝ]]="",0,(IF(テーブル2[[#This Row],[性別]]="男",LOOKUP(テーブル2[[#This Row],[ｼｬﾄﾙﾗﾝ]],$AS$6:$AT$15),LOOKUP(テーブル2[[#This Row],[ｼｬﾄﾙﾗﾝ]],$AS$20:$AT$29))))</f>
        <v>0</v>
      </c>
      <c r="Y163" s="145">
        <f>IF(テーブル2[[#This Row],[50m走]]="",0,(IF(テーブル2[[#This Row],[性別]]="男",LOOKUP(テーブル2[[#This Row],[50m走]],$AU$6:$AV$15),LOOKUP(テーブル2[[#This Row],[50m走]],$AU$20:$AV$29))))</f>
        <v>0</v>
      </c>
      <c r="Z163" s="145">
        <f>IF(テーブル2[[#This Row],[立幅とび]]="",0,(IF(テーブル2[[#This Row],[性別]]="男",LOOKUP(テーブル2[[#This Row],[立幅とび]],$AW$6:$AX$15),LOOKUP(テーブル2[[#This Row],[立幅とび]],$AW$20:$AX$29))))</f>
        <v>0</v>
      </c>
      <c r="AA163" s="145">
        <f>IF(テーブル2[[#This Row],[ボール投げ]]="",0,(IF(テーブル2[[#This Row],[性別]]="男",LOOKUP(テーブル2[[#This Row],[ボール投げ]],$AY$6:$AZ$15),LOOKUP(テーブル2[[#This Row],[ボール投げ]],$AY$20:$AZ$29))))</f>
        <v>0</v>
      </c>
      <c r="AB163" s="146" t="str">
        <f>IF(テーブル2[[#This Row],[学年]]=1,12,IF(テーブル2[[#This Row],[学年]]=2,13,IF(テーブル2[[#This Row],[学年]]=3,14,"")))</f>
        <v/>
      </c>
      <c r="AC163" s="192" t="str">
        <f>IF(テーブル2[[#This Row],[肥満度数値]]=0,"",LOOKUP(AE163,$AW$39:$AW$44,$AX$39:$AX$44))</f>
        <v/>
      </c>
      <c r="AD16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3" s="77">
        <f>IF(テーブル2[[#This Row],[体重]]="",0,(テーブル2[[#This Row],[体重]]-テーブル2[[#This Row],[標準体重]])/テーブル2[[#This Row],[標準体重]]*100)</f>
        <v>0</v>
      </c>
      <c r="AF163" s="26">
        <f>COUNTA(テーブル2[[#This Row],[握力]:[ボール投げ]])</f>
        <v>0</v>
      </c>
      <c r="AG163" s="1" t="str">
        <f>IF(テーブル2[[#This Row],[判定]]=$BE$10,"○","")</f>
        <v/>
      </c>
      <c r="AH163" s="1" t="str">
        <f>IF(AG163="","",COUNTIF($AG$6:AG163,"○"))</f>
        <v/>
      </c>
    </row>
    <row r="164" spans="1:34" ht="14.25" customHeight="1" x14ac:dyDescent="0.15">
      <c r="A164" s="44">
        <v>159</v>
      </c>
      <c r="B164" s="148"/>
      <c r="C164" s="151"/>
      <c r="D164" s="148"/>
      <c r="E164" s="152"/>
      <c r="F164" s="148"/>
      <c r="G164" s="148"/>
      <c r="H164" s="150"/>
      <c r="I164" s="150"/>
      <c r="J164" s="151"/>
      <c r="K164" s="148"/>
      <c r="L164" s="196"/>
      <c r="M164" s="151"/>
      <c r="N164" s="197"/>
      <c r="O164" s="151"/>
      <c r="P164" s="153"/>
      <c r="Q16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4" s="144" t="str">
        <f>IF(テーブル2[[#This Row],[得点]]=0,"",IF(テーブル2[[#This Row],[年齢]]=17,LOOKUP(Q164,$BH$6:$BH$10,$BE$6:$BE$10),IF(テーブル2[[#This Row],[年齢]]=16,LOOKUP(Q164,$BG$6:$BG$10,$BE$6:$BE$10),IF(テーブル2[[#This Row],[年齢]]=15,LOOKUP(Q164,$BF$6:$BF$10,$BE$6:$BE$10),IF(テーブル2[[#This Row],[年齢]]=14,LOOKUP(Q164,$BD$6:$BD$10,$BE$6:$BE$10),IF(テーブル2[[#This Row],[年齢]]=13,LOOKUP(Q164,$BC$6:$BC$10,$BE$6:$BE$10),LOOKUP(Q164,$BB$6:$BB$10,$BE$6:$BE$10)))))))</f>
        <v/>
      </c>
      <c r="S164" s="145">
        <f>IF(H164="",0,(IF(テーブル2[[#This Row],[性別]]="男",LOOKUP(テーブル2[[#This Row],[握力]],$AI$6:$AJ$15),LOOKUP(テーブル2[[#This Row],[握力]],$AI$20:$AJ$29))))</f>
        <v>0</v>
      </c>
      <c r="T164" s="145">
        <f>IF(テーブル2[[#This Row],[上体]]="",0,(IF(テーブル2[[#This Row],[性別]]="男",LOOKUP(テーブル2[[#This Row],[上体]],$AK$6:$AL$15),LOOKUP(テーブル2[[#This Row],[上体]],$AK$20:$AL$29))))</f>
        <v>0</v>
      </c>
      <c r="U164" s="145">
        <f>IF(テーブル2[[#This Row],[長座]]="",0,(IF(テーブル2[[#This Row],[性別]]="男",LOOKUP(テーブル2[[#This Row],[長座]],$AM$6:$AN$15),LOOKUP(テーブル2[[#This Row],[長座]],$AM$20:$AN$29))))</f>
        <v>0</v>
      </c>
      <c r="V164" s="145">
        <f>IF(テーブル2[[#This Row],[反復]]="",0,(IF(テーブル2[[#This Row],[性別]]="男",LOOKUP(テーブル2[[#This Row],[反復]],$AO$6:$AP$15),LOOKUP(テーブル2[[#This Row],[反復]],$AO$20:$AP$29))))</f>
        <v>0</v>
      </c>
      <c r="W164" s="145">
        <f>IF(テーブル2[[#This Row],[持久走]]="",0,(IF(テーブル2[[#This Row],[性別]]="男",LOOKUP(テーブル2[[#This Row],[持久走]],$AQ$6:$AR$15),LOOKUP(テーブル2[[#This Row],[持久走]],$AQ$20:$AR$29))))</f>
        <v>0</v>
      </c>
      <c r="X164" s="145">
        <f>IF(テーブル2[[#This Row],[ｼｬﾄﾙﾗﾝ]]="",0,(IF(テーブル2[[#This Row],[性別]]="男",LOOKUP(テーブル2[[#This Row],[ｼｬﾄﾙﾗﾝ]],$AS$6:$AT$15),LOOKUP(テーブル2[[#This Row],[ｼｬﾄﾙﾗﾝ]],$AS$20:$AT$29))))</f>
        <v>0</v>
      </c>
      <c r="Y164" s="145">
        <f>IF(テーブル2[[#This Row],[50m走]]="",0,(IF(テーブル2[[#This Row],[性別]]="男",LOOKUP(テーブル2[[#This Row],[50m走]],$AU$6:$AV$15),LOOKUP(テーブル2[[#This Row],[50m走]],$AU$20:$AV$29))))</f>
        <v>0</v>
      </c>
      <c r="Z164" s="145">
        <f>IF(テーブル2[[#This Row],[立幅とび]]="",0,(IF(テーブル2[[#This Row],[性別]]="男",LOOKUP(テーブル2[[#This Row],[立幅とび]],$AW$6:$AX$15),LOOKUP(テーブル2[[#This Row],[立幅とび]],$AW$20:$AX$29))))</f>
        <v>0</v>
      </c>
      <c r="AA164" s="145">
        <f>IF(テーブル2[[#This Row],[ボール投げ]]="",0,(IF(テーブル2[[#This Row],[性別]]="男",LOOKUP(テーブル2[[#This Row],[ボール投げ]],$AY$6:$AZ$15),LOOKUP(テーブル2[[#This Row],[ボール投げ]],$AY$20:$AZ$29))))</f>
        <v>0</v>
      </c>
      <c r="AB164" s="146" t="str">
        <f>IF(テーブル2[[#This Row],[学年]]=1,12,IF(テーブル2[[#This Row],[学年]]=2,13,IF(テーブル2[[#This Row],[学年]]=3,14,"")))</f>
        <v/>
      </c>
      <c r="AC164" s="192" t="str">
        <f>IF(テーブル2[[#This Row],[肥満度数値]]=0,"",LOOKUP(AE164,$AW$39:$AW$44,$AX$39:$AX$44))</f>
        <v/>
      </c>
      <c r="AD16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4" s="77">
        <f>IF(テーブル2[[#This Row],[体重]]="",0,(テーブル2[[#This Row],[体重]]-テーブル2[[#This Row],[標準体重]])/テーブル2[[#This Row],[標準体重]]*100)</f>
        <v>0</v>
      </c>
      <c r="AF164" s="26">
        <f>COUNTA(テーブル2[[#This Row],[握力]:[ボール投げ]])</f>
        <v>0</v>
      </c>
      <c r="AG164" s="1" t="str">
        <f>IF(テーブル2[[#This Row],[判定]]=$BE$10,"○","")</f>
        <v/>
      </c>
      <c r="AH164" s="1" t="str">
        <f>IF(AG164="","",COUNTIF($AG$6:AG164,"○"))</f>
        <v/>
      </c>
    </row>
    <row r="165" spans="1:34" ht="14.25" customHeight="1" x14ac:dyDescent="0.15">
      <c r="A165" s="44">
        <v>160</v>
      </c>
      <c r="B165" s="148"/>
      <c r="C165" s="151"/>
      <c r="D165" s="148"/>
      <c r="E165" s="152"/>
      <c r="F165" s="148"/>
      <c r="G165" s="148"/>
      <c r="H165" s="150"/>
      <c r="I165" s="150"/>
      <c r="J165" s="151"/>
      <c r="K165" s="148"/>
      <c r="L165" s="196"/>
      <c r="M165" s="151"/>
      <c r="N165" s="197"/>
      <c r="O165" s="151"/>
      <c r="P165" s="153"/>
      <c r="Q16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5" s="144" t="str">
        <f>IF(テーブル2[[#This Row],[得点]]=0,"",IF(テーブル2[[#This Row],[年齢]]=17,LOOKUP(Q165,$BH$6:$BH$10,$BE$6:$BE$10),IF(テーブル2[[#This Row],[年齢]]=16,LOOKUP(Q165,$BG$6:$BG$10,$BE$6:$BE$10),IF(テーブル2[[#This Row],[年齢]]=15,LOOKUP(Q165,$BF$6:$BF$10,$BE$6:$BE$10),IF(テーブル2[[#This Row],[年齢]]=14,LOOKUP(Q165,$BD$6:$BD$10,$BE$6:$BE$10),IF(テーブル2[[#This Row],[年齢]]=13,LOOKUP(Q165,$BC$6:$BC$10,$BE$6:$BE$10),LOOKUP(Q165,$BB$6:$BB$10,$BE$6:$BE$10)))))))</f>
        <v/>
      </c>
      <c r="S165" s="145">
        <f>IF(H165="",0,(IF(テーブル2[[#This Row],[性別]]="男",LOOKUP(テーブル2[[#This Row],[握力]],$AI$6:$AJ$15),LOOKUP(テーブル2[[#This Row],[握力]],$AI$20:$AJ$29))))</f>
        <v>0</v>
      </c>
      <c r="T165" s="145">
        <f>IF(テーブル2[[#This Row],[上体]]="",0,(IF(テーブル2[[#This Row],[性別]]="男",LOOKUP(テーブル2[[#This Row],[上体]],$AK$6:$AL$15),LOOKUP(テーブル2[[#This Row],[上体]],$AK$20:$AL$29))))</f>
        <v>0</v>
      </c>
      <c r="U165" s="145">
        <f>IF(テーブル2[[#This Row],[長座]]="",0,(IF(テーブル2[[#This Row],[性別]]="男",LOOKUP(テーブル2[[#This Row],[長座]],$AM$6:$AN$15),LOOKUP(テーブル2[[#This Row],[長座]],$AM$20:$AN$29))))</f>
        <v>0</v>
      </c>
      <c r="V165" s="145">
        <f>IF(テーブル2[[#This Row],[反復]]="",0,(IF(テーブル2[[#This Row],[性別]]="男",LOOKUP(テーブル2[[#This Row],[反復]],$AO$6:$AP$15),LOOKUP(テーブル2[[#This Row],[反復]],$AO$20:$AP$29))))</f>
        <v>0</v>
      </c>
      <c r="W165" s="145">
        <f>IF(テーブル2[[#This Row],[持久走]]="",0,(IF(テーブル2[[#This Row],[性別]]="男",LOOKUP(テーブル2[[#This Row],[持久走]],$AQ$6:$AR$15),LOOKUP(テーブル2[[#This Row],[持久走]],$AQ$20:$AR$29))))</f>
        <v>0</v>
      </c>
      <c r="X165" s="145">
        <f>IF(テーブル2[[#This Row],[ｼｬﾄﾙﾗﾝ]]="",0,(IF(テーブル2[[#This Row],[性別]]="男",LOOKUP(テーブル2[[#This Row],[ｼｬﾄﾙﾗﾝ]],$AS$6:$AT$15),LOOKUP(テーブル2[[#This Row],[ｼｬﾄﾙﾗﾝ]],$AS$20:$AT$29))))</f>
        <v>0</v>
      </c>
      <c r="Y165" s="145">
        <f>IF(テーブル2[[#This Row],[50m走]]="",0,(IF(テーブル2[[#This Row],[性別]]="男",LOOKUP(テーブル2[[#This Row],[50m走]],$AU$6:$AV$15),LOOKUP(テーブル2[[#This Row],[50m走]],$AU$20:$AV$29))))</f>
        <v>0</v>
      </c>
      <c r="Z165" s="145">
        <f>IF(テーブル2[[#This Row],[立幅とび]]="",0,(IF(テーブル2[[#This Row],[性別]]="男",LOOKUP(テーブル2[[#This Row],[立幅とび]],$AW$6:$AX$15),LOOKUP(テーブル2[[#This Row],[立幅とび]],$AW$20:$AX$29))))</f>
        <v>0</v>
      </c>
      <c r="AA165" s="145">
        <f>IF(テーブル2[[#This Row],[ボール投げ]]="",0,(IF(テーブル2[[#This Row],[性別]]="男",LOOKUP(テーブル2[[#This Row],[ボール投げ]],$AY$6:$AZ$15),LOOKUP(テーブル2[[#This Row],[ボール投げ]],$AY$20:$AZ$29))))</f>
        <v>0</v>
      </c>
      <c r="AB165" s="146" t="str">
        <f>IF(テーブル2[[#This Row],[学年]]=1,12,IF(テーブル2[[#This Row],[学年]]=2,13,IF(テーブル2[[#This Row],[学年]]=3,14,"")))</f>
        <v/>
      </c>
      <c r="AC165" s="192" t="str">
        <f>IF(テーブル2[[#This Row],[肥満度数値]]=0,"",LOOKUP(AE165,$AW$39:$AW$44,$AX$39:$AX$44))</f>
        <v/>
      </c>
      <c r="AD16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5" s="77">
        <f>IF(テーブル2[[#This Row],[体重]]="",0,(テーブル2[[#This Row],[体重]]-テーブル2[[#This Row],[標準体重]])/テーブル2[[#This Row],[標準体重]]*100)</f>
        <v>0</v>
      </c>
      <c r="AF165" s="26">
        <f>COUNTA(テーブル2[[#This Row],[握力]:[ボール投げ]])</f>
        <v>0</v>
      </c>
      <c r="AG165" s="1" t="str">
        <f>IF(テーブル2[[#This Row],[判定]]=$BE$10,"○","")</f>
        <v/>
      </c>
      <c r="AH165" s="1" t="str">
        <f>IF(AG165="","",COUNTIF($AG$6:AG165,"○"))</f>
        <v/>
      </c>
    </row>
    <row r="166" spans="1:34" ht="14.25" customHeight="1" x14ac:dyDescent="0.15">
      <c r="A166" s="44">
        <v>161</v>
      </c>
      <c r="B166" s="148"/>
      <c r="C166" s="151"/>
      <c r="D166" s="148"/>
      <c r="E166" s="152"/>
      <c r="F166" s="148"/>
      <c r="G166" s="148"/>
      <c r="H166" s="150"/>
      <c r="I166" s="150"/>
      <c r="J166" s="151"/>
      <c r="K166" s="148"/>
      <c r="L166" s="196"/>
      <c r="M166" s="151"/>
      <c r="N166" s="197"/>
      <c r="O166" s="151"/>
      <c r="P166" s="153"/>
      <c r="Q16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6" s="144" t="str">
        <f>IF(テーブル2[[#This Row],[得点]]=0,"",IF(テーブル2[[#This Row],[年齢]]=17,LOOKUP(Q166,$BH$6:$BH$10,$BE$6:$BE$10),IF(テーブル2[[#This Row],[年齢]]=16,LOOKUP(Q166,$BG$6:$BG$10,$BE$6:$BE$10),IF(テーブル2[[#This Row],[年齢]]=15,LOOKUP(Q166,$BF$6:$BF$10,$BE$6:$BE$10),IF(テーブル2[[#This Row],[年齢]]=14,LOOKUP(Q166,$BD$6:$BD$10,$BE$6:$BE$10),IF(テーブル2[[#This Row],[年齢]]=13,LOOKUP(Q166,$BC$6:$BC$10,$BE$6:$BE$10),LOOKUP(Q166,$BB$6:$BB$10,$BE$6:$BE$10)))))))</f>
        <v/>
      </c>
      <c r="S166" s="145">
        <f>IF(H166="",0,(IF(テーブル2[[#This Row],[性別]]="男",LOOKUP(テーブル2[[#This Row],[握力]],$AI$6:$AJ$15),LOOKUP(テーブル2[[#This Row],[握力]],$AI$20:$AJ$29))))</f>
        <v>0</v>
      </c>
      <c r="T166" s="145">
        <f>IF(テーブル2[[#This Row],[上体]]="",0,(IF(テーブル2[[#This Row],[性別]]="男",LOOKUP(テーブル2[[#This Row],[上体]],$AK$6:$AL$15),LOOKUP(テーブル2[[#This Row],[上体]],$AK$20:$AL$29))))</f>
        <v>0</v>
      </c>
      <c r="U166" s="145">
        <f>IF(テーブル2[[#This Row],[長座]]="",0,(IF(テーブル2[[#This Row],[性別]]="男",LOOKUP(テーブル2[[#This Row],[長座]],$AM$6:$AN$15),LOOKUP(テーブル2[[#This Row],[長座]],$AM$20:$AN$29))))</f>
        <v>0</v>
      </c>
      <c r="V166" s="145">
        <f>IF(テーブル2[[#This Row],[反復]]="",0,(IF(テーブル2[[#This Row],[性別]]="男",LOOKUP(テーブル2[[#This Row],[反復]],$AO$6:$AP$15),LOOKUP(テーブル2[[#This Row],[反復]],$AO$20:$AP$29))))</f>
        <v>0</v>
      </c>
      <c r="W166" s="145">
        <f>IF(テーブル2[[#This Row],[持久走]]="",0,(IF(テーブル2[[#This Row],[性別]]="男",LOOKUP(テーブル2[[#This Row],[持久走]],$AQ$6:$AR$15),LOOKUP(テーブル2[[#This Row],[持久走]],$AQ$20:$AR$29))))</f>
        <v>0</v>
      </c>
      <c r="X166" s="145">
        <f>IF(テーブル2[[#This Row],[ｼｬﾄﾙﾗﾝ]]="",0,(IF(テーブル2[[#This Row],[性別]]="男",LOOKUP(テーブル2[[#This Row],[ｼｬﾄﾙﾗﾝ]],$AS$6:$AT$15),LOOKUP(テーブル2[[#This Row],[ｼｬﾄﾙﾗﾝ]],$AS$20:$AT$29))))</f>
        <v>0</v>
      </c>
      <c r="Y166" s="145">
        <f>IF(テーブル2[[#This Row],[50m走]]="",0,(IF(テーブル2[[#This Row],[性別]]="男",LOOKUP(テーブル2[[#This Row],[50m走]],$AU$6:$AV$15),LOOKUP(テーブル2[[#This Row],[50m走]],$AU$20:$AV$29))))</f>
        <v>0</v>
      </c>
      <c r="Z166" s="145">
        <f>IF(テーブル2[[#This Row],[立幅とび]]="",0,(IF(テーブル2[[#This Row],[性別]]="男",LOOKUP(テーブル2[[#This Row],[立幅とび]],$AW$6:$AX$15),LOOKUP(テーブル2[[#This Row],[立幅とび]],$AW$20:$AX$29))))</f>
        <v>0</v>
      </c>
      <c r="AA166" s="145">
        <f>IF(テーブル2[[#This Row],[ボール投げ]]="",0,(IF(テーブル2[[#This Row],[性別]]="男",LOOKUP(テーブル2[[#This Row],[ボール投げ]],$AY$6:$AZ$15),LOOKUP(テーブル2[[#This Row],[ボール投げ]],$AY$20:$AZ$29))))</f>
        <v>0</v>
      </c>
      <c r="AB166" s="146" t="str">
        <f>IF(テーブル2[[#This Row],[学年]]=1,12,IF(テーブル2[[#This Row],[学年]]=2,13,IF(テーブル2[[#This Row],[学年]]=3,14,"")))</f>
        <v/>
      </c>
      <c r="AC166" s="192" t="str">
        <f>IF(テーブル2[[#This Row],[肥満度数値]]=0,"",LOOKUP(AE166,$AW$39:$AW$44,$AX$39:$AX$44))</f>
        <v/>
      </c>
      <c r="AD16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6" s="77">
        <f>IF(テーブル2[[#This Row],[体重]]="",0,(テーブル2[[#This Row],[体重]]-テーブル2[[#This Row],[標準体重]])/テーブル2[[#This Row],[標準体重]]*100)</f>
        <v>0</v>
      </c>
      <c r="AF166" s="26">
        <f>COUNTA(テーブル2[[#This Row],[握力]:[ボール投げ]])</f>
        <v>0</v>
      </c>
      <c r="AG166" s="1" t="str">
        <f>IF(テーブル2[[#This Row],[判定]]=$BE$10,"○","")</f>
        <v/>
      </c>
      <c r="AH166" s="1" t="str">
        <f>IF(AG166="","",COUNTIF($AG$6:AG166,"○"))</f>
        <v/>
      </c>
    </row>
    <row r="167" spans="1:34" ht="14.25" customHeight="1" x14ac:dyDescent="0.15">
      <c r="A167" s="44">
        <v>162</v>
      </c>
      <c r="B167" s="148"/>
      <c r="C167" s="151"/>
      <c r="D167" s="148"/>
      <c r="E167" s="152"/>
      <c r="F167" s="148"/>
      <c r="G167" s="148"/>
      <c r="H167" s="150"/>
      <c r="I167" s="150"/>
      <c r="J167" s="151"/>
      <c r="K167" s="148"/>
      <c r="L167" s="196"/>
      <c r="M167" s="151"/>
      <c r="N167" s="197"/>
      <c r="O167" s="151"/>
      <c r="P167" s="153"/>
      <c r="Q16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7" s="144" t="str">
        <f>IF(テーブル2[[#This Row],[得点]]=0,"",IF(テーブル2[[#This Row],[年齢]]=17,LOOKUP(Q167,$BH$6:$BH$10,$BE$6:$BE$10),IF(テーブル2[[#This Row],[年齢]]=16,LOOKUP(Q167,$BG$6:$BG$10,$BE$6:$BE$10),IF(テーブル2[[#This Row],[年齢]]=15,LOOKUP(Q167,$BF$6:$BF$10,$BE$6:$BE$10),IF(テーブル2[[#This Row],[年齢]]=14,LOOKUP(Q167,$BD$6:$BD$10,$BE$6:$BE$10),IF(テーブル2[[#This Row],[年齢]]=13,LOOKUP(Q167,$BC$6:$BC$10,$BE$6:$BE$10),LOOKUP(Q167,$BB$6:$BB$10,$BE$6:$BE$10)))))))</f>
        <v/>
      </c>
      <c r="S167" s="145">
        <f>IF(H167="",0,(IF(テーブル2[[#This Row],[性別]]="男",LOOKUP(テーブル2[[#This Row],[握力]],$AI$6:$AJ$15),LOOKUP(テーブル2[[#This Row],[握力]],$AI$20:$AJ$29))))</f>
        <v>0</v>
      </c>
      <c r="T167" s="145">
        <f>IF(テーブル2[[#This Row],[上体]]="",0,(IF(テーブル2[[#This Row],[性別]]="男",LOOKUP(テーブル2[[#This Row],[上体]],$AK$6:$AL$15),LOOKUP(テーブル2[[#This Row],[上体]],$AK$20:$AL$29))))</f>
        <v>0</v>
      </c>
      <c r="U167" s="145">
        <f>IF(テーブル2[[#This Row],[長座]]="",0,(IF(テーブル2[[#This Row],[性別]]="男",LOOKUP(テーブル2[[#This Row],[長座]],$AM$6:$AN$15),LOOKUP(テーブル2[[#This Row],[長座]],$AM$20:$AN$29))))</f>
        <v>0</v>
      </c>
      <c r="V167" s="145">
        <f>IF(テーブル2[[#This Row],[反復]]="",0,(IF(テーブル2[[#This Row],[性別]]="男",LOOKUP(テーブル2[[#This Row],[反復]],$AO$6:$AP$15),LOOKUP(テーブル2[[#This Row],[反復]],$AO$20:$AP$29))))</f>
        <v>0</v>
      </c>
      <c r="W167" s="145">
        <f>IF(テーブル2[[#This Row],[持久走]]="",0,(IF(テーブル2[[#This Row],[性別]]="男",LOOKUP(テーブル2[[#This Row],[持久走]],$AQ$6:$AR$15),LOOKUP(テーブル2[[#This Row],[持久走]],$AQ$20:$AR$29))))</f>
        <v>0</v>
      </c>
      <c r="X167" s="145">
        <f>IF(テーブル2[[#This Row],[ｼｬﾄﾙﾗﾝ]]="",0,(IF(テーブル2[[#This Row],[性別]]="男",LOOKUP(テーブル2[[#This Row],[ｼｬﾄﾙﾗﾝ]],$AS$6:$AT$15),LOOKUP(テーブル2[[#This Row],[ｼｬﾄﾙﾗﾝ]],$AS$20:$AT$29))))</f>
        <v>0</v>
      </c>
      <c r="Y167" s="145">
        <f>IF(テーブル2[[#This Row],[50m走]]="",0,(IF(テーブル2[[#This Row],[性別]]="男",LOOKUP(テーブル2[[#This Row],[50m走]],$AU$6:$AV$15),LOOKUP(テーブル2[[#This Row],[50m走]],$AU$20:$AV$29))))</f>
        <v>0</v>
      </c>
      <c r="Z167" s="145">
        <f>IF(テーブル2[[#This Row],[立幅とび]]="",0,(IF(テーブル2[[#This Row],[性別]]="男",LOOKUP(テーブル2[[#This Row],[立幅とび]],$AW$6:$AX$15),LOOKUP(テーブル2[[#This Row],[立幅とび]],$AW$20:$AX$29))))</f>
        <v>0</v>
      </c>
      <c r="AA167" s="145">
        <f>IF(テーブル2[[#This Row],[ボール投げ]]="",0,(IF(テーブル2[[#This Row],[性別]]="男",LOOKUP(テーブル2[[#This Row],[ボール投げ]],$AY$6:$AZ$15),LOOKUP(テーブル2[[#This Row],[ボール投げ]],$AY$20:$AZ$29))))</f>
        <v>0</v>
      </c>
      <c r="AB167" s="146" t="str">
        <f>IF(テーブル2[[#This Row],[学年]]=1,12,IF(テーブル2[[#This Row],[学年]]=2,13,IF(テーブル2[[#This Row],[学年]]=3,14,"")))</f>
        <v/>
      </c>
      <c r="AC167" s="192" t="str">
        <f>IF(テーブル2[[#This Row],[肥満度数値]]=0,"",LOOKUP(AE167,$AW$39:$AW$44,$AX$39:$AX$44))</f>
        <v/>
      </c>
      <c r="AD16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7" s="77">
        <f>IF(テーブル2[[#This Row],[体重]]="",0,(テーブル2[[#This Row],[体重]]-テーブル2[[#This Row],[標準体重]])/テーブル2[[#This Row],[標準体重]]*100)</f>
        <v>0</v>
      </c>
      <c r="AF167" s="26">
        <f>COUNTA(テーブル2[[#This Row],[握力]:[ボール投げ]])</f>
        <v>0</v>
      </c>
      <c r="AG167" s="1" t="str">
        <f>IF(テーブル2[[#This Row],[判定]]=$BE$10,"○","")</f>
        <v/>
      </c>
      <c r="AH167" s="1" t="str">
        <f>IF(AG167="","",COUNTIF($AG$6:AG167,"○"))</f>
        <v/>
      </c>
    </row>
    <row r="168" spans="1:34" ht="14.25" customHeight="1" x14ac:dyDescent="0.15">
      <c r="A168" s="44">
        <v>163</v>
      </c>
      <c r="B168" s="148"/>
      <c r="C168" s="151"/>
      <c r="D168" s="148"/>
      <c r="E168" s="152"/>
      <c r="F168" s="148"/>
      <c r="G168" s="148"/>
      <c r="H168" s="150"/>
      <c r="I168" s="150"/>
      <c r="J168" s="151"/>
      <c r="K168" s="148"/>
      <c r="L168" s="196"/>
      <c r="M168" s="151"/>
      <c r="N168" s="197"/>
      <c r="O168" s="151"/>
      <c r="P168" s="153"/>
      <c r="Q16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8" s="144" t="str">
        <f>IF(テーブル2[[#This Row],[得点]]=0,"",IF(テーブル2[[#This Row],[年齢]]=17,LOOKUP(Q168,$BH$6:$BH$10,$BE$6:$BE$10),IF(テーブル2[[#This Row],[年齢]]=16,LOOKUP(Q168,$BG$6:$BG$10,$BE$6:$BE$10),IF(テーブル2[[#This Row],[年齢]]=15,LOOKUP(Q168,$BF$6:$BF$10,$BE$6:$BE$10),IF(テーブル2[[#This Row],[年齢]]=14,LOOKUP(Q168,$BD$6:$BD$10,$BE$6:$BE$10),IF(テーブル2[[#This Row],[年齢]]=13,LOOKUP(Q168,$BC$6:$BC$10,$BE$6:$BE$10),LOOKUP(Q168,$BB$6:$BB$10,$BE$6:$BE$10)))))))</f>
        <v/>
      </c>
      <c r="S168" s="145">
        <f>IF(H168="",0,(IF(テーブル2[[#This Row],[性別]]="男",LOOKUP(テーブル2[[#This Row],[握力]],$AI$6:$AJ$15),LOOKUP(テーブル2[[#This Row],[握力]],$AI$20:$AJ$29))))</f>
        <v>0</v>
      </c>
      <c r="T168" s="145">
        <f>IF(テーブル2[[#This Row],[上体]]="",0,(IF(テーブル2[[#This Row],[性別]]="男",LOOKUP(テーブル2[[#This Row],[上体]],$AK$6:$AL$15),LOOKUP(テーブル2[[#This Row],[上体]],$AK$20:$AL$29))))</f>
        <v>0</v>
      </c>
      <c r="U168" s="145">
        <f>IF(テーブル2[[#This Row],[長座]]="",0,(IF(テーブル2[[#This Row],[性別]]="男",LOOKUP(テーブル2[[#This Row],[長座]],$AM$6:$AN$15),LOOKUP(テーブル2[[#This Row],[長座]],$AM$20:$AN$29))))</f>
        <v>0</v>
      </c>
      <c r="V168" s="145">
        <f>IF(テーブル2[[#This Row],[反復]]="",0,(IF(テーブル2[[#This Row],[性別]]="男",LOOKUP(テーブル2[[#This Row],[反復]],$AO$6:$AP$15),LOOKUP(テーブル2[[#This Row],[反復]],$AO$20:$AP$29))))</f>
        <v>0</v>
      </c>
      <c r="W168" s="145">
        <f>IF(テーブル2[[#This Row],[持久走]]="",0,(IF(テーブル2[[#This Row],[性別]]="男",LOOKUP(テーブル2[[#This Row],[持久走]],$AQ$6:$AR$15),LOOKUP(テーブル2[[#This Row],[持久走]],$AQ$20:$AR$29))))</f>
        <v>0</v>
      </c>
      <c r="X168" s="145">
        <f>IF(テーブル2[[#This Row],[ｼｬﾄﾙﾗﾝ]]="",0,(IF(テーブル2[[#This Row],[性別]]="男",LOOKUP(テーブル2[[#This Row],[ｼｬﾄﾙﾗﾝ]],$AS$6:$AT$15),LOOKUP(テーブル2[[#This Row],[ｼｬﾄﾙﾗﾝ]],$AS$20:$AT$29))))</f>
        <v>0</v>
      </c>
      <c r="Y168" s="145">
        <f>IF(テーブル2[[#This Row],[50m走]]="",0,(IF(テーブル2[[#This Row],[性別]]="男",LOOKUP(テーブル2[[#This Row],[50m走]],$AU$6:$AV$15),LOOKUP(テーブル2[[#This Row],[50m走]],$AU$20:$AV$29))))</f>
        <v>0</v>
      </c>
      <c r="Z168" s="145">
        <f>IF(テーブル2[[#This Row],[立幅とび]]="",0,(IF(テーブル2[[#This Row],[性別]]="男",LOOKUP(テーブル2[[#This Row],[立幅とび]],$AW$6:$AX$15),LOOKUP(テーブル2[[#This Row],[立幅とび]],$AW$20:$AX$29))))</f>
        <v>0</v>
      </c>
      <c r="AA168" s="145">
        <f>IF(テーブル2[[#This Row],[ボール投げ]]="",0,(IF(テーブル2[[#This Row],[性別]]="男",LOOKUP(テーブル2[[#This Row],[ボール投げ]],$AY$6:$AZ$15),LOOKUP(テーブル2[[#This Row],[ボール投げ]],$AY$20:$AZ$29))))</f>
        <v>0</v>
      </c>
      <c r="AB168" s="146" t="str">
        <f>IF(テーブル2[[#This Row],[学年]]=1,12,IF(テーブル2[[#This Row],[学年]]=2,13,IF(テーブル2[[#This Row],[学年]]=3,14,"")))</f>
        <v/>
      </c>
      <c r="AC168" s="192" t="str">
        <f>IF(テーブル2[[#This Row],[肥満度数値]]=0,"",LOOKUP(AE168,$AW$39:$AW$44,$AX$39:$AX$44))</f>
        <v/>
      </c>
      <c r="AD16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8" s="77">
        <f>IF(テーブル2[[#This Row],[体重]]="",0,(テーブル2[[#This Row],[体重]]-テーブル2[[#This Row],[標準体重]])/テーブル2[[#This Row],[標準体重]]*100)</f>
        <v>0</v>
      </c>
      <c r="AF168" s="26">
        <f>COUNTA(テーブル2[[#This Row],[握力]:[ボール投げ]])</f>
        <v>0</v>
      </c>
      <c r="AG168" s="1" t="str">
        <f>IF(テーブル2[[#This Row],[判定]]=$BE$10,"○","")</f>
        <v/>
      </c>
      <c r="AH168" s="1" t="str">
        <f>IF(AG168="","",COUNTIF($AG$6:AG168,"○"))</f>
        <v/>
      </c>
    </row>
    <row r="169" spans="1:34" ht="14.25" customHeight="1" x14ac:dyDescent="0.15">
      <c r="A169" s="44">
        <v>164</v>
      </c>
      <c r="B169" s="148"/>
      <c r="C169" s="151"/>
      <c r="D169" s="148"/>
      <c r="E169" s="152"/>
      <c r="F169" s="148"/>
      <c r="G169" s="148"/>
      <c r="H169" s="150"/>
      <c r="I169" s="150"/>
      <c r="J169" s="151"/>
      <c r="K169" s="148"/>
      <c r="L169" s="196"/>
      <c r="M169" s="151"/>
      <c r="N169" s="197"/>
      <c r="O169" s="151"/>
      <c r="P169" s="153"/>
      <c r="Q16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9" s="144" t="str">
        <f>IF(テーブル2[[#This Row],[得点]]=0,"",IF(テーブル2[[#This Row],[年齢]]=17,LOOKUP(Q169,$BH$6:$BH$10,$BE$6:$BE$10),IF(テーブル2[[#This Row],[年齢]]=16,LOOKUP(Q169,$BG$6:$BG$10,$BE$6:$BE$10),IF(テーブル2[[#This Row],[年齢]]=15,LOOKUP(Q169,$BF$6:$BF$10,$BE$6:$BE$10),IF(テーブル2[[#This Row],[年齢]]=14,LOOKUP(Q169,$BD$6:$BD$10,$BE$6:$BE$10),IF(テーブル2[[#This Row],[年齢]]=13,LOOKUP(Q169,$BC$6:$BC$10,$BE$6:$BE$10),LOOKUP(Q169,$BB$6:$BB$10,$BE$6:$BE$10)))))))</f>
        <v/>
      </c>
      <c r="S169" s="145">
        <f>IF(H169="",0,(IF(テーブル2[[#This Row],[性別]]="男",LOOKUP(テーブル2[[#This Row],[握力]],$AI$6:$AJ$15),LOOKUP(テーブル2[[#This Row],[握力]],$AI$20:$AJ$29))))</f>
        <v>0</v>
      </c>
      <c r="T169" s="145">
        <f>IF(テーブル2[[#This Row],[上体]]="",0,(IF(テーブル2[[#This Row],[性別]]="男",LOOKUP(テーブル2[[#This Row],[上体]],$AK$6:$AL$15),LOOKUP(テーブル2[[#This Row],[上体]],$AK$20:$AL$29))))</f>
        <v>0</v>
      </c>
      <c r="U169" s="145">
        <f>IF(テーブル2[[#This Row],[長座]]="",0,(IF(テーブル2[[#This Row],[性別]]="男",LOOKUP(テーブル2[[#This Row],[長座]],$AM$6:$AN$15),LOOKUP(テーブル2[[#This Row],[長座]],$AM$20:$AN$29))))</f>
        <v>0</v>
      </c>
      <c r="V169" s="145">
        <f>IF(テーブル2[[#This Row],[反復]]="",0,(IF(テーブル2[[#This Row],[性別]]="男",LOOKUP(テーブル2[[#This Row],[反復]],$AO$6:$AP$15),LOOKUP(テーブル2[[#This Row],[反復]],$AO$20:$AP$29))))</f>
        <v>0</v>
      </c>
      <c r="W169" s="145">
        <f>IF(テーブル2[[#This Row],[持久走]]="",0,(IF(テーブル2[[#This Row],[性別]]="男",LOOKUP(テーブル2[[#This Row],[持久走]],$AQ$6:$AR$15),LOOKUP(テーブル2[[#This Row],[持久走]],$AQ$20:$AR$29))))</f>
        <v>0</v>
      </c>
      <c r="X169" s="145">
        <f>IF(テーブル2[[#This Row],[ｼｬﾄﾙﾗﾝ]]="",0,(IF(テーブル2[[#This Row],[性別]]="男",LOOKUP(テーブル2[[#This Row],[ｼｬﾄﾙﾗﾝ]],$AS$6:$AT$15),LOOKUP(テーブル2[[#This Row],[ｼｬﾄﾙﾗﾝ]],$AS$20:$AT$29))))</f>
        <v>0</v>
      </c>
      <c r="Y169" s="145">
        <f>IF(テーブル2[[#This Row],[50m走]]="",0,(IF(テーブル2[[#This Row],[性別]]="男",LOOKUP(テーブル2[[#This Row],[50m走]],$AU$6:$AV$15),LOOKUP(テーブル2[[#This Row],[50m走]],$AU$20:$AV$29))))</f>
        <v>0</v>
      </c>
      <c r="Z169" s="145">
        <f>IF(テーブル2[[#This Row],[立幅とび]]="",0,(IF(テーブル2[[#This Row],[性別]]="男",LOOKUP(テーブル2[[#This Row],[立幅とび]],$AW$6:$AX$15),LOOKUP(テーブル2[[#This Row],[立幅とび]],$AW$20:$AX$29))))</f>
        <v>0</v>
      </c>
      <c r="AA169" s="145">
        <f>IF(テーブル2[[#This Row],[ボール投げ]]="",0,(IF(テーブル2[[#This Row],[性別]]="男",LOOKUP(テーブル2[[#This Row],[ボール投げ]],$AY$6:$AZ$15),LOOKUP(テーブル2[[#This Row],[ボール投げ]],$AY$20:$AZ$29))))</f>
        <v>0</v>
      </c>
      <c r="AB169" s="146" t="str">
        <f>IF(テーブル2[[#This Row],[学年]]=1,12,IF(テーブル2[[#This Row],[学年]]=2,13,IF(テーブル2[[#This Row],[学年]]=3,14,"")))</f>
        <v/>
      </c>
      <c r="AC169" s="192" t="str">
        <f>IF(テーブル2[[#This Row],[肥満度数値]]=0,"",LOOKUP(AE169,$AW$39:$AW$44,$AX$39:$AX$44))</f>
        <v/>
      </c>
      <c r="AD16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69" s="77">
        <f>IF(テーブル2[[#This Row],[体重]]="",0,(テーブル2[[#This Row],[体重]]-テーブル2[[#This Row],[標準体重]])/テーブル2[[#This Row],[標準体重]]*100)</f>
        <v>0</v>
      </c>
      <c r="AF169" s="26">
        <f>COUNTA(テーブル2[[#This Row],[握力]:[ボール投げ]])</f>
        <v>0</v>
      </c>
      <c r="AG169" s="1" t="str">
        <f>IF(テーブル2[[#This Row],[判定]]=$BE$10,"○","")</f>
        <v/>
      </c>
      <c r="AH169" s="1" t="str">
        <f>IF(AG169="","",COUNTIF($AG$6:AG169,"○"))</f>
        <v/>
      </c>
    </row>
    <row r="170" spans="1:34" ht="14.25" customHeight="1" x14ac:dyDescent="0.15">
      <c r="A170" s="44">
        <v>165</v>
      </c>
      <c r="B170" s="148"/>
      <c r="C170" s="151"/>
      <c r="D170" s="148"/>
      <c r="E170" s="152"/>
      <c r="F170" s="148"/>
      <c r="G170" s="148"/>
      <c r="H170" s="150"/>
      <c r="I170" s="150"/>
      <c r="J170" s="151"/>
      <c r="K170" s="148"/>
      <c r="L170" s="196"/>
      <c r="M170" s="151"/>
      <c r="N170" s="197"/>
      <c r="O170" s="151"/>
      <c r="P170" s="153"/>
      <c r="Q17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0" s="144" t="str">
        <f>IF(テーブル2[[#This Row],[得点]]=0,"",IF(テーブル2[[#This Row],[年齢]]=17,LOOKUP(Q170,$BH$6:$BH$10,$BE$6:$BE$10),IF(テーブル2[[#This Row],[年齢]]=16,LOOKUP(Q170,$BG$6:$BG$10,$BE$6:$BE$10),IF(テーブル2[[#This Row],[年齢]]=15,LOOKUP(Q170,$BF$6:$BF$10,$BE$6:$BE$10),IF(テーブル2[[#This Row],[年齢]]=14,LOOKUP(Q170,$BD$6:$BD$10,$BE$6:$BE$10),IF(テーブル2[[#This Row],[年齢]]=13,LOOKUP(Q170,$BC$6:$BC$10,$BE$6:$BE$10),LOOKUP(Q170,$BB$6:$BB$10,$BE$6:$BE$10)))))))</f>
        <v/>
      </c>
      <c r="S170" s="145">
        <f>IF(H170="",0,(IF(テーブル2[[#This Row],[性別]]="男",LOOKUP(テーブル2[[#This Row],[握力]],$AI$6:$AJ$15),LOOKUP(テーブル2[[#This Row],[握力]],$AI$20:$AJ$29))))</f>
        <v>0</v>
      </c>
      <c r="T170" s="145">
        <f>IF(テーブル2[[#This Row],[上体]]="",0,(IF(テーブル2[[#This Row],[性別]]="男",LOOKUP(テーブル2[[#This Row],[上体]],$AK$6:$AL$15),LOOKUP(テーブル2[[#This Row],[上体]],$AK$20:$AL$29))))</f>
        <v>0</v>
      </c>
      <c r="U170" s="145">
        <f>IF(テーブル2[[#This Row],[長座]]="",0,(IF(テーブル2[[#This Row],[性別]]="男",LOOKUP(テーブル2[[#This Row],[長座]],$AM$6:$AN$15),LOOKUP(テーブル2[[#This Row],[長座]],$AM$20:$AN$29))))</f>
        <v>0</v>
      </c>
      <c r="V170" s="145">
        <f>IF(テーブル2[[#This Row],[反復]]="",0,(IF(テーブル2[[#This Row],[性別]]="男",LOOKUP(テーブル2[[#This Row],[反復]],$AO$6:$AP$15),LOOKUP(テーブル2[[#This Row],[反復]],$AO$20:$AP$29))))</f>
        <v>0</v>
      </c>
      <c r="W170" s="145">
        <f>IF(テーブル2[[#This Row],[持久走]]="",0,(IF(テーブル2[[#This Row],[性別]]="男",LOOKUP(テーブル2[[#This Row],[持久走]],$AQ$6:$AR$15),LOOKUP(テーブル2[[#This Row],[持久走]],$AQ$20:$AR$29))))</f>
        <v>0</v>
      </c>
      <c r="X170" s="145">
        <f>IF(テーブル2[[#This Row],[ｼｬﾄﾙﾗﾝ]]="",0,(IF(テーブル2[[#This Row],[性別]]="男",LOOKUP(テーブル2[[#This Row],[ｼｬﾄﾙﾗﾝ]],$AS$6:$AT$15),LOOKUP(テーブル2[[#This Row],[ｼｬﾄﾙﾗﾝ]],$AS$20:$AT$29))))</f>
        <v>0</v>
      </c>
      <c r="Y170" s="145">
        <f>IF(テーブル2[[#This Row],[50m走]]="",0,(IF(テーブル2[[#This Row],[性別]]="男",LOOKUP(テーブル2[[#This Row],[50m走]],$AU$6:$AV$15),LOOKUP(テーブル2[[#This Row],[50m走]],$AU$20:$AV$29))))</f>
        <v>0</v>
      </c>
      <c r="Z170" s="145">
        <f>IF(テーブル2[[#This Row],[立幅とび]]="",0,(IF(テーブル2[[#This Row],[性別]]="男",LOOKUP(テーブル2[[#This Row],[立幅とび]],$AW$6:$AX$15),LOOKUP(テーブル2[[#This Row],[立幅とび]],$AW$20:$AX$29))))</f>
        <v>0</v>
      </c>
      <c r="AA170" s="145">
        <f>IF(テーブル2[[#This Row],[ボール投げ]]="",0,(IF(テーブル2[[#This Row],[性別]]="男",LOOKUP(テーブル2[[#This Row],[ボール投げ]],$AY$6:$AZ$15),LOOKUP(テーブル2[[#This Row],[ボール投げ]],$AY$20:$AZ$29))))</f>
        <v>0</v>
      </c>
      <c r="AB170" s="146" t="str">
        <f>IF(テーブル2[[#This Row],[学年]]=1,12,IF(テーブル2[[#This Row],[学年]]=2,13,IF(テーブル2[[#This Row],[学年]]=3,14,"")))</f>
        <v/>
      </c>
      <c r="AC170" s="192" t="str">
        <f>IF(テーブル2[[#This Row],[肥満度数値]]=0,"",LOOKUP(AE170,$AW$39:$AW$44,$AX$39:$AX$44))</f>
        <v/>
      </c>
      <c r="AD17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0" s="77">
        <f>IF(テーブル2[[#This Row],[体重]]="",0,(テーブル2[[#This Row],[体重]]-テーブル2[[#This Row],[標準体重]])/テーブル2[[#This Row],[標準体重]]*100)</f>
        <v>0</v>
      </c>
      <c r="AF170" s="26">
        <f>COUNTA(テーブル2[[#This Row],[握力]:[ボール投げ]])</f>
        <v>0</v>
      </c>
      <c r="AG170" s="1" t="str">
        <f>IF(テーブル2[[#This Row],[判定]]=$BE$10,"○","")</f>
        <v/>
      </c>
      <c r="AH170" s="1" t="str">
        <f>IF(AG170="","",COUNTIF($AG$6:AG170,"○"))</f>
        <v/>
      </c>
    </row>
    <row r="171" spans="1:34" ht="14.25" customHeight="1" x14ac:dyDescent="0.15">
      <c r="A171" s="44">
        <v>166</v>
      </c>
      <c r="B171" s="148"/>
      <c r="C171" s="151"/>
      <c r="D171" s="148"/>
      <c r="E171" s="152"/>
      <c r="F171" s="148"/>
      <c r="G171" s="148"/>
      <c r="H171" s="150"/>
      <c r="I171" s="150"/>
      <c r="J171" s="151"/>
      <c r="K171" s="148"/>
      <c r="L171" s="196"/>
      <c r="M171" s="151"/>
      <c r="N171" s="197"/>
      <c r="O171" s="151"/>
      <c r="P171" s="153"/>
      <c r="Q17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1" s="144" t="str">
        <f>IF(テーブル2[[#This Row],[得点]]=0,"",IF(テーブル2[[#This Row],[年齢]]=17,LOOKUP(Q171,$BH$6:$BH$10,$BE$6:$BE$10),IF(テーブル2[[#This Row],[年齢]]=16,LOOKUP(Q171,$BG$6:$BG$10,$BE$6:$BE$10),IF(テーブル2[[#This Row],[年齢]]=15,LOOKUP(Q171,$BF$6:$BF$10,$BE$6:$BE$10),IF(テーブル2[[#This Row],[年齢]]=14,LOOKUP(Q171,$BD$6:$BD$10,$BE$6:$BE$10),IF(テーブル2[[#This Row],[年齢]]=13,LOOKUP(Q171,$BC$6:$BC$10,$BE$6:$BE$10),LOOKUP(Q171,$BB$6:$BB$10,$BE$6:$BE$10)))))))</f>
        <v/>
      </c>
      <c r="S171" s="145">
        <f>IF(H171="",0,(IF(テーブル2[[#This Row],[性別]]="男",LOOKUP(テーブル2[[#This Row],[握力]],$AI$6:$AJ$15),LOOKUP(テーブル2[[#This Row],[握力]],$AI$20:$AJ$29))))</f>
        <v>0</v>
      </c>
      <c r="T171" s="145">
        <f>IF(テーブル2[[#This Row],[上体]]="",0,(IF(テーブル2[[#This Row],[性別]]="男",LOOKUP(テーブル2[[#This Row],[上体]],$AK$6:$AL$15),LOOKUP(テーブル2[[#This Row],[上体]],$AK$20:$AL$29))))</f>
        <v>0</v>
      </c>
      <c r="U171" s="145">
        <f>IF(テーブル2[[#This Row],[長座]]="",0,(IF(テーブル2[[#This Row],[性別]]="男",LOOKUP(テーブル2[[#This Row],[長座]],$AM$6:$AN$15),LOOKUP(テーブル2[[#This Row],[長座]],$AM$20:$AN$29))))</f>
        <v>0</v>
      </c>
      <c r="V171" s="145">
        <f>IF(テーブル2[[#This Row],[反復]]="",0,(IF(テーブル2[[#This Row],[性別]]="男",LOOKUP(テーブル2[[#This Row],[反復]],$AO$6:$AP$15),LOOKUP(テーブル2[[#This Row],[反復]],$AO$20:$AP$29))))</f>
        <v>0</v>
      </c>
      <c r="W171" s="145">
        <f>IF(テーブル2[[#This Row],[持久走]]="",0,(IF(テーブル2[[#This Row],[性別]]="男",LOOKUP(テーブル2[[#This Row],[持久走]],$AQ$6:$AR$15),LOOKUP(テーブル2[[#This Row],[持久走]],$AQ$20:$AR$29))))</f>
        <v>0</v>
      </c>
      <c r="X171" s="145">
        <f>IF(テーブル2[[#This Row],[ｼｬﾄﾙﾗﾝ]]="",0,(IF(テーブル2[[#This Row],[性別]]="男",LOOKUP(テーブル2[[#This Row],[ｼｬﾄﾙﾗﾝ]],$AS$6:$AT$15),LOOKUP(テーブル2[[#This Row],[ｼｬﾄﾙﾗﾝ]],$AS$20:$AT$29))))</f>
        <v>0</v>
      </c>
      <c r="Y171" s="145">
        <f>IF(テーブル2[[#This Row],[50m走]]="",0,(IF(テーブル2[[#This Row],[性別]]="男",LOOKUP(テーブル2[[#This Row],[50m走]],$AU$6:$AV$15),LOOKUP(テーブル2[[#This Row],[50m走]],$AU$20:$AV$29))))</f>
        <v>0</v>
      </c>
      <c r="Z171" s="145">
        <f>IF(テーブル2[[#This Row],[立幅とび]]="",0,(IF(テーブル2[[#This Row],[性別]]="男",LOOKUP(テーブル2[[#This Row],[立幅とび]],$AW$6:$AX$15),LOOKUP(テーブル2[[#This Row],[立幅とび]],$AW$20:$AX$29))))</f>
        <v>0</v>
      </c>
      <c r="AA171" s="145">
        <f>IF(テーブル2[[#This Row],[ボール投げ]]="",0,(IF(テーブル2[[#This Row],[性別]]="男",LOOKUP(テーブル2[[#This Row],[ボール投げ]],$AY$6:$AZ$15),LOOKUP(テーブル2[[#This Row],[ボール投げ]],$AY$20:$AZ$29))))</f>
        <v>0</v>
      </c>
      <c r="AB171" s="146" t="str">
        <f>IF(テーブル2[[#This Row],[学年]]=1,12,IF(テーブル2[[#This Row],[学年]]=2,13,IF(テーブル2[[#This Row],[学年]]=3,14,"")))</f>
        <v/>
      </c>
      <c r="AC171" s="192" t="str">
        <f>IF(テーブル2[[#This Row],[肥満度数値]]=0,"",LOOKUP(AE171,$AW$39:$AW$44,$AX$39:$AX$44))</f>
        <v/>
      </c>
      <c r="AD17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1" s="77">
        <f>IF(テーブル2[[#This Row],[体重]]="",0,(テーブル2[[#This Row],[体重]]-テーブル2[[#This Row],[標準体重]])/テーブル2[[#This Row],[標準体重]]*100)</f>
        <v>0</v>
      </c>
      <c r="AF171" s="26">
        <f>COUNTA(テーブル2[[#This Row],[握力]:[ボール投げ]])</f>
        <v>0</v>
      </c>
      <c r="AG171" s="1" t="str">
        <f>IF(テーブル2[[#This Row],[判定]]=$BE$10,"○","")</f>
        <v/>
      </c>
      <c r="AH171" s="1" t="str">
        <f>IF(AG171="","",COUNTIF($AG$6:AG171,"○"))</f>
        <v/>
      </c>
    </row>
    <row r="172" spans="1:34" ht="14.25" customHeight="1" x14ac:dyDescent="0.15">
      <c r="A172" s="44">
        <v>167</v>
      </c>
      <c r="B172" s="148"/>
      <c r="C172" s="151"/>
      <c r="D172" s="148"/>
      <c r="E172" s="152"/>
      <c r="F172" s="148"/>
      <c r="G172" s="148"/>
      <c r="H172" s="150"/>
      <c r="I172" s="150"/>
      <c r="J172" s="151"/>
      <c r="K172" s="148"/>
      <c r="L172" s="196"/>
      <c r="M172" s="151"/>
      <c r="N172" s="197"/>
      <c r="O172" s="151"/>
      <c r="P172" s="153"/>
      <c r="Q17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2" s="144" t="str">
        <f>IF(テーブル2[[#This Row],[得点]]=0,"",IF(テーブル2[[#This Row],[年齢]]=17,LOOKUP(Q172,$BH$6:$BH$10,$BE$6:$BE$10),IF(テーブル2[[#This Row],[年齢]]=16,LOOKUP(Q172,$BG$6:$BG$10,$BE$6:$BE$10),IF(テーブル2[[#This Row],[年齢]]=15,LOOKUP(Q172,$BF$6:$BF$10,$BE$6:$BE$10),IF(テーブル2[[#This Row],[年齢]]=14,LOOKUP(Q172,$BD$6:$BD$10,$BE$6:$BE$10),IF(テーブル2[[#This Row],[年齢]]=13,LOOKUP(Q172,$BC$6:$BC$10,$BE$6:$BE$10),LOOKUP(Q172,$BB$6:$BB$10,$BE$6:$BE$10)))))))</f>
        <v/>
      </c>
      <c r="S172" s="145">
        <f>IF(H172="",0,(IF(テーブル2[[#This Row],[性別]]="男",LOOKUP(テーブル2[[#This Row],[握力]],$AI$6:$AJ$15),LOOKUP(テーブル2[[#This Row],[握力]],$AI$20:$AJ$29))))</f>
        <v>0</v>
      </c>
      <c r="T172" s="145">
        <f>IF(テーブル2[[#This Row],[上体]]="",0,(IF(テーブル2[[#This Row],[性別]]="男",LOOKUP(テーブル2[[#This Row],[上体]],$AK$6:$AL$15),LOOKUP(テーブル2[[#This Row],[上体]],$AK$20:$AL$29))))</f>
        <v>0</v>
      </c>
      <c r="U172" s="145">
        <f>IF(テーブル2[[#This Row],[長座]]="",0,(IF(テーブル2[[#This Row],[性別]]="男",LOOKUP(テーブル2[[#This Row],[長座]],$AM$6:$AN$15),LOOKUP(テーブル2[[#This Row],[長座]],$AM$20:$AN$29))))</f>
        <v>0</v>
      </c>
      <c r="V172" s="145">
        <f>IF(テーブル2[[#This Row],[反復]]="",0,(IF(テーブル2[[#This Row],[性別]]="男",LOOKUP(テーブル2[[#This Row],[反復]],$AO$6:$AP$15),LOOKUP(テーブル2[[#This Row],[反復]],$AO$20:$AP$29))))</f>
        <v>0</v>
      </c>
      <c r="W172" s="145">
        <f>IF(テーブル2[[#This Row],[持久走]]="",0,(IF(テーブル2[[#This Row],[性別]]="男",LOOKUP(テーブル2[[#This Row],[持久走]],$AQ$6:$AR$15),LOOKUP(テーブル2[[#This Row],[持久走]],$AQ$20:$AR$29))))</f>
        <v>0</v>
      </c>
      <c r="X172" s="145">
        <f>IF(テーブル2[[#This Row],[ｼｬﾄﾙﾗﾝ]]="",0,(IF(テーブル2[[#This Row],[性別]]="男",LOOKUP(テーブル2[[#This Row],[ｼｬﾄﾙﾗﾝ]],$AS$6:$AT$15),LOOKUP(テーブル2[[#This Row],[ｼｬﾄﾙﾗﾝ]],$AS$20:$AT$29))))</f>
        <v>0</v>
      </c>
      <c r="Y172" s="145">
        <f>IF(テーブル2[[#This Row],[50m走]]="",0,(IF(テーブル2[[#This Row],[性別]]="男",LOOKUP(テーブル2[[#This Row],[50m走]],$AU$6:$AV$15),LOOKUP(テーブル2[[#This Row],[50m走]],$AU$20:$AV$29))))</f>
        <v>0</v>
      </c>
      <c r="Z172" s="145">
        <f>IF(テーブル2[[#This Row],[立幅とび]]="",0,(IF(テーブル2[[#This Row],[性別]]="男",LOOKUP(テーブル2[[#This Row],[立幅とび]],$AW$6:$AX$15),LOOKUP(テーブル2[[#This Row],[立幅とび]],$AW$20:$AX$29))))</f>
        <v>0</v>
      </c>
      <c r="AA172" s="145">
        <f>IF(テーブル2[[#This Row],[ボール投げ]]="",0,(IF(テーブル2[[#This Row],[性別]]="男",LOOKUP(テーブル2[[#This Row],[ボール投げ]],$AY$6:$AZ$15),LOOKUP(テーブル2[[#This Row],[ボール投げ]],$AY$20:$AZ$29))))</f>
        <v>0</v>
      </c>
      <c r="AB172" s="146" t="str">
        <f>IF(テーブル2[[#This Row],[学年]]=1,12,IF(テーブル2[[#This Row],[学年]]=2,13,IF(テーブル2[[#This Row],[学年]]=3,14,"")))</f>
        <v/>
      </c>
      <c r="AC172" s="192" t="str">
        <f>IF(テーブル2[[#This Row],[肥満度数値]]=0,"",LOOKUP(AE172,$AW$39:$AW$44,$AX$39:$AX$44))</f>
        <v/>
      </c>
      <c r="AD17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2" s="77">
        <f>IF(テーブル2[[#This Row],[体重]]="",0,(テーブル2[[#This Row],[体重]]-テーブル2[[#This Row],[標準体重]])/テーブル2[[#This Row],[標準体重]]*100)</f>
        <v>0</v>
      </c>
      <c r="AF172" s="26">
        <f>COUNTA(テーブル2[[#This Row],[握力]:[ボール投げ]])</f>
        <v>0</v>
      </c>
      <c r="AG172" s="1" t="str">
        <f>IF(テーブル2[[#This Row],[判定]]=$BE$10,"○","")</f>
        <v/>
      </c>
      <c r="AH172" s="1" t="str">
        <f>IF(AG172="","",COUNTIF($AG$6:AG172,"○"))</f>
        <v/>
      </c>
    </row>
    <row r="173" spans="1:34" ht="14.25" customHeight="1" x14ac:dyDescent="0.15">
      <c r="A173" s="44">
        <v>168</v>
      </c>
      <c r="B173" s="148"/>
      <c r="C173" s="151"/>
      <c r="D173" s="148"/>
      <c r="E173" s="152"/>
      <c r="F173" s="148"/>
      <c r="G173" s="148"/>
      <c r="H173" s="150"/>
      <c r="I173" s="150"/>
      <c r="J173" s="151"/>
      <c r="K173" s="148"/>
      <c r="L173" s="196"/>
      <c r="M173" s="151"/>
      <c r="N173" s="197"/>
      <c r="O173" s="151"/>
      <c r="P173" s="153"/>
      <c r="Q17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3" s="144" t="str">
        <f>IF(テーブル2[[#This Row],[得点]]=0,"",IF(テーブル2[[#This Row],[年齢]]=17,LOOKUP(Q173,$BH$6:$BH$10,$BE$6:$BE$10),IF(テーブル2[[#This Row],[年齢]]=16,LOOKUP(Q173,$BG$6:$BG$10,$BE$6:$BE$10),IF(テーブル2[[#This Row],[年齢]]=15,LOOKUP(Q173,$BF$6:$BF$10,$BE$6:$BE$10),IF(テーブル2[[#This Row],[年齢]]=14,LOOKUP(Q173,$BD$6:$BD$10,$BE$6:$BE$10),IF(テーブル2[[#This Row],[年齢]]=13,LOOKUP(Q173,$BC$6:$BC$10,$BE$6:$BE$10),LOOKUP(Q173,$BB$6:$BB$10,$BE$6:$BE$10)))))))</f>
        <v/>
      </c>
      <c r="S173" s="145">
        <f>IF(H173="",0,(IF(テーブル2[[#This Row],[性別]]="男",LOOKUP(テーブル2[[#This Row],[握力]],$AI$6:$AJ$15),LOOKUP(テーブル2[[#This Row],[握力]],$AI$20:$AJ$29))))</f>
        <v>0</v>
      </c>
      <c r="T173" s="145">
        <f>IF(テーブル2[[#This Row],[上体]]="",0,(IF(テーブル2[[#This Row],[性別]]="男",LOOKUP(テーブル2[[#This Row],[上体]],$AK$6:$AL$15),LOOKUP(テーブル2[[#This Row],[上体]],$AK$20:$AL$29))))</f>
        <v>0</v>
      </c>
      <c r="U173" s="145">
        <f>IF(テーブル2[[#This Row],[長座]]="",0,(IF(テーブル2[[#This Row],[性別]]="男",LOOKUP(テーブル2[[#This Row],[長座]],$AM$6:$AN$15),LOOKUP(テーブル2[[#This Row],[長座]],$AM$20:$AN$29))))</f>
        <v>0</v>
      </c>
      <c r="V173" s="145">
        <f>IF(テーブル2[[#This Row],[反復]]="",0,(IF(テーブル2[[#This Row],[性別]]="男",LOOKUP(テーブル2[[#This Row],[反復]],$AO$6:$AP$15),LOOKUP(テーブル2[[#This Row],[反復]],$AO$20:$AP$29))))</f>
        <v>0</v>
      </c>
      <c r="W173" s="145">
        <f>IF(テーブル2[[#This Row],[持久走]]="",0,(IF(テーブル2[[#This Row],[性別]]="男",LOOKUP(テーブル2[[#This Row],[持久走]],$AQ$6:$AR$15),LOOKUP(テーブル2[[#This Row],[持久走]],$AQ$20:$AR$29))))</f>
        <v>0</v>
      </c>
      <c r="X173" s="145">
        <f>IF(テーブル2[[#This Row],[ｼｬﾄﾙﾗﾝ]]="",0,(IF(テーブル2[[#This Row],[性別]]="男",LOOKUP(テーブル2[[#This Row],[ｼｬﾄﾙﾗﾝ]],$AS$6:$AT$15),LOOKUP(テーブル2[[#This Row],[ｼｬﾄﾙﾗﾝ]],$AS$20:$AT$29))))</f>
        <v>0</v>
      </c>
      <c r="Y173" s="145">
        <f>IF(テーブル2[[#This Row],[50m走]]="",0,(IF(テーブル2[[#This Row],[性別]]="男",LOOKUP(テーブル2[[#This Row],[50m走]],$AU$6:$AV$15),LOOKUP(テーブル2[[#This Row],[50m走]],$AU$20:$AV$29))))</f>
        <v>0</v>
      </c>
      <c r="Z173" s="145">
        <f>IF(テーブル2[[#This Row],[立幅とび]]="",0,(IF(テーブル2[[#This Row],[性別]]="男",LOOKUP(テーブル2[[#This Row],[立幅とび]],$AW$6:$AX$15),LOOKUP(テーブル2[[#This Row],[立幅とび]],$AW$20:$AX$29))))</f>
        <v>0</v>
      </c>
      <c r="AA173" s="145">
        <f>IF(テーブル2[[#This Row],[ボール投げ]]="",0,(IF(テーブル2[[#This Row],[性別]]="男",LOOKUP(テーブル2[[#This Row],[ボール投げ]],$AY$6:$AZ$15),LOOKUP(テーブル2[[#This Row],[ボール投げ]],$AY$20:$AZ$29))))</f>
        <v>0</v>
      </c>
      <c r="AB173" s="146" t="str">
        <f>IF(テーブル2[[#This Row],[学年]]=1,12,IF(テーブル2[[#This Row],[学年]]=2,13,IF(テーブル2[[#This Row],[学年]]=3,14,"")))</f>
        <v/>
      </c>
      <c r="AC173" s="192" t="str">
        <f>IF(テーブル2[[#This Row],[肥満度数値]]=0,"",LOOKUP(AE173,$AW$39:$AW$44,$AX$39:$AX$44))</f>
        <v/>
      </c>
      <c r="AD17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3" s="77">
        <f>IF(テーブル2[[#This Row],[体重]]="",0,(テーブル2[[#This Row],[体重]]-テーブル2[[#This Row],[標準体重]])/テーブル2[[#This Row],[標準体重]]*100)</f>
        <v>0</v>
      </c>
      <c r="AF173" s="26">
        <f>COUNTA(テーブル2[[#This Row],[握力]:[ボール投げ]])</f>
        <v>0</v>
      </c>
      <c r="AG173" s="1" t="str">
        <f>IF(テーブル2[[#This Row],[判定]]=$BE$10,"○","")</f>
        <v/>
      </c>
      <c r="AH173" s="1" t="str">
        <f>IF(AG173="","",COUNTIF($AG$6:AG173,"○"))</f>
        <v/>
      </c>
    </row>
    <row r="174" spans="1:34" ht="14.25" customHeight="1" x14ac:dyDescent="0.15">
      <c r="A174" s="44">
        <v>169</v>
      </c>
      <c r="B174" s="148"/>
      <c r="C174" s="151"/>
      <c r="D174" s="148"/>
      <c r="E174" s="152"/>
      <c r="F174" s="148"/>
      <c r="G174" s="148"/>
      <c r="H174" s="150"/>
      <c r="I174" s="150"/>
      <c r="J174" s="151"/>
      <c r="K174" s="148"/>
      <c r="L174" s="196"/>
      <c r="M174" s="151"/>
      <c r="N174" s="197"/>
      <c r="O174" s="151"/>
      <c r="P174" s="153"/>
      <c r="Q17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4" s="144" t="str">
        <f>IF(テーブル2[[#This Row],[得点]]=0,"",IF(テーブル2[[#This Row],[年齢]]=17,LOOKUP(Q174,$BH$6:$BH$10,$BE$6:$BE$10),IF(テーブル2[[#This Row],[年齢]]=16,LOOKUP(Q174,$BG$6:$BG$10,$BE$6:$BE$10),IF(テーブル2[[#This Row],[年齢]]=15,LOOKUP(Q174,$BF$6:$BF$10,$BE$6:$BE$10),IF(テーブル2[[#This Row],[年齢]]=14,LOOKUP(Q174,$BD$6:$BD$10,$BE$6:$BE$10),IF(テーブル2[[#This Row],[年齢]]=13,LOOKUP(Q174,$BC$6:$BC$10,$BE$6:$BE$10),LOOKUP(Q174,$BB$6:$BB$10,$BE$6:$BE$10)))))))</f>
        <v/>
      </c>
      <c r="S174" s="145">
        <f>IF(H174="",0,(IF(テーブル2[[#This Row],[性別]]="男",LOOKUP(テーブル2[[#This Row],[握力]],$AI$6:$AJ$15),LOOKUP(テーブル2[[#This Row],[握力]],$AI$20:$AJ$29))))</f>
        <v>0</v>
      </c>
      <c r="T174" s="145">
        <f>IF(テーブル2[[#This Row],[上体]]="",0,(IF(テーブル2[[#This Row],[性別]]="男",LOOKUP(テーブル2[[#This Row],[上体]],$AK$6:$AL$15),LOOKUP(テーブル2[[#This Row],[上体]],$AK$20:$AL$29))))</f>
        <v>0</v>
      </c>
      <c r="U174" s="145">
        <f>IF(テーブル2[[#This Row],[長座]]="",0,(IF(テーブル2[[#This Row],[性別]]="男",LOOKUP(テーブル2[[#This Row],[長座]],$AM$6:$AN$15),LOOKUP(テーブル2[[#This Row],[長座]],$AM$20:$AN$29))))</f>
        <v>0</v>
      </c>
      <c r="V174" s="145">
        <f>IF(テーブル2[[#This Row],[反復]]="",0,(IF(テーブル2[[#This Row],[性別]]="男",LOOKUP(テーブル2[[#This Row],[反復]],$AO$6:$AP$15),LOOKUP(テーブル2[[#This Row],[反復]],$AO$20:$AP$29))))</f>
        <v>0</v>
      </c>
      <c r="W174" s="145">
        <f>IF(テーブル2[[#This Row],[持久走]]="",0,(IF(テーブル2[[#This Row],[性別]]="男",LOOKUP(テーブル2[[#This Row],[持久走]],$AQ$6:$AR$15),LOOKUP(テーブル2[[#This Row],[持久走]],$AQ$20:$AR$29))))</f>
        <v>0</v>
      </c>
      <c r="X174" s="145">
        <f>IF(テーブル2[[#This Row],[ｼｬﾄﾙﾗﾝ]]="",0,(IF(テーブル2[[#This Row],[性別]]="男",LOOKUP(テーブル2[[#This Row],[ｼｬﾄﾙﾗﾝ]],$AS$6:$AT$15),LOOKUP(テーブル2[[#This Row],[ｼｬﾄﾙﾗﾝ]],$AS$20:$AT$29))))</f>
        <v>0</v>
      </c>
      <c r="Y174" s="145">
        <f>IF(テーブル2[[#This Row],[50m走]]="",0,(IF(テーブル2[[#This Row],[性別]]="男",LOOKUP(テーブル2[[#This Row],[50m走]],$AU$6:$AV$15),LOOKUP(テーブル2[[#This Row],[50m走]],$AU$20:$AV$29))))</f>
        <v>0</v>
      </c>
      <c r="Z174" s="145">
        <f>IF(テーブル2[[#This Row],[立幅とび]]="",0,(IF(テーブル2[[#This Row],[性別]]="男",LOOKUP(テーブル2[[#This Row],[立幅とび]],$AW$6:$AX$15),LOOKUP(テーブル2[[#This Row],[立幅とび]],$AW$20:$AX$29))))</f>
        <v>0</v>
      </c>
      <c r="AA174" s="145">
        <f>IF(テーブル2[[#This Row],[ボール投げ]]="",0,(IF(テーブル2[[#This Row],[性別]]="男",LOOKUP(テーブル2[[#This Row],[ボール投げ]],$AY$6:$AZ$15),LOOKUP(テーブル2[[#This Row],[ボール投げ]],$AY$20:$AZ$29))))</f>
        <v>0</v>
      </c>
      <c r="AB174" s="146" t="str">
        <f>IF(テーブル2[[#This Row],[学年]]=1,12,IF(テーブル2[[#This Row],[学年]]=2,13,IF(テーブル2[[#This Row],[学年]]=3,14,"")))</f>
        <v/>
      </c>
      <c r="AC174" s="192" t="str">
        <f>IF(テーブル2[[#This Row],[肥満度数値]]=0,"",LOOKUP(AE174,$AW$39:$AW$44,$AX$39:$AX$44))</f>
        <v/>
      </c>
      <c r="AD17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4" s="77">
        <f>IF(テーブル2[[#This Row],[体重]]="",0,(テーブル2[[#This Row],[体重]]-テーブル2[[#This Row],[標準体重]])/テーブル2[[#This Row],[標準体重]]*100)</f>
        <v>0</v>
      </c>
      <c r="AF174" s="26">
        <f>COUNTA(テーブル2[[#This Row],[握力]:[ボール投げ]])</f>
        <v>0</v>
      </c>
      <c r="AG174" s="1" t="str">
        <f>IF(テーブル2[[#This Row],[判定]]=$BE$10,"○","")</f>
        <v/>
      </c>
      <c r="AH174" s="1" t="str">
        <f>IF(AG174="","",COUNTIF($AG$6:AG174,"○"))</f>
        <v/>
      </c>
    </row>
    <row r="175" spans="1:34" ht="14.25" customHeight="1" x14ac:dyDescent="0.15">
      <c r="A175" s="44">
        <v>170</v>
      </c>
      <c r="B175" s="148"/>
      <c r="C175" s="151"/>
      <c r="D175" s="148"/>
      <c r="E175" s="152"/>
      <c r="F175" s="148"/>
      <c r="G175" s="148"/>
      <c r="H175" s="150"/>
      <c r="I175" s="150"/>
      <c r="J175" s="151"/>
      <c r="K175" s="148"/>
      <c r="L175" s="196"/>
      <c r="M175" s="151"/>
      <c r="N175" s="197"/>
      <c r="O175" s="151"/>
      <c r="P175" s="153"/>
      <c r="Q17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5" s="144" t="str">
        <f>IF(テーブル2[[#This Row],[得点]]=0,"",IF(テーブル2[[#This Row],[年齢]]=17,LOOKUP(Q175,$BH$6:$BH$10,$BE$6:$BE$10),IF(テーブル2[[#This Row],[年齢]]=16,LOOKUP(Q175,$BG$6:$BG$10,$BE$6:$BE$10),IF(テーブル2[[#This Row],[年齢]]=15,LOOKUP(Q175,$BF$6:$BF$10,$BE$6:$BE$10),IF(テーブル2[[#This Row],[年齢]]=14,LOOKUP(Q175,$BD$6:$BD$10,$BE$6:$BE$10),IF(テーブル2[[#This Row],[年齢]]=13,LOOKUP(Q175,$BC$6:$BC$10,$BE$6:$BE$10),LOOKUP(Q175,$BB$6:$BB$10,$BE$6:$BE$10)))))))</f>
        <v/>
      </c>
      <c r="S175" s="145">
        <f>IF(H175="",0,(IF(テーブル2[[#This Row],[性別]]="男",LOOKUP(テーブル2[[#This Row],[握力]],$AI$6:$AJ$15),LOOKUP(テーブル2[[#This Row],[握力]],$AI$20:$AJ$29))))</f>
        <v>0</v>
      </c>
      <c r="T175" s="145">
        <f>IF(テーブル2[[#This Row],[上体]]="",0,(IF(テーブル2[[#This Row],[性別]]="男",LOOKUP(テーブル2[[#This Row],[上体]],$AK$6:$AL$15),LOOKUP(テーブル2[[#This Row],[上体]],$AK$20:$AL$29))))</f>
        <v>0</v>
      </c>
      <c r="U175" s="145">
        <f>IF(テーブル2[[#This Row],[長座]]="",0,(IF(テーブル2[[#This Row],[性別]]="男",LOOKUP(テーブル2[[#This Row],[長座]],$AM$6:$AN$15),LOOKUP(テーブル2[[#This Row],[長座]],$AM$20:$AN$29))))</f>
        <v>0</v>
      </c>
      <c r="V175" s="145">
        <f>IF(テーブル2[[#This Row],[反復]]="",0,(IF(テーブル2[[#This Row],[性別]]="男",LOOKUP(テーブル2[[#This Row],[反復]],$AO$6:$AP$15),LOOKUP(テーブル2[[#This Row],[反復]],$AO$20:$AP$29))))</f>
        <v>0</v>
      </c>
      <c r="W175" s="145">
        <f>IF(テーブル2[[#This Row],[持久走]]="",0,(IF(テーブル2[[#This Row],[性別]]="男",LOOKUP(テーブル2[[#This Row],[持久走]],$AQ$6:$AR$15),LOOKUP(テーブル2[[#This Row],[持久走]],$AQ$20:$AR$29))))</f>
        <v>0</v>
      </c>
      <c r="X175" s="145">
        <f>IF(テーブル2[[#This Row],[ｼｬﾄﾙﾗﾝ]]="",0,(IF(テーブル2[[#This Row],[性別]]="男",LOOKUP(テーブル2[[#This Row],[ｼｬﾄﾙﾗﾝ]],$AS$6:$AT$15),LOOKUP(テーブル2[[#This Row],[ｼｬﾄﾙﾗﾝ]],$AS$20:$AT$29))))</f>
        <v>0</v>
      </c>
      <c r="Y175" s="145">
        <f>IF(テーブル2[[#This Row],[50m走]]="",0,(IF(テーブル2[[#This Row],[性別]]="男",LOOKUP(テーブル2[[#This Row],[50m走]],$AU$6:$AV$15),LOOKUP(テーブル2[[#This Row],[50m走]],$AU$20:$AV$29))))</f>
        <v>0</v>
      </c>
      <c r="Z175" s="145">
        <f>IF(テーブル2[[#This Row],[立幅とび]]="",0,(IF(テーブル2[[#This Row],[性別]]="男",LOOKUP(テーブル2[[#This Row],[立幅とび]],$AW$6:$AX$15),LOOKUP(テーブル2[[#This Row],[立幅とび]],$AW$20:$AX$29))))</f>
        <v>0</v>
      </c>
      <c r="AA175" s="145">
        <f>IF(テーブル2[[#This Row],[ボール投げ]]="",0,(IF(テーブル2[[#This Row],[性別]]="男",LOOKUP(テーブル2[[#This Row],[ボール投げ]],$AY$6:$AZ$15),LOOKUP(テーブル2[[#This Row],[ボール投げ]],$AY$20:$AZ$29))))</f>
        <v>0</v>
      </c>
      <c r="AB175" s="146" t="str">
        <f>IF(テーブル2[[#This Row],[学年]]=1,12,IF(テーブル2[[#This Row],[学年]]=2,13,IF(テーブル2[[#This Row],[学年]]=3,14,"")))</f>
        <v/>
      </c>
      <c r="AC175" s="192" t="str">
        <f>IF(テーブル2[[#This Row],[肥満度数値]]=0,"",LOOKUP(AE175,$AW$39:$AW$44,$AX$39:$AX$44))</f>
        <v/>
      </c>
      <c r="AD17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5" s="77">
        <f>IF(テーブル2[[#This Row],[体重]]="",0,(テーブル2[[#This Row],[体重]]-テーブル2[[#This Row],[標準体重]])/テーブル2[[#This Row],[標準体重]]*100)</f>
        <v>0</v>
      </c>
      <c r="AF175" s="26">
        <f>COUNTA(テーブル2[[#This Row],[握力]:[ボール投げ]])</f>
        <v>0</v>
      </c>
      <c r="AG175" s="1" t="str">
        <f>IF(テーブル2[[#This Row],[判定]]=$BE$10,"○","")</f>
        <v/>
      </c>
      <c r="AH175" s="1" t="str">
        <f>IF(AG175="","",COUNTIF($AG$6:AG175,"○"))</f>
        <v/>
      </c>
    </row>
    <row r="176" spans="1:34" ht="14.25" customHeight="1" x14ac:dyDescent="0.15">
      <c r="A176" s="44">
        <v>171</v>
      </c>
      <c r="B176" s="148"/>
      <c r="C176" s="151"/>
      <c r="D176" s="148"/>
      <c r="E176" s="152"/>
      <c r="F176" s="148"/>
      <c r="G176" s="148"/>
      <c r="H176" s="150"/>
      <c r="I176" s="150"/>
      <c r="J176" s="151"/>
      <c r="K176" s="148"/>
      <c r="L176" s="196"/>
      <c r="M176" s="151"/>
      <c r="N176" s="197"/>
      <c r="O176" s="151"/>
      <c r="P176" s="153"/>
      <c r="Q17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6" s="144" t="str">
        <f>IF(テーブル2[[#This Row],[得点]]=0,"",IF(テーブル2[[#This Row],[年齢]]=17,LOOKUP(Q176,$BH$6:$BH$10,$BE$6:$BE$10),IF(テーブル2[[#This Row],[年齢]]=16,LOOKUP(Q176,$BG$6:$BG$10,$BE$6:$BE$10),IF(テーブル2[[#This Row],[年齢]]=15,LOOKUP(Q176,$BF$6:$BF$10,$BE$6:$BE$10),IF(テーブル2[[#This Row],[年齢]]=14,LOOKUP(Q176,$BD$6:$BD$10,$BE$6:$BE$10),IF(テーブル2[[#This Row],[年齢]]=13,LOOKUP(Q176,$BC$6:$BC$10,$BE$6:$BE$10),LOOKUP(Q176,$BB$6:$BB$10,$BE$6:$BE$10)))))))</f>
        <v/>
      </c>
      <c r="S176" s="145">
        <f>IF(H176="",0,(IF(テーブル2[[#This Row],[性別]]="男",LOOKUP(テーブル2[[#This Row],[握力]],$AI$6:$AJ$15),LOOKUP(テーブル2[[#This Row],[握力]],$AI$20:$AJ$29))))</f>
        <v>0</v>
      </c>
      <c r="T176" s="145">
        <f>IF(テーブル2[[#This Row],[上体]]="",0,(IF(テーブル2[[#This Row],[性別]]="男",LOOKUP(テーブル2[[#This Row],[上体]],$AK$6:$AL$15),LOOKUP(テーブル2[[#This Row],[上体]],$AK$20:$AL$29))))</f>
        <v>0</v>
      </c>
      <c r="U176" s="145">
        <f>IF(テーブル2[[#This Row],[長座]]="",0,(IF(テーブル2[[#This Row],[性別]]="男",LOOKUP(テーブル2[[#This Row],[長座]],$AM$6:$AN$15),LOOKUP(テーブル2[[#This Row],[長座]],$AM$20:$AN$29))))</f>
        <v>0</v>
      </c>
      <c r="V176" s="145">
        <f>IF(テーブル2[[#This Row],[反復]]="",0,(IF(テーブル2[[#This Row],[性別]]="男",LOOKUP(テーブル2[[#This Row],[反復]],$AO$6:$AP$15),LOOKUP(テーブル2[[#This Row],[反復]],$AO$20:$AP$29))))</f>
        <v>0</v>
      </c>
      <c r="W176" s="145">
        <f>IF(テーブル2[[#This Row],[持久走]]="",0,(IF(テーブル2[[#This Row],[性別]]="男",LOOKUP(テーブル2[[#This Row],[持久走]],$AQ$6:$AR$15),LOOKUP(テーブル2[[#This Row],[持久走]],$AQ$20:$AR$29))))</f>
        <v>0</v>
      </c>
      <c r="X176" s="145">
        <f>IF(テーブル2[[#This Row],[ｼｬﾄﾙﾗﾝ]]="",0,(IF(テーブル2[[#This Row],[性別]]="男",LOOKUP(テーブル2[[#This Row],[ｼｬﾄﾙﾗﾝ]],$AS$6:$AT$15),LOOKUP(テーブル2[[#This Row],[ｼｬﾄﾙﾗﾝ]],$AS$20:$AT$29))))</f>
        <v>0</v>
      </c>
      <c r="Y176" s="145">
        <f>IF(テーブル2[[#This Row],[50m走]]="",0,(IF(テーブル2[[#This Row],[性別]]="男",LOOKUP(テーブル2[[#This Row],[50m走]],$AU$6:$AV$15),LOOKUP(テーブル2[[#This Row],[50m走]],$AU$20:$AV$29))))</f>
        <v>0</v>
      </c>
      <c r="Z176" s="145">
        <f>IF(テーブル2[[#This Row],[立幅とび]]="",0,(IF(テーブル2[[#This Row],[性別]]="男",LOOKUP(テーブル2[[#This Row],[立幅とび]],$AW$6:$AX$15),LOOKUP(テーブル2[[#This Row],[立幅とび]],$AW$20:$AX$29))))</f>
        <v>0</v>
      </c>
      <c r="AA176" s="145">
        <f>IF(テーブル2[[#This Row],[ボール投げ]]="",0,(IF(テーブル2[[#This Row],[性別]]="男",LOOKUP(テーブル2[[#This Row],[ボール投げ]],$AY$6:$AZ$15),LOOKUP(テーブル2[[#This Row],[ボール投げ]],$AY$20:$AZ$29))))</f>
        <v>0</v>
      </c>
      <c r="AB176" s="146" t="str">
        <f>IF(テーブル2[[#This Row],[学年]]=1,12,IF(テーブル2[[#This Row],[学年]]=2,13,IF(テーブル2[[#This Row],[学年]]=3,14,"")))</f>
        <v/>
      </c>
      <c r="AC176" s="192" t="str">
        <f>IF(テーブル2[[#This Row],[肥満度数値]]=0,"",LOOKUP(AE176,$AW$39:$AW$44,$AX$39:$AX$44))</f>
        <v/>
      </c>
      <c r="AD17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6" s="77">
        <f>IF(テーブル2[[#This Row],[体重]]="",0,(テーブル2[[#This Row],[体重]]-テーブル2[[#This Row],[標準体重]])/テーブル2[[#This Row],[標準体重]]*100)</f>
        <v>0</v>
      </c>
      <c r="AF176" s="26">
        <f>COUNTA(テーブル2[[#This Row],[握力]:[ボール投げ]])</f>
        <v>0</v>
      </c>
      <c r="AG176" s="1" t="str">
        <f>IF(テーブル2[[#This Row],[判定]]=$BE$10,"○","")</f>
        <v/>
      </c>
      <c r="AH176" s="1" t="str">
        <f>IF(AG176="","",COUNTIF($AG$6:AG176,"○"))</f>
        <v/>
      </c>
    </row>
    <row r="177" spans="1:34" ht="14.25" customHeight="1" x14ac:dyDescent="0.15">
      <c r="A177" s="44">
        <v>172</v>
      </c>
      <c r="B177" s="148"/>
      <c r="C177" s="151"/>
      <c r="D177" s="148"/>
      <c r="E177" s="152"/>
      <c r="F177" s="148"/>
      <c r="G177" s="148"/>
      <c r="H177" s="150"/>
      <c r="I177" s="150"/>
      <c r="J177" s="151"/>
      <c r="K177" s="148"/>
      <c r="L177" s="196"/>
      <c r="M177" s="151"/>
      <c r="N177" s="197"/>
      <c r="O177" s="151"/>
      <c r="P177" s="153"/>
      <c r="Q17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7" s="144" t="str">
        <f>IF(テーブル2[[#This Row],[得点]]=0,"",IF(テーブル2[[#This Row],[年齢]]=17,LOOKUP(Q177,$BH$6:$BH$10,$BE$6:$BE$10),IF(テーブル2[[#This Row],[年齢]]=16,LOOKUP(Q177,$BG$6:$BG$10,$BE$6:$BE$10),IF(テーブル2[[#This Row],[年齢]]=15,LOOKUP(Q177,$BF$6:$BF$10,$BE$6:$BE$10),IF(テーブル2[[#This Row],[年齢]]=14,LOOKUP(Q177,$BD$6:$BD$10,$BE$6:$BE$10),IF(テーブル2[[#This Row],[年齢]]=13,LOOKUP(Q177,$BC$6:$BC$10,$BE$6:$BE$10),LOOKUP(Q177,$BB$6:$BB$10,$BE$6:$BE$10)))))))</f>
        <v/>
      </c>
      <c r="S177" s="145">
        <f>IF(H177="",0,(IF(テーブル2[[#This Row],[性別]]="男",LOOKUP(テーブル2[[#This Row],[握力]],$AI$6:$AJ$15),LOOKUP(テーブル2[[#This Row],[握力]],$AI$20:$AJ$29))))</f>
        <v>0</v>
      </c>
      <c r="T177" s="145">
        <f>IF(テーブル2[[#This Row],[上体]]="",0,(IF(テーブル2[[#This Row],[性別]]="男",LOOKUP(テーブル2[[#This Row],[上体]],$AK$6:$AL$15),LOOKUP(テーブル2[[#This Row],[上体]],$AK$20:$AL$29))))</f>
        <v>0</v>
      </c>
      <c r="U177" s="145">
        <f>IF(テーブル2[[#This Row],[長座]]="",0,(IF(テーブル2[[#This Row],[性別]]="男",LOOKUP(テーブル2[[#This Row],[長座]],$AM$6:$AN$15),LOOKUP(テーブル2[[#This Row],[長座]],$AM$20:$AN$29))))</f>
        <v>0</v>
      </c>
      <c r="V177" s="145">
        <f>IF(テーブル2[[#This Row],[反復]]="",0,(IF(テーブル2[[#This Row],[性別]]="男",LOOKUP(テーブル2[[#This Row],[反復]],$AO$6:$AP$15),LOOKUP(テーブル2[[#This Row],[反復]],$AO$20:$AP$29))))</f>
        <v>0</v>
      </c>
      <c r="W177" s="145">
        <f>IF(テーブル2[[#This Row],[持久走]]="",0,(IF(テーブル2[[#This Row],[性別]]="男",LOOKUP(テーブル2[[#This Row],[持久走]],$AQ$6:$AR$15),LOOKUP(テーブル2[[#This Row],[持久走]],$AQ$20:$AR$29))))</f>
        <v>0</v>
      </c>
      <c r="X177" s="145">
        <f>IF(テーブル2[[#This Row],[ｼｬﾄﾙﾗﾝ]]="",0,(IF(テーブル2[[#This Row],[性別]]="男",LOOKUP(テーブル2[[#This Row],[ｼｬﾄﾙﾗﾝ]],$AS$6:$AT$15),LOOKUP(テーブル2[[#This Row],[ｼｬﾄﾙﾗﾝ]],$AS$20:$AT$29))))</f>
        <v>0</v>
      </c>
      <c r="Y177" s="145">
        <f>IF(テーブル2[[#This Row],[50m走]]="",0,(IF(テーブル2[[#This Row],[性別]]="男",LOOKUP(テーブル2[[#This Row],[50m走]],$AU$6:$AV$15),LOOKUP(テーブル2[[#This Row],[50m走]],$AU$20:$AV$29))))</f>
        <v>0</v>
      </c>
      <c r="Z177" s="145">
        <f>IF(テーブル2[[#This Row],[立幅とび]]="",0,(IF(テーブル2[[#This Row],[性別]]="男",LOOKUP(テーブル2[[#This Row],[立幅とび]],$AW$6:$AX$15),LOOKUP(テーブル2[[#This Row],[立幅とび]],$AW$20:$AX$29))))</f>
        <v>0</v>
      </c>
      <c r="AA177" s="145">
        <f>IF(テーブル2[[#This Row],[ボール投げ]]="",0,(IF(テーブル2[[#This Row],[性別]]="男",LOOKUP(テーブル2[[#This Row],[ボール投げ]],$AY$6:$AZ$15),LOOKUP(テーブル2[[#This Row],[ボール投げ]],$AY$20:$AZ$29))))</f>
        <v>0</v>
      </c>
      <c r="AB177" s="146" t="str">
        <f>IF(テーブル2[[#This Row],[学年]]=1,12,IF(テーブル2[[#This Row],[学年]]=2,13,IF(テーブル2[[#This Row],[学年]]=3,14,"")))</f>
        <v/>
      </c>
      <c r="AC177" s="192" t="str">
        <f>IF(テーブル2[[#This Row],[肥満度数値]]=0,"",LOOKUP(AE177,$AW$39:$AW$44,$AX$39:$AX$44))</f>
        <v/>
      </c>
      <c r="AD17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7" s="77">
        <f>IF(テーブル2[[#This Row],[体重]]="",0,(テーブル2[[#This Row],[体重]]-テーブル2[[#This Row],[標準体重]])/テーブル2[[#This Row],[標準体重]]*100)</f>
        <v>0</v>
      </c>
      <c r="AF177" s="26">
        <f>COUNTA(テーブル2[[#This Row],[握力]:[ボール投げ]])</f>
        <v>0</v>
      </c>
      <c r="AG177" s="1" t="str">
        <f>IF(テーブル2[[#This Row],[判定]]=$BE$10,"○","")</f>
        <v/>
      </c>
      <c r="AH177" s="1" t="str">
        <f>IF(AG177="","",COUNTIF($AG$6:AG177,"○"))</f>
        <v/>
      </c>
    </row>
    <row r="178" spans="1:34" ht="14.25" customHeight="1" x14ac:dyDescent="0.15">
      <c r="A178" s="44">
        <v>173</v>
      </c>
      <c r="B178" s="148"/>
      <c r="C178" s="151"/>
      <c r="D178" s="148"/>
      <c r="E178" s="152"/>
      <c r="F178" s="148"/>
      <c r="G178" s="148"/>
      <c r="H178" s="150"/>
      <c r="I178" s="150"/>
      <c r="J178" s="151"/>
      <c r="K178" s="148"/>
      <c r="L178" s="196"/>
      <c r="M178" s="151"/>
      <c r="N178" s="197"/>
      <c r="O178" s="151"/>
      <c r="P178" s="153"/>
      <c r="Q17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8" s="144" t="str">
        <f>IF(テーブル2[[#This Row],[得点]]=0,"",IF(テーブル2[[#This Row],[年齢]]=17,LOOKUP(Q178,$BH$6:$BH$10,$BE$6:$BE$10),IF(テーブル2[[#This Row],[年齢]]=16,LOOKUP(Q178,$BG$6:$BG$10,$BE$6:$BE$10),IF(テーブル2[[#This Row],[年齢]]=15,LOOKUP(Q178,$BF$6:$BF$10,$BE$6:$BE$10),IF(テーブル2[[#This Row],[年齢]]=14,LOOKUP(Q178,$BD$6:$BD$10,$BE$6:$BE$10),IF(テーブル2[[#This Row],[年齢]]=13,LOOKUP(Q178,$BC$6:$BC$10,$BE$6:$BE$10),LOOKUP(Q178,$BB$6:$BB$10,$BE$6:$BE$10)))))))</f>
        <v/>
      </c>
      <c r="S178" s="145">
        <f>IF(H178="",0,(IF(テーブル2[[#This Row],[性別]]="男",LOOKUP(テーブル2[[#This Row],[握力]],$AI$6:$AJ$15),LOOKUP(テーブル2[[#This Row],[握力]],$AI$20:$AJ$29))))</f>
        <v>0</v>
      </c>
      <c r="T178" s="145">
        <f>IF(テーブル2[[#This Row],[上体]]="",0,(IF(テーブル2[[#This Row],[性別]]="男",LOOKUP(テーブル2[[#This Row],[上体]],$AK$6:$AL$15),LOOKUP(テーブル2[[#This Row],[上体]],$AK$20:$AL$29))))</f>
        <v>0</v>
      </c>
      <c r="U178" s="145">
        <f>IF(テーブル2[[#This Row],[長座]]="",0,(IF(テーブル2[[#This Row],[性別]]="男",LOOKUP(テーブル2[[#This Row],[長座]],$AM$6:$AN$15),LOOKUP(テーブル2[[#This Row],[長座]],$AM$20:$AN$29))))</f>
        <v>0</v>
      </c>
      <c r="V178" s="145">
        <f>IF(テーブル2[[#This Row],[反復]]="",0,(IF(テーブル2[[#This Row],[性別]]="男",LOOKUP(テーブル2[[#This Row],[反復]],$AO$6:$AP$15),LOOKUP(テーブル2[[#This Row],[反復]],$AO$20:$AP$29))))</f>
        <v>0</v>
      </c>
      <c r="W178" s="145">
        <f>IF(テーブル2[[#This Row],[持久走]]="",0,(IF(テーブル2[[#This Row],[性別]]="男",LOOKUP(テーブル2[[#This Row],[持久走]],$AQ$6:$AR$15),LOOKUP(テーブル2[[#This Row],[持久走]],$AQ$20:$AR$29))))</f>
        <v>0</v>
      </c>
      <c r="X178" s="145">
        <f>IF(テーブル2[[#This Row],[ｼｬﾄﾙﾗﾝ]]="",0,(IF(テーブル2[[#This Row],[性別]]="男",LOOKUP(テーブル2[[#This Row],[ｼｬﾄﾙﾗﾝ]],$AS$6:$AT$15),LOOKUP(テーブル2[[#This Row],[ｼｬﾄﾙﾗﾝ]],$AS$20:$AT$29))))</f>
        <v>0</v>
      </c>
      <c r="Y178" s="145">
        <f>IF(テーブル2[[#This Row],[50m走]]="",0,(IF(テーブル2[[#This Row],[性別]]="男",LOOKUP(テーブル2[[#This Row],[50m走]],$AU$6:$AV$15),LOOKUP(テーブル2[[#This Row],[50m走]],$AU$20:$AV$29))))</f>
        <v>0</v>
      </c>
      <c r="Z178" s="145">
        <f>IF(テーブル2[[#This Row],[立幅とび]]="",0,(IF(テーブル2[[#This Row],[性別]]="男",LOOKUP(テーブル2[[#This Row],[立幅とび]],$AW$6:$AX$15),LOOKUP(テーブル2[[#This Row],[立幅とび]],$AW$20:$AX$29))))</f>
        <v>0</v>
      </c>
      <c r="AA178" s="145">
        <f>IF(テーブル2[[#This Row],[ボール投げ]]="",0,(IF(テーブル2[[#This Row],[性別]]="男",LOOKUP(テーブル2[[#This Row],[ボール投げ]],$AY$6:$AZ$15),LOOKUP(テーブル2[[#This Row],[ボール投げ]],$AY$20:$AZ$29))))</f>
        <v>0</v>
      </c>
      <c r="AB178" s="146" t="str">
        <f>IF(テーブル2[[#This Row],[学年]]=1,12,IF(テーブル2[[#This Row],[学年]]=2,13,IF(テーブル2[[#This Row],[学年]]=3,14,"")))</f>
        <v/>
      </c>
      <c r="AC178" s="192" t="str">
        <f>IF(テーブル2[[#This Row],[肥満度数値]]=0,"",LOOKUP(AE178,$AW$39:$AW$44,$AX$39:$AX$44))</f>
        <v/>
      </c>
      <c r="AD17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8" s="77">
        <f>IF(テーブル2[[#This Row],[体重]]="",0,(テーブル2[[#This Row],[体重]]-テーブル2[[#This Row],[標準体重]])/テーブル2[[#This Row],[標準体重]]*100)</f>
        <v>0</v>
      </c>
      <c r="AF178" s="26">
        <f>COUNTA(テーブル2[[#This Row],[握力]:[ボール投げ]])</f>
        <v>0</v>
      </c>
      <c r="AG178" s="1" t="str">
        <f>IF(テーブル2[[#This Row],[判定]]=$BE$10,"○","")</f>
        <v/>
      </c>
      <c r="AH178" s="1" t="str">
        <f>IF(AG178="","",COUNTIF($AG$6:AG178,"○"))</f>
        <v/>
      </c>
    </row>
    <row r="179" spans="1:34" ht="14.25" customHeight="1" x14ac:dyDescent="0.15">
      <c r="A179" s="44">
        <v>174</v>
      </c>
      <c r="B179" s="148"/>
      <c r="C179" s="151"/>
      <c r="D179" s="148"/>
      <c r="E179" s="152"/>
      <c r="F179" s="148"/>
      <c r="G179" s="148"/>
      <c r="H179" s="150"/>
      <c r="I179" s="150"/>
      <c r="J179" s="151"/>
      <c r="K179" s="148"/>
      <c r="L179" s="196"/>
      <c r="M179" s="151"/>
      <c r="N179" s="197"/>
      <c r="O179" s="151"/>
      <c r="P179" s="153"/>
      <c r="Q17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9" s="144" t="str">
        <f>IF(テーブル2[[#This Row],[得点]]=0,"",IF(テーブル2[[#This Row],[年齢]]=17,LOOKUP(Q179,$BH$6:$BH$10,$BE$6:$BE$10),IF(テーブル2[[#This Row],[年齢]]=16,LOOKUP(Q179,$BG$6:$BG$10,$BE$6:$BE$10),IF(テーブル2[[#This Row],[年齢]]=15,LOOKUP(Q179,$BF$6:$BF$10,$BE$6:$BE$10),IF(テーブル2[[#This Row],[年齢]]=14,LOOKUP(Q179,$BD$6:$BD$10,$BE$6:$BE$10),IF(テーブル2[[#This Row],[年齢]]=13,LOOKUP(Q179,$BC$6:$BC$10,$BE$6:$BE$10),LOOKUP(Q179,$BB$6:$BB$10,$BE$6:$BE$10)))))))</f>
        <v/>
      </c>
      <c r="S179" s="145">
        <f>IF(H179="",0,(IF(テーブル2[[#This Row],[性別]]="男",LOOKUP(テーブル2[[#This Row],[握力]],$AI$6:$AJ$15),LOOKUP(テーブル2[[#This Row],[握力]],$AI$20:$AJ$29))))</f>
        <v>0</v>
      </c>
      <c r="T179" s="145">
        <f>IF(テーブル2[[#This Row],[上体]]="",0,(IF(テーブル2[[#This Row],[性別]]="男",LOOKUP(テーブル2[[#This Row],[上体]],$AK$6:$AL$15),LOOKUP(テーブル2[[#This Row],[上体]],$AK$20:$AL$29))))</f>
        <v>0</v>
      </c>
      <c r="U179" s="145">
        <f>IF(テーブル2[[#This Row],[長座]]="",0,(IF(テーブル2[[#This Row],[性別]]="男",LOOKUP(テーブル2[[#This Row],[長座]],$AM$6:$AN$15),LOOKUP(テーブル2[[#This Row],[長座]],$AM$20:$AN$29))))</f>
        <v>0</v>
      </c>
      <c r="V179" s="145">
        <f>IF(テーブル2[[#This Row],[反復]]="",0,(IF(テーブル2[[#This Row],[性別]]="男",LOOKUP(テーブル2[[#This Row],[反復]],$AO$6:$AP$15),LOOKUP(テーブル2[[#This Row],[反復]],$AO$20:$AP$29))))</f>
        <v>0</v>
      </c>
      <c r="W179" s="145">
        <f>IF(テーブル2[[#This Row],[持久走]]="",0,(IF(テーブル2[[#This Row],[性別]]="男",LOOKUP(テーブル2[[#This Row],[持久走]],$AQ$6:$AR$15),LOOKUP(テーブル2[[#This Row],[持久走]],$AQ$20:$AR$29))))</f>
        <v>0</v>
      </c>
      <c r="X179" s="145">
        <f>IF(テーブル2[[#This Row],[ｼｬﾄﾙﾗﾝ]]="",0,(IF(テーブル2[[#This Row],[性別]]="男",LOOKUP(テーブル2[[#This Row],[ｼｬﾄﾙﾗﾝ]],$AS$6:$AT$15),LOOKUP(テーブル2[[#This Row],[ｼｬﾄﾙﾗﾝ]],$AS$20:$AT$29))))</f>
        <v>0</v>
      </c>
      <c r="Y179" s="145">
        <f>IF(テーブル2[[#This Row],[50m走]]="",0,(IF(テーブル2[[#This Row],[性別]]="男",LOOKUP(テーブル2[[#This Row],[50m走]],$AU$6:$AV$15),LOOKUP(テーブル2[[#This Row],[50m走]],$AU$20:$AV$29))))</f>
        <v>0</v>
      </c>
      <c r="Z179" s="145">
        <f>IF(テーブル2[[#This Row],[立幅とび]]="",0,(IF(テーブル2[[#This Row],[性別]]="男",LOOKUP(テーブル2[[#This Row],[立幅とび]],$AW$6:$AX$15),LOOKUP(テーブル2[[#This Row],[立幅とび]],$AW$20:$AX$29))))</f>
        <v>0</v>
      </c>
      <c r="AA179" s="145">
        <f>IF(テーブル2[[#This Row],[ボール投げ]]="",0,(IF(テーブル2[[#This Row],[性別]]="男",LOOKUP(テーブル2[[#This Row],[ボール投げ]],$AY$6:$AZ$15),LOOKUP(テーブル2[[#This Row],[ボール投げ]],$AY$20:$AZ$29))))</f>
        <v>0</v>
      </c>
      <c r="AB179" s="146" t="str">
        <f>IF(テーブル2[[#This Row],[学年]]=1,12,IF(テーブル2[[#This Row],[学年]]=2,13,IF(テーブル2[[#This Row],[学年]]=3,14,"")))</f>
        <v/>
      </c>
      <c r="AC179" s="192" t="str">
        <f>IF(テーブル2[[#This Row],[肥満度数値]]=0,"",LOOKUP(AE179,$AW$39:$AW$44,$AX$39:$AX$44))</f>
        <v/>
      </c>
      <c r="AD17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79" s="77">
        <f>IF(テーブル2[[#This Row],[体重]]="",0,(テーブル2[[#This Row],[体重]]-テーブル2[[#This Row],[標準体重]])/テーブル2[[#This Row],[標準体重]]*100)</f>
        <v>0</v>
      </c>
      <c r="AF179" s="26">
        <f>COUNTA(テーブル2[[#This Row],[握力]:[ボール投げ]])</f>
        <v>0</v>
      </c>
      <c r="AG179" s="1" t="str">
        <f>IF(テーブル2[[#This Row],[判定]]=$BE$10,"○","")</f>
        <v/>
      </c>
      <c r="AH179" s="1" t="str">
        <f>IF(AG179="","",COUNTIF($AG$6:AG179,"○"))</f>
        <v/>
      </c>
    </row>
    <row r="180" spans="1:34" ht="14.25" customHeight="1" x14ac:dyDescent="0.15">
      <c r="A180" s="44">
        <v>175</v>
      </c>
      <c r="B180" s="148"/>
      <c r="C180" s="151"/>
      <c r="D180" s="148"/>
      <c r="E180" s="152"/>
      <c r="F180" s="148"/>
      <c r="G180" s="148"/>
      <c r="H180" s="150"/>
      <c r="I180" s="150"/>
      <c r="J180" s="151"/>
      <c r="K180" s="148"/>
      <c r="L180" s="196"/>
      <c r="M180" s="151"/>
      <c r="N180" s="197"/>
      <c r="O180" s="151"/>
      <c r="P180" s="153"/>
      <c r="Q18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0" s="144" t="str">
        <f>IF(テーブル2[[#This Row],[得点]]=0,"",IF(テーブル2[[#This Row],[年齢]]=17,LOOKUP(Q180,$BH$6:$BH$10,$BE$6:$BE$10),IF(テーブル2[[#This Row],[年齢]]=16,LOOKUP(Q180,$BG$6:$BG$10,$BE$6:$BE$10),IF(テーブル2[[#This Row],[年齢]]=15,LOOKUP(Q180,$BF$6:$BF$10,$BE$6:$BE$10),IF(テーブル2[[#This Row],[年齢]]=14,LOOKUP(Q180,$BD$6:$BD$10,$BE$6:$BE$10),IF(テーブル2[[#This Row],[年齢]]=13,LOOKUP(Q180,$BC$6:$BC$10,$BE$6:$BE$10),LOOKUP(Q180,$BB$6:$BB$10,$BE$6:$BE$10)))))))</f>
        <v/>
      </c>
      <c r="S180" s="145">
        <f>IF(H180="",0,(IF(テーブル2[[#This Row],[性別]]="男",LOOKUP(テーブル2[[#This Row],[握力]],$AI$6:$AJ$15),LOOKUP(テーブル2[[#This Row],[握力]],$AI$20:$AJ$29))))</f>
        <v>0</v>
      </c>
      <c r="T180" s="145">
        <f>IF(テーブル2[[#This Row],[上体]]="",0,(IF(テーブル2[[#This Row],[性別]]="男",LOOKUP(テーブル2[[#This Row],[上体]],$AK$6:$AL$15),LOOKUP(テーブル2[[#This Row],[上体]],$AK$20:$AL$29))))</f>
        <v>0</v>
      </c>
      <c r="U180" s="145">
        <f>IF(テーブル2[[#This Row],[長座]]="",0,(IF(テーブル2[[#This Row],[性別]]="男",LOOKUP(テーブル2[[#This Row],[長座]],$AM$6:$AN$15),LOOKUP(テーブル2[[#This Row],[長座]],$AM$20:$AN$29))))</f>
        <v>0</v>
      </c>
      <c r="V180" s="145">
        <f>IF(テーブル2[[#This Row],[反復]]="",0,(IF(テーブル2[[#This Row],[性別]]="男",LOOKUP(テーブル2[[#This Row],[反復]],$AO$6:$AP$15),LOOKUP(テーブル2[[#This Row],[反復]],$AO$20:$AP$29))))</f>
        <v>0</v>
      </c>
      <c r="W180" s="145">
        <f>IF(テーブル2[[#This Row],[持久走]]="",0,(IF(テーブル2[[#This Row],[性別]]="男",LOOKUP(テーブル2[[#This Row],[持久走]],$AQ$6:$AR$15),LOOKUP(テーブル2[[#This Row],[持久走]],$AQ$20:$AR$29))))</f>
        <v>0</v>
      </c>
      <c r="X180" s="145">
        <f>IF(テーブル2[[#This Row],[ｼｬﾄﾙﾗﾝ]]="",0,(IF(テーブル2[[#This Row],[性別]]="男",LOOKUP(テーブル2[[#This Row],[ｼｬﾄﾙﾗﾝ]],$AS$6:$AT$15),LOOKUP(テーブル2[[#This Row],[ｼｬﾄﾙﾗﾝ]],$AS$20:$AT$29))))</f>
        <v>0</v>
      </c>
      <c r="Y180" s="145">
        <f>IF(テーブル2[[#This Row],[50m走]]="",0,(IF(テーブル2[[#This Row],[性別]]="男",LOOKUP(テーブル2[[#This Row],[50m走]],$AU$6:$AV$15),LOOKUP(テーブル2[[#This Row],[50m走]],$AU$20:$AV$29))))</f>
        <v>0</v>
      </c>
      <c r="Z180" s="145">
        <f>IF(テーブル2[[#This Row],[立幅とび]]="",0,(IF(テーブル2[[#This Row],[性別]]="男",LOOKUP(テーブル2[[#This Row],[立幅とび]],$AW$6:$AX$15),LOOKUP(テーブル2[[#This Row],[立幅とび]],$AW$20:$AX$29))))</f>
        <v>0</v>
      </c>
      <c r="AA180" s="145">
        <f>IF(テーブル2[[#This Row],[ボール投げ]]="",0,(IF(テーブル2[[#This Row],[性別]]="男",LOOKUP(テーブル2[[#This Row],[ボール投げ]],$AY$6:$AZ$15),LOOKUP(テーブル2[[#This Row],[ボール投げ]],$AY$20:$AZ$29))))</f>
        <v>0</v>
      </c>
      <c r="AB180" s="146" t="str">
        <f>IF(テーブル2[[#This Row],[学年]]=1,12,IF(テーブル2[[#This Row],[学年]]=2,13,IF(テーブル2[[#This Row],[学年]]=3,14,"")))</f>
        <v/>
      </c>
      <c r="AC180" s="192" t="str">
        <f>IF(テーブル2[[#This Row],[肥満度数値]]=0,"",LOOKUP(AE180,$AW$39:$AW$44,$AX$39:$AX$44))</f>
        <v/>
      </c>
      <c r="AD18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0" s="77">
        <f>IF(テーブル2[[#This Row],[体重]]="",0,(テーブル2[[#This Row],[体重]]-テーブル2[[#This Row],[標準体重]])/テーブル2[[#This Row],[標準体重]]*100)</f>
        <v>0</v>
      </c>
      <c r="AF180" s="26">
        <f>COUNTA(テーブル2[[#This Row],[握力]:[ボール投げ]])</f>
        <v>0</v>
      </c>
      <c r="AG180" s="1" t="str">
        <f>IF(テーブル2[[#This Row],[判定]]=$BE$10,"○","")</f>
        <v/>
      </c>
      <c r="AH180" s="1" t="str">
        <f>IF(AG180="","",COUNTIF($AG$6:AG180,"○"))</f>
        <v/>
      </c>
    </row>
    <row r="181" spans="1:34" ht="14.25" customHeight="1" x14ac:dyDescent="0.15">
      <c r="A181" s="44">
        <v>176</v>
      </c>
      <c r="B181" s="148"/>
      <c r="C181" s="151"/>
      <c r="D181" s="148"/>
      <c r="E181" s="152"/>
      <c r="F181" s="148"/>
      <c r="G181" s="148"/>
      <c r="H181" s="150"/>
      <c r="I181" s="150"/>
      <c r="J181" s="151"/>
      <c r="K181" s="148"/>
      <c r="L181" s="196"/>
      <c r="M181" s="151"/>
      <c r="N181" s="197"/>
      <c r="O181" s="151"/>
      <c r="P181" s="153"/>
      <c r="Q18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1" s="144" t="str">
        <f>IF(テーブル2[[#This Row],[得点]]=0,"",IF(テーブル2[[#This Row],[年齢]]=17,LOOKUP(Q181,$BH$6:$BH$10,$BE$6:$BE$10),IF(テーブル2[[#This Row],[年齢]]=16,LOOKUP(Q181,$BG$6:$BG$10,$BE$6:$BE$10),IF(テーブル2[[#This Row],[年齢]]=15,LOOKUP(Q181,$BF$6:$BF$10,$BE$6:$BE$10),IF(テーブル2[[#This Row],[年齢]]=14,LOOKUP(Q181,$BD$6:$BD$10,$BE$6:$BE$10),IF(テーブル2[[#This Row],[年齢]]=13,LOOKUP(Q181,$BC$6:$BC$10,$BE$6:$BE$10),LOOKUP(Q181,$BB$6:$BB$10,$BE$6:$BE$10)))))))</f>
        <v/>
      </c>
      <c r="S181" s="145">
        <f>IF(H181="",0,(IF(テーブル2[[#This Row],[性別]]="男",LOOKUP(テーブル2[[#This Row],[握力]],$AI$6:$AJ$15),LOOKUP(テーブル2[[#This Row],[握力]],$AI$20:$AJ$29))))</f>
        <v>0</v>
      </c>
      <c r="T181" s="145">
        <f>IF(テーブル2[[#This Row],[上体]]="",0,(IF(テーブル2[[#This Row],[性別]]="男",LOOKUP(テーブル2[[#This Row],[上体]],$AK$6:$AL$15),LOOKUP(テーブル2[[#This Row],[上体]],$AK$20:$AL$29))))</f>
        <v>0</v>
      </c>
      <c r="U181" s="145">
        <f>IF(テーブル2[[#This Row],[長座]]="",0,(IF(テーブル2[[#This Row],[性別]]="男",LOOKUP(テーブル2[[#This Row],[長座]],$AM$6:$AN$15),LOOKUP(テーブル2[[#This Row],[長座]],$AM$20:$AN$29))))</f>
        <v>0</v>
      </c>
      <c r="V181" s="145">
        <f>IF(テーブル2[[#This Row],[反復]]="",0,(IF(テーブル2[[#This Row],[性別]]="男",LOOKUP(テーブル2[[#This Row],[反復]],$AO$6:$AP$15),LOOKUP(テーブル2[[#This Row],[反復]],$AO$20:$AP$29))))</f>
        <v>0</v>
      </c>
      <c r="W181" s="145">
        <f>IF(テーブル2[[#This Row],[持久走]]="",0,(IF(テーブル2[[#This Row],[性別]]="男",LOOKUP(テーブル2[[#This Row],[持久走]],$AQ$6:$AR$15),LOOKUP(テーブル2[[#This Row],[持久走]],$AQ$20:$AR$29))))</f>
        <v>0</v>
      </c>
      <c r="X181" s="145">
        <f>IF(テーブル2[[#This Row],[ｼｬﾄﾙﾗﾝ]]="",0,(IF(テーブル2[[#This Row],[性別]]="男",LOOKUP(テーブル2[[#This Row],[ｼｬﾄﾙﾗﾝ]],$AS$6:$AT$15),LOOKUP(テーブル2[[#This Row],[ｼｬﾄﾙﾗﾝ]],$AS$20:$AT$29))))</f>
        <v>0</v>
      </c>
      <c r="Y181" s="145">
        <f>IF(テーブル2[[#This Row],[50m走]]="",0,(IF(テーブル2[[#This Row],[性別]]="男",LOOKUP(テーブル2[[#This Row],[50m走]],$AU$6:$AV$15),LOOKUP(テーブル2[[#This Row],[50m走]],$AU$20:$AV$29))))</f>
        <v>0</v>
      </c>
      <c r="Z181" s="145">
        <f>IF(テーブル2[[#This Row],[立幅とび]]="",0,(IF(テーブル2[[#This Row],[性別]]="男",LOOKUP(テーブル2[[#This Row],[立幅とび]],$AW$6:$AX$15),LOOKUP(テーブル2[[#This Row],[立幅とび]],$AW$20:$AX$29))))</f>
        <v>0</v>
      </c>
      <c r="AA181" s="145">
        <f>IF(テーブル2[[#This Row],[ボール投げ]]="",0,(IF(テーブル2[[#This Row],[性別]]="男",LOOKUP(テーブル2[[#This Row],[ボール投げ]],$AY$6:$AZ$15),LOOKUP(テーブル2[[#This Row],[ボール投げ]],$AY$20:$AZ$29))))</f>
        <v>0</v>
      </c>
      <c r="AB181" s="146" t="str">
        <f>IF(テーブル2[[#This Row],[学年]]=1,12,IF(テーブル2[[#This Row],[学年]]=2,13,IF(テーブル2[[#This Row],[学年]]=3,14,"")))</f>
        <v/>
      </c>
      <c r="AC181" s="192" t="str">
        <f>IF(テーブル2[[#This Row],[肥満度数値]]=0,"",LOOKUP(AE181,$AW$39:$AW$44,$AX$39:$AX$44))</f>
        <v/>
      </c>
      <c r="AD18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1" s="77">
        <f>IF(テーブル2[[#This Row],[体重]]="",0,(テーブル2[[#This Row],[体重]]-テーブル2[[#This Row],[標準体重]])/テーブル2[[#This Row],[標準体重]]*100)</f>
        <v>0</v>
      </c>
      <c r="AF181" s="26">
        <f>COUNTA(テーブル2[[#This Row],[握力]:[ボール投げ]])</f>
        <v>0</v>
      </c>
      <c r="AG181" s="1" t="str">
        <f>IF(テーブル2[[#This Row],[判定]]=$BE$10,"○","")</f>
        <v/>
      </c>
      <c r="AH181" s="1" t="str">
        <f>IF(AG181="","",COUNTIF($AG$6:AG181,"○"))</f>
        <v/>
      </c>
    </row>
    <row r="182" spans="1:34" ht="14.25" customHeight="1" x14ac:dyDescent="0.15">
      <c r="A182" s="44">
        <v>177</v>
      </c>
      <c r="B182" s="148"/>
      <c r="C182" s="151"/>
      <c r="D182" s="148"/>
      <c r="E182" s="152"/>
      <c r="F182" s="148"/>
      <c r="G182" s="148"/>
      <c r="H182" s="150"/>
      <c r="I182" s="150"/>
      <c r="J182" s="151"/>
      <c r="K182" s="148"/>
      <c r="L182" s="196"/>
      <c r="M182" s="151"/>
      <c r="N182" s="197"/>
      <c r="O182" s="151"/>
      <c r="P182" s="153"/>
      <c r="Q18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2" s="144" t="str">
        <f>IF(テーブル2[[#This Row],[得点]]=0,"",IF(テーブル2[[#This Row],[年齢]]=17,LOOKUP(Q182,$BH$6:$BH$10,$BE$6:$BE$10),IF(テーブル2[[#This Row],[年齢]]=16,LOOKUP(Q182,$BG$6:$BG$10,$BE$6:$BE$10),IF(テーブル2[[#This Row],[年齢]]=15,LOOKUP(Q182,$BF$6:$BF$10,$BE$6:$BE$10),IF(テーブル2[[#This Row],[年齢]]=14,LOOKUP(Q182,$BD$6:$BD$10,$BE$6:$BE$10),IF(テーブル2[[#This Row],[年齢]]=13,LOOKUP(Q182,$BC$6:$BC$10,$BE$6:$BE$10),LOOKUP(Q182,$BB$6:$BB$10,$BE$6:$BE$10)))))))</f>
        <v/>
      </c>
      <c r="S182" s="145">
        <f>IF(H182="",0,(IF(テーブル2[[#This Row],[性別]]="男",LOOKUP(テーブル2[[#This Row],[握力]],$AI$6:$AJ$15),LOOKUP(テーブル2[[#This Row],[握力]],$AI$20:$AJ$29))))</f>
        <v>0</v>
      </c>
      <c r="T182" s="145">
        <f>IF(テーブル2[[#This Row],[上体]]="",0,(IF(テーブル2[[#This Row],[性別]]="男",LOOKUP(テーブル2[[#This Row],[上体]],$AK$6:$AL$15),LOOKUP(テーブル2[[#This Row],[上体]],$AK$20:$AL$29))))</f>
        <v>0</v>
      </c>
      <c r="U182" s="145">
        <f>IF(テーブル2[[#This Row],[長座]]="",0,(IF(テーブル2[[#This Row],[性別]]="男",LOOKUP(テーブル2[[#This Row],[長座]],$AM$6:$AN$15),LOOKUP(テーブル2[[#This Row],[長座]],$AM$20:$AN$29))))</f>
        <v>0</v>
      </c>
      <c r="V182" s="145">
        <f>IF(テーブル2[[#This Row],[反復]]="",0,(IF(テーブル2[[#This Row],[性別]]="男",LOOKUP(テーブル2[[#This Row],[反復]],$AO$6:$AP$15),LOOKUP(テーブル2[[#This Row],[反復]],$AO$20:$AP$29))))</f>
        <v>0</v>
      </c>
      <c r="W182" s="145">
        <f>IF(テーブル2[[#This Row],[持久走]]="",0,(IF(テーブル2[[#This Row],[性別]]="男",LOOKUP(テーブル2[[#This Row],[持久走]],$AQ$6:$AR$15),LOOKUP(テーブル2[[#This Row],[持久走]],$AQ$20:$AR$29))))</f>
        <v>0</v>
      </c>
      <c r="X182" s="145">
        <f>IF(テーブル2[[#This Row],[ｼｬﾄﾙﾗﾝ]]="",0,(IF(テーブル2[[#This Row],[性別]]="男",LOOKUP(テーブル2[[#This Row],[ｼｬﾄﾙﾗﾝ]],$AS$6:$AT$15),LOOKUP(テーブル2[[#This Row],[ｼｬﾄﾙﾗﾝ]],$AS$20:$AT$29))))</f>
        <v>0</v>
      </c>
      <c r="Y182" s="145">
        <f>IF(テーブル2[[#This Row],[50m走]]="",0,(IF(テーブル2[[#This Row],[性別]]="男",LOOKUP(テーブル2[[#This Row],[50m走]],$AU$6:$AV$15),LOOKUP(テーブル2[[#This Row],[50m走]],$AU$20:$AV$29))))</f>
        <v>0</v>
      </c>
      <c r="Z182" s="145">
        <f>IF(テーブル2[[#This Row],[立幅とび]]="",0,(IF(テーブル2[[#This Row],[性別]]="男",LOOKUP(テーブル2[[#This Row],[立幅とび]],$AW$6:$AX$15),LOOKUP(テーブル2[[#This Row],[立幅とび]],$AW$20:$AX$29))))</f>
        <v>0</v>
      </c>
      <c r="AA182" s="145">
        <f>IF(テーブル2[[#This Row],[ボール投げ]]="",0,(IF(テーブル2[[#This Row],[性別]]="男",LOOKUP(テーブル2[[#This Row],[ボール投げ]],$AY$6:$AZ$15),LOOKUP(テーブル2[[#This Row],[ボール投げ]],$AY$20:$AZ$29))))</f>
        <v>0</v>
      </c>
      <c r="AB182" s="146" t="str">
        <f>IF(テーブル2[[#This Row],[学年]]=1,12,IF(テーブル2[[#This Row],[学年]]=2,13,IF(テーブル2[[#This Row],[学年]]=3,14,"")))</f>
        <v/>
      </c>
      <c r="AC182" s="192" t="str">
        <f>IF(テーブル2[[#This Row],[肥満度数値]]=0,"",LOOKUP(AE182,$AW$39:$AW$44,$AX$39:$AX$44))</f>
        <v/>
      </c>
      <c r="AD18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2" s="77">
        <f>IF(テーブル2[[#This Row],[体重]]="",0,(テーブル2[[#This Row],[体重]]-テーブル2[[#This Row],[標準体重]])/テーブル2[[#This Row],[標準体重]]*100)</f>
        <v>0</v>
      </c>
      <c r="AF182" s="26">
        <f>COUNTA(テーブル2[[#This Row],[握力]:[ボール投げ]])</f>
        <v>0</v>
      </c>
      <c r="AG182" s="1" t="str">
        <f>IF(テーブル2[[#This Row],[判定]]=$BE$10,"○","")</f>
        <v/>
      </c>
      <c r="AH182" s="1" t="str">
        <f>IF(AG182="","",COUNTIF($AG$6:AG182,"○"))</f>
        <v/>
      </c>
    </row>
    <row r="183" spans="1:34" ht="14.25" customHeight="1" x14ac:dyDescent="0.15">
      <c r="A183" s="44">
        <v>178</v>
      </c>
      <c r="B183" s="148"/>
      <c r="C183" s="151"/>
      <c r="D183" s="148"/>
      <c r="E183" s="152"/>
      <c r="F183" s="148"/>
      <c r="G183" s="148"/>
      <c r="H183" s="150"/>
      <c r="I183" s="150"/>
      <c r="J183" s="151"/>
      <c r="K183" s="148"/>
      <c r="L183" s="196"/>
      <c r="M183" s="151"/>
      <c r="N183" s="197"/>
      <c r="O183" s="151"/>
      <c r="P183" s="153"/>
      <c r="Q18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3" s="144" t="str">
        <f>IF(テーブル2[[#This Row],[得点]]=0,"",IF(テーブル2[[#This Row],[年齢]]=17,LOOKUP(Q183,$BH$6:$BH$10,$BE$6:$BE$10),IF(テーブル2[[#This Row],[年齢]]=16,LOOKUP(Q183,$BG$6:$BG$10,$BE$6:$BE$10),IF(テーブル2[[#This Row],[年齢]]=15,LOOKUP(Q183,$BF$6:$BF$10,$BE$6:$BE$10),IF(テーブル2[[#This Row],[年齢]]=14,LOOKUP(Q183,$BD$6:$BD$10,$BE$6:$BE$10),IF(テーブル2[[#This Row],[年齢]]=13,LOOKUP(Q183,$BC$6:$BC$10,$BE$6:$BE$10),LOOKUP(Q183,$BB$6:$BB$10,$BE$6:$BE$10)))))))</f>
        <v/>
      </c>
      <c r="S183" s="145">
        <f>IF(H183="",0,(IF(テーブル2[[#This Row],[性別]]="男",LOOKUP(テーブル2[[#This Row],[握力]],$AI$6:$AJ$15),LOOKUP(テーブル2[[#This Row],[握力]],$AI$20:$AJ$29))))</f>
        <v>0</v>
      </c>
      <c r="T183" s="145">
        <f>IF(テーブル2[[#This Row],[上体]]="",0,(IF(テーブル2[[#This Row],[性別]]="男",LOOKUP(テーブル2[[#This Row],[上体]],$AK$6:$AL$15),LOOKUP(テーブル2[[#This Row],[上体]],$AK$20:$AL$29))))</f>
        <v>0</v>
      </c>
      <c r="U183" s="145">
        <f>IF(テーブル2[[#This Row],[長座]]="",0,(IF(テーブル2[[#This Row],[性別]]="男",LOOKUP(テーブル2[[#This Row],[長座]],$AM$6:$AN$15),LOOKUP(テーブル2[[#This Row],[長座]],$AM$20:$AN$29))))</f>
        <v>0</v>
      </c>
      <c r="V183" s="145">
        <f>IF(テーブル2[[#This Row],[反復]]="",0,(IF(テーブル2[[#This Row],[性別]]="男",LOOKUP(テーブル2[[#This Row],[反復]],$AO$6:$AP$15),LOOKUP(テーブル2[[#This Row],[反復]],$AO$20:$AP$29))))</f>
        <v>0</v>
      </c>
      <c r="W183" s="145">
        <f>IF(テーブル2[[#This Row],[持久走]]="",0,(IF(テーブル2[[#This Row],[性別]]="男",LOOKUP(テーブル2[[#This Row],[持久走]],$AQ$6:$AR$15),LOOKUP(テーブル2[[#This Row],[持久走]],$AQ$20:$AR$29))))</f>
        <v>0</v>
      </c>
      <c r="X183" s="145">
        <f>IF(テーブル2[[#This Row],[ｼｬﾄﾙﾗﾝ]]="",0,(IF(テーブル2[[#This Row],[性別]]="男",LOOKUP(テーブル2[[#This Row],[ｼｬﾄﾙﾗﾝ]],$AS$6:$AT$15),LOOKUP(テーブル2[[#This Row],[ｼｬﾄﾙﾗﾝ]],$AS$20:$AT$29))))</f>
        <v>0</v>
      </c>
      <c r="Y183" s="145">
        <f>IF(テーブル2[[#This Row],[50m走]]="",0,(IF(テーブル2[[#This Row],[性別]]="男",LOOKUP(テーブル2[[#This Row],[50m走]],$AU$6:$AV$15),LOOKUP(テーブル2[[#This Row],[50m走]],$AU$20:$AV$29))))</f>
        <v>0</v>
      </c>
      <c r="Z183" s="145">
        <f>IF(テーブル2[[#This Row],[立幅とび]]="",0,(IF(テーブル2[[#This Row],[性別]]="男",LOOKUP(テーブル2[[#This Row],[立幅とび]],$AW$6:$AX$15),LOOKUP(テーブル2[[#This Row],[立幅とび]],$AW$20:$AX$29))))</f>
        <v>0</v>
      </c>
      <c r="AA183" s="145">
        <f>IF(テーブル2[[#This Row],[ボール投げ]]="",0,(IF(テーブル2[[#This Row],[性別]]="男",LOOKUP(テーブル2[[#This Row],[ボール投げ]],$AY$6:$AZ$15),LOOKUP(テーブル2[[#This Row],[ボール投げ]],$AY$20:$AZ$29))))</f>
        <v>0</v>
      </c>
      <c r="AB183" s="146" t="str">
        <f>IF(テーブル2[[#This Row],[学年]]=1,12,IF(テーブル2[[#This Row],[学年]]=2,13,IF(テーブル2[[#This Row],[学年]]=3,14,"")))</f>
        <v/>
      </c>
      <c r="AC183" s="192" t="str">
        <f>IF(テーブル2[[#This Row],[肥満度数値]]=0,"",LOOKUP(AE183,$AW$39:$AW$44,$AX$39:$AX$44))</f>
        <v/>
      </c>
      <c r="AD18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3" s="77">
        <f>IF(テーブル2[[#This Row],[体重]]="",0,(テーブル2[[#This Row],[体重]]-テーブル2[[#This Row],[標準体重]])/テーブル2[[#This Row],[標準体重]]*100)</f>
        <v>0</v>
      </c>
      <c r="AF183" s="26">
        <f>COUNTA(テーブル2[[#This Row],[握力]:[ボール投げ]])</f>
        <v>0</v>
      </c>
      <c r="AG183" s="1" t="str">
        <f>IF(テーブル2[[#This Row],[判定]]=$BE$10,"○","")</f>
        <v/>
      </c>
      <c r="AH183" s="1" t="str">
        <f>IF(AG183="","",COUNTIF($AG$6:AG183,"○"))</f>
        <v/>
      </c>
    </row>
    <row r="184" spans="1:34" ht="14.25" customHeight="1" x14ac:dyDescent="0.15">
      <c r="A184" s="44">
        <v>179</v>
      </c>
      <c r="B184" s="148"/>
      <c r="C184" s="151"/>
      <c r="D184" s="148"/>
      <c r="E184" s="152"/>
      <c r="F184" s="148"/>
      <c r="G184" s="148"/>
      <c r="H184" s="150"/>
      <c r="I184" s="150"/>
      <c r="J184" s="151"/>
      <c r="K184" s="148"/>
      <c r="L184" s="196"/>
      <c r="M184" s="151"/>
      <c r="N184" s="197"/>
      <c r="O184" s="151"/>
      <c r="P184" s="153"/>
      <c r="Q18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4" s="144" t="str">
        <f>IF(テーブル2[[#This Row],[得点]]=0,"",IF(テーブル2[[#This Row],[年齢]]=17,LOOKUP(Q184,$BH$6:$BH$10,$BE$6:$BE$10),IF(テーブル2[[#This Row],[年齢]]=16,LOOKUP(Q184,$BG$6:$BG$10,$BE$6:$BE$10),IF(テーブル2[[#This Row],[年齢]]=15,LOOKUP(Q184,$BF$6:$BF$10,$BE$6:$BE$10),IF(テーブル2[[#This Row],[年齢]]=14,LOOKUP(Q184,$BD$6:$BD$10,$BE$6:$BE$10),IF(テーブル2[[#This Row],[年齢]]=13,LOOKUP(Q184,$BC$6:$BC$10,$BE$6:$BE$10),LOOKUP(Q184,$BB$6:$BB$10,$BE$6:$BE$10)))))))</f>
        <v/>
      </c>
      <c r="S184" s="145">
        <f>IF(H184="",0,(IF(テーブル2[[#This Row],[性別]]="男",LOOKUP(テーブル2[[#This Row],[握力]],$AI$6:$AJ$15),LOOKUP(テーブル2[[#This Row],[握力]],$AI$20:$AJ$29))))</f>
        <v>0</v>
      </c>
      <c r="T184" s="145">
        <f>IF(テーブル2[[#This Row],[上体]]="",0,(IF(テーブル2[[#This Row],[性別]]="男",LOOKUP(テーブル2[[#This Row],[上体]],$AK$6:$AL$15),LOOKUP(テーブル2[[#This Row],[上体]],$AK$20:$AL$29))))</f>
        <v>0</v>
      </c>
      <c r="U184" s="145">
        <f>IF(テーブル2[[#This Row],[長座]]="",0,(IF(テーブル2[[#This Row],[性別]]="男",LOOKUP(テーブル2[[#This Row],[長座]],$AM$6:$AN$15),LOOKUP(テーブル2[[#This Row],[長座]],$AM$20:$AN$29))))</f>
        <v>0</v>
      </c>
      <c r="V184" s="145">
        <f>IF(テーブル2[[#This Row],[反復]]="",0,(IF(テーブル2[[#This Row],[性別]]="男",LOOKUP(テーブル2[[#This Row],[反復]],$AO$6:$AP$15),LOOKUP(テーブル2[[#This Row],[反復]],$AO$20:$AP$29))))</f>
        <v>0</v>
      </c>
      <c r="W184" s="145">
        <f>IF(テーブル2[[#This Row],[持久走]]="",0,(IF(テーブル2[[#This Row],[性別]]="男",LOOKUP(テーブル2[[#This Row],[持久走]],$AQ$6:$AR$15),LOOKUP(テーブル2[[#This Row],[持久走]],$AQ$20:$AR$29))))</f>
        <v>0</v>
      </c>
      <c r="X184" s="145">
        <f>IF(テーブル2[[#This Row],[ｼｬﾄﾙﾗﾝ]]="",0,(IF(テーブル2[[#This Row],[性別]]="男",LOOKUP(テーブル2[[#This Row],[ｼｬﾄﾙﾗﾝ]],$AS$6:$AT$15),LOOKUP(テーブル2[[#This Row],[ｼｬﾄﾙﾗﾝ]],$AS$20:$AT$29))))</f>
        <v>0</v>
      </c>
      <c r="Y184" s="145">
        <f>IF(テーブル2[[#This Row],[50m走]]="",0,(IF(テーブル2[[#This Row],[性別]]="男",LOOKUP(テーブル2[[#This Row],[50m走]],$AU$6:$AV$15),LOOKUP(テーブル2[[#This Row],[50m走]],$AU$20:$AV$29))))</f>
        <v>0</v>
      </c>
      <c r="Z184" s="145">
        <f>IF(テーブル2[[#This Row],[立幅とび]]="",0,(IF(テーブル2[[#This Row],[性別]]="男",LOOKUP(テーブル2[[#This Row],[立幅とび]],$AW$6:$AX$15),LOOKUP(テーブル2[[#This Row],[立幅とび]],$AW$20:$AX$29))))</f>
        <v>0</v>
      </c>
      <c r="AA184" s="145">
        <f>IF(テーブル2[[#This Row],[ボール投げ]]="",0,(IF(テーブル2[[#This Row],[性別]]="男",LOOKUP(テーブル2[[#This Row],[ボール投げ]],$AY$6:$AZ$15),LOOKUP(テーブル2[[#This Row],[ボール投げ]],$AY$20:$AZ$29))))</f>
        <v>0</v>
      </c>
      <c r="AB184" s="146" t="str">
        <f>IF(テーブル2[[#This Row],[学年]]=1,12,IF(テーブル2[[#This Row],[学年]]=2,13,IF(テーブル2[[#This Row],[学年]]=3,14,"")))</f>
        <v/>
      </c>
      <c r="AC184" s="192" t="str">
        <f>IF(テーブル2[[#This Row],[肥満度数値]]=0,"",LOOKUP(AE184,$AW$39:$AW$44,$AX$39:$AX$44))</f>
        <v/>
      </c>
      <c r="AD18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4" s="77">
        <f>IF(テーブル2[[#This Row],[体重]]="",0,(テーブル2[[#This Row],[体重]]-テーブル2[[#This Row],[標準体重]])/テーブル2[[#This Row],[標準体重]]*100)</f>
        <v>0</v>
      </c>
      <c r="AF184" s="26">
        <f>COUNTA(テーブル2[[#This Row],[握力]:[ボール投げ]])</f>
        <v>0</v>
      </c>
      <c r="AG184" s="1" t="str">
        <f>IF(テーブル2[[#This Row],[判定]]=$BE$10,"○","")</f>
        <v/>
      </c>
      <c r="AH184" s="1" t="str">
        <f>IF(AG184="","",COUNTIF($AG$6:AG184,"○"))</f>
        <v/>
      </c>
    </row>
    <row r="185" spans="1:34" ht="14.25" customHeight="1" x14ac:dyDescent="0.15">
      <c r="A185" s="44">
        <v>180</v>
      </c>
      <c r="B185" s="148"/>
      <c r="C185" s="151"/>
      <c r="D185" s="148"/>
      <c r="E185" s="152"/>
      <c r="F185" s="148"/>
      <c r="G185" s="148"/>
      <c r="H185" s="150"/>
      <c r="I185" s="150"/>
      <c r="J185" s="151"/>
      <c r="K185" s="148"/>
      <c r="L185" s="196"/>
      <c r="M185" s="151"/>
      <c r="N185" s="197"/>
      <c r="O185" s="151"/>
      <c r="P185" s="153"/>
      <c r="Q18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5" s="144" t="str">
        <f>IF(テーブル2[[#This Row],[得点]]=0,"",IF(テーブル2[[#This Row],[年齢]]=17,LOOKUP(Q185,$BH$6:$BH$10,$BE$6:$BE$10),IF(テーブル2[[#This Row],[年齢]]=16,LOOKUP(Q185,$BG$6:$BG$10,$BE$6:$BE$10),IF(テーブル2[[#This Row],[年齢]]=15,LOOKUP(Q185,$BF$6:$BF$10,$BE$6:$BE$10),IF(テーブル2[[#This Row],[年齢]]=14,LOOKUP(Q185,$BD$6:$BD$10,$BE$6:$BE$10),IF(テーブル2[[#This Row],[年齢]]=13,LOOKUP(Q185,$BC$6:$BC$10,$BE$6:$BE$10),LOOKUP(Q185,$BB$6:$BB$10,$BE$6:$BE$10)))))))</f>
        <v/>
      </c>
      <c r="S185" s="145">
        <f>IF(H185="",0,(IF(テーブル2[[#This Row],[性別]]="男",LOOKUP(テーブル2[[#This Row],[握力]],$AI$6:$AJ$15),LOOKUP(テーブル2[[#This Row],[握力]],$AI$20:$AJ$29))))</f>
        <v>0</v>
      </c>
      <c r="T185" s="145">
        <f>IF(テーブル2[[#This Row],[上体]]="",0,(IF(テーブル2[[#This Row],[性別]]="男",LOOKUP(テーブル2[[#This Row],[上体]],$AK$6:$AL$15),LOOKUP(テーブル2[[#This Row],[上体]],$AK$20:$AL$29))))</f>
        <v>0</v>
      </c>
      <c r="U185" s="145">
        <f>IF(テーブル2[[#This Row],[長座]]="",0,(IF(テーブル2[[#This Row],[性別]]="男",LOOKUP(テーブル2[[#This Row],[長座]],$AM$6:$AN$15),LOOKUP(テーブル2[[#This Row],[長座]],$AM$20:$AN$29))))</f>
        <v>0</v>
      </c>
      <c r="V185" s="145">
        <f>IF(テーブル2[[#This Row],[反復]]="",0,(IF(テーブル2[[#This Row],[性別]]="男",LOOKUP(テーブル2[[#This Row],[反復]],$AO$6:$AP$15),LOOKUP(テーブル2[[#This Row],[反復]],$AO$20:$AP$29))))</f>
        <v>0</v>
      </c>
      <c r="W185" s="145">
        <f>IF(テーブル2[[#This Row],[持久走]]="",0,(IF(テーブル2[[#This Row],[性別]]="男",LOOKUP(テーブル2[[#This Row],[持久走]],$AQ$6:$AR$15),LOOKUP(テーブル2[[#This Row],[持久走]],$AQ$20:$AR$29))))</f>
        <v>0</v>
      </c>
      <c r="X185" s="145">
        <f>IF(テーブル2[[#This Row],[ｼｬﾄﾙﾗﾝ]]="",0,(IF(テーブル2[[#This Row],[性別]]="男",LOOKUP(テーブル2[[#This Row],[ｼｬﾄﾙﾗﾝ]],$AS$6:$AT$15),LOOKUP(テーブル2[[#This Row],[ｼｬﾄﾙﾗﾝ]],$AS$20:$AT$29))))</f>
        <v>0</v>
      </c>
      <c r="Y185" s="145">
        <f>IF(テーブル2[[#This Row],[50m走]]="",0,(IF(テーブル2[[#This Row],[性別]]="男",LOOKUP(テーブル2[[#This Row],[50m走]],$AU$6:$AV$15),LOOKUP(テーブル2[[#This Row],[50m走]],$AU$20:$AV$29))))</f>
        <v>0</v>
      </c>
      <c r="Z185" s="145">
        <f>IF(テーブル2[[#This Row],[立幅とび]]="",0,(IF(テーブル2[[#This Row],[性別]]="男",LOOKUP(テーブル2[[#This Row],[立幅とび]],$AW$6:$AX$15),LOOKUP(テーブル2[[#This Row],[立幅とび]],$AW$20:$AX$29))))</f>
        <v>0</v>
      </c>
      <c r="AA185" s="145">
        <f>IF(テーブル2[[#This Row],[ボール投げ]]="",0,(IF(テーブル2[[#This Row],[性別]]="男",LOOKUP(テーブル2[[#This Row],[ボール投げ]],$AY$6:$AZ$15),LOOKUP(テーブル2[[#This Row],[ボール投げ]],$AY$20:$AZ$29))))</f>
        <v>0</v>
      </c>
      <c r="AB185" s="146" t="str">
        <f>IF(テーブル2[[#This Row],[学年]]=1,12,IF(テーブル2[[#This Row],[学年]]=2,13,IF(テーブル2[[#This Row],[学年]]=3,14,"")))</f>
        <v/>
      </c>
      <c r="AC185" s="192" t="str">
        <f>IF(テーブル2[[#This Row],[肥満度数値]]=0,"",LOOKUP(AE185,$AW$39:$AW$44,$AX$39:$AX$44))</f>
        <v/>
      </c>
      <c r="AD18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5" s="77">
        <f>IF(テーブル2[[#This Row],[体重]]="",0,(テーブル2[[#This Row],[体重]]-テーブル2[[#This Row],[標準体重]])/テーブル2[[#This Row],[標準体重]]*100)</f>
        <v>0</v>
      </c>
      <c r="AF185" s="26">
        <f>COUNTA(テーブル2[[#This Row],[握力]:[ボール投げ]])</f>
        <v>0</v>
      </c>
      <c r="AG185" s="1" t="str">
        <f>IF(テーブル2[[#This Row],[判定]]=$BE$10,"○","")</f>
        <v/>
      </c>
      <c r="AH185" s="1" t="str">
        <f>IF(AG185="","",COUNTIF($AG$6:AG185,"○"))</f>
        <v/>
      </c>
    </row>
    <row r="186" spans="1:34" ht="14.25" customHeight="1" x14ac:dyDescent="0.15">
      <c r="A186" s="44">
        <v>181</v>
      </c>
      <c r="B186" s="148"/>
      <c r="C186" s="151"/>
      <c r="D186" s="148"/>
      <c r="E186" s="152"/>
      <c r="F186" s="148"/>
      <c r="G186" s="148"/>
      <c r="H186" s="150"/>
      <c r="I186" s="150"/>
      <c r="J186" s="151"/>
      <c r="K186" s="148"/>
      <c r="L186" s="196"/>
      <c r="M186" s="151"/>
      <c r="N186" s="197"/>
      <c r="O186" s="151"/>
      <c r="P186" s="153"/>
      <c r="Q18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6" s="144" t="str">
        <f>IF(テーブル2[[#This Row],[得点]]=0,"",IF(テーブル2[[#This Row],[年齢]]=17,LOOKUP(Q186,$BH$6:$BH$10,$BE$6:$BE$10),IF(テーブル2[[#This Row],[年齢]]=16,LOOKUP(Q186,$BG$6:$BG$10,$BE$6:$BE$10),IF(テーブル2[[#This Row],[年齢]]=15,LOOKUP(Q186,$BF$6:$BF$10,$BE$6:$BE$10),IF(テーブル2[[#This Row],[年齢]]=14,LOOKUP(Q186,$BD$6:$BD$10,$BE$6:$BE$10),IF(テーブル2[[#This Row],[年齢]]=13,LOOKUP(Q186,$BC$6:$BC$10,$BE$6:$BE$10),LOOKUP(Q186,$BB$6:$BB$10,$BE$6:$BE$10)))))))</f>
        <v/>
      </c>
      <c r="S186" s="145">
        <f>IF(H186="",0,(IF(テーブル2[[#This Row],[性別]]="男",LOOKUP(テーブル2[[#This Row],[握力]],$AI$6:$AJ$15),LOOKUP(テーブル2[[#This Row],[握力]],$AI$20:$AJ$29))))</f>
        <v>0</v>
      </c>
      <c r="T186" s="145">
        <f>IF(テーブル2[[#This Row],[上体]]="",0,(IF(テーブル2[[#This Row],[性別]]="男",LOOKUP(テーブル2[[#This Row],[上体]],$AK$6:$AL$15),LOOKUP(テーブル2[[#This Row],[上体]],$AK$20:$AL$29))))</f>
        <v>0</v>
      </c>
      <c r="U186" s="145">
        <f>IF(テーブル2[[#This Row],[長座]]="",0,(IF(テーブル2[[#This Row],[性別]]="男",LOOKUP(テーブル2[[#This Row],[長座]],$AM$6:$AN$15),LOOKUP(テーブル2[[#This Row],[長座]],$AM$20:$AN$29))))</f>
        <v>0</v>
      </c>
      <c r="V186" s="145">
        <f>IF(テーブル2[[#This Row],[反復]]="",0,(IF(テーブル2[[#This Row],[性別]]="男",LOOKUP(テーブル2[[#This Row],[反復]],$AO$6:$AP$15),LOOKUP(テーブル2[[#This Row],[反復]],$AO$20:$AP$29))))</f>
        <v>0</v>
      </c>
      <c r="W186" s="145">
        <f>IF(テーブル2[[#This Row],[持久走]]="",0,(IF(テーブル2[[#This Row],[性別]]="男",LOOKUP(テーブル2[[#This Row],[持久走]],$AQ$6:$AR$15),LOOKUP(テーブル2[[#This Row],[持久走]],$AQ$20:$AR$29))))</f>
        <v>0</v>
      </c>
      <c r="X186" s="145">
        <f>IF(テーブル2[[#This Row],[ｼｬﾄﾙﾗﾝ]]="",0,(IF(テーブル2[[#This Row],[性別]]="男",LOOKUP(テーブル2[[#This Row],[ｼｬﾄﾙﾗﾝ]],$AS$6:$AT$15),LOOKUP(テーブル2[[#This Row],[ｼｬﾄﾙﾗﾝ]],$AS$20:$AT$29))))</f>
        <v>0</v>
      </c>
      <c r="Y186" s="145">
        <f>IF(テーブル2[[#This Row],[50m走]]="",0,(IF(テーブル2[[#This Row],[性別]]="男",LOOKUP(テーブル2[[#This Row],[50m走]],$AU$6:$AV$15),LOOKUP(テーブル2[[#This Row],[50m走]],$AU$20:$AV$29))))</f>
        <v>0</v>
      </c>
      <c r="Z186" s="145">
        <f>IF(テーブル2[[#This Row],[立幅とび]]="",0,(IF(テーブル2[[#This Row],[性別]]="男",LOOKUP(テーブル2[[#This Row],[立幅とび]],$AW$6:$AX$15),LOOKUP(テーブル2[[#This Row],[立幅とび]],$AW$20:$AX$29))))</f>
        <v>0</v>
      </c>
      <c r="AA186" s="145">
        <f>IF(テーブル2[[#This Row],[ボール投げ]]="",0,(IF(テーブル2[[#This Row],[性別]]="男",LOOKUP(テーブル2[[#This Row],[ボール投げ]],$AY$6:$AZ$15),LOOKUP(テーブル2[[#This Row],[ボール投げ]],$AY$20:$AZ$29))))</f>
        <v>0</v>
      </c>
      <c r="AB186" s="146" t="str">
        <f>IF(テーブル2[[#This Row],[学年]]=1,12,IF(テーブル2[[#This Row],[学年]]=2,13,IF(テーブル2[[#This Row],[学年]]=3,14,"")))</f>
        <v/>
      </c>
      <c r="AC186" s="192" t="str">
        <f>IF(テーブル2[[#This Row],[肥満度数値]]=0,"",LOOKUP(AE186,$AW$39:$AW$44,$AX$39:$AX$44))</f>
        <v/>
      </c>
      <c r="AD18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6" s="77">
        <f>IF(テーブル2[[#This Row],[体重]]="",0,(テーブル2[[#This Row],[体重]]-テーブル2[[#This Row],[標準体重]])/テーブル2[[#This Row],[標準体重]]*100)</f>
        <v>0</v>
      </c>
      <c r="AF186" s="26">
        <f>COUNTA(テーブル2[[#This Row],[握力]:[ボール投げ]])</f>
        <v>0</v>
      </c>
      <c r="AG186" s="1" t="str">
        <f>IF(テーブル2[[#This Row],[判定]]=$BE$10,"○","")</f>
        <v/>
      </c>
      <c r="AH186" s="1" t="str">
        <f>IF(AG186="","",COUNTIF($AG$6:AG186,"○"))</f>
        <v/>
      </c>
    </row>
    <row r="187" spans="1:34" ht="14.25" customHeight="1" x14ac:dyDescent="0.15">
      <c r="A187" s="44">
        <v>182</v>
      </c>
      <c r="B187" s="148"/>
      <c r="C187" s="151"/>
      <c r="D187" s="148"/>
      <c r="E187" s="152"/>
      <c r="F187" s="148"/>
      <c r="G187" s="148"/>
      <c r="H187" s="150"/>
      <c r="I187" s="150"/>
      <c r="J187" s="151"/>
      <c r="K187" s="148"/>
      <c r="L187" s="196"/>
      <c r="M187" s="151"/>
      <c r="N187" s="197"/>
      <c r="O187" s="151"/>
      <c r="P187" s="153"/>
      <c r="Q18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7" s="144" t="str">
        <f>IF(テーブル2[[#This Row],[得点]]=0,"",IF(テーブル2[[#This Row],[年齢]]=17,LOOKUP(Q187,$BH$6:$BH$10,$BE$6:$BE$10),IF(テーブル2[[#This Row],[年齢]]=16,LOOKUP(Q187,$BG$6:$BG$10,$BE$6:$BE$10),IF(テーブル2[[#This Row],[年齢]]=15,LOOKUP(Q187,$BF$6:$BF$10,$BE$6:$BE$10),IF(テーブル2[[#This Row],[年齢]]=14,LOOKUP(Q187,$BD$6:$BD$10,$BE$6:$BE$10),IF(テーブル2[[#This Row],[年齢]]=13,LOOKUP(Q187,$BC$6:$BC$10,$BE$6:$BE$10),LOOKUP(Q187,$BB$6:$BB$10,$BE$6:$BE$10)))))))</f>
        <v/>
      </c>
      <c r="S187" s="145">
        <f>IF(H187="",0,(IF(テーブル2[[#This Row],[性別]]="男",LOOKUP(テーブル2[[#This Row],[握力]],$AI$6:$AJ$15),LOOKUP(テーブル2[[#This Row],[握力]],$AI$20:$AJ$29))))</f>
        <v>0</v>
      </c>
      <c r="T187" s="145">
        <f>IF(テーブル2[[#This Row],[上体]]="",0,(IF(テーブル2[[#This Row],[性別]]="男",LOOKUP(テーブル2[[#This Row],[上体]],$AK$6:$AL$15),LOOKUP(テーブル2[[#This Row],[上体]],$AK$20:$AL$29))))</f>
        <v>0</v>
      </c>
      <c r="U187" s="145">
        <f>IF(テーブル2[[#This Row],[長座]]="",0,(IF(テーブル2[[#This Row],[性別]]="男",LOOKUP(テーブル2[[#This Row],[長座]],$AM$6:$AN$15),LOOKUP(テーブル2[[#This Row],[長座]],$AM$20:$AN$29))))</f>
        <v>0</v>
      </c>
      <c r="V187" s="145">
        <f>IF(テーブル2[[#This Row],[反復]]="",0,(IF(テーブル2[[#This Row],[性別]]="男",LOOKUP(テーブル2[[#This Row],[反復]],$AO$6:$AP$15),LOOKUP(テーブル2[[#This Row],[反復]],$AO$20:$AP$29))))</f>
        <v>0</v>
      </c>
      <c r="W187" s="145">
        <f>IF(テーブル2[[#This Row],[持久走]]="",0,(IF(テーブル2[[#This Row],[性別]]="男",LOOKUP(テーブル2[[#This Row],[持久走]],$AQ$6:$AR$15),LOOKUP(テーブル2[[#This Row],[持久走]],$AQ$20:$AR$29))))</f>
        <v>0</v>
      </c>
      <c r="X187" s="145">
        <f>IF(テーブル2[[#This Row],[ｼｬﾄﾙﾗﾝ]]="",0,(IF(テーブル2[[#This Row],[性別]]="男",LOOKUP(テーブル2[[#This Row],[ｼｬﾄﾙﾗﾝ]],$AS$6:$AT$15),LOOKUP(テーブル2[[#This Row],[ｼｬﾄﾙﾗﾝ]],$AS$20:$AT$29))))</f>
        <v>0</v>
      </c>
      <c r="Y187" s="145">
        <f>IF(テーブル2[[#This Row],[50m走]]="",0,(IF(テーブル2[[#This Row],[性別]]="男",LOOKUP(テーブル2[[#This Row],[50m走]],$AU$6:$AV$15),LOOKUP(テーブル2[[#This Row],[50m走]],$AU$20:$AV$29))))</f>
        <v>0</v>
      </c>
      <c r="Z187" s="145">
        <f>IF(テーブル2[[#This Row],[立幅とび]]="",0,(IF(テーブル2[[#This Row],[性別]]="男",LOOKUP(テーブル2[[#This Row],[立幅とび]],$AW$6:$AX$15),LOOKUP(テーブル2[[#This Row],[立幅とび]],$AW$20:$AX$29))))</f>
        <v>0</v>
      </c>
      <c r="AA187" s="145">
        <f>IF(テーブル2[[#This Row],[ボール投げ]]="",0,(IF(テーブル2[[#This Row],[性別]]="男",LOOKUP(テーブル2[[#This Row],[ボール投げ]],$AY$6:$AZ$15),LOOKUP(テーブル2[[#This Row],[ボール投げ]],$AY$20:$AZ$29))))</f>
        <v>0</v>
      </c>
      <c r="AB187" s="146" t="str">
        <f>IF(テーブル2[[#This Row],[学年]]=1,12,IF(テーブル2[[#This Row],[学年]]=2,13,IF(テーブル2[[#This Row],[学年]]=3,14,"")))</f>
        <v/>
      </c>
      <c r="AC187" s="192" t="str">
        <f>IF(テーブル2[[#This Row],[肥満度数値]]=0,"",LOOKUP(AE187,$AW$39:$AW$44,$AX$39:$AX$44))</f>
        <v/>
      </c>
      <c r="AD18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7" s="77">
        <f>IF(テーブル2[[#This Row],[体重]]="",0,(テーブル2[[#This Row],[体重]]-テーブル2[[#This Row],[標準体重]])/テーブル2[[#This Row],[標準体重]]*100)</f>
        <v>0</v>
      </c>
      <c r="AF187" s="26">
        <f>COUNTA(テーブル2[[#This Row],[握力]:[ボール投げ]])</f>
        <v>0</v>
      </c>
      <c r="AG187" s="1" t="str">
        <f>IF(テーブル2[[#This Row],[判定]]=$BE$10,"○","")</f>
        <v/>
      </c>
      <c r="AH187" s="1" t="str">
        <f>IF(AG187="","",COUNTIF($AG$6:AG187,"○"))</f>
        <v/>
      </c>
    </row>
    <row r="188" spans="1:34" ht="14.25" customHeight="1" x14ac:dyDescent="0.15">
      <c r="A188" s="44">
        <v>183</v>
      </c>
      <c r="B188" s="148"/>
      <c r="C188" s="151"/>
      <c r="D188" s="148"/>
      <c r="E188" s="152"/>
      <c r="F188" s="148"/>
      <c r="G188" s="148"/>
      <c r="H188" s="150"/>
      <c r="I188" s="150"/>
      <c r="J188" s="151"/>
      <c r="K188" s="148"/>
      <c r="L188" s="196"/>
      <c r="M188" s="151"/>
      <c r="N188" s="197"/>
      <c r="O188" s="151"/>
      <c r="P188" s="153"/>
      <c r="Q18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8" s="144" t="str">
        <f>IF(テーブル2[[#This Row],[得点]]=0,"",IF(テーブル2[[#This Row],[年齢]]=17,LOOKUP(Q188,$BH$6:$BH$10,$BE$6:$BE$10),IF(テーブル2[[#This Row],[年齢]]=16,LOOKUP(Q188,$BG$6:$BG$10,$BE$6:$BE$10),IF(テーブル2[[#This Row],[年齢]]=15,LOOKUP(Q188,$BF$6:$BF$10,$BE$6:$BE$10),IF(テーブル2[[#This Row],[年齢]]=14,LOOKUP(Q188,$BD$6:$BD$10,$BE$6:$BE$10),IF(テーブル2[[#This Row],[年齢]]=13,LOOKUP(Q188,$BC$6:$BC$10,$BE$6:$BE$10),LOOKUP(Q188,$BB$6:$BB$10,$BE$6:$BE$10)))))))</f>
        <v/>
      </c>
      <c r="S188" s="145">
        <f>IF(H188="",0,(IF(テーブル2[[#This Row],[性別]]="男",LOOKUP(テーブル2[[#This Row],[握力]],$AI$6:$AJ$15),LOOKUP(テーブル2[[#This Row],[握力]],$AI$20:$AJ$29))))</f>
        <v>0</v>
      </c>
      <c r="T188" s="145">
        <f>IF(テーブル2[[#This Row],[上体]]="",0,(IF(テーブル2[[#This Row],[性別]]="男",LOOKUP(テーブル2[[#This Row],[上体]],$AK$6:$AL$15),LOOKUP(テーブル2[[#This Row],[上体]],$AK$20:$AL$29))))</f>
        <v>0</v>
      </c>
      <c r="U188" s="145">
        <f>IF(テーブル2[[#This Row],[長座]]="",0,(IF(テーブル2[[#This Row],[性別]]="男",LOOKUP(テーブル2[[#This Row],[長座]],$AM$6:$AN$15),LOOKUP(テーブル2[[#This Row],[長座]],$AM$20:$AN$29))))</f>
        <v>0</v>
      </c>
      <c r="V188" s="145">
        <f>IF(テーブル2[[#This Row],[反復]]="",0,(IF(テーブル2[[#This Row],[性別]]="男",LOOKUP(テーブル2[[#This Row],[反復]],$AO$6:$AP$15),LOOKUP(テーブル2[[#This Row],[反復]],$AO$20:$AP$29))))</f>
        <v>0</v>
      </c>
      <c r="W188" s="145">
        <f>IF(テーブル2[[#This Row],[持久走]]="",0,(IF(テーブル2[[#This Row],[性別]]="男",LOOKUP(テーブル2[[#This Row],[持久走]],$AQ$6:$AR$15),LOOKUP(テーブル2[[#This Row],[持久走]],$AQ$20:$AR$29))))</f>
        <v>0</v>
      </c>
      <c r="X188" s="145">
        <f>IF(テーブル2[[#This Row],[ｼｬﾄﾙﾗﾝ]]="",0,(IF(テーブル2[[#This Row],[性別]]="男",LOOKUP(テーブル2[[#This Row],[ｼｬﾄﾙﾗﾝ]],$AS$6:$AT$15),LOOKUP(テーブル2[[#This Row],[ｼｬﾄﾙﾗﾝ]],$AS$20:$AT$29))))</f>
        <v>0</v>
      </c>
      <c r="Y188" s="145">
        <f>IF(テーブル2[[#This Row],[50m走]]="",0,(IF(テーブル2[[#This Row],[性別]]="男",LOOKUP(テーブル2[[#This Row],[50m走]],$AU$6:$AV$15),LOOKUP(テーブル2[[#This Row],[50m走]],$AU$20:$AV$29))))</f>
        <v>0</v>
      </c>
      <c r="Z188" s="145">
        <f>IF(テーブル2[[#This Row],[立幅とび]]="",0,(IF(テーブル2[[#This Row],[性別]]="男",LOOKUP(テーブル2[[#This Row],[立幅とび]],$AW$6:$AX$15),LOOKUP(テーブル2[[#This Row],[立幅とび]],$AW$20:$AX$29))))</f>
        <v>0</v>
      </c>
      <c r="AA188" s="145">
        <f>IF(テーブル2[[#This Row],[ボール投げ]]="",0,(IF(テーブル2[[#This Row],[性別]]="男",LOOKUP(テーブル2[[#This Row],[ボール投げ]],$AY$6:$AZ$15),LOOKUP(テーブル2[[#This Row],[ボール投げ]],$AY$20:$AZ$29))))</f>
        <v>0</v>
      </c>
      <c r="AB188" s="146" t="str">
        <f>IF(テーブル2[[#This Row],[学年]]=1,12,IF(テーブル2[[#This Row],[学年]]=2,13,IF(テーブル2[[#This Row],[学年]]=3,14,"")))</f>
        <v/>
      </c>
      <c r="AC188" s="192" t="str">
        <f>IF(テーブル2[[#This Row],[肥満度数値]]=0,"",LOOKUP(AE188,$AW$39:$AW$44,$AX$39:$AX$44))</f>
        <v/>
      </c>
      <c r="AD18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8" s="77">
        <f>IF(テーブル2[[#This Row],[体重]]="",0,(テーブル2[[#This Row],[体重]]-テーブル2[[#This Row],[標準体重]])/テーブル2[[#This Row],[標準体重]]*100)</f>
        <v>0</v>
      </c>
      <c r="AF188" s="26">
        <f>COUNTA(テーブル2[[#This Row],[握力]:[ボール投げ]])</f>
        <v>0</v>
      </c>
      <c r="AG188" s="1" t="str">
        <f>IF(テーブル2[[#This Row],[判定]]=$BE$10,"○","")</f>
        <v/>
      </c>
      <c r="AH188" s="1" t="str">
        <f>IF(AG188="","",COUNTIF($AG$6:AG188,"○"))</f>
        <v/>
      </c>
    </row>
    <row r="189" spans="1:34" ht="14.25" customHeight="1" x14ac:dyDescent="0.15">
      <c r="A189" s="44">
        <v>184</v>
      </c>
      <c r="B189" s="148"/>
      <c r="C189" s="151"/>
      <c r="D189" s="148"/>
      <c r="E189" s="152"/>
      <c r="F189" s="148"/>
      <c r="G189" s="148"/>
      <c r="H189" s="150"/>
      <c r="I189" s="150"/>
      <c r="J189" s="151"/>
      <c r="K189" s="148"/>
      <c r="L189" s="196"/>
      <c r="M189" s="151"/>
      <c r="N189" s="197"/>
      <c r="O189" s="151"/>
      <c r="P189" s="153"/>
      <c r="Q18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9" s="144" t="str">
        <f>IF(テーブル2[[#This Row],[得点]]=0,"",IF(テーブル2[[#This Row],[年齢]]=17,LOOKUP(Q189,$BH$6:$BH$10,$BE$6:$BE$10),IF(テーブル2[[#This Row],[年齢]]=16,LOOKUP(Q189,$BG$6:$BG$10,$BE$6:$BE$10),IF(テーブル2[[#This Row],[年齢]]=15,LOOKUP(Q189,$BF$6:$BF$10,$BE$6:$BE$10),IF(テーブル2[[#This Row],[年齢]]=14,LOOKUP(Q189,$BD$6:$BD$10,$BE$6:$BE$10),IF(テーブル2[[#This Row],[年齢]]=13,LOOKUP(Q189,$BC$6:$BC$10,$BE$6:$BE$10),LOOKUP(Q189,$BB$6:$BB$10,$BE$6:$BE$10)))))))</f>
        <v/>
      </c>
      <c r="S189" s="145">
        <f>IF(H189="",0,(IF(テーブル2[[#This Row],[性別]]="男",LOOKUP(テーブル2[[#This Row],[握力]],$AI$6:$AJ$15),LOOKUP(テーブル2[[#This Row],[握力]],$AI$20:$AJ$29))))</f>
        <v>0</v>
      </c>
      <c r="T189" s="145">
        <f>IF(テーブル2[[#This Row],[上体]]="",0,(IF(テーブル2[[#This Row],[性別]]="男",LOOKUP(テーブル2[[#This Row],[上体]],$AK$6:$AL$15),LOOKUP(テーブル2[[#This Row],[上体]],$AK$20:$AL$29))))</f>
        <v>0</v>
      </c>
      <c r="U189" s="145">
        <f>IF(テーブル2[[#This Row],[長座]]="",0,(IF(テーブル2[[#This Row],[性別]]="男",LOOKUP(テーブル2[[#This Row],[長座]],$AM$6:$AN$15),LOOKUP(テーブル2[[#This Row],[長座]],$AM$20:$AN$29))))</f>
        <v>0</v>
      </c>
      <c r="V189" s="145">
        <f>IF(テーブル2[[#This Row],[反復]]="",0,(IF(テーブル2[[#This Row],[性別]]="男",LOOKUP(テーブル2[[#This Row],[反復]],$AO$6:$AP$15),LOOKUP(テーブル2[[#This Row],[反復]],$AO$20:$AP$29))))</f>
        <v>0</v>
      </c>
      <c r="W189" s="145">
        <f>IF(テーブル2[[#This Row],[持久走]]="",0,(IF(テーブル2[[#This Row],[性別]]="男",LOOKUP(テーブル2[[#This Row],[持久走]],$AQ$6:$AR$15),LOOKUP(テーブル2[[#This Row],[持久走]],$AQ$20:$AR$29))))</f>
        <v>0</v>
      </c>
      <c r="X189" s="145">
        <f>IF(テーブル2[[#This Row],[ｼｬﾄﾙﾗﾝ]]="",0,(IF(テーブル2[[#This Row],[性別]]="男",LOOKUP(テーブル2[[#This Row],[ｼｬﾄﾙﾗﾝ]],$AS$6:$AT$15),LOOKUP(テーブル2[[#This Row],[ｼｬﾄﾙﾗﾝ]],$AS$20:$AT$29))))</f>
        <v>0</v>
      </c>
      <c r="Y189" s="145">
        <f>IF(テーブル2[[#This Row],[50m走]]="",0,(IF(テーブル2[[#This Row],[性別]]="男",LOOKUP(テーブル2[[#This Row],[50m走]],$AU$6:$AV$15),LOOKUP(テーブル2[[#This Row],[50m走]],$AU$20:$AV$29))))</f>
        <v>0</v>
      </c>
      <c r="Z189" s="145">
        <f>IF(テーブル2[[#This Row],[立幅とび]]="",0,(IF(テーブル2[[#This Row],[性別]]="男",LOOKUP(テーブル2[[#This Row],[立幅とび]],$AW$6:$AX$15),LOOKUP(テーブル2[[#This Row],[立幅とび]],$AW$20:$AX$29))))</f>
        <v>0</v>
      </c>
      <c r="AA189" s="145">
        <f>IF(テーブル2[[#This Row],[ボール投げ]]="",0,(IF(テーブル2[[#This Row],[性別]]="男",LOOKUP(テーブル2[[#This Row],[ボール投げ]],$AY$6:$AZ$15),LOOKUP(テーブル2[[#This Row],[ボール投げ]],$AY$20:$AZ$29))))</f>
        <v>0</v>
      </c>
      <c r="AB189" s="146" t="str">
        <f>IF(テーブル2[[#This Row],[学年]]=1,12,IF(テーブル2[[#This Row],[学年]]=2,13,IF(テーブル2[[#This Row],[学年]]=3,14,"")))</f>
        <v/>
      </c>
      <c r="AC189" s="192" t="str">
        <f>IF(テーブル2[[#This Row],[肥満度数値]]=0,"",LOOKUP(AE189,$AW$39:$AW$44,$AX$39:$AX$44))</f>
        <v/>
      </c>
      <c r="AD18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89" s="77">
        <f>IF(テーブル2[[#This Row],[体重]]="",0,(テーブル2[[#This Row],[体重]]-テーブル2[[#This Row],[標準体重]])/テーブル2[[#This Row],[標準体重]]*100)</f>
        <v>0</v>
      </c>
      <c r="AF189" s="26">
        <f>COUNTA(テーブル2[[#This Row],[握力]:[ボール投げ]])</f>
        <v>0</v>
      </c>
      <c r="AG189" s="1" t="str">
        <f>IF(テーブル2[[#This Row],[判定]]=$BE$10,"○","")</f>
        <v/>
      </c>
      <c r="AH189" s="1" t="str">
        <f>IF(AG189="","",COUNTIF($AG$6:AG189,"○"))</f>
        <v/>
      </c>
    </row>
    <row r="190" spans="1:34" ht="14.25" customHeight="1" x14ac:dyDescent="0.15">
      <c r="A190" s="44">
        <v>185</v>
      </c>
      <c r="B190" s="148"/>
      <c r="C190" s="151"/>
      <c r="D190" s="148"/>
      <c r="E190" s="152"/>
      <c r="F190" s="148"/>
      <c r="G190" s="148"/>
      <c r="H190" s="150"/>
      <c r="I190" s="150"/>
      <c r="J190" s="151"/>
      <c r="K190" s="148"/>
      <c r="L190" s="196"/>
      <c r="M190" s="151"/>
      <c r="N190" s="197"/>
      <c r="O190" s="151"/>
      <c r="P190" s="153"/>
      <c r="Q19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0" s="144" t="str">
        <f>IF(テーブル2[[#This Row],[得点]]=0,"",IF(テーブル2[[#This Row],[年齢]]=17,LOOKUP(Q190,$BH$6:$BH$10,$BE$6:$BE$10),IF(テーブル2[[#This Row],[年齢]]=16,LOOKUP(Q190,$BG$6:$BG$10,$BE$6:$BE$10),IF(テーブル2[[#This Row],[年齢]]=15,LOOKUP(Q190,$BF$6:$BF$10,$BE$6:$BE$10),IF(テーブル2[[#This Row],[年齢]]=14,LOOKUP(Q190,$BD$6:$BD$10,$BE$6:$BE$10),IF(テーブル2[[#This Row],[年齢]]=13,LOOKUP(Q190,$BC$6:$BC$10,$BE$6:$BE$10),LOOKUP(Q190,$BB$6:$BB$10,$BE$6:$BE$10)))))))</f>
        <v/>
      </c>
      <c r="S190" s="145">
        <f>IF(H190="",0,(IF(テーブル2[[#This Row],[性別]]="男",LOOKUP(テーブル2[[#This Row],[握力]],$AI$6:$AJ$15),LOOKUP(テーブル2[[#This Row],[握力]],$AI$20:$AJ$29))))</f>
        <v>0</v>
      </c>
      <c r="T190" s="145">
        <f>IF(テーブル2[[#This Row],[上体]]="",0,(IF(テーブル2[[#This Row],[性別]]="男",LOOKUP(テーブル2[[#This Row],[上体]],$AK$6:$AL$15),LOOKUP(テーブル2[[#This Row],[上体]],$AK$20:$AL$29))))</f>
        <v>0</v>
      </c>
      <c r="U190" s="145">
        <f>IF(テーブル2[[#This Row],[長座]]="",0,(IF(テーブル2[[#This Row],[性別]]="男",LOOKUP(テーブル2[[#This Row],[長座]],$AM$6:$AN$15),LOOKUP(テーブル2[[#This Row],[長座]],$AM$20:$AN$29))))</f>
        <v>0</v>
      </c>
      <c r="V190" s="145">
        <f>IF(テーブル2[[#This Row],[反復]]="",0,(IF(テーブル2[[#This Row],[性別]]="男",LOOKUP(テーブル2[[#This Row],[反復]],$AO$6:$AP$15),LOOKUP(テーブル2[[#This Row],[反復]],$AO$20:$AP$29))))</f>
        <v>0</v>
      </c>
      <c r="W190" s="145">
        <f>IF(テーブル2[[#This Row],[持久走]]="",0,(IF(テーブル2[[#This Row],[性別]]="男",LOOKUP(テーブル2[[#This Row],[持久走]],$AQ$6:$AR$15),LOOKUP(テーブル2[[#This Row],[持久走]],$AQ$20:$AR$29))))</f>
        <v>0</v>
      </c>
      <c r="X190" s="145">
        <f>IF(テーブル2[[#This Row],[ｼｬﾄﾙﾗﾝ]]="",0,(IF(テーブル2[[#This Row],[性別]]="男",LOOKUP(テーブル2[[#This Row],[ｼｬﾄﾙﾗﾝ]],$AS$6:$AT$15),LOOKUP(テーブル2[[#This Row],[ｼｬﾄﾙﾗﾝ]],$AS$20:$AT$29))))</f>
        <v>0</v>
      </c>
      <c r="Y190" s="145">
        <f>IF(テーブル2[[#This Row],[50m走]]="",0,(IF(テーブル2[[#This Row],[性別]]="男",LOOKUP(テーブル2[[#This Row],[50m走]],$AU$6:$AV$15),LOOKUP(テーブル2[[#This Row],[50m走]],$AU$20:$AV$29))))</f>
        <v>0</v>
      </c>
      <c r="Z190" s="145">
        <f>IF(テーブル2[[#This Row],[立幅とび]]="",0,(IF(テーブル2[[#This Row],[性別]]="男",LOOKUP(テーブル2[[#This Row],[立幅とび]],$AW$6:$AX$15),LOOKUP(テーブル2[[#This Row],[立幅とび]],$AW$20:$AX$29))))</f>
        <v>0</v>
      </c>
      <c r="AA190" s="145">
        <f>IF(テーブル2[[#This Row],[ボール投げ]]="",0,(IF(テーブル2[[#This Row],[性別]]="男",LOOKUP(テーブル2[[#This Row],[ボール投げ]],$AY$6:$AZ$15),LOOKUP(テーブル2[[#This Row],[ボール投げ]],$AY$20:$AZ$29))))</f>
        <v>0</v>
      </c>
      <c r="AB190" s="146" t="str">
        <f>IF(テーブル2[[#This Row],[学年]]=1,12,IF(テーブル2[[#This Row],[学年]]=2,13,IF(テーブル2[[#This Row],[学年]]=3,14,"")))</f>
        <v/>
      </c>
      <c r="AC190" s="192" t="str">
        <f>IF(テーブル2[[#This Row],[肥満度数値]]=0,"",LOOKUP(AE190,$AW$39:$AW$44,$AX$39:$AX$44))</f>
        <v/>
      </c>
      <c r="AD19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0" s="77">
        <f>IF(テーブル2[[#This Row],[体重]]="",0,(テーブル2[[#This Row],[体重]]-テーブル2[[#This Row],[標準体重]])/テーブル2[[#This Row],[標準体重]]*100)</f>
        <v>0</v>
      </c>
      <c r="AF190" s="26">
        <f>COUNTA(テーブル2[[#This Row],[握力]:[ボール投げ]])</f>
        <v>0</v>
      </c>
      <c r="AG190" s="1" t="str">
        <f>IF(テーブル2[[#This Row],[判定]]=$BE$10,"○","")</f>
        <v/>
      </c>
      <c r="AH190" s="1" t="str">
        <f>IF(AG190="","",COUNTIF($AG$6:AG190,"○"))</f>
        <v/>
      </c>
    </row>
    <row r="191" spans="1:34" ht="14.25" customHeight="1" x14ac:dyDescent="0.15">
      <c r="A191" s="44">
        <v>186</v>
      </c>
      <c r="B191" s="148"/>
      <c r="C191" s="151"/>
      <c r="D191" s="148"/>
      <c r="E191" s="152"/>
      <c r="F191" s="148"/>
      <c r="G191" s="148"/>
      <c r="H191" s="150"/>
      <c r="I191" s="150"/>
      <c r="J191" s="151"/>
      <c r="K191" s="148"/>
      <c r="L191" s="196"/>
      <c r="M191" s="151"/>
      <c r="N191" s="197"/>
      <c r="O191" s="151"/>
      <c r="P191" s="153"/>
      <c r="Q19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1" s="144" t="str">
        <f>IF(テーブル2[[#This Row],[得点]]=0,"",IF(テーブル2[[#This Row],[年齢]]=17,LOOKUP(Q191,$BH$6:$BH$10,$BE$6:$BE$10),IF(テーブル2[[#This Row],[年齢]]=16,LOOKUP(Q191,$BG$6:$BG$10,$BE$6:$BE$10),IF(テーブル2[[#This Row],[年齢]]=15,LOOKUP(Q191,$BF$6:$BF$10,$BE$6:$BE$10),IF(テーブル2[[#This Row],[年齢]]=14,LOOKUP(Q191,$BD$6:$BD$10,$BE$6:$BE$10),IF(テーブル2[[#This Row],[年齢]]=13,LOOKUP(Q191,$BC$6:$BC$10,$BE$6:$BE$10),LOOKUP(Q191,$BB$6:$BB$10,$BE$6:$BE$10)))))))</f>
        <v/>
      </c>
      <c r="S191" s="145">
        <f>IF(H191="",0,(IF(テーブル2[[#This Row],[性別]]="男",LOOKUP(テーブル2[[#This Row],[握力]],$AI$6:$AJ$15),LOOKUP(テーブル2[[#This Row],[握力]],$AI$20:$AJ$29))))</f>
        <v>0</v>
      </c>
      <c r="T191" s="145">
        <f>IF(テーブル2[[#This Row],[上体]]="",0,(IF(テーブル2[[#This Row],[性別]]="男",LOOKUP(テーブル2[[#This Row],[上体]],$AK$6:$AL$15),LOOKUP(テーブル2[[#This Row],[上体]],$AK$20:$AL$29))))</f>
        <v>0</v>
      </c>
      <c r="U191" s="145">
        <f>IF(テーブル2[[#This Row],[長座]]="",0,(IF(テーブル2[[#This Row],[性別]]="男",LOOKUP(テーブル2[[#This Row],[長座]],$AM$6:$AN$15),LOOKUP(テーブル2[[#This Row],[長座]],$AM$20:$AN$29))))</f>
        <v>0</v>
      </c>
      <c r="V191" s="145">
        <f>IF(テーブル2[[#This Row],[反復]]="",0,(IF(テーブル2[[#This Row],[性別]]="男",LOOKUP(テーブル2[[#This Row],[反復]],$AO$6:$AP$15),LOOKUP(テーブル2[[#This Row],[反復]],$AO$20:$AP$29))))</f>
        <v>0</v>
      </c>
      <c r="W191" s="145">
        <f>IF(テーブル2[[#This Row],[持久走]]="",0,(IF(テーブル2[[#This Row],[性別]]="男",LOOKUP(テーブル2[[#This Row],[持久走]],$AQ$6:$AR$15),LOOKUP(テーブル2[[#This Row],[持久走]],$AQ$20:$AR$29))))</f>
        <v>0</v>
      </c>
      <c r="X191" s="145">
        <f>IF(テーブル2[[#This Row],[ｼｬﾄﾙﾗﾝ]]="",0,(IF(テーブル2[[#This Row],[性別]]="男",LOOKUP(テーブル2[[#This Row],[ｼｬﾄﾙﾗﾝ]],$AS$6:$AT$15),LOOKUP(テーブル2[[#This Row],[ｼｬﾄﾙﾗﾝ]],$AS$20:$AT$29))))</f>
        <v>0</v>
      </c>
      <c r="Y191" s="145">
        <f>IF(テーブル2[[#This Row],[50m走]]="",0,(IF(テーブル2[[#This Row],[性別]]="男",LOOKUP(テーブル2[[#This Row],[50m走]],$AU$6:$AV$15),LOOKUP(テーブル2[[#This Row],[50m走]],$AU$20:$AV$29))))</f>
        <v>0</v>
      </c>
      <c r="Z191" s="145">
        <f>IF(テーブル2[[#This Row],[立幅とび]]="",0,(IF(テーブル2[[#This Row],[性別]]="男",LOOKUP(テーブル2[[#This Row],[立幅とび]],$AW$6:$AX$15),LOOKUP(テーブル2[[#This Row],[立幅とび]],$AW$20:$AX$29))))</f>
        <v>0</v>
      </c>
      <c r="AA191" s="145">
        <f>IF(テーブル2[[#This Row],[ボール投げ]]="",0,(IF(テーブル2[[#This Row],[性別]]="男",LOOKUP(テーブル2[[#This Row],[ボール投げ]],$AY$6:$AZ$15),LOOKUP(テーブル2[[#This Row],[ボール投げ]],$AY$20:$AZ$29))))</f>
        <v>0</v>
      </c>
      <c r="AB191" s="146" t="str">
        <f>IF(テーブル2[[#This Row],[学年]]=1,12,IF(テーブル2[[#This Row],[学年]]=2,13,IF(テーブル2[[#This Row],[学年]]=3,14,"")))</f>
        <v/>
      </c>
      <c r="AC191" s="192" t="str">
        <f>IF(テーブル2[[#This Row],[肥満度数値]]=0,"",LOOKUP(AE191,$AW$39:$AW$44,$AX$39:$AX$44))</f>
        <v/>
      </c>
      <c r="AD19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1" s="77">
        <f>IF(テーブル2[[#This Row],[体重]]="",0,(テーブル2[[#This Row],[体重]]-テーブル2[[#This Row],[標準体重]])/テーブル2[[#This Row],[標準体重]]*100)</f>
        <v>0</v>
      </c>
      <c r="AF191" s="26">
        <f>COUNTA(テーブル2[[#This Row],[握力]:[ボール投げ]])</f>
        <v>0</v>
      </c>
      <c r="AG191" s="1" t="str">
        <f>IF(テーブル2[[#This Row],[判定]]=$BE$10,"○","")</f>
        <v/>
      </c>
      <c r="AH191" s="1" t="str">
        <f>IF(AG191="","",COUNTIF($AG$6:AG191,"○"))</f>
        <v/>
      </c>
    </row>
    <row r="192" spans="1:34" ht="14.25" customHeight="1" x14ac:dyDescent="0.15">
      <c r="A192" s="44">
        <v>187</v>
      </c>
      <c r="B192" s="148"/>
      <c r="C192" s="151"/>
      <c r="D192" s="148"/>
      <c r="E192" s="152"/>
      <c r="F192" s="148"/>
      <c r="G192" s="148"/>
      <c r="H192" s="150"/>
      <c r="I192" s="150"/>
      <c r="J192" s="151"/>
      <c r="K192" s="148"/>
      <c r="L192" s="196"/>
      <c r="M192" s="151"/>
      <c r="N192" s="197"/>
      <c r="O192" s="151"/>
      <c r="P192" s="153"/>
      <c r="Q19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2" s="144" t="str">
        <f>IF(テーブル2[[#This Row],[得点]]=0,"",IF(テーブル2[[#This Row],[年齢]]=17,LOOKUP(Q192,$BH$6:$BH$10,$BE$6:$BE$10),IF(テーブル2[[#This Row],[年齢]]=16,LOOKUP(Q192,$BG$6:$BG$10,$BE$6:$BE$10),IF(テーブル2[[#This Row],[年齢]]=15,LOOKUP(Q192,$BF$6:$BF$10,$BE$6:$BE$10),IF(テーブル2[[#This Row],[年齢]]=14,LOOKUP(Q192,$BD$6:$BD$10,$BE$6:$BE$10),IF(テーブル2[[#This Row],[年齢]]=13,LOOKUP(Q192,$BC$6:$BC$10,$BE$6:$BE$10),LOOKUP(Q192,$BB$6:$BB$10,$BE$6:$BE$10)))))))</f>
        <v/>
      </c>
      <c r="S192" s="145">
        <f>IF(H192="",0,(IF(テーブル2[[#This Row],[性別]]="男",LOOKUP(テーブル2[[#This Row],[握力]],$AI$6:$AJ$15),LOOKUP(テーブル2[[#This Row],[握力]],$AI$20:$AJ$29))))</f>
        <v>0</v>
      </c>
      <c r="T192" s="145">
        <f>IF(テーブル2[[#This Row],[上体]]="",0,(IF(テーブル2[[#This Row],[性別]]="男",LOOKUP(テーブル2[[#This Row],[上体]],$AK$6:$AL$15),LOOKUP(テーブル2[[#This Row],[上体]],$AK$20:$AL$29))))</f>
        <v>0</v>
      </c>
      <c r="U192" s="145">
        <f>IF(テーブル2[[#This Row],[長座]]="",0,(IF(テーブル2[[#This Row],[性別]]="男",LOOKUP(テーブル2[[#This Row],[長座]],$AM$6:$AN$15),LOOKUP(テーブル2[[#This Row],[長座]],$AM$20:$AN$29))))</f>
        <v>0</v>
      </c>
      <c r="V192" s="145">
        <f>IF(テーブル2[[#This Row],[反復]]="",0,(IF(テーブル2[[#This Row],[性別]]="男",LOOKUP(テーブル2[[#This Row],[反復]],$AO$6:$AP$15),LOOKUP(テーブル2[[#This Row],[反復]],$AO$20:$AP$29))))</f>
        <v>0</v>
      </c>
      <c r="W192" s="145">
        <f>IF(テーブル2[[#This Row],[持久走]]="",0,(IF(テーブル2[[#This Row],[性別]]="男",LOOKUP(テーブル2[[#This Row],[持久走]],$AQ$6:$AR$15),LOOKUP(テーブル2[[#This Row],[持久走]],$AQ$20:$AR$29))))</f>
        <v>0</v>
      </c>
      <c r="X192" s="145">
        <f>IF(テーブル2[[#This Row],[ｼｬﾄﾙﾗﾝ]]="",0,(IF(テーブル2[[#This Row],[性別]]="男",LOOKUP(テーブル2[[#This Row],[ｼｬﾄﾙﾗﾝ]],$AS$6:$AT$15),LOOKUP(テーブル2[[#This Row],[ｼｬﾄﾙﾗﾝ]],$AS$20:$AT$29))))</f>
        <v>0</v>
      </c>
      <c r="Y192" s="145">
        <f>IF(テーブル2[[#This Row],[50m走]]="",0,(IF(テーブル2[[#This Row],[性別]]="男",LOOKUP(テーブル2[[#This Row],[50m走]],$AU$6:$AV$15),LOOKUP(テーブル2[[#This Row],[50m走]],$AU$20:$AV$29))))</f>
        <v>0</v>
      </c>
      <c r="Z192" s="145">
        <f>IF(テーブル2[[#This Row],[立幅とび]]="",0,(IF(テーブル2[[#This Row],[性別]]="男",LOOKUP(テーブル2[[#This Row],[立幅とび]],$AW$6:$AX$15),LOOKUP(テーブル2[[#This Row],[立幅とび]],$AW$20:$AX$29))))</f>
        <v>0</v>
      </c>
      <c r="AA192" s="145">
        <f>IF(テーブル2[[#This Row],[ボール投げ]]="",0,(IF(テーブル2[[#This Row],[性別]]="男",LOOKUP(テーブル2[[#This Row],[ボール投げ]],$AY$6:$AZ$15),LOOKUP(テーブル2[[#This Row],[ボール投げ]],$AY$20:$AZ$29))))</f>
        <v>0</v>
      </c>
      <c r="AB192" s="146" t="str">
        <f>IF(テーブル2[[#This Row],[学年]]=1,12,IF(テーブル2[[#This Row],[学年]]=2,13,IF(テーブル2[[#This Row],[学年]]=3,14,"")))</f>
        <v/>
      </c>
      <c r="AC192" s="192" t="str">
        <f>IF(テーブル2[[#This Row],[肥満度数値]]=0,"",LOOKUP(AE192,$AW$39:$AW$44,$AX$39:$AX$44))</f>
        <v/>
      </c>
      <c r="AD19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2" s="77">
        <f>IF(テーブル2[[#This Row],[体重]]="",0,(テーブル2[[#This Row],[体重]]-テーブル2[[#This Row],[標準体重]])/テーブル2[[#This Row],[標準体重]]*100)</f>
        <v>0</v>
      </c>
      <c r="AF192" s="26">
        <f>COUNTA(テーブル2[[#This Row],[握力]:[ボール投げ]])</f>
        <v>0</v>
      </c>
      <c r="AG192" s="1" t="str">
        <f>IF(テーブル2[[#This Row],[判定]]=$BE$10,"○","")</f>
        <v/>
      </c>
      <c r="AH192" s="1" t="str">
        <f>IF(AG192="","",COUNTIF($AG$6:AG192,"○"))</f>
        <v/>
      </c>
    </row>
    <row r="193" spans="1:34" ht="14.25" customHeight="1" x14ac:dyDescent="0.15">
      <c r="A193" s="44">
        <v>188</v>
      </c>
      <c r="B193" s="148"/>
      <c r="C193" s="151"/>
      <c r="D193" s="148"/>
      <c r="E193" s="152"/>
      <c r="F193" s="148"/>
      <c r="G193" s="148"/>
      <c r="H193" s="150"/>
      <c r="I193" s="150"/>
      <c r="J193" s="151"/>
      <c r="K193" s="148"/>
      <c r="L193" s="196"/>
      <c r="M193" s="151"/>
      <c r="N193" s="197"/>
      <c r="O193" s="151"/>
      <c r="P193" s="153"/>
      <c r="Q19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3" s="144" t="str">
        <f>IF(テーブル2[[#This Row],[得点]]=0,"",IF(テーブル2[[#This Row],[年齢]]=17,LOOKUP(Q193,$BH$6:$BH$10,$BE$6:$BE$10),IF(テーブル2[[#This Row],[年齢]]=16,LOOKUP(Q193,$BG$6:$BG$10,$BE$6:$BE$10),IF(テーブル2[[#This Row],[年齢]]=15,LOOKUP(Q193,$BF$6:$BF$10,$BE$6:$BE$10),IF(テーブル2[[#This Row],[年齢]]=14,LOOKUP(Q193,$BD$6:$BD$10,$BE$6:$BE$10),IF(テーブル2[[#This Row],[年齢]]=13,LOOKUP(Q193,$BC$6:$BC$10,$BE$6:$BE$10),LOOKUP(Q193,$BB$6:$BB$10,$BE$6:$BE$10)))))))</f>
        <v/>
      </c>
      <c r="S193" s="145">
        <f>IF(H193="",0,(IF(テーブル2[[#This Row],[性別]]="男",LOOKUP(テーブル2[[#This Row],[握力]],$AI$6:$AJ$15),LOOKUP(テーブル2[[#This Row],[握力]],$AI$20:$AJ$29))))</f>
        <v>0</v>
      </c>
      <c r="T193" s="145">
        <f>IF(テーブル2[[#This Row],[上体]]="",0,(IF(テーブル2[[#This Row],[性別]]="男",LOOKUP(テーブル2[[#This Row],[上体]],$AK$6:$AL$15),LOOKUP(テーブル2[[#This Row],[上体]],$AK$20:$AL$29))))</f>
        <v>0</v>
      </c>
      <c r="U193" s="145">
        <f>IF(テーブル2[[#This Row],[長座]]="",0,(IF(テーブル2[[#This Row],[性別]]="男",LOOKUP(テーブル2[[#This Row],[長座]],$AM$6:$AN$15),LOOKUP(テーブル2[[#This Row],[長座]],$AM$20:$AN$29))))</f>
        <v>0</v>
      </c>
      <c r="V193" s="145">
        <f>IF(テーブル2[[#This Row],[反復]]="",0,(IF(テーブル2[[#This Row],[性別]]="男",LOOKUP(テーブル2[[#This Row],[反復]],$AO$6:$AP$15),LOOKUP(テーブル2[[#This Row],[反復]],$AO$20:$AP$29))))</f>
        <v>0</v>
      </c>
      <c r="W193" s="145">
        <f>IF(テーブル2[[#This Row],[持久走]]="",0,(IF(テーブル2[[#This Row],[性別]]="男",LOOKUP(テーブル2[[#This Row],[持久走]],$AQ$6:$AR$15),LOOKUP(テーブル2[[#This Row],[持久走]],$AQ$20:$AR$29))))</f>
        <v>0</v>
      </c>
      <c r="X193" s="145">
        <f>IF(テーブル2[[#This Row],[ｼｬﾄﾙﾗﾝ]]="",0,(IF(テーブル2[[#This Row],[性別]]="男",LOOKUP(テーブル2[[#This Row],[ｼｬﾄﾙﾗﾝ]],$AS$6:$AT$15),LOOKUP(テーブル2[[#This Row],[ｼｬﾄﾙﾗﾝ]],$AS$20:$AT$29))))</f>
        <v>0</v>
      </c>
      <c r="Y193" s="145">
        <f>IF(テーブル2[[#This Row],[50m走]]="",0,(IF(テーブル2[[#This Row],[性別]]="男",LOOKUP(テーブル2[[#This Row],[50m走]],$AU$6:$AV$15),LOOKUP(テーブル2[[#This Row],[50m走]],$AU$20:$AV$29))))</f>
        <v>0</v>
      </c>
      <c r="Z193" s="145">
        <f>IF(テーブル2[[#This Row],[立幅とび]]="",0,(IF(テーブル2[[#This Row],[性別]]="男",LOOKUP(テーブル2[[#This Row],[立幅とび]],$AW$6:$AX$15),LOOKUP(テーブル2[[#This Row],[立幅とび]],$AW$20:$AX$29))))</f>
        <v>0</v>
      </c>
      <c r="AA193" s="145">
        <f>IF(テーブル2[[#This Row],[ボール投げ]]="",0,(IF(テーブル2[[#This Row],[性別]]="男",LOOKUP(テーブル2[[#This Row],[ボール投げ]],$AY$6:$AZ$15),LOOKUP(テーブル2[[#This Row],[ボール投げ]],$AY$20:$AZ$29))))</f>
        <v>0</v>
      </c>
      <c r="AB193" s="146" t="str">
        <f>IF(テーブル2[[#This Row],[学年]]=1,12,IF(テーブル2[[#This Row],[学年]]=2,13,IF(テーブル2[[#This Row],[学年]]=3,14,"")))</f>
        <v/>
      </c>
      <c r="AC193" s="192" t="str">
        <f>IF(テーブル2[[#This Row],[肥満度数値]]=0,"",LOOKUP(AE193,$AW$39:$AW$44,$AX$39:$AX$44))</f>
        <v/>
      </c>
      <c r="AD19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3" s="77">
        <f>IF(テーブル2[[#This Row],[体重]]="",0,(テーブル2[[#This Row],[体重]]-テーブル2[[#This Row],[標準体重]])/テーブル2[[#This Row],[標準体重]]*100)</f>
        <v>0</v>
      </c>
      <c r="AF193" s="26">
        <f>COUNTA(テーブル2[[#This Row],[握力]:[ボール投げ]])</f>
        <v>0</v>
      </c>
      <c r="AG193" s="1" t="str">
        <f>IF(テーブル2[[#This Row],[判定]]=$BE$10,"○","")</f>
        <v/>
      </c>
      <c r="AH193" s="1" t="str">
        <f>IF(AG193="","",COUNTIF($AG$6:AG193,"○"))</f>
        <v/>
      </c>
    </row>
    <row r="194" spans="1:34" ht="14.25" customHeight="1" x14ac:dyDescent="0.15">
      <c r="A194" s="44">
        <v>189</v>
      </c>
      <c r="B194" s="148"/>
      <c r="C194" s="151"/>
      <c r="D194" s="148"/>
      <c r="E194" s="152"/>
      <c r="F194" s="148"/>
      <c r="G194" s="148"/>
      <c r="H194" s="150"/>
      <c r="I194" s="150"/>
      <c r="J194" s="151"/>
      <c r="K194" s="148"/>
      <c r="L194" s="196"/>
      <c r="M194" s="151"/>
      <c r="N194" s="197"/>
      <c r="O194" s="151"/>
      <c r="P194" s="153"/>
      <c r="Q19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4" s="144" t="str">
        <f>IF(テーブル2[[#This Row],[得点]]=0,"",IF(テーブル2[[#This Row],[年齢]]=17,LOOKUP(Q194,$BH$6:$BH$10,$BE$6:$BE$10),IF(テーブル2[[#This Row],[年齢]]=16,LOOKUP(Q194,$BG$6:$BG$10,$BE$6:$BE$10),IF(テーブル2[[#This Row],[年齢]]=15,LOOKUP(Q194,$BF$6:$BF$10,$BE$6:$BE$10),IF(テーブル2[[#This Row],[年齢]]=14,LOOKUP(Q194,$BD$6:$BD$10,$BE$6:$BE$10),IF(テーブル2[[#This Row],[年齢]]=13,LOOKUP(Q194,$BC$6:$BC$10,$BE$6:$BE$10),LOOKUP(Q194,$BB$6:$BB$10,$BE$6:$BE$10)))))))</f>
        <v/>
      </c>
      <c r="S194" s="145">
        <f>IF(H194="",0,(IF(テーブル2[[#This Row],[性別]]="男",LOOKUP(テーブル2[[#This Row],[握力]],$AI$6:$AJ$15),LOOKUP(テーブル2[[#This Row],[握力]],$AI$20:$AJ$29))))</f>
        <v>0</v>
      </c>
      <c r="T194" s="145">
        <f>IF(テーブル2[[#This Row],[上体]]="",0,(IF(テーブル2[[#This Row],[性別]]="男",LOOKUP(テーブル2[[#This Row],[上体]],$AK$6:$AL$15),LOOKUP(テーブル2[[#This Row],[上体]],$AK$20:$AL$29))))</f>
        <v>0</v>
      </c>
      <c r="U194" s="145">
        <f>IF(テーブル2[[#This Row],[長座]]="",0,(IF(テーブル2[[#This Row],[性別]]="男",LOOKUP(テーブル2[[#This Row],[長座]],$AM$6:$AN$15),LOOKUP(テーブル2[[#This Row],[長座]],$AM$20:$AN$29))))</f>
        <v>0</v>
      </c>
      <c r="V194" s="145">
        <f>IF(テーブル2[[#This Row],[反復]]="",0,(IF(テーブル2[[#This Row],[性別]]="男",LOOKUP(テーブル2[[#This Row],[反復]],$AO$6:$AP$15),LOOKUP(テーブル2[[#This Row],[反復]],$AO$20:$AP$29))))</f>
        <v>0</v>
      </c>
      <c r="W194" s="145">
        <f>IF(テーブル2[[#This Row],[持久走]]="",0,(IF(テーブル2[[#This Row],[性別]]="男",LOOKUP(テーブル2[[#This Row],[持久走]],$AQ$6:$AR$15),LOOKUP(テーブル2[[#This Row],[持久走]],$AQ$20:$AR$29))))</f>
        <v>0</v>
      </c>
      <c r="X194" s="145">
        <f>IF(テーブル2[[#This Row],[ｼｬﾄﾙﾗﾝ]]="",0,(IF(テーブル2[[#This Row],[性別]]="男",LOOKUP(テーブル2[[#This Row],[ｼｬﾄﾙﾗﾝ]],$AS$6:$AT$15),LOOKUP(テーブル2[[#This Row],[ｼｬﾄﾙﾗﾝ]],$AS$20:$AT$29))))</f>
        <v>0</v>
      </c>
      <c r="Y194" s="145">
        <f>IF(テーブル2[[#This Row],[50m走]]="",0,(IF(テーブル2[[#This Row],[性別]]="男",LOOKUP(テーブル2[[#This Row],[50m走]],$AU$6:$AV$15),LOOKUP(テーブル2[[#This Row],[50m走]],$AU$20:$AV$29))))</f>
        <v>0</v>
      </c>
      <c r="Z194" s="145">
        <f>IF(テーブル2[[#This Row],[立幅とび]]="",0,(IF(テーブル2[[#This Row],[性別]]="男",LOOKUP(テーブル2[[#This Row],[立幅とび]],$AW$6:$AX$15),LOOKUP(テーブル2[[#This Row],[立幅とび]],$AW$20:$AX$29))))</f>
        <v>0</v>
      </c>
      <c r="AA194" s="145">
        <f>IF(テーブル2[[#This Row],[ボール投げ]]="",0,(IF(テーブル2[[#This Row],[性別]]="男",LOOKUP(テーブル2[[#This Row],[ボール投げ]],$AY$6:$AZ$15),LOOKUP(テーブル2[[#This Row],[ボール投げ]],$AY$20:$AZ$29))))</f>
        <v>0</v>
      </c>
      <c r="AB194" s="146" t="str">
        <f>IF(テーブル2[[#This Row],[学年]]=1,12,IF(テーブル2[[#This Row],[学年]]=2,13,IF(テーブル2[[#This Row],[学年]]=3,14,"")))</f>
        <v/>
      </c>
      <c r="AC194" s="192" t="str">
        <f>IF(テーブル2[[#This Row],[肥満度数値]]=0,"",LOOKUP(AE194,$AW$39:$AW$44,$AX$39:$AX$44))</f>
        <v/>
      </c>
      <c r="AD19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4" s="77">
        <f>IF(テーブル2[[#This Row],[体重]]="",0,(テーブル2[[#This Row],[体重]]-テーブル2[[#This Row],[標準体重]])/テーブル2[[#This Row],[標準体重]]*100)</f>
        <v>0</v>
      </c>
      <c r="AF194" s="26">
        <f>COUNTA(テーブル2[[#This Row],[握力]:[ボール投げ]])</f>
        <v>0</v>
      </c>
      <c r="AG194" s="1" t="str">
        <f>IF(テーブル2[[#This Row],[判定]]=$BE$10,"○","")</f>
        <v/>
      </c>
      <c r="AH194" s="1" t="str">
        <f>IF(AG194="","",COUNTIF($AG$6:AG194,"○"))</f>
        <v/>
      </c>
    </row>
    <row r="195" spans="1:34" ht="14.25" customHeight="1" x14ac:dyDescent="0.15">
      <c r="A195" s="44">
        <v>190</v>
      </c>
      <c r="B195" s="148"/>
      <c r="C195" s="151"/>
      <c r="D195" s="148"/>
      <c r="E195" s="152"/>
      <c r="F195" s="148"/>
      <c r="G195" s="148"/>
      <c r="H195" s="150"/>
      <c r="I195" s="150"/>
      <c r="J195" s="151"/>
      <c r="K195" s="148"/>
      <c r="L195" s="196"/>
      <c r="M195" s="151"/>
      <c r="N195" s="197"/>
      <c r="O195" s="151"/>
      <c r="P195" s="153"/>
      <c r="Q19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5" s="144" t="str">
        <f>IF(テーブル2[[#This Row],[得点]]=0,"",IF(テーブル2[[#This Row],[年齢]]=17,LOOKUP(Q195,$BH$6:$BH$10,$BE$6:$BE$10),IF(テーブル2[[#This Row],[年齢]]=16,LOOKUP(Q195,$BG$6:$BG$10,$BE$6:$BE$10),IF(テーブル2[[#This Row],[年齢]]=15,LOOKUP(Q195,$BF$6:$BF$10,$BE$6:$BE$10),IF(テーブル2[[#This Row],[年齢]]=14,LOOKUP(Q195,$BD$6:$BD$10,$BE$6:$BE$10),IF(テーブル2[[#This Row],[年齢]]=13,LOOKUP(Q195,$BC$6:$BC$10,$BE$6:$BE$10),LOOKUP(Q195,$BB$6:$BB$10,$BE$6:$BE$10)))))))</f>
        <v/>
      </c>
      <c r="S195" s="145">
        <f>IF(H195="",0,(IF(テーブル2[[#This Row],[性別]]="男",LOOKUP(テーブル2[[#This Row],[握力]],$AI$6:$AJ$15),LOOKUP(テーブル2[[#This Row],[握力]],$AI$20:$AJ$29))))</f>
        <v>0</v>
      </c>
      <c r="T195" s="145">
        <f>IF(テーブル2[[#This Row],[上体]]="",0,(IF(テーブル2[[#This Row],[性別]]="男",LOOKUP(テーブル2[[#This Row],[上体]],$AK$6:$AL$15),LOOKUP(テーブル2[[#This Row],[上体]],$AK$20:$AL$29))))</f>
        <v>0</v>
      </c>
      <c r="U195" s="145">
        <f>IF(テーブル2[[#This Row],[長座]]="",0,(IF(テーブル2[[#This Row],[性別]]="男",LOOKUP(テーブル2[[#This Row],[長座]],$AM$6:$AN$15),LOOKUP(テーブル2[[#This Row],[長座]],$AM$20:$AN$29))))</f>
        <v>0</v>
      </c>
      <c r="V195" s="145">
        <f>IF(テーブル2[[#This Row],[反復]]="",0,(IF(テーブル2[[#This Row],[性別]]="男",LOOKUP(テーブル2[[#This Row],[反復]],$AO$6:$AP$15),LOOKUP(テーブル2[[#This Row],[反復]],$AO$20:$AP$29))))</f>
        <v>0</v>
      </c>
      <c r="W195" s="145">
        <f>IF(テーブル2[[#This Row],[持久走]]="",0,(IF(テーブル2[[#This Row],[性別]]="男",LOOKUP(テーブル2[[#This Row],[持久走]],$AQ$6:$AR$15),LOOKUP(テーブル2[[#This Row],[持久走]],$AQ$20:$AR$29))))</f>
        <v>0</v>
      </c>
      <c r="X195" s="145">
        <f>IF(テーブル2[[#This Row],[ｼｬﾄﾙﾗﾝ]]="",0,(IF(テーブル2[[#This Row],[性別]]="男",LOOKUP(テーブル2[[#This Row],[ｼｬﾄﾙﾗﾝ]],$AS$6:$AT$15),LOOKUP(テーブル2[[#This Row],[ｼｬﾄﾙﾗﾝ]],$AS$20:$AT$29))))</f>
        <v>0</v>
      </c>
      <c r="Y195" s="145">
        <f>IF(テーブル2[[#This Row],[50m走]]="",0,(IF(テーブル2[[#This Row],[性別]]="男",LOOKUP(テーブル2[[#This Row],[50m走]],$AU$6:$AV$15),LOOKUP(テーブル2[[#This Row],[50m走]],$AU$20:$AV$29))))</f>
        <v>0</v>
      </c>
      <c r="Z195" s="145">
        <f>IF(テーブル2[[#This Row],[立幅とび]]="",0,(IF(テーブル2[[#This Row],[性別]]="男",LOOKUP(テーブル2[[#This Row],[立幅とび]],$AW$6:$AX$15),LOOKUP(テーブル2[[#This Row],[立幅とび]],$AW$20:$AX$29))))</f>
        <v>0</v>
      </c>
      <c r="AA195" s="145">
        <f>IF(テーブル2[[#This Row],[ボール投げ]]="",0,(IF(テーブル2[[#This Row],[性別]]="男",LOOKUP(テーブル2[[#This Row],[ボール投げ]],$AY$6:$AZ$15),LOOKUP(テーブル2[[#This Row],[ボール投げ]],$AY$20:$AZ$29))))</f>
        <v>0</v>
      </c>
      <c r="AB195" s="146" t="str">
        <f>IF(テーブル2[[#This Row],[学年]]=1,12,IF(テーブル2[[#This Row],[学年]]=2,13,IF(テーブル2[[#This Row],[学年]]=3,14,"")))</f>
        <v/>
      </c>
      <c r="AC195" s="192" t="str">
        <f>IF(テーブル2[[#This Row],[肥満度数値]]=0,"",LOOKUP(AE195,$AW$39:$AW$44,$AX$39:$AX$44))</f>
        <v/>
      </c>
      <c r="AD19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5" s="77">
        <f>IF(テーブル2[[#This Row],[体重]]="",0,(テーブル2[[#This Row],[体重]]-テーブル2[[#This Row],[標準体重]])/テーブル2[[#This Row],[標準体重]]*100)</f>
        <v>0</v>
      </c>
      <c r="AF195" s="26">
        <f>COUNTA(テーブル2[[#This Row],[握力]:[ボール投げ]])</f>
        <v>0</v>
      </c>
      <c r="AG195" s="1" t="str">
        <f>IF(テーブル2[[#This Row],[判定]]=$BE$10,"○","")</f>
        <v/>
      </c>
      <c r="AH195" s="1" t="str">
        <f>IF(AG195="","",COUNTIF($AG$6:AG195,"○"))</f>
        <v/>
      </c>
    </row>
    <row r="196" spans="1:34" ht="14.25" customHeight="1" x14ac:dyDescent="0.15">
      <c r="A196" s="44">
        <v>191</v>
      </c>
      <c r="B196" s="148"/>
      <c r="C196" s="151"/>
      <c r="D196" s="148"/>
      <c r="E196" s="152"/>
      <c r="F196" s="148"/>
      <c r="G196" s="148"/>
      <c r="H196" s="150"/>
      <c r="I196" s="150"/>
      <c r="J196" s="151"/>
      <c r="K196" s="148"/>
      <c r="L196" s="196"/>
      <c r="M196" s="151"/>
      <c r="N196" s="197"/>
      <c r="O196" s="151"/>
      <c r="P196" s="153"/>
      <c r="Q19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6" s="144" t="str">
        <f>IF(テーブル2[[#This Row],[得点]]=0,"",IF(テーブル2[[#This Row],[年齢]]=17,LOOKUP(Q196,$BH$6:$BH$10,$BE$6:$BE$10),IF(テーブル2[[#This Row],[年齢]]=16,LOOKUP(Q196,$BG$6:$BG$10,$BE$6:$BE$10),IF(テーブル2[[#This Row],[年齢]]=15,LOOKUP(Q196,$BF$6:$BF$10,$BE$6:$BE$10),IF(テーブル2[[#This Row],[年齢]]=14,LOOKUP(Q196,$BD$6:$BD$10,$BE$6:$BE$10),IF(テーブル2[[#This Row],[年齢]]=13,LOOKUP(Q196,$BC$6:$BC$10,$BE$6:$BE$10),LOOKUP(Q196,$BB$6:$BB$10,$BE$6:$BE$10)))))))</f>
        <v/>
      </c>
      <c r="S196" s="145">
        <f>IF(H196="",0,(IF(テーブル2[[#This Row],[性別]]="男",LOOKUP(テーブル2[[#This Row],[握力]],$AI$6:$AJ$15),LOOKUP(テーブル2[[#This Row],[握力]],$AI$20:$AJ$29))))</f>
        <v>0</v>
      </c>
      <c r="T196" s="145">
        <f>IF(テーブル2[[#This Row],[上体]]="",0,(IF(テーブル2[[#This Row],[性別]]="男",LOOKUP(テーブル2[[#This Row],[上体]],$AK$6:$AL$15),LOOKUP(テーブル2[[#This Row],[上体]],$AK$20:$AL$29))))</f>
        <v>0</v>
      </c>
      <c r="U196" s="145">
        <f>IF(テーブル2[[#This Row],[長座]]="",0,(IF(テーブル2[[#This Row],[性別]]="男",LOOKUP(テーブル2[[#This Row],[長座]],$AM$6:$AN$15),LOOKUP(テーブル2[[#This Row],[長座]],$AM$20:$AN$29))))</f>
        <v>0</v>
      </c>
      <c r="V196" s="145">
        <f>IF(テーブル2[[#This Row],[反復]]="",0,(IF(テーブル2[[#This Row],[性別]]="男",LOOKUP(テーブル2[[#This Row],[反復]],$AO$6:$AP$15),LOOKUP(テーブル2[[#This Row],[反復]],$AO$20:$AP$29))))</f>
        <v>0</v>
      </c>
      <c r="W196" s="145">
        <f>IF(テーブル2[[#This Row],[持久走]]="",0,(IF(テーブル2[[#This Row],[性別]]="男",LOOKUP(テーブル2[[#This Row],[持久走]],$AQ$6:$AR$15),LOOKUP(テーブル2[[#This Row],[持久走]],$AQ$20:$AR$29))))</f>
        <v>0</v>
      </c>
      <c r="X196" s="145">
        <f>IF(テーブル2[[#This Row],[ｼｬﾄﾙﾗﾝ]]="",0,(IF(テーブル2[[#This Row],[性別]]="男",LOOKUP(テーブル2[[#This Row],[ｼｬﾄﾙﾗﾝ]],$AS$6:$AT$15),LOOKUP(テーブル2[[#This Row],[ｼｬﾄﾙﾗﾝ]],$AS$20:$AT$29))))</f>
        <v>0</v>
      </c>
      <c r="Y196" s="145">
        <f>IF(テーブル2[[#This Row],[50m走]]="",0,(IF(テーブル2[[#This Row],[性別]]="男",LOOKUP(テーブル2[[#This Row],[50m走]],$AU$6:$AV$15),LOOKUP(テーブル2[[#This Row],[50m走]],$AU$20:$AV$29))))</f>
        <v>0</v>
      </c>
      <c r="Z196" s="145">
        <f>IF(テーブル2[[#This Row],[立幅とび]]="",0,(IF(テーブル2[[#This Row],[性別]]="男",LOOKUP(テーブル2[[#This Row],[立幅とび]],$AW$6:$AX$15),LOOKUP(テーブル2[[#This Row],[立幅とび]],$AW$20:$AX$29))))</f>
        <v>0</v>
      </c>
      <c r="AA196" s="145">
        <f>IF(テーブル2[[#This Row],[ボール投げ]]="",0,(IF(テーブル2[[#This Row],[性別]]="男",LOOKUP(テーブル2[[#This Row],[ボール投げ]],$AY$6:$AZ$15),LOOKUP(テーブル2[[#This Row],[ボール投げ]],$AY$20:$AZ$29))))</f>
        <v>0</v>
      </c>
      <c r="AB196" s="146" t="str">
        <f>IF(テーブル2[[#This Row],[学年]]=1,12,IF(テーブル2[[#This Row],[学年]]=2,13,IF(テーブル2[[#This Row],[学年]]=3,14,"")))</f>
        <v/>
      </c>
      <c r="AC196" s="192" t="str">
        <f>IF(テーブル2[[#This Row],[肥満度数値]]=0,"",LOOKUP(AE196,$AW$39:$AW$44,$AX$39:$AX$44))</f>
        <v/>
      </c>
      <c r="AD19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6" s="77">
        <f>IF(テーブル2[[#This Row],[体重]]="",0,(テーブル2[[#This Row],[体重]]-テーブル2[[#This Row],[標準体重]])/テーブル2[[#This Row],[標準体重]]*100)</f>
        <v>0</v>
      </c>
      <c r="AF196" s="26">
        <f>COUNTA(テーブル2[[#This Row],[握力]:[ボール投げ]])</f>
        <v>0</v>
      </c>
      <c r="AG196" s="1" t="str">
        <f>IF(テーブル2[[#This Row],[判定]]=$BE$10,"○","")</f>
        <v/>
      </c>
      <c r="AH196" s="1" t="str">
        <f>IF(AG196="","",COUNTIF($AG$6:AG196,"○"))</f>
        <v/>
      </c>
    </row>
    <row r="197" spans="1:34" ht="14.25" customHeight="1" x14ac:dyDescent="0.15">
      <c r="A197" s="44">
        <v>192</v>
      </c>
      <c r="B197" s="148"/>
      <c r="C197" s="151"/>
      <c r="D197" s="148"/>
      <c r="E197" s="152"/>
      <c r="F197" s="148"/>
      <c r="G197" s="148"/>
      <c r="H197" s="150"/>
      <c r="I197" s="150"/>
      <c r="J197" s="151"/>
      <c r="K197" s="148"/>
      <c r="L197" s="196"/>
      <c r="M197" s="151"/>
      <c r="N197" s="197"/>
      <c r="O197" s="151"/>
      <c r="P197" s="153"/>
      <c r="Q19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7" s="144" t="str">
        <f>IF(テーブル2[[#This Row],[得点]]=0,"",IF(テーブル2[[#This Row],[年齢]]=17,LOOKUP(Q197,$BH$6:$BH$10,$BE$6:$BE$10),IF(テーブル2[[#This Row],[年齢]]=16,LOOKUP(Q197,$BG$6:$BG$10,$BE$6:$BE$10),IF(テーブル2[[#This Row],[年齢]]=15,LOOKUP(Q197,$BF$6:$BF$10,$BE$6:$BE$10),IF(テーブル2[[#This Row],[年齢]]=14,LOOKUP(Q197,$BD$6:$BD$10,$BE$6:$BE$10),IF(テーブル2[[#This Row],[年齢]]=13,LOOKUP(Q197,$BC$6:$BC$10,$BE$6:$BE$10),LOOKUP(Q197,$BB$6:$BB$10,$BE$6:$BE$10)))))))</f>
        <v/>
      </c>
      <c r="S197" s="145">
        <f>IF(H197="",0,(IF(テーブル2[[#This Row],[性別]]="男",LOOKUP(テーブル2[[#This Row],[握力]],$AI$6:$AJ$15),LOOKUP(テーブル2[[#This Row],[握力]],$AI$20:$AJ$29))))</f>
        <v>0</v>
      </c>
      <c r="T197" s="145">
        <f>IF(テーブル2[[#This Row],[上体]]="",0,(IF(テーブル2[[#This Row],[性別]]="男",LOOKUP(テーブル2[[#This Row],[上体]],$AK$6:$AL$15),LOOKUP(テーブル2[[#This Row],[上体]],$AK$20:$AL$29))))</f>
        <v>0</v>
      </c>
      <c r="U197" s="145">
        <f>IF(テーブル2[[#This Row],[長座]]="",0,(IF(テーブル2[[#This Row],[性別]]="男",LOOKUP(テーブル2[[#This Row],[長座]],$AM$6:$AN$15),LOOKUP(テーブル2[[#This Row],[長座]],$AM$20:$AN$29))))</f>
        <v>0</v>
      </c>
      <c r="V197" s="145">
        <f>IF(テーブル2[[#This Row],[反復]]="",0,(IF(テーブル2[[#This Row],[性別]]="男",LOOKUP(テーブル2[[#This Row],[反復]],$AO$6:$AP$15),LOOKUP(テーブル2[[#This Row],[反復]],$AO$20:$AP$29))))</f>
        <v>0</v>
      </c>
      <c r="W197" s="145">
        <f>IF(テーブル2[[#This Row],[持久走]]="",0,(IF(テーブル2[[#This Row],[性別]]="男",LOOKUP(テーブル2[[#This Row],[持久走]],$AQ$6:$AR$15),LOOKUP(テーブル2[[#This Row],[持久走]],$AQ$20:$AR$29))))</f>
        <v>0</v>
      </c>
      <c r="X197" s="145">
        <f>IF(テーブル2[[#This Row],[ｼｬﾄﾙﾗﾝ]]="",0,(IF(テーブル2[[#This Row],[性別]]="男",LOOKUP(テーブル2[[#This Row],[ｼｬﾄﾙﾗﾝ]],$AS$6:$AT$15),LOOKUP(テーブル2[[#This Row],[ｼｬﾄﾙﾗﾝ]],$AS$20:$AT$29))))</f>
        <v>0</v>
      </c>
      <c r="Y197" s="145">
        <f>IF(テーブル2[[#This Row],[50m走]]="",0,(IF(テーブル2[[#This Row],[性別]]="男",LOOKUP(テーブル2[[#This Row],[50m走]],$AU$6:$AV$15),LOOKUP(テーブル2[[#This Row],[50m走]],$AU$20:$AV$29))))</f>
        <v>0</v>
      </c>
      <c r="Z197" s="145">
        <f>IF(テーブル2[[#This Row],[立幅とび]]="",0,(IF(テーブル2[[#This Row],[性別]]="男",LOOKUP(テーブル2[[#This Row],[立幅とび]],$AW$6:$AX$15),LOOKUP(テーブル2[[#This Row],[立幅とび]],$AW$20:$AX$29))))</f>
        <v>0</v>
      </c>
      <c r="AA197" s="145">
        <f>IF(テーブル2[[#This Row],[ボール投げ]]="",0,(IF(テーブル2[[#This Row],[性別]]="男",LOOKUP(テーブル2[[#This Row],[ボール投げ]],$AY$6:$AZ$15),LOOKUP(テーブル2[[#This Row],[ボール投げ]],$AY$20:$AZ$29))))</f>
        <v>0</v>
      </c>
      <c r="AB197" s="146" t="str">
        <f>IF(テーブル2[[#This Row],[学年]]=1,12,IF(テーブル2[[#This Row],[学年]]=2,13,IF(テーブル2[[#This Row],[学年]]=3,14,"")))</f>
        <v/>
      </c>
      <c r="AC197" s="192" t="str">
        <f>IF(テーブル2[[#This Row],[肥満度数値]]=0,"",LOOKUP(AE197,$AW$39:$AW$44,$AX$39:$AX$44))</f>
        <v/>
      </c>
      <c r="AD19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7" s="77">
        <f>IF(テーブル2[[#This Row],[体重]]="",0,(テーブル2[[#This Row],[体重]]-テーブル2[[#This Row],[標準体重]])/テーブル2[[#This Row],[標準体重]]*100)</f>
        <v>0</v>
      </c>
      <c r="AF197" s="26">
        <f>COUNTA(テーブル2[[#This Row],[握力]:[ボール投げ]])</f>
        <v>0</v>
      </c>
      <c r="AG197" s="1" t="str">
        <f>IF(テーブル2[[#This Row],[判定]]=$BE$10,"○","")</f>
        <v/>
      </c>
      <c r="AH197" s="1" t="str">
        <f>IF(AG197="","",COUNTIF($AG$6:AG197,"○"))</f>
        <v/>
      </c>
    </row>
    <row r="198" spans="1:34" ht="14.25" customHeight="1" x14ac:dyDescent="0.15">
      <c r="A198" s="44">
        <v>193</v>
      </c>
      <c r="B198" s="148"/>
      <c r="C198" s="151"/>
      <c r="D198" s="148"/>
      <c r="E198" s="152"/>
      <c r="F198" s="148"/>
      <c r="G198" s="148"/>
      <c r="H198" s="150"/>
      <c r="I198" s="150"/>
      <c r="J198" s="151"/>
      <c r="K198" s="148"/>
      <c r="L198" s="196"/>
      <c r="M198" s="151"/>
      <c r="N198" s="197"/>
      <c r="O198" s="151"/>
      <c r="P198" s="153"/>
      <c r="Q19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8" s="144" t="str">
        <f>IF(テーブル2[[#This Row],[得点]]=0,"",IF(テーブル2[[#This Row],[年齢]]=17,LOOKUP(Q198,$BH$6:$BH$10,$BE$6:$BE$10),IF(テーブル2[[#This Row],[年齢]]=16,LOOKUP(Q198,$BG$6:$BG$10,$BE$6:$BE$10),IF(テーブル2[[#This Row],[年齢]]=15,LOOKUP(Q198,$BF$6:$BF$10,$BE$6:$BE$10),IF(テーブル2[[#This Row],[年齢]]=14,LOOKUP(Q198,$BD$6:$BD$10,$BE$6:$BE$10),IF(テーブル2[[#This Row],[年齢]]=13,LOOKUP(Q198,$BC$6:$BC$10,$BE$6:$BE$10),LOOKUP(Q198,$BB$6:$BB$10,$BE$6:$BE$10)))))))</f>
        <v/>
      </c>
      <c r="S198" s="145">
        <f>IF(H198="",0,(IF(テーブル2[[#This Row],[性別]]="男",LOOKUP(テーブル2[[#This Row],[握力]],$AI$6:$AJ$15),LOOKUP(テーブル2[[#This Row],[握力]],$AI$20:$AJ$29))))</f>
        <v>0</v>
      </c>
      <c r="T198" s="145">
        <f>IF(テーブル2[[#This Row],[上体]]="",0,(IF(テーブル2[[#This Row],[性別]]="男",LOOKUP(テーブル2[[#This Row],[上体]],$AK$6:$AL$15),LOOKUP(テーブル2[[#This Row],[上体]],$AK$20:$AL$29))))</f>
        <v>0</v>
      </c>
      <c r="U198" s="145">
        <f>IF(テーブル2[[#This Row],[長座]]="",0,(IF(テーブル2[[#This Row],[性別]]="男",LOOKUP(テーブル2[[#This Row],[長座]],$AM$6:$AN$15),LOOKUP(テーブル2[[#This Row],[長座]],$AM$20:$AN$29))))</f>
        <v>0</v>
      </c>
      <c r="V198" s="145">
        <f>IF(テーブル2[[#This Row],[反復]]="",0,(IF(テーブル2[[#This Row],[性別]]="男",LOOKUP(テーブル2[[#This Row],[反復]],$AO$6:$AP$15),LOOKUP(テーブル2[[#This Row],[反復]],$AO$20:$AP$29))))</f>
        <v>0</v>
      </c>
      <c r="W198" s="145">
        <f>IF(テーブル2[[#This Row],[持久走]]="",0,(IF(テーブル2[[#This Row],[性別]]="男",LOOKUP(テーブル2[[#This Row],[持久走]],$AQ$6:$AR$15),LOOKUP(テーブル2[[#This Row],[持久走]],$AQ$20:$AR$29))))</f>
        <v>0</v>
      </c>
      <c r="X198" s="145">
        <f>IF(テーブル2[[#This Row],[ｼｬﾄﾙﾗﾝ]]="",0,(IF(テーブル2[[#This Row],[性別]]="男",LOOKUP(テーブル2[[#This Row],[ｼｬﾄﾙﾗﾝ]],$AS$6:$AT$15),LOOKUP(テーブル2[[#This Row],[ｼｬﾄﾙﾗﾝ]],$AS$20:$AT$29))))</f>
        <v>0</v>
      </c>
      <c r="Y198" s="145">
        <f>IF(テーブル2[[#This Row],[50m走]]="",0,(IF(テーブル2[[#This Row],[性別]]="男",LOOKUP(テーブル2[[#This Row],[50m走]],$AU$6:$AV$15),LOOKUP(テーブル2[[#This Row],[50m走]],$AU$20:$AV$29))))</f>
        <v>0</v>
      </c>
      <c r="Z198" s="145">
        <f>IF(テーブル2[[#This Row],[立幅とび]]="",0,(IF(テーブル2[[#This Row],[性別]]="男",LOOKUP(テーブル2[[#This Row],[立幅とび]],$AW$6:$AX$15),LOOKUP(テーブル2[[#This Row],[立幅とび]],$AW$20:$AX$29))))</f>
        <v>0</v>
      </c>
      <c r="AA198" s="145">
        <f>IF(テーブル2[[#This Row],[ボール投げ]]="",0,(IF(テーブル2[[#This Row],[性別]]="男",LOOKUP(テーブル2[[#This Row],[ボール投げ]],$AY$6:$AZ$15),LOOKUP(テーブル2[[#This Row],[ボール投げ]],$AY$20:$AZ$29))))</f>
        <v>0</v>
      </c>
      <c r="AB198" s="146" t="str">
        <f>IF(テーブル2[[#This Row],[学年]]=1,12,IF(テーブル2[[#This Row],[学年]]=2,13,IF(テーブル2[[#This Row],[学年]]=3,14,"")))</f>
        <v/>
      </c>
      <c r="AC198" s="192" t="str">
        <f>IF(テーブル2[[#This Row],[肥満度数値]]=0,"",LOOKUP(AE198,$AW$39:$AW$44,$AX$39:$AX$44))</f>
        <v/>
      </c>
      <c r="AD19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8" s="77">
        <f>IF(テーブル2[[#This Row],[体重]]="",0,(テーブル2[[#This Row],[体重]]-テーブル2[[#This Row],[標準体重]])/テーブル2[[#This Row],[標準体重]]*100)</f>
        <v>0</v>
      </c>
      <c r="AF198" s="26">
        <f>COUNTA(テーブル2[[#This Row],[握力]:[ボール投げ]])</f>
        <v>0</v>
      </c>
      <c r="AG198" s="1" t="str">
        <f>IF(テーブル2[[#This Row],[判定]]=$BE$10,"○","")</f>
        <v/>
      </c>
      <c r="AH198" s="1" t="str">
        <f>IF(AG198="","",COUNTIF($AG$6:AG198,"○"))</f>
        <v/>
      </c>
    </row>
    <row r="199" spans="1:34" ht="14.25" customHeight="1" x14ac:dyDescent="0.15">
      <c r="A199" s="44">
        <v>194</v>
      </c>
      <c r="B199" s="148"/>
      <c r="C199" s="151"/>
      <c r="D199" s="148"/>
      <c r="E199" s="152"/>
      <c r="F199" s="148"/>
      <c r="G199" s="148"/>
      <c r="H199" s="150"/>
      <c r="I199" s="150"/>
      <c r="J199" s="151"/>
      <c r="K199" s="148"/>
      <c r="L199" s="196"/>
      <c r="M199" s="151"/>
      <c r="N199" s="197"/>
      <c r="O199" s="151"/>
      <c r="P199" s="153"/>
      <c r="Q19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9" s="144" t="str">
        <f>IF(テーブル2[[#This Row],[得点]]=0,"",IF(テーブル2[[#This Row],[年齢]]=17,LOOKUP(Q199,$BH$6:$BH$10,$BE$6:$BE$10),IF(テーブル2[[#This Row],[年齢]]=16,LOOKUP(Q199,$BG$6:$BG$10,$BE$6:$BE$10),IF(テーブル2[[#This Row],[年齢]]=15,LOOKUP(Q199,$BF$6:$BF$10,$BE$6:$BE$10),IF(テーブル2[[#This Row],[年齢]]=14,LOOKUP(Q199,$BD$6:$BD$10,$BE$6:$BE$10),IF(テーブル2[[#This Row],[年齢]]=13,LOOKUP(Q199,$BC$6:$BC$10,$BE$6:$BE$10),LOOKUP(Q199,$BB$6:$BB$10,$BE$6:$BE$10)))))))</f>
        <v/>
      </c>
      <c r="S199" s="145">
        <f>IF(H199="",0,(IF(テーブル2[[#This Row],[性別]]="男",LOOKUP(テーブル2[[#This Row],[握力]],$AI$6:$AJ$15),LOOKUP(テーブル2[[#This Row],[握力]],$AI$20:$AJ$29))))</f>
        <v>0</v>
      </c>
      <c r="T199" s="145">
        <f>IF(テーブル2[[#This Row],[上体]]="",0,(IF(テーブル2[[#This Row],[性別]]="男",LOOKUP(テーブル2[[#This Row],[上体]],$AK$6:$AL$15),LOOKUP(テーブル2[[#This Row],[上体]],$AK$20:$AL$29))))</f>
        <v>0</v>
      </c>
      <c r="U199" s="145">
        <f>IF(テーブル2[[#This Row],[長座]]="",0,(IF(テーブル2[[#This Row],[性別]]="男",LOOKUP(テーブル2[[#This Row],[長座]],$AM$6:$AN$15),LOOKUP(テーブル2[[#This Row],[長座]],$AM$20:$AN$29))))</f>
        <v>0</v>
      </c>
      <c r="V199" s="145">
        <f>IF(テーブル2[[#This Row],[反復]]="",0,(IF(テーブル2[[#This Row],[性別]]="男",LOOKUP(テーブル2[[#This Row],[反復]],$AO$6:$AP$15),LOOKUP(テーブル2[[#This Row],[反復]],$AO$20:$AP$29))))</f>
        <v>0</v>
      </c>
      <c r="W199" s="145">
        <f>IF(テーブル2[[#This Row],[持久走]]="",0,(IF(テーブル2[[#This Row],[性別]]="男",LOOKUP(テーブル2[[#This Row],[持久走]],$AQ$6:$AR$15),LOOKUP(テーブル2[[#This Row],[持久走]],$AQ$20:$AR$29))))</f>
        <v>0</v>
      </c>
      <c r="X199" s="145">
        <f>IF(テーブル2[[#This Row],[ｼｬﾄﾙﾗﾝ]]="",0,(IF(テーブル2[[#This Row],[性別]]="男",LOOKUP(テーブル2[[#This Row],[ｼｬﾄﾙﾗﾝ]],$AS$6:$AT$15),LOOKUP(テーブル2[[#This Row],[ｼｬﾄﾙﾗﾝ]],$AS$20:$AT$29))))</f>
        <v>0</v>
      </c>
      <c r="Y199" s="145">
        <f>IF(テーブル2[[#This Row],[50m走]]="",0,(IF(テーブル2[[#This Row],[性別]]="男",LOOKUP(テーブル2[[#This Row],[50m走]],$AU$6:$AV$15),LOOKUP(テーブル2[[#This Row],[50m走]],$AU$20:$AV$29))))</f>
        <v>0</v>
      </c>
      <c r="Z199" s="145">
        <f>IF(テーブル2[[#This Row],[立幅とび]]="",0,(IF(テーブル2[[#This Row],[性別]]="男",LOOKUP(テーブル2[[#This Row],[立幅とび]],$AW$6:$AX$15),LOOKUP(テーブル2[[#This Row],[立幅とび]],$AW$20:$AX$29))))</f>
        <v>0</v>
      </c>
      <c r="AA199" s="145">
        <f>IF(テーブル2[[#This Row],[ボール投げ]]="",0,(IF(テーブル2[[#This Row],[性別]]="男",LOOKUP(テーブル2[[#This Row],[ボール投げ]],$AY$6:$AZ$15),LOOKUP(テーブル2[[#This Row],[ボール投げ]],$AY$20:$AZ$29))))</f>
        <v>0</v>
      </c>
      <c r="AB199" s="146" t="str">
        <f>IF(テーブル2[[#This Row],[学年]]=1,12,IF(テーブル2[[#This Row],[学年]]=2,13,IF(テーブル2[[#This Row],[学年]]=3,14,"")))</f>
        <v/>
      </c>
      <c r="AC199" s="192" t="str">
        <f>IF(テーブル2[[#This Row],[肥満度数値]]=0,"",LOOKUP(AE199,$AW$39:$AW$44,$AX$39:$AX$44))</f>
        <v/>
      </c>
      <c r="AD19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199" s="77">
        <f>IF(テーブル2[[#This Row],[体重]]="",0,(テーブル2[[#This Row],[体重]]-テーブル2[[#This Row],[標準体重]])/テーブル2[[#This Row],[標準体重]]*100)</f>
        <v>0</v>
      </c>
      <c r="AF199" s="26">
        <f>COUNTA(テーブル2[[#This Row],[握力]:[ボール投げ]])</f>
        <v>0</v>
      </c>
      <c r="AG199" s="1" t="str">
        <f>IF(テーブル2[[#This Row],[判定]]=$BE$10,"○","")</f>
        <v/>
      </c>
      <c r="AH199" s="1" t="str">
        <f>IF(AG199="","",COUNTIF($AG$6:AG199,"○"))</f>
        <v/>
      </c>
    </row>
    <row r="200" spans="1:34" ht="14.25" customHeight="1" x14ac:dyDescent="0.15">
      <c r="A200" s="44">
        <v>195</v>
      </c>
      <c r="B200" s="148"/>
      <c r="C200" s="151"/>
      <c r="D200" s="148"/>
      <c r="E200" s="152"/>
      <c r="F200" s="148"/>
      <c r="G200" s="148"/>
      <c r="H200" s="150"/>
      <c r="I200" s="150"/>
      <c r="J200" s="151"/>
      <c r="K200" s="148"/>
      <c r="L200" s="196"/>
      <c r="M200" s="151"/>
      <c r="N200" s="197"/>
      <c r="O200" s="151"/>
      <c r="P200" s="153"/>
      <c r="Q20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0" s="144" t="str">
        <f>IF(テーブル2[[#This Row],[得点]]=0,"",IF(テーブル2[[#This Row],[年齢]]=17,LOOKUP(Q200,$BH$6:$BH$10,$BE$6:$BE$10),IF(テーブル2[[#This Row],[年齢]]=16,LOOKUP(Q200,$BG$6:$BG$10,$BE$6:$BE$10),IF(テーブル2[[#This Row],[年齢]]=15,LOOKUP(Q200,$BF$6:$BF$10,$BE$6:$BE$10),IF(テーブル2[[#This Row],[年齢]]=14,LOOKUP(Q200,$BD$6:$BD$10,$BE$6:$BE$10),IF(テーブル2[[#This Row],[年齢]]=13,LOOKUP(Q200,$BC$6:$BC$10,$BE$6:$BE$10),LOOKUP(Q200,$BB$6:$BB$10,$BE$6:$BE$10)))))))</f>
        <v/>
      </c>
      <c r="S200" s="145">
        <f>IF(H200="",0,(IF(テーブル2[[#This Row],[性別]]="男",LOOKUP(テーブル2[[#This Row],[握力]],$AI$6:$AJ$15),LOOKUP(テーブル2[[#This Row],[握力]],$AI$20:$AJ$29))))</f>
        <v>0</v>
      </c>
      <c r="T200" s="145">
        <f>IF(テーブル2[[#This Row],[上体]]="",0,(IF(テーブル2[[#This Row],[性別]]="男",LOOKUP(テーブル2[[#This Row],[上体]],$AK$6:$AL$15),LOOKUP(テーブル2[[#This Row],[上体]],$AK$20:$AL$29))))</f>
        <v>0</v>
      </c>
      <c r="U200" s="145">
        <f>IF(テーブル2[[#This Row],[長座]]="",0,(IF(テーブル2[[#This Row],[性別]]="男",LOOKUP(テーブル2[[#This Row],[長座]],$AM$6:$AN$15),LOOKUP(テーブル2[[#This Row],[長座]],$AM$20:$AN$29))))</f>
        <v>0</v>
      </c>
      <c r="V200" s="145">
        <f>IF(テーブル2[[#This Row],[反復]]="",0,(IF(テーブル2[[#This Row],[性別]]="男",LOOKUP(テーブル2[[#This Row],[反復]],$AO$6:$AP$15),LOOKUP(テーブル2[[#This Row],[反復]],$AO$20:$AP$29))))</f>
        <v>0</v>
      </c>
      <c r="W200" s="145">
        <f>IF(テーブル2[[#This Row],[持久走]]="",0,(IF(テーブル2[[#This Row],[性別]]="男",LOOKUP(テーブル2[[#This Row],[持久走]],$AQ$6:$AR$15),LOOKUP(テーブル2[[#This Row],[持久走]],$AQ$20:$AR$29))))</f>
        <v>0</v>
      </c>
      <c r="X200" s="145">
        <f>IF(テーブル2[[#This Row],[ｼｬﾄﾙﾗﾝ]]="",0,(IF(テーブル2[[#This Row],[性別]]="男",LOOKUP(テーブル2[[#This Row],[ｼｬﾄﾙﾗﾝ]],$AS$6:$AT$15),LOOKUP(テーブル2[[#This Row],[ｼｬﾄﾙﾗﾝ]],$AS$20:$AT$29))))</f>
        <v>0</v>
      </c>
      <c r="Y200" s="145">
        <f>IF(テーブル2[[#This Row],[50m走]]="",0,(IF(テーブル2[[#This Row],[性別]]="男",LOOKUP(テーブル2[[#This Row],[50m走]],$AU$6:$AV$15),LOOKUP(テーブル2[[#This Row],[50m走]],$AU$20:$AV$29))))</f>
        <v>0</v>
      </c>
      <c r="Z200" s="145">
        <f>IF(テーブル2[[#This Row],[立幅とび]]="",0,(IF(テーブル2[[#This Row],[性別]]="男",LOOKUP(テーブル2[[#This Row],[立幅とび]],$AW$6:$AX$15),LOOKUP(テーブル2[[#This Row],[立幅とび]],$AW$20:$AX$29))))</f>
        <v>0</v>
      </c>
      <c r="AA200" s="145">
        <f>IF(テーブル2[[#This Row],[ボール投げ]]="",0,(IF(テーブル2[[#This Row],[性別]]="男",LOOKUP(テーブル2[[#This Row],[ボール投げ]],$AY$6:$AZ$15),LOOKUP(テーブル2[[#This Row],[ボール投げ]],$AY$20:$AZ$29))))</f>
        <v>0</v>
      </c>
      <c r="AB200" s="146" t="str">
        <f>IF(テーブル2[[#This Row],[学年]]=1,12,IF(テーブル2[[#This Row],[学年]]=2,13,IF(テーブル2[[#This Row],[学年]]=3,14,"")))</f>
        <v/>
      </c>
      <c r="AC200" s="192" t="str">
        <f>IF(テーブル2[[#This Row],[肥満度数値]]=0,"",LOOKUP(AE200,$AW$39:$AW$44,$AX$39:$AX$44))</f>
        <v/>
      </c>
      <c r="AD20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0" s="77">
        <f>IF(テーブル2[[#This Row],[体重]]="",0,(テーブル2[[#This Row],[体重]]-テーブル2[[#This Row],[標準体重]])/テーブル2[[#This Row],[標準体重]]*100)</f>
        <v>0</v>
      </c>
      <c r="AF200" s="26">
        <f>COUNTA(テーブル2[[#This Row],[握力]:[ボール投げ]])</f>
        <v>0</v>
      </c>
      <c r="AG200" s="1" t="str">
        <f>IF(テーブル2[[#This Row],[判定]]=$BE$10,"○","")</f>
        <v/>
      </c>
      <c r="AH200" s="1" t="str">
        <f>IF(AG200="","",COUNTIF($AG$6:AG200,"○"))</f>
        <v/>
      </c>
    </row>
    <row r="201" spans="1:34" ht="14.25" customHeight="1" x14ac:dyDescent="0.15">
      <c r="A201" s="44">
        <v>196</v>
      </c>
      <c r="B201" s="148"/>
      <c r="C201" s="151"/>
      <c r="D201" s="148"/>
      <c r="E201" s="152"/>
      <c r="F201" s="148"/>
      <c r="G201" s="148"/>
      <c r="H201" s="150"/>
      <c r="I201" s="150"/>
      <c r="J201" s="151"/>
      <c r="K201" s="148"/>
      <c r="L201" s="196"/>
      <c r="M201" s="151"/>
      <c r="N201" s="197"/>
      <c r="O201" s="151"/>
      <c r="P201" s="153"/>
      <c r="Q20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1" s="144" t="str">
        <f>IF(テーブル2[[#This Row],[得点]]=0,"",IF(テーブル2[[#This Row],[年齢]]=17,LOOKUP(Q201,$BH$6:$BH$10,$BE$6:$BE$10),IF(テーブル2[[#This Row],[年齢]]=16,LOOKUP(Q201,$BG$6:$BG$10,$BE$6:$BE$10),IF(テーブル2[[#This Row],[年齢]]=15,LOOKUP(Q201,$BF$6:$BF$10,$BE$6:$BE$10),IF(テーブル2[[#This Row],[年齢]]=14,LOOKUP(Q201,$BD$6:$BD$10,$BE$6:$BE$10),IF(テーブル2[[#This Row],[年齢]]=13,LOOKUP(Q201,$BC$6:$BC$10,$BE$6:$BE$10),LOOKUP(Q201,$BB$6:$BB$10,$BE$6:$BE$10)))))))</f>
        <v/>
      </c>
      <c r="S201" s="145">
        <f>IF(H201="",0,(IF(テーブル2[[#This Row],[性別]]="男",LOOKUP(テーブル2[[#This Row],[握力]],$AI$6:$AJ$15),LOOKUP(テーブル2[[#This Row],[握力]],$AI$20:$AJ$29))))</f>
        <v>0</v>
      </c>
      <c r="T201" s="145">
        <f>IF(テーブル2[[#This Row],[上体]]="",0,(IF(テーブル2[[#This Row],[性別]]="男",LOOKUP(テーブル2[[#This Row],[上体]],$AK$6:$AL$15),LOOKUP(テーブル2[[#This Row],[上体]],$AK$20:$AL$29))))</f>
        <v>0</v>
      </c>
      <c r="U201" s="145">
        <f>IF(テーブル2[[#This Row],[長座]]="",0,(IF(テーブル2[[#This Row],[性別]]="男",LOOKUP(テーブル2[[#This Row],[長座]],$AM$6:$AN$15),LOOKUP(テーブル2[[#This Row],[長座]],$AM$20:$AN$29))))</f>
        <v>0</v>
      </c>
      <c r="V201" s="145">
        <f>IF(テーブル2[[#This Row],[反復]]="",0,(IF(テーブル2[[#This Row],[性別]]="男",LOOKUP(テーブル2[[#This Row],[反復]],$AO$6:$AP$15),LOOKUP(テーブル2[[#This Row],[反復]],$AO$20:$AP$29))))</f>
        <v>0</v>
      </c>
      <c r="W201" s="145">
        <f>IF(テーブル2[[#This Row],[持久走]]="",0,(IF(テーブル2[[#This Row],[性別]]="男",LOOKUP(テーブル2[[#This Row],[持久走]],$AQ$6:$AR$15),LOOKUP(テーブル2[[#This Row],[持久走]],$AQ$20:$AR$29))))</f>
        <v>0</v>
      </c>
      <c r="X201" s="145">
        <f>IF(テーブル2[[#This Row],[ｼｬﾄﾙﾗﾝ]]="",0,(IF(テーブル2[[#This Row],[性別]]="男",LOOKUP(テーブル2[[#This Row],[ｼｬﾄﾙﾗﾝ]],$AS$6:$AT$15),LOOKUP(テーブル2[[#This Row],[ｼｬﾄﾙﾗﾝ]],$AS$20:$AT$29))))</f>
        <v>0</v>
      </c>
      <c r="Y201" s="145">
        <f>IF(テーブル2[[#This Row],[50m走]]="",0,(IF(テーブル2[[#This Row],[性別]]="男",LOOKUP(テーブル2[[#This Row],[50m走]],$AU$6:$AV$15),LOOKUP(テーブル2[[#This Row],[50m走]],$AU$20:$AV$29))))</f>
        <v>0</v>
      </c>
      <c r="Z201" s="145">
        <f>IF(テーブル2[[#This Row],[立幅とび]]="",0,(IF(テーブル2[[#This Row],[性別]]="男",LOOKUP(テーブル2[[#This Row],[立幅とび]],$AW$6:$AX$15),LOOKUP(テーブル2[[#This Row],[立幅とび]],$AW$20:$AX$29))))</f>
        <v>0</v>
      </c>
      <c r="AA201" s="145">
        <f>IF(テーブル2[[#This Row],[ボール投げ]]="",0,(IF(テーブル2[[#This Row],[性別]]="男",LOOKUP(テーブル2[[#This Row],[ボール投げ]],$AY$6:$AZ$15),LOOKUP(テーブル2[[#This Row],[ボール投げ]],$AY$20:$AZ$29))))</f>
        <v>0</v>
      </c>
      <c r="AB201" s="146" t="str">
        <f>IF(テーブル2[[#This Row],[学年]]=1,12,IF(テーブル2[[#This Row],[学年]]=2,13,IF(テーブル2[[#This Row],[学年]]=3,14,"")))</f>
        <v/>
      </c>
      <c r="AC201" s="192" t="str">
        <f>IF(テーブル2[[#This Row],[肥満度数値]]=0,"",LOOKUP(AE201,$AW$39:$AW$44,$AX$39:$AX$44))</f>
        <v/>
      </c>
      <c r="AD20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1" s="77">
        <f>IF(テーブル2[[#This Row],[体重]]="",0,(テーブル2[[#This Row],[体重]]-テーブル2[[#This Row],[標準体重]])/テーブル2[[#This Row],[標準体重]]*100)</f>
        <v>0</v>
      </c>
      <c r="AF201" s="26">
        <f>COUNTA(テーブル2[[#This Row],[握力]:[ボール投げ]])</f>
        <v>0</v>
      </c>
      <c r="AG201" s="1" t="str">
        <f>IF(テーブル2[[#This Row],[判定]]=$BE$10,"○","")</f>
        <v/>
      </c>
      <c r="AH201" s="1" t="str">
        <f>IF(AG201="","",COUNTIF($AG$6:AG201,"○"))</f>
        <v/>
      </c>
    </row>
    <row r="202" spans="1:34" ht="14.25" customHeight="1" x14ac:dyDescent="0.15">
      <c r="A202" s="44">
        <v>197</v>
      </c>
      <c r="B202" s="148"/>
      <c r="C202" s="151"/>
      <c r="D202" s="148"/>
      <c r="E202" s="152"/>
      <c r="F202" s="148"/>
      <c r="G202" s="148"/>
      <c r="H202" s="150"/>
      <c r="I202" s="150"/>
      <c r="J202" s="151"/>
      <c r="K202" s="148"/>
      <c r="L202" s="196"/>
      <c r="M202" s="151"/>
      <c r="N202" s="197"/>
      <c r="O202" s="151"/>
      <c r="P202" s="153"/>
      <c r="Q20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2" s="144" t="str">
        <f>IF(テーブル2[[#This Row],[得点]]=0,"",IF(テーブル2[[#This Row],[年齢]]=17,LOOKUP(Q202,$BH$6:$BH$10,$BE$6:$BE$10),IF(テーブル2[[#This Row],[年齢]]=16,LOOKUP(Q202,$BG$6:$BG$10,$BE$6:$BE$10),IF(テーブル2[[#This Row],[年齢]]=15,LOOKUP(Q202,$BF$6:$BF$10,$BE$6:$BE$10),IF(テーブル2[[#This Row],[年齢]]=14,LOOKUP(Q202,$BD$6:$BD$10,$BE$6:$BE$10),IF(テーブル2[[#This Row],[年齢]]=13,LOOKUP(Q202,$BC$6:$BC$10,$BE$6:$BE$10),LOOKUP(Q202,$BB$6:$BB$10,$BE$6:$BE$10)))))))</f>
        <v/>
      </c>
      <c r="S202" s="145">
        <f>IF(H202="",0,(IF(テーブル2[[#This Row],[性別]]="男",LOOKUP(テーブル2[[#This Row],[握力]],$AI$6:$AJ$15),LOOKUP(テーブル2[[#This Row],[握力]],$AI$20:$AJ$29))))</f>
        <v>0</v>
      </c>
      <c r="T202" s="145">
        <f>IF(テーブル2[[#This Row],[上体]]="",0,(IF(テーブル2[[#This Row],[性別]]="男",LOOKUP(テーブル2[[#This Row],[上体]],$AK$6:$AL$15),LOOKUP(テーブル2[[#This Row],[上体]],$AK$20:$AL$29))))</f>
        <v>0</v>
      </c>
      <c r="U202" s="145">
        <f>IF(テーブル2[[#This Row],[長座]]="",0,(IF(テーブル2[[#This Row],[性別]]="男",LOOKUP(テーブル2[[#This Row],[長座]],$AM$6:$AN$15),LOOKUP(テーブル2[[#This Row],[長座]],$AM$20:$AN$29))))</f>
        <v>0</v>
      </c>
      <c r="V202" s="145">
        <f>IF(テーブル2[[#This Row],[反復]]="",0,(IF(テーブル2[[#This Row],[性別]]="男",LOOKUP(テーブル2[[#This Row],[反復]],$AO$6:$AP$15),LOOKUP(テーブル2[[#This Row],[反復]],$AO$20:$AP$29))))</f>
        <v>0</v>
      </c>
      <c r="W202" s="145">
        <f>IF(テーブル2[[#This Row],[持久走]]="",0,(IF(テーブル2[[#This Row],[性別]]="男",LOOKUP(テーブル2[[#This Row],[持久走]],$AQ$6:$AR$15),LOOKUP(テーブル2[[#This Row],[持久走]],$AQ$20:$AR$29))))</f>
        <v>0</v>
      </c>
      <c r="X202" s="145">
        <f>IF(テーブル2[[#This Row],[ｼｬﾄﾙﾗﾝ]]="",0,(IF(テーブル2[[#This Row],[性別]]="男",LOOKUP(テーブル2[[#This Row],[ｼｬﾄﾙﾗﾝ]],$AS$6:$AT$15),LOOKUP(テーブル2[[#This Row],[ｼｬﾄﾙﾗﾝ]],$AS$20:$AT$29))))</f>
        <v>0</v>
      </c>
      <c r="Y202" s="145">
        <f>IF(テーブル2[[#This Row],[50m走]]="",0,(IF(テーブル2[[#This Row],[性別]]="男",LOOKUP(テーブル2[[#This Row],[50m走]],$AU$6:$AV$15),LOOKUP(テーブル2[[#This Row],[50m走]],$AU$20:$AV$29))))</f>
        <v>0</v>
      </c>
      <c r="Z202" s="145">
        <f>IF(テーブル2[[#This Row],[立幅とび]]="",0,(IF(テーブル2[[#This Row],[性別]]="男",LOOKUP(テーブル2[[#This Row],[立幅とび]],$AW$6:$AX$15),LOOKUP(テーブル2[[#This Row],[立幅とび]],$AW$20:$AX$29))))</f>
        <v>0</v>
      </c>
      <c r="AA202" s="145">
        <f>IF(テーブル2[[#This Row],[ボール投げ]]="",0,(IF(テーブル2[[#This Row],[性別]]="男",LOOKUP(テーブル2[[#This Row],[ボール投げ]],$AY$6:$AZ$15),LOOKUP(テーブル2[[#This Row],[ボール投げ]],$AY$20:$AZ$29))))</f>
        <v>0</v>
      </c>
      <c r="AB202" s="146" t="str">
        <f>IF(テーブル2[[#This Row],[学年]]=1,12,IF(テーブル2[[#This Row],[学年]]=2,13,IF(テーブル2[[#This Row],[学年]]=3,14,"")))</f>
        <v/>
      </c>
      <c r="AC202" s="192" t="str">
        <f>IF(テーブル2[[#This Row],[肥満度数値]]=0,"",LOOKUP(AE202,$AW$39:$AW$44,$AX$39:$AX$44))</f>
        <v/>
      </c>
      <c r="AD20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2" s="77">
        <f>IF(テーブル2[[#This Row],[体重]]="",0,(テーブル2[[#This Row],[体重]]-テーブル2[[#This Row],[標準体重]])/テーブル2[[#This Row],[標準体重]]*100)</f>
        <v>0</v>
      </c>
      <c r="AF202" s="26">
        <f>COUNTA(テーブル2[[#This Row],[握力]:[ボール投げ]])</f>
        <v>0</v>
      </c>
      <c r="AG202" s="1" t="str">
        <f>IF(テーブル2[[#This Row],[判定]]=$BE$10,"○","")</f>
        <v/>
      </c>
      <c r="AH202" s="1" t="str">
        <f>IF(AG202="","",COUNTIF($AG$6:AG202,"○"))</f>
        <v/>
      </c>
    </row>
    <row r="203" spans="1:34" ht="14.25" customHeight="1" x14ac:dyDescent="0.15">
      <c r="A203" s="44">
        <v>198</v>
      </c>
      <c r="B203" s="148"/>
      <c r="C203" s="151"/>
      <c r="D203" s="148"/>
      <c r="E203" s="152"/>
      <c r="F203" s="148"/>
      <c r="G203" s="148"/>
      <c r="H203" s="150"/>
      <c r="I203" s="150"/>
      <c r="J203" s="151"/>
      <c r="K203" s="148"/>
      <c r="L203" s="196"/>
      <c r="M203" s="151"/>
      <c r="N203" s="197"/>
      <c r="O203" s="151"/>
      <c r="P203" s="153"/>
      <c r="Q20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3" s="144" t="str">
        <f>IF(テーブル2[[#This Row],[得点]]=0,"",IF(テーブル2[[#This Row],[年齢]]=17,LOOKUP(Q203,$BH$6:$BH$10,$BE$6:$BE$10),IF(テーブル2[[#This Row],[年齢]]=16,LOOKUP(Q203,$BG$6:$BG$10,$BE$6:$BE$10),IF(テーブル2[[#This Row],[年齢]]=15,LOOKUP(Q203,$BF$6:$BF$10,$BE$6:$BE$10),IF(テーブル2[[#This Row],[年齢]]=14,LOOKUP(Q203,$BD$6:$BD$10,$BE$6:$BE$10),IF(テーブル2[[#This Row],[年齢]]=13,LOOKUP(Q203,$BC$6:$BC$10,$BE$6:$BE$10),LOOKUP(Q203,$BB$6:$BB$10,$BE$6:$BE$10)))))))</f>
        <v/>
      </c>
      <c r="S203" s="145">
        <f>IF(H203="",0,(IF(テーブル2[[#This Row],[性別]]="男",LOOKUP(テーブル2[[#This Row],[握力]],$AI$6:$AJ$15),LOOKUP(テーブル2[[#This Row],[握力]],$AI$20:$AJ$29))))</f>
        <v>0</v>
      </c>
      <c r="T203" s="145">
        <f>IF(テーブル2[[#This Row],[上体]]="",0,(IF(テーブル2[[#This Row],[性別]]="男",LOOKUP(テーブル2[[#This Row],[上体]],$AK$6:$AL$15),LOOKUP(テーブル2[[#This Row],[上体]],$AK$20:$AL$29))))</f>
        <v>0</v>
      </c>
      <c r="U203" s="145">
        <f>IF(テーブル2[[#This Row],[長座]]="",0,(IF(テーブル2[[#This Row],[性別]]="男",LOOKUP(テーブル2[[#This Row],[長座]],$AM$6:$AN$15),LOOKUP(テーブル2[[#This Row],[長座]],$AM$20:$AN$29))))</f>
        <v>0</v>
      </c>
      <c r="V203" s="145">
        <f>IF(テーブル2[[#This Row],[反復]]="",0,(IF(テーブル2[[#This Row],[性別]]="男",LOOKUP(テーブル2[[#This Row],[反復]],$AO$6:$AP$15),LOOKUP(テーブル2[[#This Row],[反復]],$AO$20:$AP$29))))</f>
        <v>0</v>
      </c>
      <c r="W203" s="145">
        <f>IF(テーブル2[[#This Row],[持久走]]="",0,(IF(テーブル2[[#This Row],[性別]]="男",LOOKUP(テーブル2[[#This Row],[持久走]],$AQ$6:$AR$15),LOOKUP(テーブル2[[#This Row],[持久走]],$AQ$20:$AR$29))))</f>
        <v>0</v>
      </c>
      <c r="X203" s="145">
        <f>IF(テーブル2[[#This Row],[ｼｬﾄﾙﾗﾝ]]="",0,(IF(テーブル2[[#This Row],[性別]]="男",LOOKUP(テーブル2[[#This Row],[ｼｬﾄﾙﾗﾝ]],$AS$6:$AT$15),LOOKUP(テーブル2[[#This Row],[ｼｬﾄﾙﾗﾝ]],$AS$20:$AT$29))))</f>
        <v>0</v>
      </c>
      <c r="Y203" s="145">
        <f>IF(テーブル2[[#This Row],[50m走]]="",0,(IF(テーブル2[[#This Row],[性別]]="男",LOOKUP(テーブル2[[#This Row],[50m走]],$AU$6:$AV$15),LOOKUP(テーブル2[[#This Row],[50m走]],$AU$20:$AV$29))))</f>
        <v>0</v>
      </c>
      <c r="Z203" s="145">
        <f>IF(テーブル2[[#This Row],[立幅とび]]="",0,(IF(テーブル2[[#This Row],[性別]]="男",LOOKUP(テーブル2[[#This Row],[立幅とび]],$AW$6:$AX$15),LOOKUP(テーブル2[[#This Row],[立幅とび]],$AW$20:$AX$29))))</f>
        <v>0</v>
      </c>
      <c r="AA203" s="145">
        <f>IF(テーブル2[[#This Row],[ボール投げ]]="",0,(IF(テーブル2[[#This Row],[性別]]="男",LOOKUP(テーブル2[[#This Row],[ボール投げ]],$AY$6:$AZ$15),LOOKUP(テーブル2[[#This Row],[ボール投げ]],$AY$20:$AZ$29))))</f>
        <v>0</v>
      </c>
      <c r="AB203" s="146" t="str">
        <f>IF(テーブル2[[#This Row],[学年]]=1,12,IF(テーブル2[[#This Row],[学年]]=2,13,IF(テーブル2[[#This Row],[学年]]=3,14,"")))</f>
        <v/>
      </c>
      <c r="AC203" s="192" t="str">
        <f>IF(テーブル2[[#This Row],[肥満度数値]]=0,"",LOOKUP(AE203,$AW$39:$AW$44,$AX$39:$AX$44))</f>
        <v/>
      </c>
      <c r="AD20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3" s="77">
        <f>IF(テーブル2[[#This Row],[体重]]="",0,(テーブル2[[#This Row],[体重]]-テーブル2[[#This Row],[標準体重]])/テーブル2[[#This Row],[標準体重]]*100)</f>
        <v>0</v>
      </c>
      <c r="AF203" s="26">
        <f>COUNTA(テーブル2[[#This Row],[握力]:[ボール投げ]])</f>
        <v>0</v>
      </c>
      <c r="AG203" s="1" t="str">
        <f>IF(テーブル2[[#This Row],[判定]]=$BE$10,"○","")</f>
        <v/>
      </c>
      <c r="AH203" s="1" t="str">
        <f>IF(AG203="","",COUNTIF($AG$6:AG203,"○"))</f>
        <v/>
      </c>
    </row>
    <row r="204" spans="1:34" ht="14.25" customHeight="1" x14ac:dyDescent="0.15">
      <c r="A204" s="44">
        <v>199</v>
      </c>
      <c r="B204" s="148"/>
      <c r="C204" s="151"/>
      <c r="D204" s="148"/>
      <c r="E204" s="152"/>
      <c r="F204" s="148"/>
      <c r="G204" s="148"/>
      <c r="H204" s="150"/>
      <c r="I204" s="150"/>
      <c r="J204" s="151"/>
      <c r="K204" s="148"/>
      <c r="L204" s="196"/>
      <c r="M204" s="151"/>
      <c r="N204" s="197"/>
      <c r="O204" s="151"/>
      <c r="P204" s="153"/>
      <c r="Q20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4" s="144" t="str">
        <f>IF(テーブル2[[#This Row],[得点]]=0,"",IF(テーブル2[[#This Row],[年齢]]=17,LOOKUP(Q204,$BH$6:$BH$10,$BE$6:$BE$10),IF(テーブル2[[#This Row],[年齢]]=16,LOOKUP(Q204,$BG$6:$BG$10,$BE$6:$BE$10),IF(テーブル2[[#This Row],[年齢]]=15,LOOKUP(Q204,$BF$6:$BF$10,$BE$6:$BE$10),IF(テーブル2[[#This Row],[年齢]]=14,LOOKUP(Q204,$BD$6:$BD$10,$BE$6:$BE$10),IF(テーブル2[[#This Row],[年齢]]=13,LOOKUP(Q204,$BC$6:$BC$10,$BE$6:$BE$10),LOOKUP(Q204,$BB$6:$BB$10,$BE$6:$BE$10)))))))</f>
        <v/>
      </c>
      <c r="S204" s="145">
        <f>IF(H204="",0,(IF(テーブル2[[#This Row],[性別]]="男",LOOKUP(テーブル2[[#This Row],[握力]],$AI$6:$AJ$15),LOOKUP(テーブル2[[#This Row],[握力]],$AI$20:$AJ$29))))</f>
        <v>0</v>
      </c>
      <c r="T204" s="145">
        <f>IF(テーブル2[[#This Row],[上体]]="",0,(IF(テーブル2[[#This Row],[性別]]="男",LOOKUP(テーブル2[[#This Row],[上体]],$AK$6:$AL$15),LOOKUP(テーブル2[[#This Row],[上体]],$AK$20:$AL$29))))</f>
        <v>0</v>
      </c>
      <c r="U204" s="145">
        <f>IF(テーブル2[[#This Row],[長座]]="",0,(IF(テーブル2[[#This Row],[性別]]="男",LOOKUP(テーブル2[[#This Row],[長座]],$AM$6:$AN$15),LOOKUP(テーブル2[[#This Row],[長座]],$AM$20:$AN$29))))</f>
        <v>0</v>
      </c>
      <c r="V204" s="145">
        <f>IF(テーブル2[[#This Row],[反復]]="",0,(IF(テーブル2[[#This Row],[性別]]="男",LOOKUP(テーブル2[[#This Row],[反復]],$AO$6:$AP$15),LOOKUP(テーブル2[[#This Row],[反復]],$AO$20:$AP$29))))</f>
        <v>0</v>
      </c>
      <c r="W204" s="145">
        <f>IF(テーブル2[[#This Row],[持久走]]="",0,(IF(テーブル2[[#This Row],[性別]]="男",LOOKUP(テーブル2[[#This Row],[持久走]],$AQ$6:$AR$15),LOOKUP(テーブル2[[#This Row],[持久走]],$AQ$20:$AR$29))))</f>
        <v>0</v>
      </c>
      <c r="X204" s="145">
        <f>IF(テーブル2[[#This Row],[ｼｬﾄﾙﾗﾝ]]="",0,(IF(テーブル2[[#This Row],[性別]]="男",LOOKUP(テーブル2[[#This Row],[ｼｬﾄﾙﾗﾝ]],$AS$6:$AT$15),LOOKUP(テーブル2[[#This Row],[ｼｬﾄﾙﾗﾝ]],$AS$20:$AT$29))))</f>
        <v>0</v>
      </c>
      <c r="Y204" s="145">
        <f>IF(テーブル2[[#This Row],[50m走]]="",0,(IF(テーブル2[[#This Row],[性別]]="男",LOOKUP(テーブル2[[#This Row],[50m走]],$AU$6:$AV$15),LOOKUP(テーブル2[[#This Row],[50m走]],$AU$20:$AV$29))))</f>
        <v>0</v>
      </c>
      <c r="Z204" s="145">
        <f>IF(テーブル2[[#This Row],[立幅とび]]="",0,(IF(テーブル2[[#This Row],[性別]]="男",LOOKUP(テーブル2[[#This Row],[立幅とび]],$AW$6:$AX$15),LOOKUP(テーブル2[[#This Row],[立幅とび]],$AW$20:$AX$29))))</f>
        <v>0</v>
      </c>
      <c r="AA204" s="145">
        <f>IF(テーブル2[[#This Row],[ボール投げ]]="",0,(IF(テーブル2[[#This Row],[性別]]="男",LOOKUP(テーブル2[[#This Row],[ボール投げ]],$AY$6:$AZ$15),LOOKUP(テーブル2[[#This Row],[ボール投げ]],$AY$20:$AZ$29))))</f>
        <v>0</v>
      </c>
      <c r="AB204" s="146" t="str">
        <f>IF(テーブル2[[#This Row],[学年]]=1,12,IF(テーブル2[[#This Row],[学年]]=2,13,IF(テーブル2[[#This Row],[学年]]=3,14,"")))</f>
        <v/>
      </c>
      <c r="AC204" s="192" t="str">
        <f>IF(テーブル2[[#This Row],[肥満度数値]]=0,"",LOOKUP(AE204,$AW$39:$AW$44,$AX$39:$AX$44))</f>
        <v/>
      </c>
      <c r="AD20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4" s="77">
        <f>IF(テーブル2[[#This Row],[体重]]="",0,(テーブル2[[#This Row],[体重]]-テーブル2[[#This Row],[標準体重]])/テーブル2[[#This Row],[標準体重]]*100)</f>
        <v>0</v>
      </c>
      <c r="AF204" s="26">
        <f>COUNTA(テーブル2[[#This Row],[握力]:[ボール投げ]])</f>
        <v>0</v>
      </c>
      <c r="AG204" s="1" t="str">
        <f>IF(テーブル2[[#This Row],[判定]]=$BE$10,"○","")</f>
        <v/>
      </c>
      <c r="AH204" s="1" t="str">
        <f>IF(AG204="","",COUNTIF($AG$6:AG204,"○"))</f>
        <v/>
      </c>
    </row>
    <row r="205" spans="1:34" ht="14.25" customHeight="1" x14ac:dyDescent="0.15">
      <c r="A205" s="44">
        <v>200</v>
      </c>
      <c r="B205" s="148"/>
      <c r="C205" s="151"/>
      <c r="D205" s="148"/>
      <c r="E205" s="152"/>
      <c r="F205" s="148"/>
      <c r="G205" s="148"/>
      <c r="H205" s="150"/>
      <c r="I205" s="150"/>
      <c r="J205" s="151"/>
      <c r="K205" s="148"/>
      <c r="L205" s="196"/>
      <c r="M205" s="151"/>
      <c r="N205" s="197"/>
      <c r="O205" s="151"/>
      <c r="P205" s="153"/>
      <c r="Q20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5" s="144" t="str">
        <f>IF(テーブル2[[#This Row],[得点]]=0,"",IF(テーブル2[[#This Row],[年齢]]=17,LOOKUP(Q205,$BH$6:$BH$10,$BE$6:$BE$10),IF(テーブル2[[#This Row],[年齢]]=16,LOOKUP(Q205,$BG$6:$BG$10,$BE$6:$BE$10),IF(テーブル2[[#This Row],[年齢]]=15,LOOKUP(Q205,$BF$6:$BF$10,$BE$6:$BE$10),IF(テーブル2[[#This Row],[年齢]]=14,LOOKUP(Q205,$BD$6:$BD$10,$BE$6:$BE$10),IF(テーブル2[[#This Row],[年齢]]=13,LOOKUP(Q205,$BC$6:$BC$10,$BE$6:$BE$10),LOOKUP(Q205,$BB$6:$BB$10,$BE$6:$BE$10)))))))</f>
        <v/>
      </c>
      <c r="S205" s="145">
        <f>IF(H205="",0,(IF(テーブル2[[#This Row],[性別]]="男",LOOKUP(テーブル2[[#This Row],[握力]],$AI$6:$AJ$15),LOOKUP(テーブル2[[#This Row],[握力]],$AI$20:$AJ$29))))</f>
        <v>0</v>
      </c>
      <c r="T205" s="145">
        <f>IF(テーブル2[[#This Row],[上体]]="",0,(IF(テーブル2[[#This Row],[性別]]="男",LOOKUP(テーブル2[[#This Row],[上体]],$AK$6:$AL$15),LOOKUP(テーブル2[[#This Row],[上体]],$AK$20:$AL$29))))</f>
        <v>0</v>
      </c>
      <c r="U205" s="145">
        <f>IF(テーブル2[[#This Row],[長座]]="",0,(IF(テーブル2[[#This Row],[性別]]="男",LOOKUP(テーブル2[[#This Row],[長座]],$AM$6:$AN$15),LOOKUP(テーブル2[[#This Row],[長座]],$AM$20:$AN$29))))</f>
        <v>0</v>
      </c>
      <c r="V205" s="145">
        <f>IF(テーブル2[[#This Row],[反復]]="",0,(IF(テーブル2[[#This Row],[性別]]="男",LOOKUP(テーブル2[[#This Row],[反復]],$AO$6:$AP$15),LOOKUP(テーブル2[[#This Row],[反復]],$AO$20:$AP$29))))</f>
        <v>0</v>
      </c>
      <c r="W205" s="145">
        <f>IF(テーブル2[[#This Row],[持久走]]="",0,(IF(テーブル2[[#This Row],[性別]]="男",LOOKUP(テーブル2[[#This Row],[持久走]],$AQ$6:$AR$15),LOOKUP(テーブル2[[#This Row],[持久走]],$AQ$20:$AR$29))))</f>
        <v>0</v>
      </c>
      <c r="X205" s="145">
        <f>IF(テーブル2[[#This Row],[ｼｬﾄﾙﾗﾝ]]="",0,(IF(テーブル2[[#This Row],[性別]]="男",LOOKUP(テーブル2[[#This Row],[ｼｬﾄﾙﾗﾝ]],$AS$6:$AT$15),LOOKUP(テーブル2[[#This Row],[ｼｬﾄﾙﾗﾝ]],$AS$20:$AT$29))))</f>
        <v>0</v>
      </c>
      <c r="Y205" s="145">
        <f>IF(テーブル2[[#This Row],[50m走]]="",0,(IF(テーブル2[[#This Row],[性別]]="男",LOOKUP(テーブル2[[#This Row],[50m走]],$AU$6:$AV$15),LOOKUP(テーブル2[[#This Row],[50m走]],$AU$20:$AV$29))))</f>
        <v>0</v>
      </c>
      <c r="Z205" s="145">
        <f>IF(テーブル2[[#This Row],[立幅とび]]="",0,(IF(テーブル2[[#This Row],[性別]]="男",LOOKUP(テーブル2[[#This Row],[立幅とび]],$AW$6:$AX$15),LOOKUP(テーブル2[[#This Row],[立幅とび]],$AW$20:$AX$29))))</f>
        <v>0</v>
      </c>
      <c r="AA205" s="145">
        <f>IF(テーブル2[[#This Row],[ボール投げ]]="",0,(IF(テーブル2[[#This Row],[性別]]="男",LOOKUP(テーブル2[[#This Row],[ボール投げ]],$AY$6:$AZ$15),LOOKUP(テーブル2[[#This Row],[ボール投げ]],$AY$20:$AZ$29))))</f>
        <v>0</v>
      </c>
      <c r="AB205" s="146" t="str">
        <f>IF(テーブル2[[#This Row],[学年]]=1,12,IF(テーブル2[[#This Row],[学年]]=2,13,IF(テーブル2[[#This Row],[学年]]=3,14,"")))</f>
        <v/>
      </c>
      <c r="AC205" s="192" t="str">
        <f>IF(テーブル2[[#This Row],[肥満度数値]]=0,"",LOOKUP(AE205,$AW$39:$AW$44,$AX$39:$AX$44))</f>
        <v/>
      </c>
      <c r="AD20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5" s="77">
        <f>IF(テーブル2[[#This Row],[体重]]="",0,(テーブル2[[#This Row],[体重]]-テーブル2[[#This Row],[標準体重]])/テーブル2[[#This Row],[標準体重]]*100)</f>
        <v>0</v>
      </c>
      <c r="AF205" s="26">
        <f>COUNTA(テーブル2[[#This Row],[握力]:[ボール投げ]])</f>
        <v>0</v>
      </c>
      <c r="AG205" s="1" t="str">
        <f>IF(テーブル2[[#This Row],[判定]]=$BE$10,"○","")</f>
        <v/>
      </c>
      <c r="AH205" s="1" t="str">
        <f>IF(AG205="","",COUNTIF($AG$6:AG205,"○"))</f>
        <v/>
      </c>
    </row>
    <row r="206" spans="1:34" ht="14.25" customHeight="1" x14ac:dyDescent="0.15">
      <c r="A206" s="44">
        <v>201</v>
      </c>
      <c r="B206" s="148"/>
      <c r="C206" s="151"/>
      <c r="D206" s="148"/>
      <c r="E206" s="152"/>
      <c r="F206" s="148"/>
      <c r="G206" s="148"/>
      <c r="H206" s="150"/>
      <c r="I206" s="150"/>
      <c r="J206" s="151"/>
      <c r="K206" s="148"/>
      <c r="L206" s="196"/>
      <c r="M206" s="151"/>
      <c r="N206" s="197"/>
      <c r="O206" s="151"/>
      <c r="P206" s="153"/>
      <c r="Q20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6" s="144" t="str">
        <f>IF(テーブル2[[#This Row],[得点]]=0,"",IF(テーブル2[[#This Row],[年齢]]=17,LOOKUP(Q206,$BH$6:$BH$10,$BE$6:$BE$10),IF(テーブル2[[#This Row],[年齢]]=16,LOOKUP(Q206,$BG$6:$BG$10,$BE$6:$BE$10),IF(テーブル2[[#This Row],[年齢]]=15,LOOKUP(Q206,$BF$6:$BF$10,$BE$6:$BE$10),IF(テーブル2[[#This Row],[年齢]]=14,LOOKUP(Q206,$BD$6:$BD$10,$BE$6:$BE$10),IF(テーブル2[[#This Row],[年齢]]=13,LOOKUP(Q206,$BC$6:$BC$10,$BE$6:$BE$10),LOOKUP(Q206,$BB$6:$BB$10,$BE$6:$BE$10)))))))</f>
        <v/>
      </c>
      <c r="S206" s="145">
        <f>IF(H206="",0,(IF(テーブル2[[#This Row],[性別]]="男",LOOKUP(テーブル2[[#This Row],[握力]],$AI$6:$AJ$15),LOOKUP(テーブル2[[#This Row],[握力]],$AI$20:$AJ$29))))</f>
        <v>0</v>
      </c>
      <c r="T206" s="145">
        <f>IF(テーブル2[[#This Row],[上体]]="",0,(IF(テーブル2[[#This Row],[性別]]="男",LOOKUP(テーブル2[[#This Row],[上体]],$AK$6:$AL$15),LOOKUP(テーブル2[[#This Row],[上体]],$AK$20:$AL$29))))</f>
        <v>0</v>
      </c>
      <c r="U206" s="145">
        <f>IF(テーブル2[[#This Row],[長座]]="",0,(IF(テーブル2[[#This Row],[性別]]="男",LOOKUP(テーブル2[[#This Row],[長座]],$AM$6:$AN$15),LOOKUP(テーブル2[[#This Row],[長座]],$AM$20:$AN$29))))</f>
        <v>0</v>
      </c>
      <c r="V206" s="145">
        <f>IF(テーブル2[[#This Row],[反復]]="",0,(IF(テーブル2[[#This Row],[性別]]="男",LOOKUP(テーブル2[[#This Row],[反復]],$AO$6:$AP$15),LOOKUP(テーブル2[[#This Row],[反復]],$AO$20:$AP$29))))</f>
        <v>0</v>
      </c>
      <c r="W206" s="145">
        <f>IF(テーブル2[[#This Row],[持久走]]="",0,(IF(テーブル2[[#This Row],[性別]]="男",LOOKUP(テーブル2[[#This Row],[持久走]],$AQ$6:$AR$15),LOOKUP(テーブル2[[#This Row],[持久走]],$AQ$20:$AR$29))))</f>
        <v>0</v>
      </c>
      <c r="X206" s="145">
        <f>IF(テーブル2[[#This Row],[ｼｬﾄﾙﾗﾝ]]="",0,(IF(テーブル2[[#This Row],[性別]]="男",LOOKUP(テーブル2[[#This Row],[ｼｬﾄﾙﾗﾝ]],$AS$6:$AT$15),LOOKUP(テーブル2[[#This Row],[ｼｬﾄﾙﾗﾝ]],$AS$20:$AT$29))))</f>
        <v>0</v>
      </c>
      <c r="Y206" s="145">
        <f>IF(テーブル2[[#This Row],[50m走]]="",0,(IF(テーブル2[[#This Row],[性別]]="男",LOOKUP(テーブル2[[#This Row],[50m走]],$AU$6:$AV$15),LOOKUP(テーブル2[[#This Row],[50m走]],$AU$20:$AV$29))))</f>
        <v>0</v>
      </c>
      <c r="Z206" s="145">
        <f>IF(テーブル2[[#This Row],[立幅とび]]="",0,(IF(テーブル2[[#This Row],[性別]]="男",LOOKUP(テーブル2[[#This Row],[立幅とび]],$AW$6:$AX$15),LOOKUP(テーブル2[[#This Row],[立幅とび]],$AW$20:$AX$29))))</f>
        <v>0</v>
      </c>
      <c r="AA206" s="145">
        <f>IF(テーブル2[[#This Row],[ボール投げ]]="",0,(IF(テーブル2[[#This Row],[性別]]="男",LOOKUP(テーブル2[[#This Row],[ボール投げ]],$AY$6:$AZ$15),LOOKUP(テーブル2[[#This Row],[ボール投げ]],$AY$20:$AZ$29))))</f>
        <v>0</v>
      </c>
      <c r="AB206" s="146" t="str">
        <f>IF(テーブル2[[#This Row],[学年]]=1,12,IF(テーブル2[[#This Row],[学年]]=2,13,IF(テーブル2[[#This Row],[学年]]=3,14,"")))</f>
        <v/>
      </c>
      <c r="AC206" s="192" t="str">
        <f>IF(テーブル2[[#This Row],[肥満度数値]]=0,"",LOOKUP(AE206,$AW$39:$AW$44,$AX$39:$AX$44))</f>
        <v/>
      </c>
      <c r="AD20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6" s="77">
        <f>IF(テーブル2[[#This Row],[体重]]="",0,(テーブル2[[#This Row],[体重]]-テーブル2[[#This Row],[標準体重]])/テーブル2[[#This Row],[標準体重]]*100)</f>
        <v>0</v>
      </c>
      <c r="AF206" s="26">
        <f>COUNTA(テーブル2[[#This Row],[握力]:[ボール投げ]])</f>
        <v>0</v>
      </c>
      <c r="AG206" s="1" t="str">
        <f>IF(テーブル2[[#This Row],[判定]]=$BE$10,"○","")</f>
        <v/>
      </c>
      <c r="AH206" s="1" t="str">
        <f>IF(AG206="","",COUNTIF($AG$6:AG206,"○"))</f>
        <v/>
      </c>
    </row>
    <row r="207" spans="1:34" ht="14.25" customHeight="1" x14ac:dyDescent="0.15">
      <c r="A207" s="44">
        <v>202</v>
      </c>
      <c r="B207" s="148"/>
      <c r="C207" s="151"/>
      <c r="D207" s="148"/>
      <c r="E207" s="152"/>
      <c r="F207" s="148"/>
      <c r="G207" s="148"/>
      <c r="H207" s="150"/>
      <c r="I207" s="150"/>
      <c r="J207" s="151"/>
      <c r="K207" s="148"/>
      <c r="L207" s="196"/>
      <c r="M207" s="151"/>
      <c r="N207" s="197"/>
      <c r="O207" s="151"/>
      <c r="P207" s="153"/>
      <c r="Q20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7" s="144" t="str">
        <f>IF(テーブル2[[#This Row],[得点]]=0,"",IF(テーブル2[[#This Row],[年齢]]=17,LOOKUP(Q207,$BH$6:$BH$10,$BE$6:$BE$10),IF(テーブル2[[#This Row],[年齢]]=16,LOOKUP(Q207,$BG$6:$BG$10,$BE$6:$BE$10),IF(テーブル2[[#This Row],[年齢]]=15,LOOKUP(Q207,$BF$6:$BF$10,$BE$6:$BE$10),IF(テーブル2[[#This Row],[年齢]]=14,LOOKUP(Q207,$BD$6:$BD$10,$BE$6:$BE$10),IF(テーブル2[[#This Row],[年齢]]=13,LOOKUP(Q207,$BC$6:$BC$10,$BE$6:$BE$10),LOOKUP(Q207,$BB$6:$BB$10,$BE$6:$BE$10)))))))</f>
        <v/>
      </c>
      <c r="S207" s="145">
        <f>IF(H207="",0,(IF(テーブル2[[#This Row],[性別]]="男",LOOKUP(テーブル2[[#This Row],[握力]],$AI$6:$AJ$15),LOOKUP(テーブル2[[#This Row],[握力]],$AI$20:$AJ$29))))</f>
        <v>0</v>
      </c>
      <c r="T207" s="145">
        <f>IF(テーブル2[[#This Row],[上体]]="",0,(IF(テーブル2[[#This Row],[性別]]="男",LOOKUP(テーブル2[[#This Row],[上体]],$AK$6:$AL$15),LOOKUP(テーブル2[[#This Row],[上体]],$AK$20:$AL$29))))</f>
        <v>0</v>
      </c>
      <c r="U207" s="145">
        <f>IF(テーブル2[[#This Row],[長座]]="",0,(IF(テーブル2[[#This Row],[性別]]="男",LOOKUP(テーブル2[[#This Row],[長座]],$AM$6:$AN$15),LOOKUP(テーブル2[[#This Row],[長座]],$AM$20:$AN$29))))</f>
        <v>0</v>
      </c>
      <c r="V207" s="145">
        <f>IF(テーブル2[[#This Row],[反復]]="",0,(IF(テーブル2[[#This Row],[性別]]="男",LOOKUP(テーブル2[[#This Row],[反復]],$AO$6:$AP$15),LOOKUP(テーブル2[[#This Row],[反復]],$AO$20:$AP$29))))</f>
        <v>0</v>
      </c>
      <c r="W207" s="145">
        <f>IF(テーブル2[[#This Row],[持久走]]="",0,(IF(テーブル2[[#This Row],[性別]]="男",LOOKUP(テーブル2[[#This Row],[持久走]],$AQ$6:$AR$15),LOOKUP(テーブル2[[#This Row],[持久走]],$AQ$20:$AR$29))))</f>
        <v>0</v>
      </c>
      <c r="X207" s="145">
        <f>IF(テーブル2[[#This Row],[ｼｬﾄﾙﾗﾝ]]="",0,(IF(テーブル2[[#This Row],[性別]]="男",LOOKUP(テーブル2[[#This Row],[ｼｬﾄﾙﾗﾝ]],$AS$6:$AT$15),LOOKUP(テーブル2[[#This Row],[ｼｬﾄﾙﾗﾝ]],$AS$20:$AT$29))))</f>
        <v>0</v>
      </c>
      <c r="Y207" s="145">
        <f>IF(テーブル2[[#This Row],[50m走]]="",0,(IF(テーブル2[[#This Row],[性別]]="男",LOOKUP(テーブル2[[#This Row],[50m走]],$AU$6:$AV$15),LOOKUP(テーブル2[[#This Row],[50m走]],$AU$20:$AV$29))))</f>
        <v>0</v>
      </c>
      <c r="Z207" s="145">
        <f>IF(テーブル2[[#This Row],[立幅とび]]="",0,(IF(テーブル2[[#This Row],[性別]]="男",LOOKUP(テーブル2[[#This Row],[立幅とび]],$AW$6:$AX$15),LOOKUP(テーブル2[[#This Row],[立幅とび]],$AW$20:$AX$29))))</f>
        <v>0</v>
      </c>
      <c r="AA207" s="145">
        <f>IF(テーブル2[[#This Row],[ボール投げ]]="",0,(IF(テーブル2[[#This Row],[性別]]="男",LOOKUP(テーブル2[[#This Row],[ボール投げ]],$AY$6:$AZ$15),LOOKUP(テーブル2[[#This Row],[ボール投げ]],$AY$20:$AZ$29))))</f>
        <v>0</v>
      </c>
      <c r="AB207" s="146" t="str">
        <f>IF(テーブル2[[#This Row],[学年]]=1,12,IF(テーブル2[[#This Row],[学年]]=2,13,IF(テーブル2[[#This Row],[学年]]=3,14,"")))</f>
        <v/>
      </c>
      <c r="AC207" s="192" t="str">
        <f>IF(テーブル2[[#This Row],[肥満度数値]]=0,"",LOOKUP(AE207,$AW$39:$AW$44,$AX$39:$AX$44))</f>
        <v/>
      </c>
      <c r="AD20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7" s="77">
        <f>IF(テーブル2[[#This Row],[体重]]="",0,(テーブル2[[#This Row],[体重]]-テーブル2[[#This Row],[標準体重]])/テーブル2[[#This Row],[標準体重]]*100)</f>
        <v>0</v>
      </c>
      <c r="AF207" s="26">
        <f>COUNTA(テーブル2[[#This Row],[握力]:[ボール投げ]])</f>
        <v>0</v>
      </c>
      <c r="AG207" s="1" t="str">
        <f>IF(テーブル2[[#This Row],[判定]]=$BE$10,"○","")</f>
        <v/>
      </c>
      <c r="AH207" s="1" t="str">
        <f>IF(AG207="","",COUNTIF($AG$6:AG207,"○"))</f>
        <v/>
      </c>
    </row>
    <row r="208" spans="1:34" ht="14.25" customHeight="1" x14ac:dyDescent="0.15">
      <c r="A208" s="44">
        <v>203</v>
      </c>
      <c r="B208" s="148"/>
      <c r="C208" s="151"/>
      <c r="D208" s="148"/>
      <c r="E208" s="152"/>
      <c r="F208" s="148"/>
      <c r="G208" s="148"/>
      <c r="H208" s="150"/>
      <c r="I208" s="150"/>
      <c r="J208" s="151"/>
      <c r="K208" s="148"/>
      <c r="L208" s="196"/>
      <c r="M208" s="151"/>
      <c r="N208" s="197"/>
      <c r="O208" s="151"/>
      <c r="P208" s="153"/>
      <c r="Q20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8" s="144" t="str">
        <f>IF(テーブル2[[#This Row],[得点]]=0,"",IF(テーブル2[[#This Row],[年齢]]=17,LOOKUP(Q208,$BH$6:$BH$10,$BE$6:$BE$10),IF(テーブル2[[#This Row],[年齢]]=16,LOOKUP(Q208,$BG$6:$BG$10,$BE$6:$BE$10),IF(テーブル2[[#This Row],[年齢]]=15,LOOKUP(Q208,$BF$6:$BF$10,$BE$6:$BE$10),IF(テーブル2[[#This Row],[年齢]]=14,LOOKUP(Q208,$BD$6:$BD$10,$BE$6:$BE$10),IF(テーブル2[[#This Row],[年齢]]=13,LOOKUP(Q208,$BC$6:$BC$10,$BE$6:$BE$10),LOOKUP(Q208,$BB$6:$BB$10,$BE$6:$BE$10)))))))</f>
        <v/>
      </c>
      <c r="S208" s="145">
        <f>IF(H208="",0,(IF(テーブル2[[#This Row],[性別]]="男",LOOKUP(テーブル2[[#This Row],[握力]],$AI$6:$AJ$15),LOOKUP(テーブル2[[#This Row],[握力]],$AI$20:$AJ$29))))</f>
        <v>0</v>
      </c>
      <c r="T208" s="145">
        <f>IF(テーブル2[[#This Row],[上体]]="",0,(IF(テーブル2[[#This Row],[性別]]="男",LOOKUP(テーブル2[[#This Row],[上体]],$AK$6:$AL$15),LOOKUP(テーブル2[[#This Row],[上体]],$AK$20:$AL$29))))</f>
        <v>0</v>
      </c>
      <c r="U208" s="145">
        <f>IF(テーブル2[[#This Row],[長座]]="",0,(IF(テーブル2[[#This Row],[性別]]="男",LOOKUP(テーブル2[[#This Row],[長座]],$AM$6:$AN$15),LOOKUP(テーブル2[[#This Row],[長座]],$AM$20:$AN$29))))</f>
        <v>0</v>
      </c>
      <c r="V208" s="145">
        <f>IF(テーブル2[[#This Row],[反復]]="",0,(IF(テーブル2[[#This Row],[性別]]="男",LOOKUP(テーブル2[[#This Row],[反復]],$AO$6:$AP$15),LOOKUP(テーブル2[[#This Row],[反復]],$AO$20:$AP$29))))</f>
        <v>0</v>
      </c>
      <c r="W208" s="145">
        <f>IF(テーブル2[[#This Row],[持久走]]="",0,(IF(テーブル2[[#This Row],[性別]]="男",LOOKUP(テーブル2[[#This Row],[持久走]],$AQ$6:$AR$15),LOOKUP(テーブル2[[#This Row],[持久走]],$AQ$20:$AR$29))))</f>
        <v>0</v>
      </c>
      <c r="X208" s="145">
        <f>IF(テーブル2[[#This Row],[ｼｬﾄﾙﾗﾝ]]="",0,(IF(テーブル2[[#This Row],[性別]]="男",LOOKUP(テーブル2[[#This Row],[ｼｬﾄﾙﾗﾝ]],$AS$6:$AT$15),LOOKUP(テーブル2[[#This Row],[ｼｬﾄﾙﾗﾝ]],$AS$20:$AT$29))))</f>
        <v>0</v>
      </c>
      <c r="Y208" s="145">
        <f>IF(テーブル2[[#This Row],[50m走]]="",0,(IF(テーブル2[[#This Row],[性別]]="男",LOOKUP(テーブル2[[#This Row],[50m走]],$AU$6:$AV$15),LOOKUP(テーブル2[[#This Row],[50m走]],$AU$20:$AV$29))))</f>
        <v>0</v>
      </c>
      <c r="Z208" s="145">
        <f>IF(テーブル2[[#This Row],[立幅とび]]="",0,(IF(テーブル2[[#This Row],[性別]]="男",LOOKUP(テーブル2[[#This Row],[立幅とび]],$AW$6:$AX$15),LOOKUP(テーブル2[[#This Row],[立幅とび]],$AW$20:$AX$29))))</f>
        <v>0</v>
      </c>
      <c r="AA208" s="145">
        <f>IF(テーブル2[[#This Row],[ボール投げ]]="",0,(IF(テーブル2[[#This Row],[性別]]="男",LOOKUP(テーブル2[[#This Row],[ボール投げ]],$AY$6:$AZ$15),LOOKUP(テーブル2[[#This Row],[ボール投げ]],$AY$20:$AZ$29))))</f>
        <v>0</v>
      </c>
      <c r="AB208" s="146" t="str">
        <f>IF(テーブル2[[#This Row],[学年]]=1,12,IF(テーブル2[[#This Row],[学年]]=2,13,IF(テーブル2[[#This Row],[学年]]=3,14,"")))</f>
        <v/>
      </c>
      <c r="AC208" s="192" t="str">
        <f>IF(テーブル2[[#This Row],[肥満度数値]]=0,"",LOOKUP(AE208,$AW$39:$AW$44,$AX$39:$AX$44))</f>
        <v/>
      </c>
      <c r="AD20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8" s="77">
        <f>IF(テーブル2[[#This Row],[体重]]="",0,(テーブル2[[#This Row],[体重]]-テーブル2[[#This Row],[標準体重]])/テーブル2[[#This Row],[標準体重]]*100)</f>
        <v>0</v>
      </c>
      <c r="AF208" s="26">
        <f>COUNTA(テーブル2[[#This Row],[握力]:[ボール投げ]])</f>
        <v>0</v>
      </c>
      <c r="AG208" s="1" t="str">
        <f>IF(テーブル2[[#This Row],[判定]]=$BE$10,"○","")</f>
        <v/>
      </c>
      <c r="AH208" s="1" t="str">
        <f>IF(AG208="","",COUNTIF($AG$6:AG208,"○"))</f>
        <v/>
      </c>
    </row>
    <row r="209" spans="1:34" ht="14.25" customHeight="1" x14ac:dyDescent="0.15">
      <c r="A209" s="44">
        <v>204</v>
      </c>
      <c r="B209" s="148"/>
      <c r="C209" s="151"/>
      <c r="D209" s="148"/>
      <c r="E209" s="152"/>
      <c r="F209" s="148"/>
      <c r="G209" s="148"/>
      <c r="H209" s="150"/>
      <c r="I209" s="150"/>
      <c r="J209" s="151"/>
      <c r="K209" s="148"/>
      <c r="L209" s="196"/>
      <c r="M209" s="151"/>
      <c r="N209" s="197"/>
      <c r="O209" s="151"/>
      <c r="P209" s="153"/>
      <c r="Q20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9" s="144" t="str">
        <f>IF(テーブル2[[#This Row],[得点]]=0,"",IF(テーブル2[[#This Row],[年齢]]=17,LOOKUP(Q209,$BH$6:$BH$10,$BE$6:$BE$10),IF(テーブル2[[#This Row],[年齢]]=16,LOOKUP(Q209,$BG$6:$BG$10,$BE$6:$BE$10),IF(テーブル2[[#This Row],[年齢]]=15,LOOKUP(Q209,$BF$6:$BF$10,$BE$6:$BE$10),IF(テーブル2[[#This Row],[年齢]]=14,LOOKUP(Q209,$BD$6:$BD$10,$BE$6:$BE$10),IF(テーブル2[[#This Row],[年齢]]=13,LOOKUP(Q209,$BC$6:$BC$10,$BE$6:$BE$10),LOOKUP(Q209,$BB$6:$BB$10,$BE$6:$BE$10)))))))</f>
        <v/>
      </c>
      <c r="S209" s="145">
        <f>IF(H209="",0,(IF(テーブル2[[#This Row],[性別]]="男",LOOKUP(テーブル2[[#This Row],[握力]],$AI$6:$AJ$15),LOOKUP(テーブル2[[#This Row],[握力]],$AI$20:$AJ$29))))</f>
        <v>0</v>
      </c>
      <c r="T209" s="145">
        <f>IF(テーブル2[[#This Row],[上体]]="",0,(IF(テーブル2[[#This Row],[性別]]="男",LOOKUP(テーブル2[[#This Row],[上体]],$AK$6:$AL$15),LOOKUP(テーブル2[[#This Row],[上体]],$AK$20:$AL$29))))</f>
        <v>0</v>
      </c>
      <c r="U209" s="145">
        <f>IF(テーブル2[[#This Row],[長座]]="",0,(IF(テーブル2[[#This Row],[性別]]="男",LOOKUP(テーブル2[[#This Row],[長座]],$AM$6:$AN$15),LOOKUP(テーブル2[[#This Row],[長座]],$AM$20:$AN$29))))</f>
        <v>0</v>
      </c>
      <c r="V209" s="145">
        <f>IF(テーブル2[[#This Row],[反復]]="",0,(IF(テーブル2[[#This Row],[性別]]="男",LOOKUP(テーブル2[[#This Row],[反復]],$AO$6:$AP$15),LOOKUP(テーブル2[[#This Row],[反復]],$AO$20:$AP$29))))</f>
        <v>0</v>
      </c>
      <c r="W209" s="145">
        <f>IF(テーブル2[[#This Row],[持久走]]="",0,(IF(テーブル2[[#This Row],[性別]]="男",LOOKUP(テーブル2[[#This Row],[持久走]],$AQ$6:$AR$15),LOOKUP(テーブル2[[#This Row],[持久走]],$AQ$20:$AR$29))))</f>
        <v>0</v>
      </c>
      <c r="X209" s="145">
        <f>IF(テーブル2[[#This Row],[ｼｬﾄﾙﾗﾝ]]="",0,(IF(テーブル2[[#This Row],[性別]]="男",LOOKUP(テーブル2[[#This Row],[ｼｬﾄﾙﾗﾝ]],$AS$6:$AT$15),LOOKUP(テーブル2[[#This Row],[ｼｬﾄﾙﾗﾝ]],$AS$20:$AT$29))))</f>
        <v>0</v>
      </c>
      <c r="Y209" s="145">
        <f>IF(テーブル2[[#This Row],[50m走]]="",0,(IF(テーブル2[[#This Row],[性別]]="男",LOOKUP(テーブル2[[#This Row],[50m走]],$AU$6:$AV$15),LOOKUP(テーブル2[[#This Row],[50m走]],$AU$20:$AV$29))))</f>
        <v>0</v>
      </c>
      <c r="Z209" s="145">
        <f>IF(テーブル2[[#This Row],[立幅とび]]="",0,(IF(テーブル2[[#This Row],[性別]]="男",LOOKUP(テーブル2[[#This Row],[立幅とび]],$AW$6:$AX$15),LOOKUP(テーブル2[[#This Row],[立幅とび]],$AW$20:$AX$29))))</f>
        <v>0</v>
      </c>
      <c r="AA209" s="145">
        <f>IF(テーブル2[[#This Row],[ボール投げ]]="",0,(IF(テーブル2[[#This Row],[性別]]="男",LOOKUP(テーブル2[[#This Row],[ボール投げ]],$AY$6:$AZ$15),LOOKUP(テーブル2[[#This Row],[ボール投げ]],$AY$20:$AZ$29))))</f>
        <v>0</v>
      </c>
      <c r="AB209" s="146" t="str">
        <f>IF(テーブル2[[#This Row],[学年]]=1,12,IF(テーブル2[[#This Row],[学年]]=2,13,IF(テーブル2[[#This Row],[学年]]=3,14,"")))</f>
        <v/>
      </c>
      <c r="AC209" s="192" t="str">
        <f>IF(テーブル2[[#This Row],[肥満度数値]]=0,"",LOOKUP(AE209,$AW$39:$AW$44,$AX$39:$AX$44))</f>
        <v/>
      </c>
      <c r="AD20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09" s="77">
        <f>IF(テーブル2[[#This Row],[体重]]="",0,(テーブル2[[#This Row],[体重]]-テーブル2[[#This Row],[標準体重]])/テーブル2[[#This Row],[標準体重]]*100)</f>
        <v>0</v>
      </c>
      <c r="AF209" s="26">
        <f>COUNTA(テーブル2[[#This Row],[握力]:[ボール投げ]])</f>
        <v>0</v>
      </c>
      <c r="AG209" s="1" t="str">
        <f>IF(テーブル2[[#This Row],[判定]]=$BE$10,"○","")</f>
        <v/>
      </c>
      <c r="AH209" s="1" t="str">
        <f>IF(AG209="","",COUNTIF($AG$6:AG209,"○"))</f>
        <v/>
      </c>
    </row>
    <row r="210" spans="1:34" ht="14.25" customHeight="1" x14ac:dyDescent="0.15">
      <c r="A210" s="44">
        <v>205</v>
      </c>
      <c r="B210" s="148"/>
      <c r="C210" s="151"/>
      <c r="D210" s="148"/>
      <c r="E210" s="152"/>
      <c r="F210" s="148"/>
      <c r="G210" s="148"/>
      <c r="H210" s="150"/>
      <c r="I210" s="150"/>
      <c r="J210" s="151"/>
      <c r="K210" s="148"/>
      <c r="L210" s="196"/>
      <c r="M210" s="151"/>
      <c r="N210" s="197"/>
      <c r="O210" s="151"/>
      <c r="P210" s="153"/>
      <c r="Q21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0" s="144" t="str">
        <f>IF(テーブル2[[#This Row],[得点]]=0,"",IF(テーブル2[[#This Row],[年齢]]=17,LOOKUP(Q210,$BH$6:$BH$10,$BE$6:$BE$10),IF(テーブル2[[#This Row],[年齢]]=16,LOOKUP(Q210,$BG$6:$BG$10,$BE$6:$BE$10),IF(テーブル2[[#This Row],[年齢]]=15,LOOKUP(Q210,$BF$6:$BF$10,$BE$6:$BE$10),IF(テーブル2[[#This Row],[年齢]]=14,LOOKUP(Q210,$BD$6:$BD$10,$BE$6:$BE$10),IF(テーブル2[[#This Row],[年齢]]=13,LOOKUP(Q210,$BC$6:$BC$10,$BE$6:$BE$10),LOOKUP(Q210,$BB$6:$BB$10,$BE$6:$BE$10)))))))</f>
        <v/>
      </c>
      <c r="S210" s="145">
        <f>IF(H210="",0,(IF(テーブル2[[#This Row],[性別]]="男",LOOKUP(テーブル2[[#This Row],[握力]],$AI$6:$AJ$15),LOOKUP(テーブル2[[#This Row],[握力]],$AI$20:$AJ$29))))</f>
        <v>0</v>
      </c>
      <c r="T210" s="145">
        <f>IF(テーブル2[[#This Row],[上体]]="",0,(IF(テーブル2[[#This Row],[性別]]="男",LOOKUP(テーブル2[[#This Row],[上体]],$AK$6:$AL$15),LOOKUP(テーブル2[[#This Row],[上体]],$AK$20:$AL$29))))</f>
        <v>0</v>
      </c>
      <c r="U210" s="145">
        <f>IF(テーブル2[[#This Row],[長座]]="",0,(IF(テーブル2[[#This Row],[性別]]="男",LOOKUP(テーブル2[[#This Row],[長座]],$AM$6:$AN$15),LOOKUP(テーブル2[[#This Row],[長座]],$AM$20:$AN$29))))</f>
        <v>0</v>
      </c>
      <c r="V210" s="145">
        <f>IF(テーブル2[[#This Row],[反復]]="",0,(IF(テーブル2[[#This Row],[性別]]="男",LOOKUP(テーブル2[[#This Row],[反復]],$AO$6:$AP$15),LOOKUP(テーブル2[[#This Row],[反復]],$AO$20:$AP$29))))</f>
        <v>0</v>
      </c>
      <c r="W210" s="145">
        <f>IF(テーブル2[[#This Row],[持久走]]="",0,(IF(テーブル2[[#This Row],[性別]]="男",LOOKUP(テーブル2[[#This Row],[持久走]],$AQ$6:$AR$15),LOOKUP(テーブル2[[#This Row],[持久走]],$AQ$20:$AR$29))))</f>
        <v>0</v>
      </c>
      <c r="X210" s="145">
        <f>IF(テーブル2[[#This Row],[ｼｬﾄﾙﾗﾝ]]="",0,(IF(テーブル2[[#This Row],[性別]]="男",LOOKUP(テーブル2[[#This Row],[ｼｬﾄﾙﾗﾝ]],$AS$6:$AT$15),LOOKUP(テーブル2[[#This Row],[ｼｬﾄﾙﾗﾝ]],$AS$20:$AT$29))))</f>
        <v>0</v>
      </c>
      <c r="Y210" s="145">
        <f>IF(テーブル2[[#This Row],[50m走]]="",0,(IF(テーブル2[[#This Row],[性別]]="男",LOOKUP(テーブル2[[#This Row],[50m走]],$AU$6:$AV$15),LOOKUP(テーブル2[[#This Row],[50m走]],$AU$20:$AV$29))))</f>
        <v>0</v>
      </c>
      <c r="Z210" s="145">
        <f>IF(テーブル2[[#This Row],[立幅とび]]="",0,(IF(テーブル2[[#This Row],[性別]]="男",LOOKUP(テーブル2[[#This Row],[立幅とび]],$AW$6:$AX$15),LOOKUP(テーブル2[[#This Row],[立幅とび]],$AW$20:$AX$29))))</f>
        <v>0</v>
      </c>
      <c r="AA210" s="145">
        <f>IF(テーブル2[[#This Row],[ボール投げ]]="",0,(IF(テーブル2[[#This Row],[性別]]="男",LOOKUP(テーブル2[[#This Row],[ボール投げ]],$AY$6:$AZ$15),LOOKUP(テーブル2[[#This Row],[ボール投げ]],$AY$20:$AZ$29))))</f>
        <v>0</v>
      </c>
      <c r="AB210" s="146" t="str">
        <f>IF(テーブル2[[#This Row],[学年]]=1,12,IF(テーブル2[[#This Row],[学年]]=2,13,IF(テーブル2[[#This Row],[学年]]=3,14,"")))</f>
        <v/>
      </c>
      <c r="AC210" s="192" t="str">
        <f>IF(テーブル2[[#This Row],[肥満度数値]]=0,"",LOOKUP(AE210,$AW$39:$AW$44,$AX$39:$AX$44))</f>
        <v/>
      </c>
      <c r="AD21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0" s="77">
        <f>IF(テーブル2[[#This Row],[体重]]="",0,(テーブル2[[#This Row],[体重]]-テーブル2[[#This Row],[標準体重]])/テーブル2[[#This Row],[標準体重]]*100)</f>
        <v>0</v>
      </c>
      <c r="AF210" s="26">
        <f>COUNTA(テーブル2[[#This Row],[握力]:[ボール投げ]])</f>
        <v>0</v>
      </c>
      <c r="AG210" s="1" t="str">
        <f>IF(テーブル2[[#This Row],[判定]]=$BE$10,"○","")</f>
        <v/>
      </c>
      <c r="AH210" s="1" t="str">
        <f>IF(AG210="","",COUNTIF($AG$6:AG210,"○"))</f>
        <v/>
      </c>
    </row>
    <row r="211" spans="1:34" ht="14.25" customHeight="1" x14ac:dyDescent="0.15">
      <c r="A211" s="44">
        <v>206</v>
      </c>
      <c r="B211" s="148"/>
      <c r="C211" s="151"/>
      <c r="D211" s="148"/>
      <c r="E211" s="152"/>
      <c r="F211" s="148"/>
      <c r="G211" s="148"/>
      <c r="H211" s="150"/>
      <c r="I211" s="150"/>
      <c r="J211" s="151"/>
      <c r="K211" s="148"/>
      <c r="L211" s="196"/>
      <c r="M211" s="151"/>
      <c r="N211" s="197"/>
      <c r="O211" s="151"/>
      <c r="P211" s="153"/>
      <c r="Q21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1" s="144" t="str">
        <f>IF(テーブル2[[#This Row],[得点]]=0,"",IF(テーブル2[[#This Row],[年齢]]=17,LOOKUP(Q211,$BH$6:$BH$10,$BE$6:$BE$10),IF(テーブル2[[#This Row],[年齢]]=16,LOOKUP(Q211,$BG$6:$BG$10,$BE$6:$BE$10),IF(テーブル2[[#This Row],[年齢]]=15,LOOKUP(Q211,$BF$6:$BF$10,$BE$6:$BE$10),IF(テーブル2[[#This Row],[年齢]]=14,LOOKUP(Q211,$BD$6:$BD$10,$BE$6:$BE$10),IF(テーブル2[[#This Row],[年齢]]=13,LOOKUP(Q211,$BC$6:$BC$10,$BE$6:$BE$10),LOOKUP(Q211,$BB$6:$BB$10,$BE$6:$BE$10)))))))</f>
        <v/>
      </c>
      <c r="S211" s="145">
        <f>IF(H211="",0,(IF(テーブル2[[#This Row],[性別]]="男",LOOKUP(テーブル2[[#This Row],[握力]],$AI$6:$AJ$15),LOOKUP(テーブル2[[#This Row],[握力]],$AI$20:$AJ$29))))</f>
        <v>0</v>
      </c>
      <c r="T211" s="145">
        <f>IF(テーブル2[[#This Row],[上体]]="",0,(IF(テーブル2[[#This Row],[性別]]="男",LOOKUP(テーブル2[[#This Row],[上体]],$AK$6:$AL$15),LOOKUP(テーブル2[[#This Row],[上体]],$AK$20:$AL$29))))</f>
        <v>0</v>
      </c>
      <c r="U211" s="145">
        <f>IF(テーブル2[[#This Row],[長座]]="",0,(IF(テーブル2[[#This Row],[性別]]="男",LOOKUP(テーブル2[[#This Row],[長座]],$AM$6:$AN$15),LOOKUP(テーブル2[[#This Row],[長座]],$AM$20:$AN$29))))</f>
        <v>0</v>
      </c>
      <c r="V211" s="145">
        <f>IF(テーブル2[[#This Row],[反復]]="",0,(IF(テーブル2[[#This Row],[性別]]="男",LOOKUP(テーブル2[[#This Row],[反復]],$AO$6:$AP$15),LOOKUP(テーブル2[[#This Row],[反復]],$AO$20:$AP$29))))</f>
        <v>0</v>
      </c>
      <c r="W211" s="145">
        <f>IF(テーブル2[[#This Row],[持久走]]="",0,(IF(テーブル2[[#This Row],[性別]]="男",LOOKUP(テーブル2[[#This Row],[持久走]],$AQ$6:$AR$15),LOOKUP(テーブル2[[#This Row],[持久走]],$AQ$20:$AR$29))))</f>
        <v>0</v>
      </c>
      <c r="X211" s="145">
        <f>IF(テーブル2[[#This Row],[ｼｬﾄﾙﾗﾝ]]="",0,(IF(テーブル2[[#This Row],[性別]]="男",LOOKUP(テーブル2[[#This Row],[ｼｬﾄﾙﾗﾝ]],$AS$6:$AT$15),LOOKUP(テーブル2[[#This Row],[ｼｬﾄﾙﾗﾝ]],$AS$20:$AT$29))))</f>
        <v>0</v>
      </c>
      <c r="Y211" s="145">
        <f>IF(テーブル2[[#This Row],[50m走]]="",0,(IF(テーブル2[[#This Row],[性別]]="男",LOOKUP(テーブル2[[#This Row],[50m走]],$AU$6:$AV$15),LOOKUP(テーブル2[[#This Row],[50m走]],$AU$20:$AV$29))))</f>
        <v>0</v>
      </c>
      <c r="Z211" s="145">
        <f>IF(テーブル2[[#This Row],[立幅とび]]="",0,(IF(テーブル2[[#This Row],[性別]]="男",LOOKUP(テーブル2[[#This Row],[立幅とび]],$AW$6:$AX$15),LOOKUP(テーブル2[[#This Row],[立幅とび]],$AW$20:$AX$29))))</f>
        <v>0</v>
      </c>
      <c r="AA211" s="145">
        <f>IF(テーブル2[[#This Row],[ボール投げ]]="",0,(IF(テーブル2[[#This Row],[性別]]="男",LOOKUP(テーブル2[[#This Row],[ボール投げ]],$AY$6:$AZ$15),LOOKUP(テーブル2[[#This Row],[ボール投げ]],$AY$20:$AZ$29))))</f>
        <v>0</v>
      </c>
      <c r="AB211" s="146" t="str">
        <f>IF(テーブル2[[#This Row],[学年]]=1,12,IF(テーブル2[[#This Row],[学年]]=2,13,IF(テーブル2[[#This Row],[学年]]=3,14,"")))</f>
        <v/>
      </c>
      <c r="AC211" s="192" t="str">
        <f>IF(テーブル2[[#This Row],[肥満度数値]]=0,"",LOOKUP(AE211,$AW$39:$AW$44,$AX$39:$AX$44))</f>
        <v/>
      </c>
      <c r="AD21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1" s="77">
        <f>IF(テーブル2[[#This Row],[体重]]="",0,(テーブル2[[#This Row],[体重]]-テーブル2[[#This Row],[標準体重]])/テーブル2[[#This Row],[標準体重]]*100)</f>
        <v>0</v>
      </c>
      <c r="AF211" s="26">
        <f>COUNTA(テーブル2[[#This Row],[握力]:[ボール投げ]])</f>
        <v>0</v>
      </c>
      <c r="AG211" s="1" t="str">
        <f>IF(テーブル2[[#This Row],[判定]]=$BE$10,"○","")</f>
        <v/>
      </c>
      <c r="AH211" s="1" t="str">
        <f>IF(AG211="","",COUNTIF($AG$6:AG211,"○"))</f>
        <v/>
      </c>
    </row>
    <row r="212" spans="1:34" ht="14.25" customHeight="1" x14ac:dyDescent="0.15">
      <c r="A212" s="44">
        <v>207</v>
      </c>
      <c r="B212" s="148"/>
      <c r="C212" s="151"/>
      <c r="D212" s="148"/>
      <c r="E212" s="152"/>
      <c r="F212" s="148"/>
      <c r="G212" s="148"/>
      <c r="H212" s="150"/>
      <c r="I212" s="150"/>
      <c r="J212" s="151"/>
      <c r="K212" s="148"/>
      <c r="L212" s="196"/>
      <c r="M212" s="151"/>
      <c r="N212" s="197"/>
      <c r="O212" s="151"/>
      <c r="P212" s="153"/>
      <c r="Q21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2" s="144" t="str">
        <f>IF(テーブル2[[#This Row],[得点]]=0,"",IF(テーブル2[[#This Row],[年齢]]=17,LOOKUP(Q212,$BH$6:$BH$10,$BE$6:$BE$10),IF(テーブル2[[#This Row],[年齢]]=16,LOOKUP(Q212,$BG$6:$BG$10,$BE$6:$BE$10),IF(テーブル2[[#This Row],[年齢]]=15,LOOKUP(Q212,$BF$6:$BF$10,$BE$6:$BE$10),IF(テーブル2[[#This Row],[年齢]]=14,LOOKUP(Q212,$BD$6:$BD$10,$BE$6:$BE$10),IF(テーブル2[[#This Row],[年齢]]=13,LOOKUP(Q212,$BC$6:$BC$10,$BE$6:$BE$10),LOOKUP(Q212,$BB$6:$BB$10,$BE$6:$BE$10)))))))</f>
        <v/>
      </c>
      <c r="S212" s="145">
        <f>IF(H212="",0,(IF(テーブル2[[#This Row],[性別]]="男",LOOKUP(テーブル2[[#This Row],[握力]],$AI$6:$AJ$15),LOOKUP(テーブル2[[#This Row],[握力]],$AI$20:$AJ$29))))</f>
        <v>0</v>
      </c>
      <c r="T212" s="145">
        <f>IF(テーブル2[[#This Row],[上体]]="",0,(IF(テーブル2[[#This Row],[性別]]="男",LOOKUP(テーブル2[[#This Row],[上体]],$AK$6:$AL$15),LOOKUP(テーブル2[[#This Row],[上体]],$AK$20:$AL$29))))</f>
        <v>0</v>
      </c>
      <c r="U212" s="145">
        <f>IF(テーブル2[[#This Row],[長座]]="",0,(IF(テーブル2[[#This Row],[性別]]="男",LOOKUP(テーブル2[[#This Row],[長座]],$AM$6:$AN$15),LOOKUP(テーブル2[[#This Row],[長座]],$AM$20:$AN$29))))</f>
        <v>0</v>
      </c>
      <c r="V212" s="145">
        <f>IF(テーブル2[[#This Row],[反復]]="",0,(IF(テーブル2[[#This Row],[性別]]="男",LOOKUP(テーブル2[[#This Row],[反復]],$AO$6:$AP$15),LOOKUP(テーブル2[[#This Row],[反復]],$AO$20:$AP$29))))</f>
        <v>0</v>
      </c>
      <c r="W212" s="145">
        <f>IF(テーブル2[[#This Row],[持久走]]="",0,(IF(テーブル2[[#This Row],[性別]]="男",LOOKUP(テーブル2[[#This Row],[持久走]],$AQ$6:$AR$15),LOOKUP(テーブル2[[#This Row],[持久走]],$AQ$20:$AR$29))))</f>
        <v>0</v>
      </c>
      <c r="X212" s="145">
        <f>IF(テーブル2[[#This Row],[ｼｬﾄﾙﾗﾝ]]="",0,(IF(テーブル2[[#This Row],[性別]]="男",LOOKUP(テーブル2[[#This Row],[ｼｬﾄﾙﾗﾝ]],$AS$6:$AT$15),LOOKUP(テーブル2[[#This Row],[ｼｬﾄﾙﾗﾝ]],$AS$20:$AT$29))))</f>
        <v>0</v>
      </c>
      <c r="Y212" s="145">
        <f>IF(テーブル2[[#This Row],[50m走]]="",0,(IF(テーブル2[[#This Row],[性別]]="男",LOOKUP(テーブル2[[#This Row],[50m走]],$AU$6:$AV$15),LOOKUP(テーブル2[[#This Row],[50m走]],$AU$20:$AV$29))))</f>
        <v>0</v>
      </c>
      <c r="Z212" s="145">
        <f>IF(テーブル2[[#This Row],[立幅とび]]="",0,(IF(テーブル2[[#This Row],[性別]]="男",LOOKUP(テーブル2[[#This Row],[立幅とび]],$AW$6:$AX$15),LOOKUP(テーブル2[[#This Row],[立幅とび]],$AW$20:$AX$29))))</f>
        <v>0</v>
      </c>
      <c r="AA212" s="145">
        <f>IF(テーブル2[[#This Row],[ボール投げ]]="",0,(IF(テーブル2[[#This Row],[性別]]="男",LOOKUP(テーブル2[[#This Row],[ボール投げ]],$AY$6:$AZ$15),LOOKUP(テーブル2[[#This Row],[ボール投げ]],$AY$20:$AZ$29))))</f>
        <v>0</v>
      </c>
      <c r="AB212" s="146" t="str">
        <f>IF(テーブル2[[#This Row],[学年]]=1,12,IF(テーブル2[[#This Row],[学年]]=2,13,IF(テーブル2[[#This Row],[学年]]=3,14,"")))</f>
        <v/>
      </c>
      <c r="AC212" s="192" t="str">
        <f>IF(テーブル2[[#This Row],[肥満度数値]]=0,"",LOOKUP(AE212,$AW$39:$AW$44,$AX$39:$AX$44))</f>
        <v/>
      </c>
      <c r="AD21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2" s="77">
        <f>IF(テーブル2[[#This Row],[体重]]="",0,(テーブル2[[#This Row],[体重]]-テーブル2[[#This Row],[標準体重]])/テーブル2[[#This Row],[標準体重]]*100)</f>
        <v>0</v>
      </c>
      <c r="AF212" s="26">
        <f>COUNTA(テーブル2[[#This Row],[握力]:[ボール投げ]])</f>
        <v>0</v>
      </c>
      <c r="AG212" s="1" t="str">
        <f>IF(テーブル2[[#This Row],[判定]]=$BE$10,"○","")</f>
        <v/>
      </c>
      <c r="AH212" s="1" t="str">
        <f>IF(AG212="","",COUNTIF($AG$6:AG212,"○"))</f>
        <v/>
      </c>
    </row>
    <row r="213" spans="1:34" ht="14.25" customHeight="1" x14ac:dyDescent="0.15">
      <c r="A213" s="44">
        <v>208</v>
      </c>
      <c r="B213" s="148"/>
      <c r="C213" s="151"/>
      <c r="D213" s="148"/>
      <c r="E213" s="152"/>
      <c r="F213" s="148"/>
      <c r="G213" s="148"/>
      <c r="H213" s="150"/>
      <c r="I213" s="150"/>
      <c r="J213" s="151"/>
      <c r="K213" s="148"/>
      <c r="L213" s="196"/>
      <c r="M213" s="151"/>
      <c r="N213" s="197"/>
      <c r="O213" s="151"/>
      <c r="P213" s="153"/>
      <c r="Q21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3" s="144" t="str">
        <f>IF(テーブル2[[#This Row],[得点]]=0,"",IF(テーブル2[[#This Row],[年齢]]=17,LOOKUP(Q213,$BH$6:$BH$10,$BE$6:$BE$10),IF(テーブル2[[#This Row],[年齢]]=16,LOOKUP(Q213,$BG$6:$BG$10,$BE$6:$BE$10),IF(テーブル2[[#This Row],[年齢]]=15,LOOKUP(Q213,$BF$6:$BF$10,$BE$6:$BE$10),IF(テーブル2[[#This Row],[年齢]]=14,LOOKUP(Q213,$BD$6:$BD$10,$BE$6:$BE$10),IF(テーブル2[[#This Row],[年齢]]=13,LOOKUP(Q213,$BC$6:$BC$10,$BE$6:$BE$10),LOOKUP(Q213,$BB$6:$BB$10,$BE$6:$BE$10)))))))</f>
        <v/>
      </c>
      <c r="S213" s="145">
        <f>IF(H213="",0,(IF(テーブル2[[#This Row],[性別]]="男",LOOKUP(テーブル2[[#This Row],[握力]],$AI$6:$AJ$15),LOOKUP(テーブル2[[#This Row],[握力]],$AI$20:$AJ$29))))</f>
        <v>0</v>
      </c>
      <c r="T213" s="145">
        <f>IF(テーブル2[[#This Row],[上体]]="",0,(IF(テーブル2[[#This Row],[性別]]="男",LOOKUP(テーブル2[[#This Row],[上体]],$AK$6:$AL$15),LOOKUP(テーブル2[[#This Row],[上体]],$AK$20:$AL$29))))</f>
        <v>0</v>
      </c>
      <c r="U213" s="145">
        <f>IF(テーブル2[[#This Row],[長座]]="",0,(IF(テーブル2[[#This Row],[性別]]="男",LOOKUP(テーブル2[[#This Row],[長座]],$AM$6:$AN$15),LOOKUP(テーブル2[[#This Row],[長座]],$AM$20:$AN$29))))</f>
        <v>0</v>
      </c>
      <c r="V213" s="145">
        <f>IF(テーブル2[[#This Row],[反復]]="",0,(IF(テーブル2[[#This Row],[性別]]="男",LOOKUP(テーブル2[[#This Row],[反復]],$AO$6:$AP$15),LOOKUP(テーブル2[[#This Row],[反復]],$AO$20:$AP$29))))</f>
        <v>0</v>
      </c>
      <c r="W213" s="145">
        <f>IF(テーブル2[[#This Row],[持久走]]="",0,(IF(テーブル2[[#This Row],[性別]]="男",LOOKUP(テーブル2[[#This Row],[持久走]],$AQ$6:$AR$15),LOOKUP(テーブル2[[#This Row],[持久走]],$AQ$20:$AR$29))))</f>
        <v>0</v>
      </c>
      <c r="X213" s="145">
        <f>IF(テーブル2[[#This Row],[ｼｬﾄﾙﾗﾝ]]="",0,(IF(テーブル2[[#This Row],[性別]]="男",LOOKUP(テーブル2[[#This Row],[ｼｬﾄﾙﾗﾝ]],$AS$6:$AT$15),LOOKUP(テーブル2[[#This Row],[ｼｬﾄﾙﾗﾝ]],$AS$20:$AT$29))))</f>
        <v>0</v>
      </c>
      <c r="Y213" s="145">
        <f>IF(テーブル2[[#This Row],[50m走]]="",0,(IF(テーブル2[[#This Row],[性別]]="男",LOOKUP(テーブル2[[#This Row],[50m走]],$AU$6:$AV$15),LOOKUP(テーブル2[[#This Row],[50m走]],$AU$20:$AV$29))))</f>
        <v>0</v>
      </c>
      <c r="Z213" s="145">
        <f>IF(テーブル2[[#This Row],[立幅とび]]="",0,(IF(テーブル2[[#This Row],[性別]]="男",LOOKUP(テーブル2[[#This Row],[立幅とび]],$AW$6:$AX$15),LOOKUP(テーブル2[[#This Row],[立幅とび]],$AW$20:$AX$29))))</f>
        <v>0</v>
      </c>
      <c r="AA213" s="145">
        <f>IF(テーブル2[[#This Row],[ボール投げ]]="",0,(IF(テーブル2[[#This Row],[性別]]="男",LOOKUP(テーブル2[[#This Row],[ボール投げ]],$AY$6:$AZ$15),LOOKUP(テーブル2[[#This Row],[ボール投げ]],$AY$20:$AZ$29))))</f>
        <v>0</v>
      </c>
      <c r="AB213" s="146" t="str">
        <f>IF(テーブル2[[#This Row],[学年]]=1,12,IF(テーブル2[[#This Row],[学年]]=2,13,IF(テーブル2[[#This Row],[学年]]=3,14,"")))</f>
        <v/>
      </c>
      <c r="AC213" s="192" t="str">
        <f>IF(テーブル2[[#This Row],[肥満度数値]]=0,"",LOOKUP(AE213,$AW$39:$AW$44,$AX$39:$AX$44))</f>
        <v/>
      </c>
      <c r="AD21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3" s="77">
        <f>IF(テーブル2[[#This Row],[体重]]="",0,(テーブル2[[#This Row],[体重]]-テーブル2[[#This Row],[標準体重]])/テーブル2[[#This Row],[標準体重]]*100)</f>
        <v>0</v>
      </c>
      <c r="AF213" s="26">
        <f>COUNTA(テーブル2[[#This Row],[握力]:[ボール投げ]])</f>
        <v>0</v>
      </c>
      <c r="AG213" s="1" t="str">
        <f>IF(テーブル2[[#This Row],[判定]]=$BE$10,"○","")</f>
        <v/>
      </c>
      <c r="AH213" s="1" t="str">
        <f>IF(AG213="","",COUNTIF($AG$6:AG213,"○"))</f>
        <v/>
      </c>
    </row>
    <row r="214" spans="1:34" ht="14.25" customHeight="1" x14ac:dyDescent="0.15">
      <c r="A214" s="44">
        <v>209</v>
      </c>
      <c r="B214" s="148"/>
      <c r="C214" s="151"/>
      <c r="D214" s="148"/>
      <c r="E214" s="152"/>
      <c r="F214" s="148"/>
      <c r="G214" s="148"/>
      <c r="H214" s="150"/>
      <c r="I214" s="150"/>
      <c r="J214" s="151"/>
      <c r="K214" s="148"/>
      <c r="L214" s="196"/>
      <c r="M214" s="151"/>
      <c r="N214" s="197"/>
      <c r="O214" s="151"/>
      <c r="P214" s="153"/>
      <c r="Q21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4" s="144" t="str">
        <f>IF(テーブル2[[#This Row],[得点]]=0,"",IF(テーブル2[[#This Row],[年齢]]=17,LOOKUP(Q214,$BH$6:$BH$10,$BE$6:$BE$10),IF(テーブル2[[#This Row],[年齢]]=16,LOOKUP(Q214,$BG$6:$BG$10,$BE$6:$BE$10),IF(テーブル2[[#This Row],[年齢]]=15,LOOKUP(Q214,$BF$6:$BF$10,$BE$6:$BE$10),IF(テーブル2[[#This Row],[年齢]]=14,LOOKUP(Q214,$BD$6:$BD$10,$BE$6:$BE$10),IF(テーブル2[[#This Row],[年齢]]=13,LOOKUP(Q214,$BC$6:$BC$10,$BE$6:$BE$10),LOOKUP(Q214,$BB$6:$BB$10,$BE$6:$BE$10)))))))</f>
        <v/>
      </c>
      <c r="S214" s="145">
        <f>IF(H214="",0,(IF(テーブル2[[#This Row],[性別]]="男",LOOKUP(テーブル2[[#This Row],[握力]],$AI$6:$AJ$15),LOOKUP(テーブル2[[#This Row],[握力]],$AI$20:$AJ$29))))</f>
        <v>0</v>
      </c>
      <c r="T214" s="145">
        <f>IF(テーブル2[[#This Row],[上体]]="",0,(IF(テーブル2[[#This Row],[性別]]="男",LOOKUP(テーブル2[[#This Row],[上体]],$AK$6:$AL$15),LOOKUP(テーブル2[[#This Row],[上体]],$AK$20:$AL$29))))</f>
        <v>0</v>
      </c>
      <c r="U214" s="145">
        <f>IF(テーブル2[[#This Row],[長座]]="",0,(IF(テーブル2[[#This Row],[性別]]="男",LOOKUP(テーブル2[[#This Row],[長座]],$AM$6:$AN$15),LOOKUP(テーブル2[[#This Row],[長座]],$AM$20:$AN$29))))</f>
        <v>0</v>
      </c>
      <c r="V214" s="145">
        <f>IF(テーブル2[[#This Row],[反復]]="",0,(IF(テーブル2[[#This Row],[性別]]="男",LOOKUP(テーブル2[[#This Row],[反復]],$AO$6:$AP$15),LOOKUP(テーブル2[[#This Row],[反復]],$AO$20:$AP$29))))</f>
        <v>0</v>
      </c>
      <c r="W214" s="145">
        <f>IF(テーブル2[[#This Row],[持久走]]="",0,(IF(テーブル2[[#This Row],[性別]]="男",LOOKUP(テーブル2[[#This Row],[持久走]],$AQ$6:$AR$15),LOOKUP(テーブル2[[#This Row],[持久走]],$AQ$20:$AR$29))))</f>
        <v>0</v>
      </c>
      <c r="X214" s="145">
        <f>IF(テーブル2[[#This Row],[ｼｬﾄﾙﾗﾝ]]="",0,(IF(テーブル2[[#This Row],[性別]]="男",LOOKUP(テーブル2[[#This Row],[ｼｬﾄﾙﾗﾝ]],$AS$6:$AT$15),LOOKUP(テーブル2[[#This Row],[ｼｬﾄﾙﾗﾝ]],$AS$20:$AT$29))))</f>
        <v>0</v>
      </c>
      <c r="Y214" s="145">
        <f>IF(テーブル2[[#This Row],[50m走]]="",0,(IF(テーブル2[[#This Row],[性別]]="男",LOOKUP(テーブル2[[#This Row],[50m走]],$AU$6:$AV$15),LOOKUP(テーブル2[[#This Row],[50m走]],$AU$20:$AV$29))))</f>
        <v>0</v>
      </c>
      <c r="Z214" s="145">
        <f>IF(テーブル2[[#This Row],[立幅とび]]="",0,(IF(テーブル2[[#This Row],[性別]]="男",LOOKUP(テーブル2[[#This Row],[立幅とび]],$AW$6:$AX$15),LOOKUP(テーブル2[[#This Row],[立幅とび]],$AW$20:$AX$29))))</f>
        <v>0</v>
      </c>
      <c r="AA214" s="145">
        <f>IF(テーブル2[[#This Row],[ボール投げ]]="",0,(IF(テーブル2[[#This Row],[性別]]="男",LOOKUP(テーブル2[[#This Row],[ボール投げ]],$AY$6:$AZ$15),LOOKUP(テーブル2[[#This Row],[ボール投げ]],$AY$20:$AZ$29))))</f>
        <v>0</v>
      </c>
      <c r="AB214" s="146" t="str">
        <f>IF(テーブル2[[#This Row],[学年]]=1,12,IF(テーブル2[[#This Row],[学年]]=2,13,IF(テーブル2[[#This Row],[学年]]=3,14,"")))</f>
        <v/>
      </c>
      <c r="AC214" s="192" t="str">
        <f>IF(テーブル2[[#This Row],[肥満度数値]]=0,"",LOOKUP(AE214,$AW$39:$AW$44,$AX$39:$AX$44))</f>
        <v/>
      </c>
      <c r="AD21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4" s="77">
        <f>IF(テーブル2[[#This Row],[体重]]="",0,(テーブル2[[#This Row],[体重]]-テーブル2[[#This Row],[標準体重]])/テーブル2[[#This Row],[標準体重]]*100)</f>
        <v>0</v>
      </c>
      <c r="AF214" s="26">
        <f>COUNTA(テーブル2[[#This Row],[握力]:[ボール投げ]])</f>
        <v>0</v>
      </c>
      <c r="AG214" s="1" t="str">
        <f>IF(テーブル2[[#This Row],[判定]]=$BE$10,"○","")</f>
        <v/>
      </c>
      <c r="AH214" s="1" t="str">
        <f>IF(AG214="","",COUNTIF($AG$6:AG214,"○"))</f>
        <v/>
      </c>
    </row>
    <row r="215" spans="1:34" ht="14.25" customHeight="1" x14ac:dyDescent="0.15">
      <c r="A215" s="44">
        <v>210</v>
      </c>
      <c r="B215" s="148"/>
      <c r="C215" s="151"/>
      <c r="D215" s="148"/>
      <c r="E215" s="152"/>
      <c r="F215" s="148"/>
      <c r="G215" s="148"/>
      <c r="H215" s="150"/>
      <c r="I215" s="150"/>
      <c r="J215" s="151"/>
      <c r="K215" s="148"/>
      <c r="L215" s="196"/>
      <c r="M215" s="151"/>
      <c r="N215" s="197"/>
      <c r="O215" s="151"/>
      <c r="P215" s="153"/>
      <c r="Q21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5" s="144" t="str">
        <f>IF(テーブル2[[#This Row],[得点]]=0,"",IF(テーブル2[[#This Row],[年齢]]=17,LOOKUP(Q215,$BH$6:$BH$10,$BE$6:$BE$10),IF(テーブル2[[#This Row],[年齢]]=16,LOOKUP(Q215,$BG$6:$BG$10,$BE$6:$BE$10),IF(テーブル2[[#This Row],[年齢]]=15,LOOKUP(Q215,$BF$6:$BF$10,$BE$6:$BE$10),IF(テーブル2[[#This Row],[年齢]]=14,LOOKUP(Q215,$BD$6:$BD$10,$BE$6:$BE$10),IF(テーブル2[[#This Row],[年齢]]=13,LOOKUP(Q215,$BC$6:$BC$10,$BE$6:$BE$10),LOOKUP(Q215,$BB$6:$BB$10,$BE$6:$BE$10)))))))</f>
        <v/>
      </c>
      <c r="S215" s="145">
        <f>IF(H215="",0,(IF(テーブル2[[#This Row],[性別]]="男",LOOKUP(テーブル2[[#This Row],[握力]],$AI$6:$AJ$15),LOOKUP(テーブル2[[#This Row],[握力]],$AI$20:$AJ$29))))</f>
        <v>0</v>
      </c>
      <c r="T215" s="145">
        <f>IF(テーブル2[[#This Row],[上体]]="",0,(IF(テーブル2[[#This Row],[性別]]="男",LOOKUP(テーブル2[[#This Row],[上体]],$AK$6:$AL$15),LOOKUP(テーブル2[[#This Row],[上体]],$AK$20:$AL$29))))</f>
        <v>0</v>
      </c>
      <c r="U215" s="145">
        <f>IF(テーブル2[[#This Row],[長座]]="",0,(IF(テーブル2[[#This Row],[性別]]="男",LOOKUP(テーブル2[[#This Row],[長座]],$AM$6:$AN$15),LOOKUP(テーブル2[[#This Row],[長座]],$AM$20:$AN$29))))</f>
        <v>0</v>
      </c>
      <c r="V215" s="145">
        <f>IF(テーブル2[[#This Row],[反復]]="",0,(IF(テーブル2[[#This Row],[性別]]="男",LOOKUP(テーブル2[[#This Row],[反復]],$AO$6:$AP$15),LOOKUP(テーブル2[[#This Row],[反復]],$AO$20:$AP$29))))</f>
        <v>0</v>
      </c>
      <c r="W215" s="145">
        <f>IF(テーブル2[[#This Row],[持久走]]="",0,(IF(テーブル2[[#This Row],[性別]]="男",LOOKUP(テーブル2[[#This Row],[持久走]],$AQ$6:$AR$15),LOOKUP(テーブル2[[#This Row],[持久走]],$AQ$20:$AR$29))))</f>
        <v>0</v>
      </c>
      <c r="X215" s="145">
        <f>IF(テーブル2[[#This Row],[ｼｬﾄﾙﾗﾝ]]="",0,(IF(テーブル2[[#This Row],[性別]]="男",LOOKUP(テーブル2[[#This Row],[ｼｬﾄﾙﾗﾝ]],$AS$6:$AT$15),LOOKUP(テーブル2[[#This Row],[ｼｬﾄﾙﾗﾝ]],$AS$20:$AT$29))))</f>
        <v>0</v>
      </c>
      <c r="Y215" s="145">
        <f>IF(テーブル2[[#This Row],[50m走]]="",0,(IF(テーブル2[[#This Row],[性別]]="男",LOOKUP(テーブル2[[#This Row],[50m走]],$AU$6:$AV$15),LOOKUP(テーブル2[[#This Row],[50m走]],$AU$20:$AV$29))))</f>
        <v>0</v>
      </c>
      <c r="Z215" s="145">
        <f>IF(テーブル2[[#This Row],[立幅とび]]="",0,(IF(テーブル2[[#This Row],[性別]]="男",LOOKUP(テーブル2[[#This Row],[立幅とび]],$AW$6:$AX$15),LOOKUP(テーブル2[[#This Row],[立幅とび]],$AW$20:$AX$29))))</f>
        <v>0</v>
      </c>
      <c r="AA215" s="145">
        <f>IF(テーブル2[[#This Row],[ボール投げ]]="",0,(IF(テーブル2[[#This Row],[性別]]="男",LOOKUP(テーブル2[[#This Row],[ボール投げ]],$AY$6:$AZ$15),LOOKUP(テーブル2[[#This Row],[ボール投げ]],$AY$20:$AZ$29))))</f>
        <v>0</v>
      </c>
      <c r="AB215" s="146" t="str">
        <f>IF(テーブル2[[#This Row],[学年]]=1,12,IF(テーブル2[[#This Row],[学年]]=2,13,IF(テーブル2[[#This Row],[学年]]=3,14,"")))</f>
        <v/>
      </c>
      <c r="AC215" s="192" t="str">
        <f>IF(テーブル2[[#This Row],[肥満度数値]]=0,"",LOOKUP(AE215,$AW$39:$AW$44,$AX$39:$AX$44))</f>
        <v/>
      </c>
      <c r="AD21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5" s="77">
        <f>IF(テーブル2[[#This Row],[体重]]="",0,(テーブル2[[#This Row],[体重]]-テーブル2[[#This Row],[標準体重]])/テーブル2[[#This Row],[標準体重]]*100)</f>
        <v>0</v>
      </c>
      <c r="AF215" s="26">
        <f>COUNTA(テーブル2[[#This Row],[握力]:[ボール投げ]])</f>
        <v>0</v>
      </c>
      <c r="AG215" s="1" t="str">
        <f>IF(テーブル2[[#This Row],[判定]]=$BE$10,"○","")</f>
        <v/>
      </c>
      <c r="AH215" s="1" t="str">
        <f>IF(AG215="","",COUNTIF($AG$6:AG215,"○"))</f>
        <v/>
      </c>
    </row>
    <row r="216" spans="1:34" ht="14.25" customHeight="1" x14ac:dyDescent="0.15">
      <c r="A216" s="44">
        <v>211</v>
      </c>
      <c r="B216" s="148"/>
      <c r="C216" s="151"/>
      <c r="D216" s="148"/>
      <c r="E216" s="152"/>
      <c r="F216" s="148"/>
      <c r="G216" s="148"/>
      <c r="H216" s="150"/>
      <c r="I216" s="150"/>
      <c r="J216" s="151"/>
      <c r="K216" s="148"/>
      <c r="L216" s="196"/>
      <c r="M216" s="151"/>
      <c r="N216" s="197"/>
      <c r="O216" s="151"/>
      <c r="P216" s="153"/>
      <c r="Q21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6" s="144" t="str">
        <f>IF(テーブル2[[#This Row],[得点]]=0,"",IF(テーブル2[[#This Row],[年齢]]=17,LOOKUP(Q216,$BH$6:$BH$10,$BE$6:$BE$10),IF(テーブル2[[#This Row],[年齢]]=16,LOOKUP(Q216,$BG$6:$BG$10,$BE$6:$BE$10),IF(テーブル2[[#This Row],[年齢]]=15,LOOKUP(Q216,$BF$6:$BF$10,$BE$6:$BE$10),IF(テーブル2[[#This Row],[年齢]]=14,LOOKUP(Q216,$BD$6:$BD$10,$BE$6:$BE$10),IF(テーブル2[[#This Row],[年齢]]=13,LOOKUP(Q216,$BC$6:$BC$10,$BE$6:$BE$10),LOOKUP(Q216,$BB$6:$BB$10,$BE$6:$BE$10)))))))</f>
        <v/>
      </c>
      <c r="S216" s="145">
        <f>IF(H216="",0,(IF(テーブル2[[#This Row],[性別]]="男",LOOKUP(テーブル2[[#This Row],[握力]],$AI$6:$AJ$15),LOOKUP(テーブル2[[#This Row],[握力]],$AI$20:$AJ$29))))</f>
        <v>0</v>
      </c>
      <c r="T216" s="145">
        <f>IF(テーブル2[[#This Row],[上体]]="",0,(IF(テーブル2[[#This Row],[性別]]="男",LOOKUP(テーブル2[[#This Row],[上体]],$AK$6:$AL$15),LOOKUP(テーブル2[[#This Row],[上体]],$AK$20:$AL$29))))</f>
        <v>0</v>
      </c>
      <c r="U216" s="145">
        <f>IF(テーブル2[[#This Row],[長座]]="",0,(IF(テーブル2[[#This Row],[性別]]="男",LOOKUP(テーブル2[[#This Row],[長座]],$AM$6:$AN$15),LOOKUP(テーブル2[[#This Row],[長座]],$AM$20:$AN$29))))</f>
        <v>0</v>
      </c>
      <c r="V216" s="145">
        <f>IF(テーブル2[[#This Row],[反復]]="",0,(IF(テーブル2[[#This Row],[性別]]="男",LOOKUP(テーブル2[[#This Row],[反復]],$AO$6:$AP$15),LOOKUP(テーブル2[[#This Row],[反復]],$AO$20:$AP$29))))</f>
        <v>0</v>
      </c>
      <c r="W216" s="145">
        <f>IF(テーブル2[[#This Row],[持久走]]="",0,(IF(テーブル2[[#This Row],[性別]]="男",LOOKUP(テーブル2[[#This Row],[持久走]],$AQ$6:$AR$15),LOOKUP(テーブル2[[#This Row],[持久走]],$AQ$20:$AR$29))))</f>
        <v>0</v>
      </c>
      <c r="X216" s="145">
        <f>IF(テーブル2[[#This Row],[ｼｬﾄﾙﾗﾝ]]="",0,(IF(テーブル2[[#This Row],[性別]]="男",LOOKUP(テーブル2[[#This Row],[ｼｬﾄﾙﾗﾝ]],$AS$6:$AT$15),LOOKUP(テーブル2[[#This Row],[ｼｬﾄﾙﾗﾝ]],$AS$20:$AT$29))))</f>
        <v>0</v>
      </c>
      <c r="Y216" s="145">
        <f>IF(テーブル2[[#This Row],[50m走]]="",0,(IF(テーブル2[[#This Row],[性別]]="男",LOOKUP(テーブル2[[#This Row],[50m走]],$AU$6:$AV$15),LOOKUP(テーブル2[[#This Row],[50m走]],$AU$20:$AV$29))))</f>
        <v>0</v>
      </c>
      <c r="Z216" s="145">
        <f>IF(テーブル2[[#This Row],[立幅とび]]="",0,(IF(テーブル2[[#This Row],[性別]]="男",LOOKUP(テーブル2[[#This Row],[立幅とび]],$AW$6:$AX$15),LOOKUP(テーブル2[[#This Row],[立幅とび]],$AW$20:$AX$29))))</f>
        <v>0</v>
      </c>
      <c r="AA216" s="145">
        <f>IF(テーブル2[[#This Row],[ボール投げ]]="",0,(IF(テーブル2[[#This Row],[性別]]="男",LOOKUP(テーブル2[[#This Row],[ボール投げ]],$AY$6:$AZ$15),LOOKUP(テーブル2[[#This Row],[ボール投げ]],$AY$20:$AZ$29))))</f>
        <v>0</v>
      </c>
      <c r="AB216" s="146" t="str">
        <f>IF(テーブル2[[#This Row],[学年]]=1,12,IF(テーブル2[[#This Row],[学年]]=2,13,IF(テーブル2[[#This Row],[学年]]=3,14,"")))</f>
        <v/>
      </c>
      <c r="AC216" s="192" t="str">
        <f>IF(テーブル2[[#This Row],[肥満度数値]]=0,"",LOOKUP(AE216,$AW$39:$AW$44,$AX$39:$AX$44))</f>
        <v/>
      </c>
      <c r="AD21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6" s="77">
        <f>IF(テーブル2[[#This Row],[体重]]="",0,(テーブル2[[#This Row],[体重]]-テーブル2[[#This Row],[標準体重]])/テーブル2[[#This Row],[標準体重]]*100)</f>
        <v>0</v>
      </c>
      <c r="AF216" s="26">
        <f>COUNTA(テーブル2[[#This Row],[握力]:[ボール投げ]])</f>
        <v>0</v>
      </c>
      <c r="AG216" s="1" t="str">
        <f>IF(テーブル2[[#This Row],[判定]]=$BE$10,"○","")</f>
        <v/>
      </c>
      <c r="AH216" s="1" t="str">
        <f>IF(AG216="","",COUNTIF($AG$6:AG216,"○"))</f>
        <v/>
      </c>
    </row>
    <row r="217" spans="1:34" ht="14.25" customHeight="1" x14ac:dyDescent="0.15">
      <c r="A217" s="44">
        <v>212</v>
      </c>
      <c r="B217" s="148"/>
      <c r="C217" s="151"/>
      <c r="D217" s="148"/>
      <c r="E217" s="152"/>
      <c r="F217" s="148"/>
      <c r="G217" s="148"/>
      <c r="H217" s="150"/>
      <c r="I217" s="150"/>
      <c r="J217" s="151"/>
      <c r="K217" s="148"/>
      <c r="L217" s="196"/>
      <c r="M217" s="151"/>
      <c r="N217" s="197"/>
      <c r="O217" s="151"/>
      <c r="P217" s="153"/>
      <c r="Q21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7" s="144" t="str">
        <f>IF(テーブル2[[#This Row],[得点]]=0,"",IF(テーブル2[[#This Row],[年齢]]=17,LOOKUP(Q217,$BH$6:$BH$10,$BE$6:$BE$10),IF(テーブル2[[#This Row],[年齢]]=16,LOOKUP(Q217,$BG$6:$BG$10,$BE$6:$BE$10),IF(テーブル2[[#This Row],[年齢]]=15,LOOKUP(Q217,$BF$6:$BF$10,$BE$6:$BE$10),IF(テーブル2[[#This Row],[年齢]]=14,LOOKUP(Q217,$BD$6:$BD$10,$BE$6:$BE$10),IF(テーブル2[[#This Row],[年齢]]=13,LOOKUP(Q217,$BC$6:$BC$10,$BE$6:$BE$10),LOOKUP(Q217,$BB$6:$BB$10,$BE$6:$BE$10)))))))</f>
        <v/>
      </c>
      <c r="S217" s="145">
        <f>IF(H217="",0,(IF(テーブル2[[#This Row],[性別]]="男",LOOKUP(テーブル2[[#This Row],[握力]],$AI$6:$AJ$15),LOOKUP(テーブル2[[#This Row],[握力]],$AI$20:$AJ$29))))</f>
        <v>0</v>
      </c>
      <c r="T217" s="145">
        <f>IF(テーブル2[[#This Row],[上体]]="",0,(IF(テーブル2[[#This Row],[性別]]="男",LOOKUP(テーブル2[[#This Row],[上体]],$AK$6:$AL$15),LOOKUP(テーブル2[[#This Row],[上体]],$AK$20:$AL$29))))</f>
        <v>0</v>
      </c>
      <c r="U217" s="145">
        <f>IF(テーブル2[[#This Row],[長座]]="",0,(IF(テーブル2[[#This Row],[性別]]="男",LOOKUP(テーブル2[[#This Row],[長座]],$AM$6:$AN$15),LOOKUP(テーブル2[[#This Row],[長座]],$AM$20:$AN$29))))</f>
        <v>0</v>
      </c>
      <c r="V217" s="145">
        <f>IF(テーブル2[[#This Row],[反復]]="",0,(IF(テーブル2[[#This Row],[性別]]="男",LOOKUP(テーブル2[[#This Row],[反復]],$AO$6:$AP$15),LOOKUP(テーブル2[[#This Row],[反復]],$AO$20:$AP$29))))</f>
        <v>0</v>
      </c>
      <c r="W217" s="145">
        <f>IF(テーブル2[[#This Row],[持久走]]="",0,(IF(テーブル2[[#This Row],[性別]]="男",LOOKUP(テーブル2[[#This Row],[持久走]],$AQ$6:$AR$15),LOOKUP(テーブル2[[#This Row],[持久走]],$AQ$20:$AR$29))))</f>
        <v>0</v>
      </c>
      <c r="X217" s="145">
        <f>IF(テーブル2[[#This Row],[ｼｬﾄﾙﾗﾝ]]="",0,(IF(テーブル2[[#This Row],[性別]]="男",LOOKUP(テーブル2[[#This Row],[ｼｬﾄﾙﾗﾝ]],$AS$6:$AT$15),LOOKUP(テーブル2[[#This Row],[ｼｬﾄﾙﾗﾝ]],$AS$20:$AT$29))))</f>
        <v>0</v>
      </c>
      <c r="Y217" s="145">
        <f>IF(テーブル2[[#This Row],[50m走]]="",0,(IF(テーブル2[[#This Row],[性別]]="男",LOOKUP(テーブル2[[#This Row],[50m走]],$AU$6:$AV$15),LOOKUP(テーブル2[[#This Row],[50m走]],$AU$20:$AV$29))))</f>
        <v>0</v>
      </c>
      <c r="Z217" s="145">
        <f>IF(テーブル2[[#This Row],[立幅とび]]="",0,(IF(テーブル2[[#This Row],[性別]]="男",LOOKUP(テーブル2[[#This Row],[立幅とび]],$AW$6:$AX$15),LOOKUP(テーブル2[[#This Row],[立幅とび]],$AW$20:$AX$29))))</f>
        <v>0</v>
      </c>
      <c r="AA217" s="145">
        <f>IF(テーブル2[[#This Row],[ボール投げ]]="",0,(IF(テーブル2[[#This Row],[性別]]="男",LOOKUP(テーブル2[[#This Row],[ボール投げ]],$AY$6:$AZ$15),LOOKUP(テーブル2[[#This Row],[ボール投げ]],$AY$20:$AZ$29))))</f>
        <v>0</v>
      </c>
      <c r="AB217" s="146" t="str">
        <f>IF(テーブル2[[#This Row],[学年]]=1,12,IF(テーブル2[[#This Row],[学年]]=2,13,IF(テーブル2[[#This Row],[学年]]=3,14,"")))</f>
        <v/>
      </c>
      <c r="AC217" s="192" t="str">
        <f>IF(テーブル2[[#This Row],[肥満度数値]]=0,"",LOOKUP(AE217,$AW$39:$AW$44,$AX$39:$AX$44))</f>
        <v/>
      </c>
      <c r="AD21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7" s="77">
        <f>IF(テーブル2[[#This Row],[体重]]="",0,(テーブル2[[#This Row],[体重]]-テーブル2[[#This Row],[標準体重]])/テーブル2[[#This Row],[標準体重]]*100)</f>
        <v>0</v>
      </c>
      <c r="AF217" s="26">
        <f>COUNTA(テーブル2[[#This Row],[握力]:[ボール投げ]])</f>
        <v>0</v>
      </c>
      <c r="AG217" s="1" t="str">
        <f>IF(テーブル2[[#This Row],[判定]]=$BE$10,"○","")</f>
        <v/>
      </c>
      <c r="AH217" s="1" t="str">
        <f>IF(AG217="","",COUNTIF($AG$6:AG217,"○"))</f>
        <v/>
      </c>
    </row>
    <row r="218" spans="1:34" ht="14.25" customHeight="1" x14ac:dyDescent="0.15">
      <c r="A218" s="44">
        <v>213</v>
      </c>
      <c r="B218" s="148"/>
      <c r="C218" s="151"/>
      <c r="D218" s="148"/>
      <c r="E218" s="152"/>
      <c r="F218" s="148"/>
      <c r="G218" s="148"/>
      <c r="H218" s="150"/>
      <c r="I218" s="150"/>
      <c r="J218" s="151"/>
      <c r="K218" s="148"/>
      <c r="L218" s="196"/>
      <c r="M218" s="151"/>
      <c r="N218" s="197"/>
      <c r="O218" s="151"/>
      <c r="P218" s="153"/>
      <c r="Q21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8" s="144" t="str">
        <f>IF(テーブル2[[#This Row],[得点]]=0,"",IF(テーブル2[[#This Row],[年齢]]=17,LOOKUP(Q218,$BH$6:$BH$10,$BE$6:$BE$10),IF(テーブル2[[#This Row],[年齢]]=16,LOOKUP(Q218,$BG$6:$BG$10,$BE$6:$BE$10),IF(テーブル2[[#This Row],[年齢]]=15,LOOKUP(Q218,$BF$6:$BF$10,$BE$6:$BE$10),IF(テーブル2[[#This Row],[年齢]]=14,LOOKUP(Q218,$BD$6:$BD$10,$BE$6:$BE$10),IF(テーブル2[[#This Row],[年齢]]=13,LOOKUP(Q218,$BC$6:$BC$10,$BE$6:$BE$10),LOOKUP(Q218,$BB$6:$BB$10,$BE$6:$BE$10)))))))</f>
        <v/>
      </c>
      <c r="S218" s="145">
        <f>IF(H218="",0,(IF(テーブル2[[#This Row],[性別]]="男",LOOKUP(テーブル2[[#This Row],[握力]],$AI$6:$AJ$15),LOOKUP(テーブル2[[#This Row],[握力]],$AI$20:$AJ$29))))</f>
        <v>0</v>
      </c>
      <c r="T218" s="145">
        <f>IF(テーブル2[[#This Row],[上体]]="",0,(IF(テーブル2[[#This Row],[性別]]="男",LOOKUP(テーブル2[[#This Row],[上体]],$AK$6:$AL$15),LOOKUP(テーブル2[[#This Row],[上体]],$AK$20:$AL$29))))</f>
        <v>0</v>
      </c>
      <c r="U218" s="145">
        <f>IF(テーブル2[[#This Row],[長座]]="",0,(IF(テーブル2[[#This Row],[性別]]="男",LOOKUP(テーブル2[[#This Row],[長座]],$AM$6:$AN$15),LOOKUP(テーブル2[[#This Row],[長座]],$AM$20:$AN$29))))</f>
        <v>0</v>
      </c>
      <c r="V218" s="145">
        <f>IF(テーブル2[[#This Row],[反復]]="",0,(IF(テーブル2[[#This Row],[性別]]="男",LOOKUP(テーブル2[[#This Row],[反復]],$AO$6:$AP$15),LOOKUP(テーブル2[[#This Row],[反復]],$AO$20:$AP$29))))</f>
        <v>0</v>
      </c>
      <c r="W218" s="145">
        <f>IF(テーブル2[[#This Row],[持久走]]="",0,(IF(テーブル2[[#This Row],[性別]]="男",LOOKUP(テーブル2[[#This Row],[持久走]],$AQ$6:$AR$15),LOOKUP(テーブル2[[#This Row],[持久走]],$AQ$20:$AR$29))))</f>
        <v>0</v>
      </c>
      <c r="X218" s="145">
        <f>IF(テーブル2[[#This Row],[ｼｬﾄﾙﾗﾝ]]="",0,(IF(テーブル2[[#This Row],[性別]]="男",LOOKUP(テーブル2[[#This Row],[ｼｬﾄﾙﾗﾝ]],$AS$6:$AT$15),LOOKUP(テーブル2[[#This Row],[ｼｬﾄﾙﾗﾝ]],$AS$20:$AT$29))))</f>
        <v>0</v>
      </c>
      <c r="Y218" s="145">
        <f>IF(テーブル2[[#This Row],[50m走]]="",0,(IF(テーブル2[[#This Row],[性別]]="男",LOOKUP(テーブル2[[#This Row],[50m走]],$AU$6:$AV$15),LOOKUP(テーブル2[[#This Row],[50m走]],$AU$20:$AV$29))))</f>
        <v>0</v>
      </c>
      <c r="Z218" s="145">
        <f>IF(テーブル2[[#This Row],[立幅とび]]="",0,(IF(テーブル2[[#This Row],[性別]]="男",LOOKUP(テーブル2[[#This Row],[立幅とび]],$AW$6:$AX$15),LOOKUP(テーブル2[[#This Row],[立幅とび]],$AW$20:$AX$29))))</f>
        <v>0</v>
      </c>
      <c r="AA218" s="145">
        <f>IF(テーブル2[[#This Row],[ボール投げ]]="",0,(IF(テーブル2[[#This Row],[性別]]="男",LOOKUP(テーブル2[[#This Row],[ボール投げ]],$AY$6:$AZ$15),LOOKUP(テーブル2[[#This Row],[ボール投げ]],$AY$20:$AZ$29))))</f>
        <v>0</v>
      </c>
      <c r="AB218" s="146" t="str">
        <f>IF(テーブル2[[#This Row],[学年]]=1,12,IF(テーブル2[[#This Row],[学年]]=2,13,IF(テーブル2[[#This Row],[学年]]=3,14,"")))</f>
        <v/>
      </c>
      <c r="AC218" s="192" t="str">
        <f>IF(テーブル2[[#This Row],[肥満度数値]]=0,"",LOOKUP(AE218,$AW$39:$AW$44,$AX$39:$AX$44))</f>
        <v/>
      </c>
      <c r="AD21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8" s="77">
        <f>IF(テーブル2[[#This Row],[体重]]="",0,(テーブル2[[#This Row],[体重]]-テーブル2[[#This Row],[標準体重]])/テーブル2[[#This Row],[標準体重]]*100)</f>
        <v>0</v>
      </c>
      <c r="AF218" s="26">
        <f>COUNTA(テーブル2[[#This Row],[握力]:[ボール投げ]])</f>
        <v>0</v>
      </c>
      <c r="AG218" s="1" t="str">
        <f>IF(テーブル2[[#This Row],[判定]]=$BE$10,"○","")</f>
        <v/>
      </c>
      <c r="AH218" s="1" t="str">
        <f>IF(AG218="","",COUNTIF($AG$6:AG218,"○"))</f>
        <v/>
      </c>
    </row>
    <row r="219" spans="1:34" ht="14.25" customHeight="1" x14ac:dyDescent="0.15">
      <c r="A219" s="44">
        <v>214</v>
      </c>
      <c r="B219" s="148"/>
      <c r="C219" s="151"/>
      <c r="D219" s="148"/>
      <c r="E219" s="152"/>
      <c r="F219" s="148"/>
      <c r="G219" s="148"/>
      <c r="H219" s="150"/>
      <c r="I219" s="150"/>
      <c r="J219" s="151"/>
      <c r="K219" s="148"/>
      <c r="L219" s="196"/>
      <c r="M219" s="151"/>
      <c r="N219" s="197"/>
      <c r="O219" s="151"/>
      <c r="P219" s="153"/>
      <c r="Q21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9" s="144" t="str">
        <f>IF(テーブル2[[#This Row],[得点]]=0,"",IF(テーブル2[[#This Row],[年齢]]=17,LOOKUP(Q219,$BH$6:$BH$10,$BE$6:$BE$10),IF(テーブル2[[#This Row],[年齢]]=16,LOOKUP(Q219,$BG$6:$BG$10,$BE$6:$BE$10),IF(テーブル2[[#This Row],[年齢]]=15,LOOKUP(Q219,$BF$6:$BF$10,$BE$6:$BE$10),IF(テーブル2[[#This Row],[年齢]]=14,LOOKUP(Q219,$BD$6:$BD$10,$BE$6:$BE$10),IF(テーブル2[[#This Row],[年齢]]=13,LOOKUP(Q219,$BC$6:$BC$10,$BE$6:$BE$10),LOOKUP(Q219,$BB$6:$BB$10,$BE$6:$BE$10)))))))</f>
        <v/>
      </c>
      <c r="S219" s="145">
        <f>IF(H219="",0,(IF(テーブル2[[#This Row],[性別]]="男",LOOKUP(テーブル2[[#This Row],[握力]],$AI$6:$AJ$15),LOOKUP(テーブル2[[#This Row],[握力]],$AI$20:$AJ$29))))</f>
        <v>0</v>
      </c>
      <c r="T219" s="145">
        <f>IF(テーブル2[[#This Row],[上体]]="",0,(IF(テーブル2[[#This Row],[性別]]="男",LOOKUP(テーブル2[[#This Row],[上体]],$AK$6:$AL$15),LOOKUP(テーブル2[[#This Row],[上体]],$AK$20:$AL$29))))</f>
        <v>0</v>
      </c>
      <c r="U219" s="145">
        <f>IF(テーブル2[[#This Row],[長座]]="",0,(IF(テーブル2[[#This Row],[性別]]="男",LOOKUP(テーブル2[[#This Row],[長座]],$AM$6:$AN$15),LOOKUP(テーブル2[[#This Row],[長座]],$AM$20:$AN$29))))</f>
        <v>0</v>
      </c>
      <c r="V219" s="145">
        <f>IF(テーブル2[[#This Row],[反復]]="",0,(IF(テーブル2[[#This Row],[性別]]="男",LOOKUP(テーブル2[[#This Row],[反復]],$AO$6:$AP$15),LOOKUP(テーブル2[[#This Row],[反復]],$AO$20:$AP$29))))</f>
        <v>0</v>
      </c>
      <c r="W219" s="145">
        <f>IF(テーブル2[[#This Row],[持久走]]="",0,(IF(テーブル2[[#This Row],[性別]]="男",LOOKUP(テーブル2[[#This Row],[持久走]],$AQ$6:$AR$15),LOOKUP(テーブル2[[#This Row],[持久走]],$AQ$20:$AR$29))))</f>
        <v>0</v>
      </c>
      <c r="X219" s="145">
        <f>IF(テーブル2[[#This Row],[ｼｬﾄﾙﾗﾝ]]="",0,(IF(テーブル2[[#This Row],[性別]]="男",LOOKUP(テーブル2[[#This Row],[ｼｬﾄﾙﾗﾝ]],$AS$6:$AT$15),LOOKUP(テーブル2[[#This Row],[ｼｬﾄﾙﾗﾝ]],$AS$20:$AT$29))))</f>
        <v>0</v>
      </c>
      <c r="Y219" s="145">
        <f>IF(テーブル2[[#This Row],[50m走]]="",0,(IF(テーブル2[[#This Row],[性別]]="男",LOOKUP(テーブル2[[#This Row],[50m走]],$AU$6:$AV$15),LOOKUP(テーブル2[[#This Row],[50m走]],$AU$20:$AV$29))))</f>
        <v>0</v>
      </c>
      <c r="Z219" s="145">
        <f>IF(テーブル2[[#This Row],[立幅とび]]="",0,(IF(テーブル2[[#This Row],[性別]]="男",LOOKUP(テーブル2[[#This Row],[立幅とび]],$AW$6:$AX$15),LOOKUP(テーブル2[[#This Row],[立幅とび]],$AW$20:$AX$29))))</f>
        <v>0</v>
      </c>
      <c r="AA219" s="145">
        <f>IF(テーブル2[[#This Row],[ボール投げ]]="",0,(IF(テーブル2[[#This Row],[性別]]="男",LOOKUP(テーブル2[[#This Row],[ボール投げ]],$AY$6:$AZ$15),LOOKUP(テーブル2[[#This Row],[ボール投げ]],$AY$20:$AZ$29))))</f>
        <v>0</v>
      </c>
      <c r="AB219" s="146" t="str">
        <f>IF(テーブル2[[#This Row],[学年]]=1,12,IF(テーブル2[[#This Row],[学年]]=2,13,IF(テーブル2[[#This Row],[学年]]=3,14,"")))</f>
        <v/>
      </c>
      <c r="AC219" s="192" t="str">
        <f>IF(テーブル2[[#This Row],[肥満度数値]]=0,"",LOOKUP(AE219,$AW$39:$AW$44,$AX$39:$AX$44))</f>
        <v/>
      </c>
      <c r="AD21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19" s="77">
        <f>IF(テーブル2[[#This Row],[体重]]="",0,(テーブル2[[#This Row],[体重]]-テーブル2[[#This Row],[標準体重]])/テーブル2[[#This Row],[標準体重]]*100)</f>
        <v>0</v>
      </c>
      <c r="AF219" s="26">
        <f>COUNTA(テーブル2[[#This Row],[握力]:[ボール投げ]])</f>
        <v>0</v>
      </c>
      <c r="AG219" s="1" t="str">
        <f>IF(テーブル2[[#This Row],[判定]]=$BE$10,"○","")</f>
        <v/>
      </c>
      <c r="AH219" s="1" t="str">
        <f>IF(AG219="","",COUNTIF($AG$6:AG219,"○"))</f>
        <v/>
      </c>
    </row>
    <row r="220" spans="1:34" ht="14.25" customHeight="1" x14ac:dyDescent="0.15">
      <c r="A220" s="44">
        <v>215</v>
      </c>
      <c r="B220" s="148"/>
      <c r="C220" s="151"/>
      <c r="D220" s="148"/>
      <c r="E220" s="152"/>
      <c r="F220" s="148"/>
      <c r="G220" s="148"/>
      <c r="H220" s="150"/>
      <c r="I220" s="150"/>
      <c r="J220" s="151"/>
      <c r="K220" s="148"/>
      <c r="L220" s="196"/>
      <c r="M220" s="151"/>
      <c r="N220" s="197"/>
      <c r="O220" s="151"/>
      <c r="P220" s="153"/>
      <c r="Q22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0" s="144" t="str">
        <f>IF(テーブル2[[#This Row],[得点]]=0,"",IF(テーブル2[[#This Row],[年齢]]=17,LOOKUP(Q220,$BH$6:$BH$10,$BE$6:$BE$10),IF(テーブル2[[#This Row],[年齢]]=16,LOOKUP(Q220,$BG$6:$BG$10,$BE$6:$BE$10),IF(テーブル2[[#This Row],[年齢]]=15,LOOKUP(Q220,$BF$6:$BF$10,$BE$6:$BE$10),IF(テーブル2[[#This Row],[年齢]]=14,LOOKUP(Q220,$BD$6:$BD$10,$BE$6:$BE$10),IF(テーブル2[[#This Row],[年齢]]=13,LOOKUP(Q220,$BC$6:$BC$10,$BE$6:$BE$10),LOOKUP(Q220,$BB$6:$BB$10,$BE$6:$BE$10)))))))</f>
        <v/>
      </c>
      <c r="S220" s="145">
        <f>IF(H220="",0,(IF(テーブル2[[#This Row],[性別]]="男",LOOKUP(テーブル2[[#This Row],[握力]],$AI$6:$AJ$15),LOOKUP(テーブル2[[#This Row],[握力]],$AI$20:$AJ$29))))</f>
        <v>0</v>
      </c>
      <c r="T220" s="145">
        <f>IF(テーブル2[[#This Row],[上体]]="",0,(IF(テーブル2[[#This Row],[性別]]="男",LOOKUP(テーブル2[[#This Row],[上体]],$AK$6:$AL$15),LOOKUP(テーブル2[[#This Row],[上体]],$AK$20:$AL$29))))</f>
        <v>0</v>
      </c>
      <c r="U220" s="145">
        <f>IF(テーブル2[[#This Row],[長座]]="",0,(IF(テーブル2[[#This Row],[性別]]="男",LOOKUP(テーブル2[[#This Row],[長座]],$AM$6:$AN$15),LOOKUP(テーブル2[[#This Row],[長座]],$AM$20:$AN$29))))</f>
        <v>0</v>
      </c>
      <c r="V220" s="145">
        <f>IF(テーブル2[[#This Row],[反復]]="",0,(IF(テーブル2[[#This Row],[性別]]="男",LOOKUP(テーブル2[[#This Row],[反復]],$AO$6:$AP$15),LOOKUP(テーブル2[[#This Row],[反復]],$AO$20:$AP$29))))</f>
        <v>0</v>
      </c>
      <c r="W220" s="145">
        <f>IF(テーブル2[[#This Row],[持久走]]="",0,(IF(テーブル2[[#This Row],[性別]]="男",LOOKUP(テーブル2[[#This Row],[持久走]],$AQ$6:$AR$15),LOOKUP(テーブル2[[#This Row],[持久走]],$AQ$20:$AR$29))))</f>
        <v>0</v>
      </c>
      <c r="X220" s="145">
        <f>IF(テーブル2[[#This Row],[ｼｬﾄﾙﾗﾝ]]="",0,(IF(テーブル2[[#This Row],[性別]]="男",LOOKUP(テーブル2[[#This Row],[ｼｬﾄﾙﾗﾝ]],$AS$6:$AT$15),LOOKUP(テーブル2[[#This Row],[ｼｬﾄﾙﾗﾝ]],$AS$20:$AT$29))))</f>
        <v>0</v>
      </c>
      <c r="Y220" s="145">
        <f>IF(テーブル2[[#This Row],[50m走]]="",0,(IF(テーブル2[[#This Row],[性別]]="男",LOOKUP(テーブル2[[#This Row],[50m走]],$AU$6:$AV$15),LOOKUP(テーブル2[[#This Row],[50m走]],$AU$20:$AV$29))))</f>
        <v>0</v>
      </c>
      <c r="Z220" s="145">
        <f>IF(テーブル2[[#This Row],[立幅とび]]="",0,(IF(テーブル2[[#This Row],[性別]]="男",LOOKUP(テーブル2[[#This Row],[立幅とび]],$AW$6:$AX$15),LOOKUP(テーブル2[[#This Row],[立幅とび]],$AW$20:$AX$29))))</f>
        <v>0</v>
      </c>
      <c r="AA220" s="145">
        <f>IF(テーブル2[[#This Row],[ボール投げ]]="",0,(IF(テーブル2[[#This Row],[性別]]="男",LOOKUP(テーブル2[[#This Row],[ボール投げ]],$AY$6:$AZ$15),LOOKUP(テーブル2[[#This Row],[ボール投げ]],$AY$20:$AZ$29))))</f>
        <v>0</v>
      </c>
      <c r="AB220" s="146" t="str">
        <f>IF(テーブル2[[#This Row],[学年]]=1,12,IF(テーブル2[[#This Row],[学年]]=2,13,IF(テーブル2[[#This Row],[学年]]=3,14,"")))</f>
        <v/>
      </c>
      <c r="AC220" s="192" t="str">
        <f>IF(テーブル2[[#This Row],[肥満度数値]]=0,"",LOOKUP(AE220,$AW$39:$AW$44,$AX$39:$AX$44))</f>
        <v/>
      </c>
      <c r="AD22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0" s="77">
        <f>IF(テーブル2[[#This Row],[体重]]="",0,(テーブル2[[#This Row],[体重]]-テーブル2[[#This Row],[標準体重]])/テーブル2[[#This Row],[標準体重]]*100)</f>
        <v>0</v>
      </c>
      <c r="AF220" s="26">
        <f>COUNTA(テーブル2[[#This Row],[握力]:[ボール投げ]])</f>
        <v>0</v>
      </c>
      <c r="AG220" s="1" t="str">
        <f>IF(テーブル2[[#This Row],[判定]]=$BE$10,"○","")</f>
        <v/>
      </c>
      <c r="AH220" s="1" t="str">
        <f>IF(AG220="","",COUNTIF($AG$6:AG220,"○"))</f>
        <v/>
      </c>
    </row>
    <row r="221" spans="1:34" ht="14.25" customHeight="1" x14ac:dyDescent="0.15">
      <c r="A221" s="44">
        <v>216</v>
      </c>
      <c r="B221" s="148"/>
      <c r="C221" s="151"/>
      <c r="D221" s="148"/>
      <c r="E221" s="152"/>
      <c r="F221" s="148"/>
      <c r="G221" s="148"/>
      <c r="H221" s="150"/>
      <c r="I221" s="150"/>
      <c r="J221" s="151"/>
      <c r="K221" s="148"/>
      <c r="L221" s="196"/>
      <c r="M221" s="151"/>
      <c r="N221" s="197"/>
      <c r="O221" s="151"/>
      <c r="P221" s="153"/>
      <c r="Q22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1" s="144" t="str">
        <f>IF(テーブル2[[#This Row],[得点]]=0,"",IF(テーブル2[[#This Row],[年齢]]=17,LOOKUP(Q221,$BH$6:$BH$10,$BE$6:$BE$10),IF(テーブル2[[#This Row],[年齢]]=16,LOOKUP(Q221,$BG$6:$BG$10,$BE$6:$BE$10),IF(テーブル2[[#This Row],[年齢]]=15,LOOKUP(Q221,$BF$6:$BF$10,$BE$6:$BE$10),IF(テーブル2[[#This Row],[年齢]]=14,LOOKUP(Q221,$BD$6:$BD$10,$BE$6:$BE$10),IF(テーブル2[[#This Row],[年齢]]=13,LOOKUP(Q221,$BC$6:$BC$10,$BE$6:$BE$10),LOOKUP(Q221,$BB$6:$BB$10,$BE$6:$BE$10)))))))</f>
        <v/>
      </c>
      <c r="S221" s="145">
        <f>IF(H221="",0,(IF(テーブル2[[#This Row],[性別]]="男",LOOKUP(テーブル2[[#This Row],[握力]],$AI$6:$AJ$15),LOOKUP(テーブル2[[#This Row],[握力]],$AI$20:$AJ$29))))</f>
        <v>0</v>
      </c>
      <c r="T221" s="145">
        <f>IF(テーブル2[[#This Row],[上体]]="",0,(IF(テーブル2[[#This Row],[性別]]="男",LOOKUP(テーブル2[[#This Row],[上体]],$AK$6:$AL$15),LOOKUP(テーブル2[[#This Row],[上体]],$AK$20:$AL$29))))</f>
        <v>0</v>
      </c>
      <c r="U221" s="145">
        <f>IF(テーブル2[[#This Row],[長座]]="",0,(IF(テーブル2[[#This Row],[性別]]="男",LOOKUP(テーブル2[[#This Row],[長座]],$AM$6:$AN$15),LOOKUP(テーブル2[[#This Row],[長座]],$AM$20:$AN$29))))</f>
        <v>0</v>
      </c>
      <c r="V221" s="145">
        <f>IF(テーブル2[[#This Row],[反復]]="",0,(IF(テーブル2[[#This Row],[性別]]="男",LOOKUP(テーブル2[[#This Row],[反復]],$AO$6:$AP$15),LOOKUP(テーブル2[[#This Row],[反復]],$AO$20:$AP$29))))</f>
        <v>0</v>
      </c>
      <c r="W221" s="145">
        <f>IF(テーブル2[[#This Row],[持久走]]="",0,(IF(テーブル2[[#This Row],[性別]]="男",LOOKUP(テーブル2[[#This Row],[持久走]],$AQ$6:$AR$15),LOOKUP(テーブル2[[#This Row],[持久走]],$AQ$20:$AR$29))))</f>
        <v>0</v>
      </c>
      <c r="X221" s="145">
        <f>IF(テーブル2[[#This Row],[ｼｬﾄﾙﾗﾝ]]="",0,(IF(テーブル2[[#This Row],[性別]]="男",LOOKUP(テーブル2[[#This Row],[ｼｬﾄﾙﾗﾝ]],$AS$6:$AT$15),LOOKUP(テーブル2[[#This Row],[ｼｬﾄﾙﾗﾝ]],$AS$20:$AT$29))))</f>
        <v>0</v>
      </c>
      <c r="Y221" s="145">
        <f>IF(テーブル2[[#This Row],[50m走]]="",0,(IF(テーブル2[[#This Row],[性別]]="男",LOOKUP(テーブル2[[#This Row],[50m走]],$AU$6:$AV$15),LOOKUP(テーブル2[[#This Row],[50m走]],$AU$20:$AV$29))))</f>
        <v>0</v>
      </c>
      <c r="Z221" s="145">
        <f>IF(テーブル2[[#This Row],[立幅とび]]="",0,(IF(テーブル2[[#This Row],[性別]]="男",LOOKUP(テーブル2[[#This Row],[立幅とび]],$AW$6:$AX$15),LOOKUP(テーブル2[[#This Row],[立幅とび]],$AW$20:$AX$29))))</f>
        <v>0</v>
      </c>
      <c r="AA221" s="145">
        <f>IF(テーブル2[[#This Row],[ボール投げ]]="",0,(IF(テーブル2[[#This Row],[性別]]="男",LOOKUP(テーブル2[[#This Row],[ボール投げ]],$AY$6:$AZ$15),LOOKUP(テーブル2[[#This Row],[ボール投げ]],$AY$20:$AZ$29))))</f>
        <v>0</v>
      </c>
      <c r="AB221" s="146" t="str">
        <f>IF(テーブル2[[#This Row],[学年]]=1,12,IF(テーブル2[[#This Row],[学年]]=2,13,IF(テーブル2[[#This Row],[学年]]=3,14,"")))</f>
        <v/>
      </c>
      <c r="AC221" s="192" t="str">
        <f>IF(テーブル2[[#This Row],[肥満度数値]]=0,"",LOOKUP(AE221,$AW$39:$AW$44,$AX$39:$AX$44))</f>
        <v/>
      </c>
      <c r="AD22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1" s="77">
        <f>IF(テーブル2[[#This Row],[体重]]="",0,(テーブル2[[#This Row],[体重]]-テーブル2[[#This Row],[標準体重]])/テーブル2[[#This Row],[標準体重]]*100)</f>
        <v>0</v>
      </c>
      <c r="AF221" s="26">
        <f>COUNTA(テーブル2[[#This Row],[握力]:[ボール投げ]])</f>
        <v>0</v>
      </c>
      <c r="AG221" s="1" t="str">
        <f>IF(テーブル2[[#This Row],[判定]]=$BE$10,"○","")</f>
        <v/>
      </c>
      <c r="AH221" s="1" t="str">
        <f>IF(AG221="","",COUNTIF($AG$6:AG221,"○"))</f>
        <v/>
      </c>
    </row>
    <row r="222" spans="1:34" ht="14.25" customHeight="1" x14ac:dyDescent="0.15">
      <c r="A222" s="44">
        <v>217</v>
      </c>
      <c r="B222" s="148"/>
      <c r="C222" s="151"/>
      <c r="D222" s="148"/>
      <c r="E222" s="152"/>
      <c r="F222" s="148"/>
      <c r="G222" s="148"/>
      <c r="H222" s="150"/>
      <c r="I222" s="150"/>
      <c r="J222" s="151"/>
      <c r="K222" s="148"/>
      <c r="L222" s="196"/>
      <c r="M222" s="151"/>
      <c r="N222" s="197"/>
      <c r="O222" s="151"/>
      <c r="P222" s="153"/>
      <c r="Q22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2" s="144" t="str">
        <f>IF(テーブル2[[#This Row],[得点]]=0,"",IF(テーブル2[[#This Row],[年齢]]=17,LOOKUP(Q222,$BH$6:$BH$10,$BE$6:$BE$10),IF(テーブル2[[#This Row],[年齢]]=16,LOOKUP(Q222,$BG$6:$BG$10,$BE$6:$BE$10),IF(テーブル2[[#This Row],[年齢]]=15,LOOKUP(Q222,$BF$6:$BF$10,$BE$6:$BE$10),IF(テーブル2[[#This Row],[年齢]]=14,LOOKUP(Q222,$BD$6:$BD$10,$BE$6:$BE$10),IF(テーブル2[[#This Row],[年齢]]=13,LOOKUP(Q222,$BC$6:$BC$10,$BE$6:$BE$10),LOOKUP(Q222,$BB$6:$BB$10,$BE$6:$BE$10)))))))</f>
        <v/>
      </c>
      <c r="S222" s="145">
        <f>IF(H222="",0,(IF(テーブル2[[#This Row],[性別]]="男",LOOKUP(テーブル2[[#This Row],[握力]],$AI$6:$AJ$15),LOOKUP(テーブル2[[#This Row],[握力]],$AI$20:$AJ$29))))</f>
        <v>0</v>
      </c>
      <c r="T222" s="145">
        <f>IF(テーブル2[[#This Row],[上体]]="",0,(IF(テーブル2[[#This Row],[性別]]="男",LOOKUP(テーブル2[[#This Row],[上体]],$AK$6:$AL$15),LOOKUP(テーブル2[[#This Row],[上体]],$AK$20:$AL$29))))</f>
        <v>0</v>
      </c>
      <c r="U222" s="145">
        <f>IF(テーブル2[[#This Row],[長座]]="",0,(IF(テーブル2[[#This Row],[性別]]="男",LOOKUP(テーブル2[[#This Row],[長座]],$AM$6:$AN$15),LOOKUP(テーブル2[[#This Row],[長座]],$AM$20:$AN$29))))</f>
        <v>0</v>
      </c>
      <c r="V222" s="145">
        <f>IF(テーブル2[[#This Row],[反復]]="",0,(IF(テーブル2[[#This Row],[性別]]="男",LOOKUP(テーブル2[[#This Row],[反復]],$AO$6:$AP$15),LOOKUP(テーブル2[[#This Row],[反復]],$AO$20:$AP$29))))</f>
        <v>0</v>
      </c>
      <c r="W222" s="145">
        <f>IF(テーブル2[[#This Row],[持久走]]="",0,(IF(テーブル2[[#This Row],[性別]]="男",LOOKUP(テーブル2[[#This Row],[持久走]],$AQ$6:$AR$15),LOOKUP(テーブル2[[#This Row],[持久走]],$AQ$20:$AR$29))))</f>
        <v>0</v>
      </c>
      <c r="X222" s="145">
        <f>IF(テーブル2[[#This Row],[ｼｬﾄﾙﾗﾝ]]="",0,(IF(テーブル2[[#This Row],[性別]]="男",LOOKUP(テーブル2[[#This Row],[ｼｬﾄﾙﾗﾝ]],$AS$6:$AT$15),LOOKUP(テーブル2[[#This Row],[ｼｬﾄﾙﾗﾝ]],$AS$20:$AT$29))))</f>
        <v>0</v>
      </c>
      <c r="Y222" s="145">
        <f>IF(テーブル2[[#This Row],[50m走]]="",0,(IF(テーブル2[[#This Row],[性別]]="男",LOOKUP(テーブル2[[#This Row],[50m走]],$AU$6:$AV$15),LOOKUP(テーブル2[[#This Row],[50m走]],$AU$20:$AV$29))))</f>
        <v>0</v>
      </c>
      <c r="Z222" s="145">
        <f>IF(テーブル2[[#This Row],[立幅とび]]="",0,(IF(テーブル2[[#This Row],[性別]]="男",LOOKUP(テーブル2[[#This Row],[立幅とび]],$AW$6:$AX$15),LOOKUP(テーブル2[[#This Row],[立幅とび]],$AW$20:$AX$29))))</f>
        <v>0</v>
      </c>
      <c r="AA222" s="145">
        <f>IF(テーブル2[[#This Row],[ボール投げ]]="",0,(IF(テーブル2[[#This Row],[性別]]="男",LOOKUP(テーブル2[[#This Row],[ボール投げ]],$AY$6:$AZ$15),LOOKUP(テーブル2[[#This Row],[ボール投げ]],$AY$20:$AZ$29))))</f>
        <v>0</v>
      </c>
      <c r="AB222" s="146" t="str">
        <f>IF(テーブル2[[#This Row],[学年]]=1,12,IF(テーブル2[[#This Row],[学年]]=2,13,IF(テーブル2[[#This Row],[学年]]=3,14,"")))</f>
        <v/>
      </c>
      <c r="AC222" s="192" t="str">
        <f>IF(テーブル2[[#This Row],[肥満度数値]]=0,"",LOOKUP(AE222,$AW$39:$AW$44,$AX$39:$AX$44))</f>
        <v/>
      </c>
      <c r="AD22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2" s="77">
        <f>IF(テーブル2[[#This Row],[体重]]="",0,(テーブル2[[#This Row],[体重]]-テーブル2[[#This Row],[標準体重]])/テーブル2[[#This Row],[標準体重]]*100)</f>
        <v>0</v>
      </c>
      <c r="AF222" s="26">
        <f>COUNTA(テーブル2[[#This Row],[握力]:[ボール投げ]])</f>
        <v>0</v>
      </c>
      <c r="AG222" s="1" t="str">
        <f>IF(テーブル2[[#This Row],[判定]]=$BE$10,"○","")</f>
        <v/>
      </c>
      <c r="AH222" s="1" t="str">
        <f>IF(AG222="","",COUNTIF($AG$6:AG222,"○"))</f>
        <v/>
      </c>
    </row>
    <row r="223" spans="1:34" ht="14.25" customHeight="1" x14ac:dyDescent="0.15">
      <c r="A223" s="44">
        <v>218</v>
      </c>
      <c r="B223" s="148"/>
      <c r="C223" s="151"/>
      <c r="D223" s="148"/>
      <c r="E223" s="152"/>
      <c r="F223" s="148"/>
      <c r="G223" s="148"/>
      <c r="H223" s="150"/>
      <c r="I223" s="150"/>
      <c r="J223" s="151"/>
      <c r="K223" s="148"/>
      <c r="L223" s="196"/>
      <c r="M223" s="151"/>
      <c r="N223" s="197"/>
      <c r="O223" s="151"/>
      <c r="P223" s="153"/>
      <c r="Q22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3" s="144" t="str">
        <f>IF(テーブル2[[#This Row],[得点]]=0,"",IF(テーブル2[[#This Row],[年齢]]=17,LOOKUP(Q223,$BH$6:$BH$10,$BE$6:$BE$10),IF(テーブル2[[#This Row],[年齢]]=16,LOOKUP(Q223,$BG$6:$BG$10,$BE$6:$BE$10),IF(テーブル2[[#This Row],[年齢]]=15,LOOKUP(Q223,$BF$6:$BF$10,$BE$6:$BE$10),IF(テーブル2[[#This Row],[年齢]]=14,LOOKUP(Q223,$BD$6:$BD$10,$BE$6:$BE$10),IF(テーブル2[[#This Row],[年齢]]=13,LOOKUP(Q223,$BC$6:$BC$10,$BE$6:$BE$10),LOOKUP(Q223,$BB$6:$BB$10,$BE$6:$BE$10)))))))</f>
        <v/>
      </c>
      <c r="S223" s="145">
        <f>IF(H223="",0,(IF(テーブル2[[#This Row],[性別]]="男",LOOKUP(テーブル2[[#This Row],[握力]],$AI$6:$AJ$15),LOOKUP(テーブル2[[#This Row],[握力]],$AI$20:$AJ$29))))</f>
        <v>0</v>
      </c>
      <c r="T223" s="145">
        <f>IF(テーブル2[[#This Row],[上体]]="",0,(IF(テーブル2[[#This Row],[性別]]="男",LOOKUP(テーブル2[[#This Row],[上体]],$AK$6:$AL$15),LOOKUP(テーブル2[[#This Row],[上体]],$AK$20:$AL$29))))</f>
        <v>0</v>
      </c>
      <c r="U223" s="145">
        <f>IF(テーブル2[[#This Row],[長座]]="",0,(IF(テーブル2[[#This Row],[性別]]="男",LOOKUP(テーブル2[[#This Row],[長座]],$AM$6:$AN$15),LOOKUP(テーブル2[[#This Row],[長座]],$AM$20:$AN$29))))</f>
        <v>0</v>
      </c>
      <c r="V223" s="145">
        <f>IF(テーブル2[[#This Row],[反復]]="",0,(IF(テーブル2[[#This Row],[性別]]="男",LOOKUP(テーブル2[[#This Row],[反復]],$AO$6:$AP$15),LOOKUP(テーブル2[[#This Row],[反復]],$AO$20:$AP$29))))</f>
        <v>0</v>
      </c>
      <c r="W223" s="145">
        <f>IF(テーブル2[[#This Row],[持久走]]="",0,(IF(テーブル2[[#This Row],[性別]]="男",LOOKUP(テーブル2[[#This Row],[持久走]],$AQ$6:$AR$15),LOOKUP(テーブル2[[#This Row],[持久走]],$AQ$20:$AR$29))))</f>
        <v>0</v>
      </c>
      <c r="X223" s="145">
        <f>IF(テーブル2[[#This Row],[ｼｬﾄﾙﾗﾝ]]="",0,(IF(テーブル2[[#This Row],[性別]]="男",LOOKUP(テーブル2[[#This Row],[ｼｬﾄﾙﾗﾝ]],$AS$6:$AT$15),LOOKUP(テーブル2[[#This Row],[ｼｬﾄﾙﾗﾝ]],$AS$20:$AT$29))))</f>
        <v>0</v>
      </c>
      <c r="Y223" s="145">
        <f>IF(テーブル2[[#This Row],[50m走]]="",0,(IF(テーブル2[[#This Row],[性別]]="男",LOOKUP(テーブル2[[#This Row],[50m走]],$AU$6:$AV$15),LOOKUP(テーブル2[[#This Row],[50m走]],$AU$20:$AV$29))))</f>
        <v>0</v>
      </c>
      <c r="Z223" s="145">
        <f>IF(テーブル2[[#This Row],[立幅とび]]="",0,(IF(テーブル2[[#This Row],[性別]]="男",LOOKUP(テーブル2[[#This Row],[立幅とび]],$AW$6:$AX$15),LOOKUP(テーブル2[[#This Row],[立幅とび]],$AW$20:$AX$29))))</f>
        <v>0</v>
      </c>
      <c r="AA223" s="145">
        <f>IF(テーブル2[[#This Row],[ボール投げ]]="",0,(IF(テーブル2[[#This Row],[性別]]="男",LOOKUP(テーブル2[[#This Row],[ボール投げ]],$AY$6:$AZ$15),LOOKUP(テーブル2[[#This Row],[ボール投げ]],$AY$20:$AZ$29))))</f>
        <v>0</v>
      </c>
      <c r="AB223" s="146" t="str">
        <f>IF(テーブル2[[#This Row],[学年]]=1,12,IF(テーブル2[[#This Row],[学年]]=2,13,IF(テーブル2[[#This Row],[学年]]=3,14,"")))</f>
        <v/>
      </c>
      <c r="AC223" s="192" t="str">
        <f>IF(テーブル2[[#This Row],[肥満度数値]]=0,"",LOOKUP(AE223,$AW$39:$AW$44,$AX$39:$AX$44))</f>
        <v/>
      </c>
      <c r="AD22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3" s="77">
        <f>IF(テーブル2[[#This Row],[体重]]="",0,(テーブル2[[#This Row],[体重]]-テーブル2[[#This Row],[標準体重]])/テーブル2[[#This Row],[標準体重]]*100)</f>
        <v>0</v>
      </c>
      <c r="AF223" s="26">
        <f>COUNTA(テーブル2[[#This Row],[握力]:[ボール投げ]])</f>
        <v>0</v>
      </c>
      <c r="AG223" s="1" t="str">
        <f>IF(テーブル2[[#This Row],[判定]]=$BE$10,"○","")</f>
        <v/>
      </c>
      <c r="AH223" s="1" t="str">
        <f>IF(AG223="","",COUNTIF($AG$6:AG223,"○"))</f>
        <v/>
      </c>
    </row>
    <row r="224" spans="1:34" ht="14.25" customHeight="1" x14ac:dyDescent="0.15">
      <c r="A224" s="44">
        <v>219</v>
      </c>
      <c r="B224" s="148"/>
      <c r="C224" s="151"/>
      <c r="D224" s="148"/>
      <c r="E224" s="152"/>
      <c r="F224" s="148"/>
      <c r="G224" s="148"/>
      <c r="H224" s="150"/>
      <c r="I224" s="150"/>
      <c r="J224" s="151"/>
      <c r="K224" s="148"/>
      <c r="L224" s="196"/>
      <c r="M224" s="151"/>
      <c r="N224" s="197"/>
      <c r="O224" s="151"/>
      <c r="P224" s="153"/>
      <c r="Q22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4" s="144" t="str">
        <f>IF(テーブル2[[#This Row],[得点]]=0,"",IF(テーブル2[[#This Row],[年齢]]=17,LOOKUP(Q224,$BH$6:$BH$10,$BE$6:$BE$10),IF(テーブル2[[#This Row],[年齢]]=16,LOOKUP(Q224,$BG$6:$BG$10,$BE$6:$BE$10),IF(テーブル2[[#This Row],[年齢]]=15,LOOKUP(Q224,$BF$6:$BF$10,$BE$6:$BE$10),IF(テーブル2[[#This Row],[年齢]]=14,LOOKUP(Q224,$BD$6:$BD$10,$BE$6:$BE$10),IF(テーブル2[[#This Row],[年齢]]=13,LOOKUP(Q224,$BC$6:$BC$10,$BE$6:$BE$10),LOOKUP(Q224,$BB$6:$BB$10,$BE$6:$BE$10)))))))</f>
        <v/>
      </c>
      <c r="S224" s="145">
        <f>IF(H224="",0,(IF(テーブル2[[#This Row],[性別]]="男",LOOKUP(テーブル2[[#This Row],[握力]],$AI$6:$AJ$15),LOOKUP(テーブル2[[#This Row],[握力]],$AI$20:$AJ$29))))</f>
        <v>0</v>
      </c>
      <c r="T224" s="145">
        <f>IF(テーブル2[[#This Row],[上体]]="",0,(IF(テーブル2[[#This Row],[性別]]="男",LOOKUP(テーブル2[[#This Row],[上体]],$AK$6:$AL$15),LOOKUP(テーブル2[[#This Row],[上体]],$AK$20:$AL$29))))</f>
        <v>0</v>
      </c>
      <c r="U224" s="145">
        <f>IF(テーブル2[[#This Row],[長座]]="",0,(IF(テーブル2[[#This Row],[性別]]="男",LOOKUP(テーブル2[[#This Row],[長座]],$AM$6:$AN$15),LOOKUP(テーブル2[[#This Row],[長座]],$AM$20:$AN$29))))</f>
        <v>0</v>
      </c>
      <c r="V224" s="145">
        <f>IF(テーブル2[[#This Row],[反復]]="",0,(IF(テーブル2[[#This Row],[性別]]="男",LOOKUP(テーブル2[[#This Row],[反復]],$AO$6:$AP$15),LOOKUP(テーブル2[[#This Row],[反復]],$AO$20:$AP$29))))</f>
        <v>0</v>
      </c>
      <c r="W224" s="145">
        <f>IF(テーブル2[[#This Row],[持久走]]="",0,(IF(テーブル2[[#This Row],[性別]]="男",LOOKUP(テーブル2[[#This Row],[持久走]],$AQ$6:$AR$15),LOOKUP(テーブル2[[#This Row],[持久走]],$AQ$20:$AR$29))))</f>
        <v>0</v>
      </c>
      <c r="X224" s="145">
        <f>IF(テーブル2[[#This Row],[ｼｬﾄﾙﾗﾝ]]="",0,(IF(テーブル2[[#This Row],[性別]]="男",LOOKUP(テーブル2[[#This Row],[ｼｬﾄﾙﾗﾝ]],$AS$6:$AT$15),LOOKUP(テーブル2[[#This Row],[ｼｬﾄﾙﾗﾝ]],$AS$20:$AT$29))))</f>
        <v>0</v>
      </c>
      <c r="Y224" s="145">
        <f>IF(テーブル2[[#This Row],[50m走]]="",0,(IF(テーブル2[[#This Row],[性別]]="男",LOOKUP(テーブル2[[#This Row],[50m走]],$AU$6:$AV$15),LOOKUP(テーブル2[[#This Row],[50m走]],$AU$20:$AV$29))))</f>
        <v>0</v>
      </c>
      <c r="Z224" s="145">
        <f>IF(テーブル2[[#This Row],[立幅とび]]="",0,(IF(テーブル2[[#This Row],[性別]]="男",LOOKUP(テーブル2[[#This Row],[立幅とび]],$AW$6:$AX$15),LOOKUP(テーブル2[[#This Row],[立幅とび]],$AW$20:$AX$29))))</f>
        <v>0</v>
      </c>
      <c r="AA224" s="145">
        <f>IF(テーブル2[[#This Row],[ボール投げ]]="",0,(IF(テーブル2[[#This Row],[性別]]="男",LOOKUP(テーブル2[[#This Row],[ボール投げ]],$AY$6:$AZ$15),LOOKUP(テーブル2[[#This Row],[ボール投げ]],$AY$20:$AZ$29))))</f>
        <v>0</v>
      </c>
      <c r="AB224" s="146" t="str">
        <f>IF(テーブル2[[#This Row],[学年]]=1,12,IF(テーブル2[[#This Row],[学年]]=2,13,IF(テーブル2[[#This Row],[学年]]=3,14,"")))</f>
        <v/>
      </c>
      <c r="AC224" s="192" t="str">
        <f>IF(テーブル2[[#This Row],[肥満度数値]]=0,"",LOOKUP(AE224,$AW$39:$AW$44,$AX$39:$AX$44))</f>
        <v/>
      </c>
      <c r="AD22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4" s="77">
        <f>IF(テーブル2[[#This Row],[体重]]="",0,(テーブル2[[#This Row],[体重]]-テーブル2[[#This Row],[標準体重]])/テーブル2[[#This Row],[標準体重]]*100)</f>
        <v>0</v>
      </c>
      <c r="AF224" s="26">
        <f>COUNTA(テーブル2[[#This Row],[握力]:[ボール投げ]])</f>
        <v>0</v>
      </c>
      <c r="AG224" s="1" t="str">
        <f>IF(テーブル2[[#This Row],[判定]]=$BE$10,"○","")</f>
        <v/>
      </c>
      <c r="AH224" s="1" t="str">
        <f>IF(AG224="","",COUNTIF($AG$6:AG224,"○"))</f>
        <v/>
      </c>
    </row>
    <row r="225" spans="1:34" ht="14.25" customHeight="1" x14ac:dyDescent="0.15">
      <c r="A225" s="44">
        <v>220</v>
      </c>
      <c r="B225" s="148"/>
      <c r="C225" s="151"/>
      <c r="D225" s="148"/>
      <c r="E225" s="152"/>
      <c r="F225" s="148"/>
      <c r="G225" s="148"/>
      <c r="H225" s="150"/>
      <c r="I225" s="150"/>
      <c r="J225" s="151"/>
      <c r="K225" s="148"/>
      <c r="L225" s="196"/>
      <c r="M225" s="151"/>
      <c r="N225" s="197"/>
      <c r="O225" s="151"/>
      <c r="P225" s="153"/>
      <c r="Q22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5" s="144" t="str">
        <f>IF(テーブル2[[#This Row],[得点]]=0,"",IF(テーブル2[[#This Row],[年齢]]=17,LOOKUP(Q225,$BH$6:$BH$10,$BE$6:$BE$10),IF(テーブル2[[#This Row],[年齢]]=16,LOOKUP(Q225,$BG$6:$BG$10,$BE$6:$BE$10),IF(テーブル2[[#This Row],[年齢]]=15,LOOKUP(Q225,$BF$6:$BF$10,$BE$6:$BE$10),IF(テーブル2[[#This Row],[年齢]]=14,LOOKUP(Q225,$BD$6:$BD$10,$BE$6:$BE$10),IF(テーブル2[[#This Row],[年齢]]=13,LOOKUP(Q225,$BC$6:$BC$10,$BE$6:$BE$10),LOOKUP(Q225,$BB$6:$BB$10,$BE$6:$BE$10)))))))</f>
        <v/>
      </c>
      <c r="S225" s="145">
        <f>IF(H225="",0,(IF(テーブル2[[#This Row],[性別]]="男",LOOKUP(テーブル2[[#This Row],[握力]],$AI$6:$AJ$15),LOOKUP(テーブル2[[#This Row],[握力]],$AI$20:$AJ$29))))</f>
        <v>0</v>
      </c>
      <c r="T225" s="145">
        <f>IF(テーブル2[[#This Row],[上体]]="",0,(IF(テーブル2[[#This Row],[性別]]="男",LOOKUP(テーブル2[[#This Row],[上体]],$AK$6:$AL$15),LOOKUP(テーブル2[[#This Row],[上体]],$AK$20:$AL$29))))</f>
        <v>0</v>
      </c>
      <c r="U225" s="145">
        <f>IF(テーブル2[[#This Row],[長座]]="",0,(IF(テーブル2[[#This Row],[性別]]="男",LOOKUP(テーブル2[[#This Row],[長座]],$AM$6:$AN$15),LOOKUP(テーブル2[[#This Row],[長座]],$AM$20:$AN$29))))</f>
        <v>0</v>
      </c>
      <c r="V225" s="145">
        <f>IF(テーブル2[[#This Row],[反復]]="",0,(IF(テーブル2[[#This Row],[性別]]="男",LOOKUP(テーブル2[[#This Row],[反復]],$AO$6:$AP$15),LOOKUP(テーブル2[[#This Row],[反復]],$AO$20:$AP$29))))</f>
        <v>0</v>
      </c>
      <c r="W225" s="145">
        <f>IF(テーブル2[[#This Row],[持久走]]="",0,(IF(テーブル2[[#This Row],[性別]]="男",LOOKUP(テーブル2[[#This Row],[持久走]],$AQ$6:$AR$15),LOOKUP(テーブル2[[#This Row],[持久走]],$AQ$20:$AR$29))))</f>
        <v>0</v>
      </c>
      <c r="X225" s="145">
        <f>IF(テーブル2[[#This Row],[ｼｬﾄﾙﾗﾝ]]="",0,(IF(テーブル2[[#This Row],[性別]]="男",LOOKUP(テーブル2[[#This Row],[ｼｬﾄﾙﾗﾝ]],$AS$6:$AT$15),LOOKUP(テーブル2[[#This Row],[ｼｬﾄﾙﾗﾝ]],$AS$20:$AT$29))))</f>
        <v>0</v>
      </c>
      <c r="Y225" s="145">
        <f>IF(テーブル2[[#This Row],[50m走]]="",0,(IF(テーブル2[[#This Row],[性別]]="男",LOOKUP(テーブル2[[#This Row],[50m走]],$AU$6:$AV$15),LOOKUP(テーブル2[[#This Row],[50m走]],$AU$20:$AV$29))))</f>
        <v>0</v>
      </c>
      <c r="Z225" s="145">
        <f>IF(テーブル2[[#This Row],[立幅とび]]="",0,(IF(テーブル2[[#This Row],[性別]]="男",LOOKUP(テーブル2[[#This Row],[立幅とび]],$AW$6:$AX$15),LOOKUP(テーブル2[[#This Row],[立幅とび]],$AW$20:$AX$29))))</f>
        <v>0</v>
      </c>
      <c r="AA225" s="145">
        <f>IF(テーブル2[[#This Row],[ボール投げ]]="",0,(IF(テーブル2[[#This Row],[性別]]="男",LOOKUP(テーブル2[[#This Row],[ボール投げ]],$AY$6:$AZ$15),LOOKUP(テーブル2[[#This Row],[ボール投げ]],$AY$20:$AZ$29))))</f>
        <v>0</v>
      </c>
      <c r="AB225" s="146" t="str">
        <f>IF(テーブル2[[#This Row],[学年]]=1,12,IF(テーブル2[[#This Row],[学年]]=2,13,IF(テーブル2[[#This Row],[学年]]=3,14,"")))</f>
        <v/>
      </c>
      <c r="AC225" s="192" t="str">
        <f>IF(テーブル2[[#This Row],[肥満度数値]]=0,"",LOOKUP(AE225,$AW$39:$AW$44,$AX$39:$AX$44))</f>
        <v/>
      </c>
      <c r="AD22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5" s="77">
        <f>IF(テーブル2[[#This Row],[体重]]="",0,(テーブル2[[#This Row],[体重]]-テーブル2[[#This Row],[標準体重]])/テーブル2[[#This Row],[標準体重]]*100)</f>
        <v>0</v>
      </c>
      <c r="AF225" s="26">
        <f>COUNTA(テーブル2[[#This Row],[握力]:[ボール投げ]])</f>
        <v>0</v>
      </c>
      <c r="AG225" s="1" t="str">
        <f>IF(テーブル2[[#This Row],[判定]]=$BE$10,"○","")</f>
        <v/>
      </c>
      <c r="AH225" s="1" t="str">
        <f>IF(AG225="","",COUNTIF($AG$6:AG225,"○"))</f>
        <v/>
      </c>
    </row>
    <row r="226" spans="1:34" ht="14.25" customHeight="1" x14ac:dyDescent="0.15">
      <c r="A226" s="44">
        <v>221</v>
      </c>
      <c r="B226" s="148"/>
      <c r="C226" s="151"/>
      <c r="D226" s="148"/>
      <c r="E226" s="152"/>
      <c r="F226" s="148"/>
      <c r="G226" s="148"/>
      <c r="H226" s="150"/>
      <c r="I226" s="150"/>
      <c r="J226" s="151"/>
      <c r="K226" s="148"/>
      <c r="L226" s="196"/>
      <c r="M226" s="151"/>
      <c r="N226" s="197"/>
      <c r="O226" s="151"/>
      <c r="P226" s="153"/>
      <c r="Q22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6" s="144" t="str">
        <f>IF(テーブル2[[#This Row],[得点]]=0,"",IF(テーブル2[[#This Row],[年齢]]=17,LOOKUP(Q226,$BH$6:$BH$10,$BE$6:$BE$10),IF(テーブル2[[#This Row],[年齢]]=16,LOOKUP(Q226,$BG$6:$BG$10,$BE$6:$BE$10),IF(テーブル2[[#This Row],[年齢]]=15,LOOKUP(Q226,$BF$6:$BF$10,$BE$6:$BE$10),IF(テーブル2[[#This Row],[年齢]]=14,LOOKUP(Q226,$BD$6:$BD$10,$BE$6:$BE$10),IF(テーブル2[[#This Row],[年齢]]=13,LOOKUP(Q226,$BC$6:$BC$10,$BE$6:$BE$10),LOOKUP(Q226,$BB$6:$BB$10,$BE$6:$BE$10)))))))</f>
        <v/>
      </c>
      <c r="S226" s="145">
        <f>IF(H226="",0,(IF(テーブル2[[#This Row],[性別]]="男",LOOKUP(テーブル2[[#This Row],[握力]],$AI$6:$AJ$15),LOOKUP(テーブル2[[#This Row],[握力]],$AI$20:$AJ$29))))</f>
        <v>0</v>
      </c>
      <c r="T226" s="145">
        <f>IF(テーブル2[[#This Row],[上体]]="",0,(IF(テーブル2[[#This Row],[性別]]="男",LOOKUP(テーブル2[[#This Row],[上体]],$AK$6:$AL$15),LOOKUP(テーブル2[[#This Row],[上体]],$AK$20:$AL$29))))</f>
        <v>0</v>
      </c>
      <c r="U226" s="145">
        <f>IF(テーブル2[[#This Row],[長座]]="",0,(IF(テーブル2[[#This Row],[性別]]="男",LOOKUP(テーブル2[[#This Row],[長座]],$AM$6:$AN$15),LOOKUP(テーブル2[[#This Row],[長座]],$AM$20:$AN$29))))</f>
        <v>0</v>
      </c>
      <c r="V226" s="145">
        <f>IF(テーブル2[[#This Row],[反復]]="",0,(IF(テーブル2[[#This Row],[性別]]="男",LOOKUP(テーブル2[[#This Row],[反復]],$AO$6:$AP$15),LOOKUP(テーブル2[[#This Row],[反復]],$AO$20:$AP$29))))</f>
        <v>0</v>
      </c>
      <c r="W226" s="145">
        <f>IF(テーブル2[[#This Row],[持久走]]="",0,(IF(テーブル2[[#This Row],[性別]]="男",LOOKUP(テーブル2[[#This Row],[持久走]],$AQ$6:$AR$15),LOOKUP(テーブル2[[#This Row],[持久走]],$AQ$20:$AR$29))))</f>
        <v>0</v>
      </c>
      <c r="X226" s="145">
        <f>IF(テーブル2[[#This Row],[ｼｬﾄﾙﾗﾝ]]="",0,(IF(テーブル2[[#This Row],[性別]]="男",LOOKUP(テーブル2[[#This Row],[ｼｬﾄﾙﾗﾝ]],$AS$6:$AT$15),LOOKUP(テーブル2[[#This Row],[ｼｬﾄﾙﾗﾝ]],$AS$20:$AT$29))))</f>
        <v>0</v>
      </c>
      <c r="Y226" s="145">
        <f>IF(テーブル2[[#This Row],[50m走]]="",0,(IF(テーブル2[[#This Row],[性別]]="男",LOOKUP(テーブル2[[#This Row],[50m走]],$AU$6:$AV$15),LOOKUP(テーブル2[[#This Row],[50m走]],$AU$20:$AV$29))))</f>
        <v>0</v>
      </c>
      <c r="Z226" s="145">
        <f>IF(テーブル2[[#This Row],[立幅とび]]="",0,(IF(テーブル2[[#This Row],[性別]]="男",LOOKUP(テーブル2[[#This Row],[立幅とび]],$AW$6:$AX$15),LOOKUP(テーブル2[[#This Row],[立幅とび]],$AW$20:$AX$29))))</f>
        <v>0</v>
      </c>
      <c r="AA226" s="145">
        <f>IF(テーブル2[[#This Row],[ボール投げ]]="",0,(IF(テーブル2[[#This Row],[性別]]="男",LOOKUP(テーブル2[[#This Row],[ボール投げ]],$AY$6:$AZ$15),LOOKUP(テーブル2[[#This Row],[ボール投げ]],$AY$20:$AZ$29))))</f>
        <v>0</v>
      </c>
      <c r="AB226" s="146" t="str">
        <f>IF(テーブル2[[#This Row],[学年]]=1,12,IF(テーブル2[[#This Row],[学年]]=2,13,IF(テーブル2[[#This Row],[学年]]=3,14,"")))</f>
        <v/>
      </c>
      <c r="AC226" s="192" t="str">
        <f>IF(テーブル2[[#This Row],[肥満度数値]]=0,"",LOOKUP(AE226,$AW$39:$AW$44,$AX$39:$AX$44))</f>
        <v/>
      </c>
      <c r="AD22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6" s="77">
        <f>IF(テーブル2[[#This Row],[体重]]="",0,(テーブル2[[#This Row],[体重]]-テーブル2[[#This Row],[標準体重]])/テーブル2[[#This Row],[標準体重]]*100)</f>
        <v>0</v>
      </c>
      <c r="AF226" s="26">
        <f>COUNTA(テーブル2[[#This Row],[握力]:[ボール投げ]])</f>
        <v>0</v>
      </c>
      <c r="AG226" s="1" t="str">
        <f>IF(テーブル2[[#This Row],[判定]]=$BE$10,"○","")</f>
        <v/>
      </c>
      <c r="AH226" s="1" t="str">
        <f>IF(AG226="","",COUNTIF($AG$6:AG226,"○"))</f>
        <v/>
      </c>
    </row>
    <row r="227" spans="1:34" ht="14.25" customHeight="1" x14ac:dyDescent="0.15">
      <c r="A227" s="44">
        <v>222</v>
      </c>
      <c r="B227" s="148"/>
      <c r="C227" s="151"/>
      <c r="D227" s="148"/>
      <c r="E227" s="152"/>
      <c r="F227" s="148"/>
      <c r="G227" s="148"/>
      <c r="H227" s="150"/>
      <c r="I227" s="150"/>
      <c r="J227" s="151"/>
      <c r="K227" s="148"/>
      <c r="L227" s="196"/>
      <c r="M227" s="151"/>
      <c r="N227" s="197"/>
      <c r="O227" s="151"/>
      <c r="P227" s="153"/>
      <c r="Q22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7" s="144" t="str">
        <f>IF(テーブル2[[#This Row],[得点]]=0,"",IF(テーブル2[[#This Row],[年齢]]=17,LOOKUP(Q227,$BH$6:$BH$10,$BE$6:$BE$10),IF(テーブル2[[#This Row],[年齢]]=16,LOOKUP(Q227,$BG$6:$BG$10,$BE$6:$BE$10),IF(テーブル2[[#This Row],[年齢]]=15,LOOKUP(Q227,$BF$6:$BF$10,$BE$6:$BE$10),IF(テーブル2[[#This Row],[年齢]]=14,LOOKUP(Q227,$BD$6:$BD$10,$BE$6:$BE$10),IF(テーブル2[[#This Row],[年齢]]=13,LOOKUP(Q227,$BC$6:$BC$10,$BE$6:$BE$10),LOOKUP(Q227,$BB$6:$BB$10,$BE$6:$BE$10)))))))</f>
        <v/>
      </c>
      <c r="S227" s="145">
        <f>IF(H227="",0,(IF(テーブル2[[#This Row],[性別]]="男",LOOKUP(テーブル2[[#This Row],[握力]],$AI$6:$AJ$15),LOOKUP(テーブル2[[#This Row],[握力]],$AI$20:$AJ$29))))</f>
        <v>0</v>
      </c>
      <c r="T227" s="145">
        <f>IF(テーブル2[[#This Row],[上体]]="",0,(IF(テーブル2[[#This Row],[性別]]="男",LOOKUP(テーブル2[[#This Row],[上体]],$AK$6:$AL$15),LOOKUP(テーブル2[[#This Row],[上体]],$AK$20:$AL$29))))</f>
        <v>0</v>
      </c>
      <c r="U227" s="145">
        <f>IF(テーブル2[[#This Row],[長座]]="",0,(IF(テーブル2[[#This Row],[性別]]="男",LOOKUP(テーブル2[[#This Row],[長座]],$AM$6:$AN$15),LOOKUP(テーブル2[[#This Row],[長座]],$AM$20:$AN$29))))</f>
        <v>0</v>
      </c>
      <c r="V227" s="145">
        <f>IF(テーブル2[[#This Row],[反復]]="",0,(IF(テーブル2[[#This Row],[性別]]="男",LOOKUP(テーブル2[[#This Row],[反復]],$AO$6:$AP$15),LOOKUP(テーブル2[[#This Row],[反復]],$AO$20:$AP$29))))</f>
        <v>0</v>
      </c>
      <c r="W227" s="145">
        <f>IF(テーブル2[[#This Row],[持久走]]="",0,(IF(テーブル2[[#This Row],[性別]]="男",LOOKUP(テーブル2[[#This Row],[持久走]],$AQ$6:$AR$15),LOOKUP(テーブル2[[#This Row],[持久走]],$AQ$20:$AR$29))))</f>
        <v>0</v>
      </c>
      <c r="X227" s="145">
        <f>IF(テーブル2[[#This Row],[ｼｬﾄﾙﾗﾝ]]="",0,(IF(テーブル2[[#This Row],[性別]]="男",LOOKUP(テーブル2[[#This Row],[ｼｬﾄﾙﾗﾝ]],$AS$6:$AT$15),LOOKUP(テーブル2[[#This Row],[ｼｬﾄﾙﾗﾝ]],$AS$20:$AT$29))))</f>
        <v>0</v>
      </c>
      <c r="Y227" s="145">
        <f>IF(テーブル2[[#This Row],[50m走]]="",0,(IF(テーブル2[[#This Row],[性別]]="男",LOOKUP(テーブル2[[#This Row],[50m走]],$AU$6:$AV$15),LOOKUP(テーブル2[[#This Row],[50m走]],$AU$20:$AV$29))))</f>
        <v>0</v>
      </c>
      <c r="Z227" s="145">
        <f>IF(テーブル2[[#This Row],[立幅とび]]="",0,(IF(テーブル2[[#This Row],[性別]]="男",LOOKUP(テーブル2[[#This Row],[立幅とび]],$AW$6:$AX$15),LOOKUP(テーブル2[[#This Row],[立幅とび]],$AW$20:$AX$29))))</f>
        <v>0</v>
      </c>
      <c r="AA227" s="145">
        <f>IF(テーブル2[[#This Row],[ボール投げ]]="",0,(IF(テーブル2[[#This Row],[性別]]="男",LOOKUP(テーブル2[[#This Row],[ボール投げ]],$AY$6:$AZ$15),LOOKUP(テーブル2[[#This Row],[ボール投げ]],$AY$20:$AZ$29))))</f>
        <v>0</v>
      </c>
      <c r="AB227" s="146" t="str">
        <f>IF(テーブル2[[#This Row],[学年]]=1,12,IF(テーブル2[[#This Row],[学年]]=2,13,IF(テーブル2[[#This Row],[学年]]=3,14,"")))</f>
        <v/>
      </c>
      <c r="AC227" s="192" t="str">
        <f>IF(テーブル2[[#This Row],[肥満度数値]]=0,"",LOOKUP(AE227,$AW$39:$AW$44,$AX$39:$AX$44))</f>
        <v/>
      </c>
      <c r="AD22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7" s="77">
        <f>IF(テーブル2[[#This Row],[体重]]="",0,(テーブル2[[#This Row],[体重]]-テーブル2[[#This Row],[標準体重]])/テーブル2[[#This Row],[標準体重]]*100)</f>
        <v>0</v>
      </c>
      <c r="AF227" s="26">
        <f>COUNTA(テーブル2[[#This Row],[握力]:[ボール投げ]])</f>
        <v>0</v>
      </c>
      <c r="AG227" s="1" t="str">
        <f>IF(テーブル2[[#This Row],[判定]]=$BE$10,"○","")</f>
        <v/>
      </c>
      <c r="AH227" s="1" t="str">
        <f>IF(AG227="","",COUNTIF($AG$6:AG227,"○"))</f>
        <v/>
      </c>
    </row>
    <row r="228" spans="1:34" ht="14.25" customHeight="1" x14ac:dyDescent="0.15">
      <c r="A228" s="44">
        <v>223</v>
      </c>
      <c r="B228" s="148"/>
      <c r="C228" s="151"/>
      <c r="D228" s="148"/>
      <c r="E228" s="152"/>
      <c r="F228" s="148"/>
      <c r="G228" s="148"/>
      <c r="H228" s="150"/>
      <c r="I228" s="150"/>
      <c r="J228" s="151"/>
      <c r="K228" s="148"/>
      <c r="L228" s="196"/>
      <c r="M228" s="151"/>
      <c r="N228" s="197"/>
      <c r="O228" s="151"/>
      <c r="P228" s="153"/>
      <c r="Q22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8" s="144" t="str">
        <f>IF(テーブル2[[#This Row],[得点]]=0,"",IF(テーブル2[[#This Row],[年齢]]=17,LOOKUP(Q228,$BH$6:$BH$10,$BE$6:$BE$10),IF(テーブル2[[#This Row],[年齢]]=16,LOOKUP(Q228,$BG$6:$BG$10,$BE$6:$BE$10),IF(テーブル2[[#This Row],[年齢]]=15,LOOKUP(Q228,$BF$6:$BF$10,$BE$6:$BE$10),IF(テーブル2[[#This Row],[年齢]]=14,LOOKUP(Q228,$BD$6:$BD$10,$BE$6:$BE$10),IF(テーブル2[[#This Row],[年齢]]=13,LOOKUP(Q228,$BC$6:$BC$10,$BE$6:$BE$10),LOOKUP(Q228,$BB$6:$BB$10,$BE$6:$BE$10)))))))</f>
        <v/>
      </c>
      <c r="S228" s="145">
        <f>IF(H228="",0,(IF(テーブル2[[#This Row],[性別]]="男",LOOKUP(テーブル2[[#This Row],[握力]],$AI$6:$AJ$15),LOOKUP(テーブル2[[#This Row],[握力]],$AI$20:$AJ$29))))</f>
        <v>0</v>
      </c>
      <c r="T228" s="145">
        <f>IF(テーブル2[[#This Row],[上体]]="",0,(IF(テーブル2[[#This Row],[性別]]="男",LOOKUP(テーブル2[[#This Row],[上体]],$AK$6:$AL$15),LOOKUP(テーブル2[[#This Row],[上体]],$AK$20:$AL$29))))</f>
        <v>0</v>
      </c>
      <c r="U228" s="145">
        <f>IF(テーブル2[[#This Row],[長座]]="",0,(IF(テーブル2[[#This Row],[性別]]="男",LOOKUP(テーブル2[[#This Row],[長座]],$AM$6:$AN$15),LOOKUP(テーブル2[[#This Row],[長座]],$AM$20:$AN$29))))</f>
        <v>0</v>
      </c>
      <c r="V228" s="145">
        <f>IF(テーブル2[[#This Row],[反復]]="",0,(IF(テーブル2[[#This Row],[性別]]="男",LOOKUP(テーブル2[[#This Row],[反復]],$AO$6:$AP$15),LOOKUP(テーブル2[[#This Row],[反復]],$AO$20:$AP$29))))</f>
        <v>0</v>
      </c>
      <c r="W228" s="145">
        <f>IF(テーブル2[[#This Row],[持久走]]="",0,(IF(テーブル2[[#This Row],[性別]]="男",LOOKUP(テーブル2[[#This Row],[持久走]],$AQ$6:$AR$15),LOOKUP(テーブル2[[#This Row],[持久走]],$AQ$20:$AR$29))))</f>
        <v>0</v>
      </c>
      <c r="X228" s="145">
        <f>IF(テーブル2[[#This Row],[ｼｬﾄﾙﾗﾝ]]="",0,(IF(テーブル2[[#This Row],[性別]]="男",LOOKUP(テーブル2[[#This Row],[ｼｬﾄﾙﾗﾝ]],$AS$6:$AT$15),LOOKUP(テーブル2[[#This Row],[ｼｬﾄﾙﾗﾝ]],$AS$20:$AT$29))))</f>
        <v>0</v>
      </c>
      <c r="Y228" s="145">
        <f>IF(テーブル2[[#This Row],[50m走]]="",0,(IF(テーブル2[[#This Row],[性別]]="男",LOOKUP(テーブル2[[#This Row],[50m走]],$AU$6:$AV$15),LOOKUP(テーブル2[[#This Row],[50m走]],$AU$20:$AV$29))))</f>
        <v>0</v>
      </c>
      <c r="Z228" s="145">
        <f>IF(テーブル2[[#This Row],[立幅とび]]="",0,(IF(テーブル2[[#This Row],[性別]]="男",LOOKUP(テーブル2[[#This Row],[立幅とび]],$AW$6:$AX$15),LOOKUP(テーブル2[[#This Row],[立幅とび]],$AW$20:$AX$29))))</f>
        <v>0</v>
      </c>
      <c r="AA228" s="145">
        <f>IF(テーブル2[[#This Row],[ボール投げ]]="",0,(IF(テーブル2[[#This Row],[性別]]="男",LOOKUP(テーブル2[[#This Row],[ボール投げ]],$AY$6:$AZ$15),LOOKUP(テーブル2[[#This Row],[ボール投げ]],$AY$20:$AZ$29))))</f>
        <v>0</v>
      </c>
      <c r="AB228" s="146" t="str">
        <f>IF(テーブル2[[#This Row],[学年]]=1,12,IF(テーブル2[[#This Row],[学年]]=2,13,IF(テーブル2[[#This Row],[学年]]=3,14,"")))</f>
        <v/>
      </c>
      <c r="AC228" s="192" t="str">
        <f>IF(テーブル2[[#This Row],[肥満度数値]]=0,"",LOOKUP(AE228,$AW$39:$AW$44,$AX$39:$AX$44))</f>
        <v/>
      </c>
      <c r="AD22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8" s="77">
        <f>IF(テーブル2[[#This Row],[体重]]="",0,(テーブル2[[#This Row],[体重]]-テーブル2[[#This Row],[標準体重]])/テーブル2[[#This Row],[標準体重]]*100)</f>
        <v>0</v>
      </c>
      <c r="AF228" s="26">
        <f>COUNTA(テーブル2[[#This Row],[握力]:[ボール投げ]])</f>
        <v>0</v>
      </c>
      <c r="AG228" s="1" t="str">
        <f>IF(テーブル2[[#This Row],[判定]]=$BE$10,"○","")</f>
        <v/>
      </c>
      <c r="AH228" s="1" t="str">
        <f>IF(AG228="","",COUNTIF($AG$6:AG228,"○"))</f>
        <v/>
      </c>
    </row>
    <row r="229" spans="1:34" ht="14.25" customHeight="1" x14ac:dyDescent="0.15">
      <c r="A229" s="44">
        <v>224</v>
      </c>
      <c r="B229" s="148"/>
      <c r="C229" s="151"/>
      <c r="D229" s="148"/>
      <c r="E229" s="152"/>
      <c r="F229" s="148"/>
      <c r="G229" s="148"/>
      <c r="H229" s="150"/>
      <c r="I229" s="150"/>
      <c r="J229" s="151"/>
      <c r="K229" s="148"/>
      <c r="L229" s="196"/>
      <c r="M229" s="151"/>
      <c r="N229" s="197"/>
      <c r="O229" s="151"/>
      <c r="P229" s="153"/>
      <c r="Q22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9" s="144" t="str">
        <f>IF(テーブル2[[#This Row],[得点]]=0,"",IF(テーブル2[[#This Row],[年齢]]=17,LOOKUP(Q229,$BH$6:$BH$10,$BE$6:$BE$10),IF(テーブル2[[#This Row],[年齢]]=16,LOOKUP(Q229,$BG$6:$BG$10,$BE$6:$BE$10),IF(テーブル2[[#This Row],[年齢]]=15,LOOKUP(Q229,$BF$6:$BF$10,$BE$6:$BE$10),IF(テーブル2[[#This Row],[年齢]]=14,LOOKUP(Q229,$BD$6:$BD$10,$BE$6:$BE$10),IF(テーブル2[[#This Row],[年齢]]=13,LOOKUP(Q229,$BC$6:$BC$10,$BE$6:$BE$10),LOOKUP(Q229,$BB$6:$BB$10,$BE$6:$BE$10)))))))</f>
        <v/>
      </c>
      <c r="S229" s="145">
        <f>IF(H229="",0,(IF(テーブル2[[#This Row],[性別]]="男",LOOKUP(テーブル2[[#This Row],[握力]],$AI$6:$AJ$15),LOOKUP(テーブル2[[#This Row],[握力]],$AI$20:$AJ$29))))</f>
        <v>0</v>
      </c>
      <c r="T229" s="145">
        <f>IF(テーブル2[[#This Row],[上体]]="",0,(IF(テーブル2[[#This Row],[性別]]="男",LOOKUP(テーブル2[[#This Row],[上体]],$AK$6:$AL$15),LOOKUP(テーブル2[[#This Row],[上体]],$AK$20:$AL$29))))</f>
        <v>0</v>
      </c>
      <c r="U229" s="145">
        <f>IF(テーブル2[[#This Row],[長座]]="",0,(IF(テーブル2[[#This Row],[性別]]="男",LOOKUP(テーブル2[[#This Row],[長座]],$AM$6:$AN$15),LOOKUP(テーブル2[[#This Row],[長座]],$AM$20:$AN$29))))</f>
        <v>0</v>
      </c>
      <c r="V229" s="145">
        <f>IF(テーブル2[[#This Row],[反復]]="",0,(IF(テーブル2[[#This Row],[性別]]="男",LOOKUP(テーブル2[[#This Row],[反復]],$AO$6:$AP$15),LOOKUP(テーブル2[[#This Row],[反復]],$AO$20:$AP$29))))</f>
        <v>0</v>
      </c>
      <c r="W229" s="145">
        <f>IF(テーブル2[[#This Row],[持久走]]="",0,(IF(テーブル2[[#This Row],[性別]]="男",LOOKUP(テーブル2[[#This Row],[持久走]],$AQ$6:$AR$15),LOOKUP(テーブル2[[#This Row],[持久走]],$AQ$20:$AR$29))))</f>
        <v>0</v>
      </c>
      <c r="X229" s="145">
        <f>IF(テーブル2[[#This Row],[ｼｬﾄﾙﾗﾝ]]="",0,(IF(テーブル2[[#This Row],[性別]]="男",LOOKUP(テーブル2[[#This Row],[ｼｬﾄﾙﾗﾝ]],$AS$6:$AT$15),LOOKUP(テーブル2[[#This Row],[ｼｬﾄﾙﾗﾝ]],$AS$20:$AT$29))))</f>
        <v>0</v>
      </c>
      <c r="Y229" s="145">
        <f>IF(テーブル2[[#This Row],[50m走]]="",0,(IF(テーブル2[[#This Row],[性別]]="男",LOOKUP(テーブル2[[#This Row],[50m走]],$AU$6:$AV$15),LOOKUP(テーブル2[[#This Row],[50m走]],$AU$20:$AV$29))))</f>
        <v>0</v>
      </c>
      <c r="Z229" s="145">
        <f>IF(テーブル2[[#This Row],[立幅とび]]="",0,(IF(テーブル2[[#This Row],[性別]]="男",LOOKUP(テーブル2[[#This Row],[立幅とび]],$AW$6:$AX$15),LOOKUP(テーブル2[[#This Row],[立幅とび]],$AW$20:$AX$29))))</f>
        <v>0</v>
      </c>
      <c r="AA229" s="145">
        <f>IF(テーブル2[[#This Row],[ボール投げ]]="",0,(IF(テーブル2[[#This Row],[性別]]="男",LOOKUP(テーブル2[[#This Row],[ボール投げ]],$AY$6:$AZ$15),LOOKUP(テーブル2[[#This Row],[ボール投げ]],$AY$20:$AZ$29))))</f>
        <v>0</v>
      </c>
      <c r="AB229" s="146" t="str">
        <f>IF(テーブル2[[#This Row],[学年]]=1,12,IF(テーブル2[[#This Row],[学年]]=2,13,IF(テーブル2[[#This Row],[学年]]=3,14,"")))</f>
        <v/>
      </c>
      <c r="AC229" s="192" t="str">
        <f>IF(テーブル2[[#This Row],[肥満度数値]]=0,"",LOOKUP(AE229,$AW$39:$AW$44,$AX$39:$AX$44))</f>
        <v/>
      </c>
      <c r="AD22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29" s="77">
        <f>IF(テーブル2[[#This Row],[体重]]="",0,(テーブル2[[#This Row],[体重]]-テーブル2[[#This Row],[標準体重]])/テーブル2[[#This Row],[標準体重]]*100)</f>
        <v>0</v>
      </c>
      <c r="AF229" s="26">
        <f>COUNTA(テーブル2[[#This Row],[握力]:[ボール投げ]])</f>
        <v>0</v>
      </c>
      <c r="AG229" s="1" t="str">
        <f>IF(テーブル2[[#This Row],[判定]]=$BE$10,"○","")</f>
        <v/>
      </c>
      <c r="AH229" s="1" t="str">
        <f>IF(AG229="","",COUNTIF($AG$6:AG229,"○"))</f>
        <v/>
      </c>
    </row>
    <row r="230" spans="1:34" ht="14.25" customHeight="1" x14ac:dyDescent="0.15">
      <c r="A230" s="44">
        <v>225</v>
      </c>
      <c r="B230" s="148"/>
      <c r="C230" s="151"/>
      <c r="D230" s="148"/>
      <c r="E230" s="152"/>
      <c r="F230" s="148"/>
      <c r="G230" s="148"/>
      <c r="H230" s="150"/>
      <c r="I230" s="150"/>
      <c r="J230" s="151"/>
      <c r="K230" s="148"/>
      <c r="L230" s="196"/>
      <c r="M230" s="151"/>
      <c r="N230" s="197"/>
      <c r="O230" s="151"/>
      <c r="P230" s="153"/>
      <c r="Q23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0" s="144" t="str">
        <f>IF(テーブル2[[#This Row],[得点]]=0,"",IF(テーブル2[[#This Row],[年齢]]=17,LOOKUP(Q230,$BH$6:$BH$10,$BE$6:$BE$10),IF(テーブル2[[#This Row],[年齢]]=16,LOOKUP(Q230,$BG$6:$BG$10,$BE$6:$BE$10),IF(テーブル2[[#This Row],[年齢]]=15,LOOKUP(Q230,$BF$6:$BF$10,$BE$6:$BE$10),IF(テーブル2[[#This Row],[年齢]]=14,LOOKUP(Q230,$BD$6:$BD$10,$BE$6:$BE$10),IF(テーブル2[[#This Row],[年齢]]=13,LOOKUP(Q230,$BC$6:$BC$10,$BE$6:$BE$10),LOOKUP(Q230,$BB$6:$BB$10,$BE$6:$BE$10)))))))</f>
        <v/>
      </c>
      <c r="S230" s="145">
        <f>IF(H230="",0,(IF(テーブル2[[#This Row],[性別]]="男",LOOKUP(テーブル2[[#This Row],[握力]],$AI$6:$AJ$15),LOOKUP(テーブル2[[#This Row],[握力]],$AI$20:$AJ$29))))</f>
        <v>0</v>
      </c>
      <c r="T230" s="145">
        <f>IF(テーブル2[[#This Row],[上体]]="",0,(IF(テーブル2[[#This Row],[性別]]="男",LOOKUP(テーブル2[[#This Row],[上体]],$AK$6:$AL$15),LOOKUP(テーブル2[[#This Row],[上体]],$AK$20:$AL$29))))</f>
        <v>0</v>
      </c>
      <c r="U230" s="145">
        <f>IF(テーブル2[[#This Row],[長座]]="",0,(IF(テーブル2[[#This Row],[性別]]="男",LOOKUP(テーブル2[[#This Row],[長座]],$AM$6:$AN$15),LOOKUP(テーブル2[[#This Row],[長座]],$AM$20:$AN$29))))</f>
        <v>0</v>
      </c>
      <c r="V230" s="145">
        <f>IF(テーブル2[[#This Row],[反復]]="",0,(IF(テーブル2[[#This Row],[性別]]="男",LOOKUP(テーブル2[[#This Row],[反復]],$AO$6:$AP$15),LOOKUP(テーブル2[[#This Row],[反復]],$AO$20:$AP$29))))</f>
        <v>0</v>
      </c>
      <c r="W230" s="145">
        <f>IF(テーブル2[[#This Row],[持久走]]="",0,(IF(テーブル2[[#This Row],[性別]]="男",LOOKUP(テーブル2[[#This Row],[持久走]],$AQ$6:$AR$15),LOOKUP(テーブル2[[#This Row],[持久走]],$AQ$20:$AR$29))))</f>
        <v>0</v>
      </c>
      <c r="X230" s="145">
        <f>IF(テーブル2[[#This Row],[ｼｬﾄﾙﾗﾝ]]="",0,(IF(テーブル2[[#This Row],[性別]]="男",LOOKUP(テーブル2[[#This Row],[ｼｬﾄﾙﾗﾝ]],$AS$6:$AT$15),LOOKUP(テーブル2[[#This Row],[ｼｬﾄﾙﾗﾝ]],$AS$20:$AT$29))))</f>
        <v>0</v>
      </c>
      <c r="Y230" s="145">
        <f>IF(テーブル2[[#This Row],[50m走]]="",0,(IF(テーブル2[[#This Row],[性別]]="男",LOOKUP(テーブル2[[#This Row],[50m走]],$AU$6:$AV$15),LOOKUP(テーブル2[[#This Row],[50m走]],$AU$20:$AV$29))))</f>
        <v>0</v>
      </c>
      <c r="Z230" s="145">
        <f>IF(テーブル2[[#This Row],[立幅とび]]="",0,(IF(テーブル2[[#This Row],[性別]]="男",LOOKUP(テーブル2[[#This Row],[立幅とび]],$AW$6:$AX$15),LOOKUP(テーブル2[[#This Row],[立幅とび]],$AW$20:$AX$29))))</f>
        <v>0</v>
      </c>
      <c r="AA230" s="145">
        <f>IF(テーブル2[[#This Row],[ボール投げ]]="",0,(IF(テーブル2[[#This Row],[性別]]="男",LOOKUP(テーブル2[[#This Row],[ボール投げ]],$AY$6:$AZ$15),LOOKUP(テーブル2[[#This Row],[ボール投げ]],$AY$20:$AZ$29))))</f>
        <v>0</v>
      </c>
      <c r="AB230" s="146" t="str">
        <f>IF(テーブル2[[#This Row],[学年]]=1,12,IF(テーブル2[[#This Row],[学年]]=2,13,IF(テーブル2[[#This Row],[学年]]=3,14,"")))</f>
        <v/>
      </c>
      <c r="AC230" s="192" t="str">
        <f>IF(テーブル2[[#This Row],[肥満度数値]]=0,"",LOOKUP(AE230,$AW$39:$AW$44,$AX$39:$AX$44))</f>
        <v/>
      </c>
      <c r="AD23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0" s="77">
        <f>IF(テーブル2[[#This Row],[体重]]="",0,(テーブル2[[#This Row],[体重]]-テーブル2[[#This Row],[標準体重]])/テーブル2[[#This Row],[標準体重]]*100)</f>
        <v>0</v>
      </c>
      <c r="AF230" s="26">
        <f>COUNTA(テーブル2[[#This Row],[握力]:[ボール投げ]])</f>
        <v>0</v>
      </c>
      <c r="AG230" s="1" t="str">
        <f>IF(テーブル2[[#This Row],[判定]]=$BE$10,"○","")</f>
        <v/>
      </c>
      <c r="AH230" s="1" t="str">
        <f>IF(AG230="","",COUNTIF($AG$6:AG230,"○"))</f>
        <v/>
      </c>
    </row>
    <row r="231" spans="1:34" ht="14.25" customHeight="1" x14ac:dyDescent="0.15">
      <c r="A231" s="44">
        <v>226</v>
      </c>
      <c r="B231" s="148"/>
      <c r="C231" s="151"/>
      <c r="D231" s="148"/>
      <c r="E231" s="152"/>
      <c r="F231" s="148"/>
      <c r="G231" s="148"/>
      <c r="H231" s="150"/>
      <c r="I231" s="150"/>
      <c r="J231" s="151"/>
      <c r="K231" s="148"/>
      <c r="L231" s="196"/>
      <c r="M231" s="151"/>
      <c r="N231" s="197"/>
      <c r="O231" s="151"/>
      <c r="P231" s="153"/>
      <c r="Q23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1" s="144" t="str">
        <f>IF(テーブル2[[#This Row],[得点]]=0,"",IF(テーブル2[[#This Row],[年齢]]=17,LOOKUP(Q231,$BH$6:$BH$10,$BE$6:$BE$10),IF(テーブル2[[#This Row],[年齢]]=16,LOOKUP(Q231,$BG$6:$BG$10,$BE$6:$BE$10),IF(テーブル2[[#This Row],[年齢]]=15,LOOKUP(Q231,$BF$6:$BF$10,$BE$6:$BE$10),IF(テーブル2[[#This Row],[年齢]]=14,LOOKUP(Q231,$BD$6:$BD$10,$BE$6:$BE$10),IF(テーブル2[[#This Row],[年齢]]=13,LOOKUP(Q231,$BC$6:$BC$10,$BE$6:$BE$10),LOOKUP(Q231,$BB$6:$BB$10,$BE$6:$BE$10)))))))</f>
        <v/>
      </c>
      <c r="S231" s="145">
        <f>IF(H231="",0,(IF(テーブル2[[#This Row],[性別]]="男",LOOKUP(テーブル2[[#This Row],[握力]],$AI$6:$AJ$15),LOOKUP(テーブル2[[#This Row],[握力]],$AI$20:$AJ$29))))</f>
        <v>0</v>
      </c>
      <c r="T231" s="145">
        <f>IF(テーブル2[[#This Row],[上体]]="",0,(IF(テーブル2[[#This Row],[性別]]="男",LOOKUP(テーブル2[[#This Row],[上体]],$AK$6:$AL$15),LOOKUP(テーブル2[[#This Row],[上体]],$AK$20:$AL$29))))</f>
        <v>0</v>
      </c>
      <c r="U231" s="145">
        <f>IF(テーブル2[[#This Row],[長座]]="",0,(IF(テーブル2[[#This Row],[性別]]="男",LOOKUP(テーブル2[[#This Row],[長座]],$AM$6:$AN$15),LOOKUP(テーブル2[[#This Row],[長座]],$AM$20:$AN$29))))</f>
        <v>0</v>
      </c>
      <c r="V231" s="145">
        <f>IF(テーブル2[[#This Row],[反復]]="",0,(IF(テーブル2[[#This Row],[性別]]="男",LOOKUP(テーブル2[[#This Row],[反復]],$AO$6:$AP$15),LOOKUP(テーブル2[[#This Row],[反復]],$AO$20:$AP$29))))</f>
        <v>0</v>
      </c>
      <c r="W231" s="145">
        <f>IF(テーブル2[[#This Row],[持久走]]="",0,(IF(テーブル2[[#This Row],[性別]]="男",LOOKUP(テーブル2[[#This Row],[持久走]],$AQ$6:$AR$15),LOOKUP(テーブル2[[#This Row],[持久走]],$AQ$20:$AR$29))))</f>
        <v>0</v>
      </c>
      <c r="X231" s="145">
        <f>IF(テーブル2[[#This Row],[ｼｬﾄﾙﾗﾝ]]="",0,(IF(テーブル2[[#This Row],[性別]]="男",LOOKUP(テーブル2[[#This Row],[ｼｬﾄﾙﾗﾝ]],$AS$6:$AT$15),LOOKUP(テーブル2[[#This Row],[ｼｬﾄﾙﾗﾝ]],$AS$20:$AT$29))))</f>
        <v>0</v>
      </c>
      <c r="Y231" s="145">
        <f>IF(テーブル2[[#This Row],[50m走]]="",0,(IF(テーブル2[[#This Row],[性別]]="男",LOOKUP(テーブル2[[#This Row],[50m走]],$AU$6:$AV$15),LOOKUP(テーブル2[[#This Row],[50m走]],$AU$20:$AV$29))))</f>
        <v>0</v>
      </c>
      <c r="Z231" s="145">
        <f>IF(テーブル2[[#This Row],[立幅とび]]="",0,(IF(テーブル2[[#This Row],[性別]]="男",LOOKUP(テーブル2[[#This Row],[立幅とび]],$AW$6:$AX$15),LOOKUP(テーブル2[[#This Row],[立幅とび]],$AW$20:$AX$29))))</f>
        <v>0</v>
      </c>
      <c r="AA231" s="145">
        <f>IF(テーブル2[[#This Row],[ボール投げ]]="",0,(IF(テーブル2[[#This Row],[性別]]="男",LOOKUP(テーブル2[[#This Row],[ボール投げ]],$AY$6:$AZ$15),LOOKUP(テーブル2[[#This Row],[ボール投げ]],$AY$20:$AZ$29))))</f>
        <v>0</v>
      </c>
      <c r="AB231" s="146" t="str">
        <f>IF(テーブル2[[#This Row],[学年]]=1,12,IF(テーブル2[[#This Row],[学年]]=2,13,IF(テーブル2[[#This Row],[学年]]=3,14,"")))</f>
        <v/>
      </c>
      <c r="AC231" s="192" t="str">
        <f>IF(テーブル2[[#This Row],[肥満度数値]]=0,"",LOOKUP(AE231,$AW$39:$AW$44,$AX$39:$AX$44))</f>
        <v/>
      </c>
      <c r="AD23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1" s="77">
        <f>IF(テーブル2[[#This Row],[体重]]="",0,(テーブル2[[#This Row],[体重]]-テーブル2[[#This Row],[標準体重]])/テーブル2[[#This Row],[標準体重]]*100)</f>
        <v>0</v>
      </c>
      <c r="AF231" s="26">
        <f>COUNTA(テーブル2[[#This Row],[握力]:[ボール投げ]])</f>
        <v>0</v>
      </c>
      <c r="AG231" s="1" t="str">
        <f>IF(テーブル2[[#This Row],[判定]]=$BE$10,"○","")</f>
        <v/>
      </c>
      <c r="AH231" s="1" t="str">
        <f>IF(AG231="","",COUNTIF($AG$6:AG231,"○"))</f>
        <v/>
      </c>
    </row>
    <row r="232" spans="1:34" ht="14.25" customHeight="1" x14ac:dyDescent="0.15">
      <c r="A232" s="44">
        <v>227</v>
      </c>
      <c r="B232" s="148"/>
      <c r="C232" s="151"/>
      <c r="D232" s="148"/>
      <c r="E232" s="152"/>
      <c r="F232" s="148"/>
      <c r="G232" s="148"/>
      <c r="H232" s="150"/>
      <c r="I232" s="150"/>
      <c r="J232" s="151"/>
      <c r="K232" s="148"/>
      <c r="L232" s="196"/>
      <c r="M232" s="151"/>
      <c r="N232" s="197"/>
      <c r="O232" s="151"/>
      <c r="P232" s="153"/>
      <c r="Q23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2" s="144" t="str">
        <f>IF(テーブル2[[#This Row],[得点]]=0,"",IF(テーブル2[[#This Row],[年齢]]=17,LOOKUP(Q232,$BH$6:$BH$10,$BE$6:$BE$10),IF(テーブル2[[#This Row],[年齢]]=16,LOOKUP(Q232,$BG$6:$BG$10,$BE$6:$BE$10),IF(テーブル2[[#This Row],[年齢]]=15,LOOKUP(Q232,$BF$6:$BF$10,$BE$6:$BE$10),IF(テーブル2[[#This Row],[年齢]]=14,LOOKUP(Q232,$BD$6:$BD$10,$BE$6:$BE$10),IF(テーブル2[[#This Row],[年齢]]=13,LOOKUP(Q232,$BC$6:$BC$10,$BE$6:$BE$10),LOOKUP(Q232,$BB$6:$BB$10,$BE$6:$BE$10)))))))</f>
        <v/>
      </c>
      <c r="S232" s="145">
        <f>IF(H232="",0,(IF(テーブル2[[#This Row],[性別]]="男",LOOKUP(テーブル2[[#This Row],[握力]],$AI$6:$AJ$15),LOOKUP(テーブル2[[#This Row],[握力]],$AI$20:$AJ$29))))</f>
        <v>0</v>
      </c>
      <c r="T232" s="145">
        <f>IF(テーブル2[[#This Row],[上体]]="",0,(IF(テーブル2[[#This Row],[性別]]="男",LOOKUP(テーブル2[[#This Row],[上体]],$AK$6:$AL$15),LOOKUP(テーブル2[[#This Row],[上体]],$AK$20:$AL$29))))</f>
        <v>0</v>
      </c>
      <c r="U232" s="145">
        <f>IF(テーブル2[[#This Row],[長座]]="",0,(IF(テーブル2[[#This Row],[性別]]="男",LOOKUP(テーブル2[[#This Row],[長座]],$AM$6:$AN$15),LOOKUP(テーブル2[[#This Row],[長座]],$AM$20:$AN$29))))</f>
        <v>0</v>
      </c>
      <c r="V232" s="145">
        <f>IF(テーブル2[[#This Row],[反復]]="",0,(IF(テーブル2[[#This Row],[性別]]="男",LOOKUP(テーブル2[[#This Row],[反復]],$AO$6:$AP$15),LOOKUP(テーブル2[[#This Row],[反復]],$AO$20:$AP$29))))</f>
        <v>0</v>
      </c>
      <c r="W232" s="145">
        <f>IF(テーブル2[[#This Row],[持久走]]="",0,(IF(テーブル2[[#This Row],[性別]]="男",LOOKUP(テーブル2[[#This Row],[持久走]],$AQ$6:$AR$15),LOOKUP(テーブル2[[#This Row],[持久走]],$AQ$20:$AR$29))))</f>
        <v>0</v>
      </c>
      <c r="X232" s="145">
        <f>IF(テーブル2[[#This Row],[ｼｬﾄﾙﾗﾝ]]="",0,(IF(テーブル2[[#This Row],[性別]]="男",LOOKUP(テーブル2[[#This Row],[ｼｬﾄﾙﾗﾝ]],$AS$6:$AT$15),LOOKUP(テーブル2[[#This Row],[ｼｬﾄﾙﾗﾝ]],$AS$20:$AT$29))))</f>
        <v>0</v>
      </c>
      <c r="Y232" s="145">
        <f>IF(テーブル2[[#This Row],[50m走]]="",0,(IF(テーブル2[[#This Row],[性別]]="男",LOOKUP(テーブル2[[#This Row],[50m走]],$AU$6:$AV$15),LOOKUP(テーブル2[[#This Row],[50m走]],$AU$20:$AV$29))))</f>
        <v>0</v>
      </c>
      <c r="Z232" s="145">
        <f>IF(テーブル2[[#This Row],[立幅とび]]="",0,(IF(テーブル2[[#This Row],[性別]]="男",LOOKUP(テーブル2[[#This Row],[立幅とび]],$AW$6:$AX$15),LOOKUP(テーブル2[[#This Row],[立幅とび]],$AW$20:$AX$29))))</f>
        <v>0</v>
      </c>
      <c r="AA232" s="145">
        <f>IF(テーブル2[[#This Row],[ボール投げ]]="",0,(IF(テーブル2[[#This Row],[性別]]="男",LOOKUP(テーブル2[[#This Row],[ボール投げ]],$AY$6:$AZ$15),LOOKUP(テーブル2[[#This Row],[ボール投げ]],$AY$20:$AZ$29))))</f>
        <v>0</v>
      </c>
      <c r="AB232" s="146" t="str">
        <f>IF(テーブル2[[#This Row],[学年]]=1,12,IF(テーブル2[[#This Row],[学年]]=2,13,IF(テーブル2[[#This Row],[学年]]=3,14,"")))</f>
        <v/>
      </c>
      <c r="AC232" s="192" t="str">
        <f>IF(テーブル2[[#This Row],[肥満度数値]]=0,"",LOOKUP(AE232,$AW$39:$AW$44,$AX$39:$AX$44))</f>
        <v/>
      </c>
      <c r="AD23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2" s="77">
        <f>IF(テーブル2[[#This Row],[体重]]="",0,(テーブル2[[#This Row],[体重]]-テーブル2[[#This Row],[標準体重]])/テーブル2[[#This Row],[標準体重]]*100)</f>
        <v>0</v>
      </c>
      <c r="AF232" s="26">
        <f>COUNTA(テーブル2[[#This Row],[握力]:[ボール投げ]])</f>
        <v>0</v>
      </c>
      <c r="AG232" s="1" t="str">
        <f>IF(テーブル2[[#This Row],[判定]]=$BE$10,"○","")</f>
        <v/>
      </c>
      <c r="AH232" s="1" t="str">
        <f>IF(AG232="","",COUNTIF($AG$6:AG232,"○"))</f>
        <v/>
      </c>
    </row>
    <row r="233" spans="1:34" ht="14.25" customHeight="1" x14ac:dyDescent="0.15">
      <c r="A233" s="44">
        <v>228</v>
      </c>
      <c r="B233" s="148"/>
      <c r="C233" s="151"/>
      <c r="D233" s="148"/>
      <c r="E233" s="152"/>
      <c r="F233" s="148"/>
      <c r="G233" s="148"/>
      <c r="H233" s="150"/>
      <c r="I233" s="150"/>
      <c r="J233" s="151"/>
      <c r="K233" s="148"/>
      <c r="L233" s="196"/>
      <c r="M233" s="151"/>
      <c r="N233" s="197"/>
      <c r="O233" s="151"/>
      <c r="P233" s="153"/>
      <c r="Q23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3" s="144" t="str">
        <f>IF(テーブル2[[#This Row],[得点]]=0,"",IF(テーブル2[[#This Row],[年齢]]=17,LOOKUP(Q233,$BH$6:$BH$10,$BE$6:$BE$10),IF(テーブル2[[#This Row],[年齢]]=16,LOOKUP(Q233,$BG$6:$BG$10,$BE$6:$BE$10),IF(テーブル2[[#This Row],[年齢]]=15,LOOKUP(Q233,$BF$6:$BF$10,$BE$6:$BE$10),IF(テーブル2[[#This Row],[年齢]]=14,LOOKUP(Q233,$BD$6:$BD$10,$BE$6:$BE$10),IF(テーブル2[[#This Row],[年齢]]=13,LOOKUP(Q233,$BC$6:$BC$10,$BE$6:$BE$10),LOOKUP(Q233,$BB$6:$BB$10,$BE$6:$BE$10)))))))</f>
        <v/>
      </c>
      <c r="S233" s="145">
        <f>IF(H233="",0,(IF(テーブル2[[#This Row],[性別]]="男",LOOKUP(テーブル2[[#This Row],[握力]],$AI$6:$AJ$15),LOOKUP(テーブル2[[#This Row],[握力]],$AI$20:$AJ$29))))</f>
        <v>0</v>
      </c>
      <c r="T233" s="145">
        <f>IF(テーブル2[[#This Row],[上体]]="",0,(IF(テーブル2[[#This Row],[性別]]="男",LOOKUP(テーブル2[[#This Row],[上体]],$AK$6:$AL$15),LOOKUP(テーブル2[[#This Row],[上体]],$AK$20:$AL$29))))</f>
        <v>0</v>
      </c>
      <c r="U233" s="145">
        <f>IF(テーブル2[[#This Row],[長座]]="",0,(IF(テーブル2[[#This Row],[性別]]="男",LOOKUP(テーブル2[[#This Row],[長座]],$AM$6:$AN$15),LOOKUP(テーブル2[[#This Row],[長座]],$AM$20:$AN$29))))</f>
        <v>0</v>
      </c>
      <c r="V233" s="145">
        <f>IF(テーブル2[[#This Row],[反復]]="",0,(IF(テーブル2[[#This Row],[性別]]="男",LOOKUP(テーブル2[[#This Row],[反復]],$AO$6:$AP$15),LOOKUP(テーブル2[[#This Row],[反復]],$AO$20:$AP$29))))</f>
        <v>0</v>
      </c>
      <c r="W233" s="145">
        <f>IF(テーブル2[[#This Row],[持久走]]="",0,(IF(テーブル2[[#This Row],[性別]]="男",LOOKUP(テーブル2[[#This Row],[持久走]],$AQ$6:$AR$15),LOOKUP(テーブル2[[#This Row],[持久走]],$AQ$20:$AR$29))))</f>
        <v>0</v>
      </c>
      <c r="X233" s="145">
        <f>IF(テーブル2[[#This Row],[ｼｬﾄﾙﾗﾝ]]="",0,(IF(テーブル2[[#This Row],[性別]]="男",LOOKUP(テーブル2[[#This Row],[ｼｬﾄﾙﾗﾝ]],$AS$6:$AT$15),LOOKUP(テーブル2[[#This Row],[ｼｬﾄﾙﾗﾝ]],$AS$20:$AT$29))))</f>
        <v>0</v>
      </c>
      <c r="Y233" s="145">
        <f>IF(テーブル2[[#This Row],[50m走]]="",0,(IF(テーブル2[[#This Row],[性別]]="男",LOOKUP(テーブル2[[#This Row],[50m走]],$AU$6:$AV$15),LOOKUP(テーブル2[[#This Row],[50m走]],$AU$20:$AV$29))))</f>
        <v>0</v>
      </c>
      <c r="Z233" s="145">
        <f>IF(テーブル2[[#This Row],[立幅とび]]="",0,(IF(テーブル2[[#This Row],[性別]]="男",LOOKUP(テーブル2[[#This Row],[立幅とび]],$AW$6:$AX$15),LOOKUP(テーブル2[[#This Row],[立幅とび]],$AW$20:$AX$29))))</f>
        <v>0</v>
      </c>
      <c r="AA233" s="145">
        <f>IF(テーブル2[[#This Row],[ボール投げ]]="",0,(IF(テーブル2[[#This Row],[性別]]="男",LOOKUP(テーブル2[[#This Row],[ボール投げ]],$AY$6:$AZ$15),LOOKUP(テーブル2[[#This Row],[ボール投げ]],$AY$20:$AZ$29))))</f>
        <v>0</v>
      </c>
      <c r="AB233" s="146" t="str">
        <f>IF(テーブル2[[#This Row],[学年]]=1,12,IF(テーブル2[[#This Row],[学年]]=2,13,IF(テーブル2[[#This Row],[学年]]=3,14,"")))</f>
        <v/>
      </c>
      <c r="AC233" s="192" t="str">
        <f>IF(テーブル2[[#This Row],[肥満度数値]]=0,"",LOOKUP(AE233,$AW$39:$AW$44,$AX$39:$AX$44))</f>
        <v/>
      </c>
      <c r="AD23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3" s="77">
        <f>IF(テーブル2[[#This Row],[体重]]="",0,(テーブル2[[#This Row],[体重]]-テーブル2[[#This Row],[標準体重]])/テーブル2[[#This Row],[標準体重]]*100)</f>
        <v>0</v>
      </c>
      <c r="AF233" s="26">
        <f>COUNTA(テーブル2[[#This Row],[握力]:[ボール投げ]])</f>
        <v>0</v>
      </c>
      <c r="AG233" s="1" t="str">
        <f>IF(テーブル2[[#This Row],[判定]]=$BE$10,"○","")</f>
        <v/>
      </c>
      <c r="AH233" s="1" t="str">
        <f>IF(AG233="","",COUNTIF($AG$6:AG233,"○"))</f>
        <v/>
      </c>
    </row>
    <row r="234" spans="1:34" ht="14.25" customHeight="1" x14ac:dyDescent="0.15">
      <c r="A234" s="44">
        <v>229</v>
      </c>
      <c r="B234" s="148"/>
      <c r="C234" s="151"/>
      <c r="D234" s="148"/>
      <c r="E234" s="152"/>
      <c r="F234" s="148"/>
      <c r="G234" s="148"/>
      <c r="H234" s="150"/>
      <c r="I234" s="150"/>
      <c r="J234" s="151"/>
      <c r="K234" s="148"/>
      <c r="L234" s="196"/>
      <c r="M234" s="151"/>
      <c r="N234" s="197"/>
      <c r="O234" s="151"/>
      <c r="P234" s="153"/>
      <c r="Q23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4" s="144" t="str">
        <f>IF(テーブル2[[#This Row],[得点]]=0,"",IF(テーブル2[[#This Row],[年齢]]=17,LOOKUP(Q234,$BH$6:$BH$10,$BE$6:$BE$10),IF(テーブル2[[#This Row],[年齢]]=16,LOOKUP(Q234,$BG$6:$BG$10,$BE$6:$BE$10),IF(テーブル2[[#This Row],[年齢]]=15,LOOKUP(Q234,$BF$6:$BF$10,$BE$6:$BE$10),IF(テーブル2[[#This Row],[年齢]]=14,LOOKUP(Q234,$BD$6:$BD$10,$BE$6:$BE$10),IF(テーブル2[[#This Row],[年齢]]=13,LOOKUP(Q234,$BC$6:$BC$10,$BE$6:$BE$10),LOOKUP(Q234,$BB$6:$BB$10,$BE$6:$BE$10)))))))</f>
        <v/>
      </c>
      <c r="S234" s="145">
        <f>IF(H234="",0,(IF(テーブル2[[#This Row],[性別]]="男",LOOKUP(テーブル2[[#This Row],[握力]],$AI$6:$AJ$15),LOOKUP(テーブル2[[#This Row],[握力]],$AI$20:$AJ$29))))</f>
        <v>0</v>
      </c>
      <c r="T234" s="145">
        <f>IF(テーブル2[[#This Row],[上体]]="",0,(IF(テーブル2[[#This Row],[性別]]="男",LOOKUP(テーブル2[[#This Row],[上体]],$AK$6:$AL$15),LOOKUP(テーブル2[[#This Row],[上体]],$AK$20:$AL$29))))</f>
        <v>0</v>
      </c>
      <c r="U234" s="145">
        <f>IF(テーブル2[[#This Row],[長座]]="",0,(IF(テーブル2[[#This Row],[性別]]="男",LOOKUP(テーブル2[[#This Row],[長座]],$AM$6:$AN$15),LOOKUP(テーブル2[[#This Row],[長座]],$AM$20:$AN$29))))</f>
        <v>0</v>
      </c>
      <c r="V234" s="145">
        <f>IF(テーブル2[[#This Row],[反復]]="",0,(IF(テーブル2[[#This Row],[性別]]="男",LOOKUP(テーブル2[[#This Row],[反復]],$AO$6:$AP$15),LOOKUP(テーブル2[[#This Row],[反復]],$AO$20:$AP$29))))</f>
        <v>0</v>
      </c>
      <c r="W234" s="145">
        <f>IF(テーブル2[[#This Row],[持久走]]="",0,(IF(テーブル2[[#This Row],[性別]]="男",LOOKUP(テーブル2[[#This Row],[持久走]],$AQ$6:$AR$15),LOOKUP(テーブル2[[#This Row],[持久走]],$AQ$20:$AR$29))))</f>
        <v>0</v>
      </c>
      <c r="X234" s="145">
        <f>IF(テーブル2[[#This Row],[ｼｬﾄﾙﾗﾝ]]="",0,(IF(テーブル2[[#This Row],[性別]]="男",LOOKUP(テーブル2[[#This Row],[ｼｬﾄﾙﾗﾝ]],$AS$6:$AT$15),LOOKUP(テーブル2[[#This Row],[ｼｬﾄﾙﾗﾝ]],$AS$20:$AT$29))))</f>
        <v>0</v>
      </c>
      <c r="Y234" s="145">
        <f>IF(テーブル2[[#This Row],[50m走]]="",0,(IF(テーブル2[[#This Row],[性別]]="男",LOOKUP(テーブル2[[#This Row],[50m走]],$AU$6:$AV$15),LOOKUP(テーブル2[[#This Row],[50m走]],$AU$20:$AV$29))))</f>
        <v>0</v>
      </c>
      <c r="Z234" s="145">
        <f>IF(テーブル2[[#This Row],[立幅とび]]="",0,(IF(テーブル2[[#This Row],[性別]]="男",LOOKUP(テーブル2[[#This Row],[立幅とび]],$AW$6:$AX$15),LOOKUP(テーブル2[[#This Row],[立幅とび]],$AW$20:$AX$29))))</f>
        <v>0</v>
      </c>
      <c r="AA234" s="145">
        <f>IF(テーブル2[[#This Row],[ボール投げ]]="",0,(IF(テーブル2[[#This Row],[性別]]="男",LOOKUP(テーブル2[[#This Row],[ボール投げ]],$AY$6:$AZ$15),LOOKUP(テーブル2[[#This Row],[ボール投げ]],$AY$20:$AZ$29))))</f>
        <v>0</v>
      </c>
      <c r="AB234" s="146" t="str">
        <f>IF(テーブル2[[#This Row],[学年]]=1,12,IF(テーブル2[[#This Row],[学年]]=2,13,IF(テーブル2[[#This Row],[学年]]=3,14,"")))</f>
        <v/>
      </c>
      <c r="AC234" s="192" t="str">
        <f>IF(テーブル2[[#This Row],[肥満度数値]]=0,"",LOOKUP(AE234,$AW$39:$AW$44,$AX$39:$AX$44))</f>
        <v/>
      </c>
      <c r="AD23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4" s="77">
        <f>IF(テーブル2[[#This Row],[体重]]="",0,(テーブル2[[#This Row],[体重]]-テーブル2[[#This Row],[標準体重]])/テーブル2[[#This Row],[標準体重]]*100)</f>
        <v>0</v>
      </c>
      <c r="AF234" s="26">
        <f>COUNTA(テーブル2[[#This Row],[握力]:[ボール投げ]])</f>
        <v>0</v>
      </c>
      <c r="AG234" s="1" t="str">
        <f>IF(テーブル2[[#This Row],[判定]]=$BE$10,"○","")</f>
        <v/>
      </c>
      <c r="AH234" s="1" t="str">
        <f>IF(AG234="","",COUNTIF($AG$6:AG234,"○"))</f>
        <v/>
      </c>
    </row>
    <row r="235" spans="1:34" ht="14.25" customHeight="1" x14ac:dyDescent="0.15">
      <c r="A235" s="44">
        <v>230</v>
      </c>
      <c r="B235" s="148"/>
      <c r="C235" s="151"/>
      <c r="D235" s="148"/>
      <c r="E235" s="152"/>
      <c r="F235" s="148"/>
      <c r="G235" s="148"/>
      <c r="H235" s="150"/>
      <c r="I235" s="150"/>
      <c r="J235" s="151"/>
      <c r="K235" s="148"/>
      <c r="L235" s="196"/>
      <c r="M235" s="151"/>
      <c r="N235" s="197"/>
      <c r="O235" s="151"/>
      <c r="P235" s="153"/>
      <c r="Q23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5" s="144" t="str">
        <f>IF(テーブル2[[#This Row],[得点]]=0,"",IF(テーブル2[[#This Row],[年齢]]=17,LOOKUP(Q235,$BH$6:$BH$10,$BE$6:$BE$10),IF(テーブル2[[#This Row],[年齢]]=16,LOOKUP(Q235,$BG$6:$BG$10,$BE$6:$BE$10),IF(テーブル2[[#This Row],[年齢]]=15,LOOKUP(Q235,$BF$6:$BF$10,$BE$6:$BE$10),IF(テーブル2[[#This Row],[年齢]]=14,LOOKUP(Q235,$BD$6:$BD$10,$BE$6:$BE$10),IF(テーブル2[[#This Row],[年齢]]=13,LOOKUP(Q235,$BC$6:$BC$10,$BE$6:$BE$10),LOOKUP(Q235,$BB$6:$BB$10,$BE$6:$BE$10)))))))</f>
        <v/>
      </c>
      <c r="S235" s="145">
        <f>IF(H235="",0,(IF(テーブル2[[#This Row],[性別]]="男",LOOKUP(テーブル2[[#This Row],[握力]],$AI$6:$AJ$15),LOOKUP(テーブル2[[#This Row],[握力]],$AI$20:$AJ$29))))</f>
        <v>0</v>
      </c>
      <c r="T235" s="145">
        <f>IF(テーブル2[[#This Row],[上体]]="",0,(IF(テーブル2[[#This Row],[性別]]="男",LOOKUP(テーブル2[[#This Row],[上体]],$AK$6:$AL$15),LOOKUP(テーブル2[[#This Row],[上体]],$AK$20:$AL$29))))</f>
        <v>0</v>
      </c>
      <c r="U235" s="145">
        <f>IF(テーブル2[[#This Row],[長座]]="",0,(IF(テーブル2[[#This Row],[性別]]="男",LOOKUP(テーブル2[[#This Row],[長座]],$AM$6:$AN$15),LOOKUP(テーブル2[[#This Row],[長座]],$AM$20:$AN$29))))</f>
        <v>0</v>
      </c>
      <c r="V235" s="145">
        <f>IF(テーブル2[[#This Row],[反復]]="",0,(IF(テーブル2[[#This Row],[性別]]="男",LOOKUP(テーブル2[[#This Row],[反復]],$AO$6:$AP$15),LOOKUP(テーブル2[[#This Row],[反復]],$AO$20:$AP$29))))</f>
        <v>0</v>
      </c>
      <c r="W235" s="145">
        <f>IF(テーブル2[[#This Row],[持久走]]="",0,(IF(テーブル2[[#This Row],[性別]]="男",LOOKUP(テーブル2[[#This Row],[持久走]],$AQ$6:$AR$15),LOOKUP(テーブル2[[#This Row],[持久走]],$AQ$20:$AR$29))))</f>
        <v>0</v>
      </c>
      <c r="X235" s="145">
        <f>IF(テーブル2[[#This Row],[ｼｬﾄﾙﾗﾝ]]="",0,(IF(テーブル2[[#This Row],[性別]]="男",LOOKUP(テーブル2[[#This Row],[ｼｬﾄﾙﾗﾝ]],$AS$6:$AT$15),LOOKUP(テーブル2[[#This Row],[ｼｬﾄﾙﾗﾝ]],$AS$20:$AT$29))))</f>
        <v>0</v>
      </c>
      <c r="Y235" s="145">
        <f>IF(テーブル2[[#This Row],[50m走]]="",0,(IF(テーブル2[[#This Row],[性別]]="男",LOOKUP(テーブル2[[#This Row],[50m走]],$AU$6:$AV$15),LOOKUP(テーブル2[[#This Row],[50m走]],$AU$20:$AV$29))))</f>
        <v>0</v>
      </c>
      <c r="Z235" s="145">
        <f>IF(テーブル2[[#This Row],[立幅とび]]="",0,(IF(テーブル2[[#This Row],[性別]]="男",LOOKUP(テーブル2[[#This Row],[立幅とび]],$AW$6:$AX$15),LOOKUP(テーブル2[[#This Row],[立幅とび]],$AW$20:$AX$29))))</f>
        <v>0</v>
      </c>
      <c r="AA235" s="145">
        <f>IF(テーブル2[[#This Row],[ボール投げ]]="",0,(IF(テーブル2[[#This Row],[性別]]="男",LOOKUP(テーブル2[[#This Row],[ボール投げ]],$AY$6:$AZ$15),LOOKUP(テーブル2[[#This Row],[ボール投げ]],$AY$20:$AZ$29))))</f>
        <v>0</v>
      </c>
      <c r="AB235" s="146" t="str">
        <f>IF(テーブル2[[#This Row],[学年]]=1,12,IF(テーブル2[[#This Row],[学年]]=2,13,IF(テーブル2[[#This Row],[学年]]=3,14,"")))</f>
        <v/>
      </c>
      <c r="AC235" s="192" t="str">
        <f>IF(テーブル2[[#This Row],[肥満度数値]]=0,"",LOOKUP(AE235,$AW$39:$AW$44,$AX$39:$AX$44))</f>
        <v/>
      </c>
      <c r="AD23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5" s="77">
        <f>IF(テーブル2[[#This Row],[体重]]="",0,(テーブル2[[#This Row],[体重]]-テーブル2[[#This Row],[標準体重]])/テーブル2[[#This Row],[標準体重]]*100)</f>
        <v>0</v>
      </c>
      <c r="AF235" s="26">
        <f>COUNTA(テーブル2[[#This Row],[握力]:[ボール投げ]])</f>
        <v>0</v>
      </c>
      <c r="AG235" s="1" t="str">
        <f>IF(テーブル2[[#This Row],[判定]]=$BE$10,"○","")</f>
        <v/>
      </c>
      <c r="AH235" s="1" t="str">
        <f>IF(AG235="","",COUNTIF($AG$6:AG235,"○"))</f>
        <v/>
      </c>
    </row>
    <row r="236" spans="1:34" ht="14.25" customHeight="1" x14ac:dyDescent="0.15">
      <c r="A236" s="44">
        <v>231</v>
      </c>
      <c r="B236" s="148"/>
      <c r="C236" s="151"/>
      <c r="D236" s="148"/>
      <c r="E236" s="152"/>
      <c r="F236" s="148"/>
      <c r="G236" s="148"/>
      <c r="H236" s="150"/>
      <c r="I236" s="150"/>
      <c r="J236" s="151"/>
      <c r="K236" s="148"/>
      <c r="L236" s="196"/>
      <c r="M236" s="151"/>
      <c r="N236" s="197"/>
      <c r="O236" s="151"/>
      <c r="P236" s="153"/>
      <c r="Q23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6" s="144" t="str">
        <f>IF(テーブル2[[#This Row],[得点]]=0,"",IF(テーブル2[[#This Row],[年齢]]=17,LOOKUP(Q236,$BH$6:$BH$10,$BE$6:$BE$10),IF(テーブル2[[#This Row],[年齢]]=16,LOOKUP(Q236,$BG$6:$BG$10,$BE$6:$BE$10),IF(テーブル2[[#This Row],[年齢]]=15,LOOKUP(Q236,$BF$6:$BF$10,$BE$6:$BE$10),IF(テーブル2[[#This Row],[年齢]]=14,LOOKUP(Q236,$BD$6:$BD$10,$BE$6:$BE$10),IF(テーブル2[[#This Row],[年齢]]=13,LOOKUP(Q236,$BC$6:$BC$10,$BE$6:$BE$10),LOOKUP(Q236,$BB$6:$BB$10,$BE$6:$BE$10)))))))</f>
        <v/>
      </c>
      <c r="S236" s="145">
        <f>IF(H236="",0,(IF(テーブル2[[#This Row],[性別]]="男",LOOKUP(テーブル2[[#This Row],[握力]],$AI$6:$AJ$15),LOOKUP(テーブル2[[#This Row],[握力]],$AI$20:$AJ$29))))</f>
        <v>0</v>
      </c>
      <c r="T236" s="145">
        <f>IF(テーブル2[[#This Row],[上体]]="",0,(IF(テーブル2[[#This Row],[性別]]="男",LOOKUP(テーブル2[[#This Row],[上体]],$AK$6:$AL$15),LOOKUP(テーブル2[[#This Row],[上体]],$AK$20:$AL$29))))</f>
        <v>0</v>
      </c>
      <c r="U236" s="145">
        <f>IF(テーブル2[[#This Row],[長座]]="",0,(IF(テーブル2[[#This Row],[性別]]="男",LOOKUP(テーブル2[[#This Row],[長座]],$AM$6:$AN$15),LOOKUP(テーブル2[[#This Row],[長座]],$AM$20:$AN$29))))</f>
        <v>0</v>
      </c>
      <c r="V236" s="145">
        <f>IF(テーブル2[[#This Row],[反復]]="",0,(IF(テーブル2[[#This Row],[性別]]="男",LOOKUP(テーブル2[[#This Row],[反復]],$AO$6:$AP$15),LOOKUP(テーブル2[[#This Row],[反復]],$AO$20:$AP$29))))</f>
        <v>0</v>
      </c>
      <c r="W236" s="145">
        <f>IF(テーブル2[[#This Row],[持久走]]="",0,(IF(テーブル2[[#This Row],[性別]]="男",LOOKUP(テーブル2[[#This Row],[持久走]],$AQ$6:$AR$15),LOOKUP(テーブル2[[#This Row],[持久走]],$AQ$20:$AR$29))))</f>
        <v>0</v>
      </c>
      <c r="X236" s="145">
        <f>IF(テーブル2[[#This Row],[ｼｬﾄﾙﾗﾝ]]="",0,(IF(テーブル2[[#This Row],[性別]]="男",LOOKUP(テーブル2[[#This Row],[ｼｬﾄﾙﾗﾝ]],$AS$6:$AT$15),LOOKUP(テーブル2[[#This Row],[ｼｬﾄﾙﾗﾝ]],$AS$20:$AT$29))))</f>
        <v>0</v>
      </c>
      <c r="Y236" s="145">
        <f>IF(テーブル2[[#This Row],[50m走]]="",0,(IF(テーブル2[[#This Row],[性別]]="男",LOOKUP(テーブル2[[#This Row],[50m走]],$AU$6:$AV$15),LOOKUP(テーブル2[[#This Row],[50m走]],$AU$20:$AV$29))))</f>
        <v>0</v>
      </c>
      <c r="Z236" s="145">
        <f>IF(テーブル2[[#This Row],[立幅とび]]="",0,(IF(テーブル2[[#This Row],[性別]]="男",LOOKUP(テーブル2[[#This Row],[立幅とび]],$AW$6:$AX$15),LOOKUP(テーブル2[[#This Row],[立幅とび]],$AW$20:$AX$29))))</f>
        <v>0</v>
      </c>
      <c r="AA236" s="145">
        <f>IF(テーブル2[[#This Row],[ボール投げ]]="",0,(IF(テーブル2[[#This Row],[性別]]="男",LOOKUP(テーブル2[[#This Row],[ボール投げ]],$AY$6:$AZ$15),LOOKUP(テーブル2[[#This Row],[ボール投げ]],$AY$20:$AZ$29))))</f>
        <v>0</v>
      </c>
      <c r="AB236" s="146" t="str">
        <f>IF(テーブル2[[#This Row],[学年]]=1,12,IF(テーブル2[[#This Row],[学年]]=2,13,IF(テーブル2[[#This Row],[学年]]=3,14,"")))</f>
        <v/>
      </c>
      <c r="AC236" s="192" t="str">
        <f>IF(テーブル2[[#This Row],[肥満度数値]]=0,"",LOOKUP(AE236,$AW$39:$AW$44,$AX$39:$AX$44))</f>
        <v/>
      </c>
      <c r="AD23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6" s="77">
        <f>IF(テーブル2[[#This Row],[体重]]="",0,(テーブル2[[#This Row],[体重]]-テーブル2[[#This Row],[標準体重]])/テーブル2[[#This Row],[標準体重]]*100)</f>
        <v>0</v>
      </c>
      <c r="AF236" s="26">
        <f>COUNTA(テーブル2[[#This Row],[握力]:[ボール投げ]])</f>
        <v>0</v>
      </c>
      <c r="AG236" s="1" t="str">
        <f>IF(テーブル2[[#This Row],[判定]]=$BE$10,"○","")</f>
        <v/>
      </c>
      <c r="AH236" s="1" t="str">
        <f>IF(AG236="","",COUNTIF($AG$6:AG236,"○"))</f>
        <v/>
      </c>
    </row>
    <row r="237" spans="1:34" ht="14.25" customHeight="1" x14ac:dyDescent="0.15">
      <c r="A237" s="44">
        <v>232</v>
      </c>
      <c r="B237" s="148"/>
      <c r="C237" s="151"/>
      <c r="D237" s="148"/>
      <c r="E237" s="152"/>
      <c r="F237" s="148"/>
      <c r="G237" s="148"/>
      <c r="H237" s="150"/>
      <c r="I237" s="150"/>
      <c r="J237" s="151"/>
      <c r="K237" s="148"/>
      <c r="L237" s="196"/>
      <c r="M237" s="151"/>
      <c r="N237" s="197"/>
      <c r="O237" s="151"/>
      <c r="P237" s="153"/>
      <c r="Q23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7" s="144" t="str">
        <f>IF(テーブル2[[#This Row],[得点]]=0,"",IF(テーブル2[[#This Row],[年齢]]=17,LOOKUP(Q237,$BH$6:$BH$10,$BE$6:$BE$10),IF(テーブル2[[#This Row],[年齢]]=16,LOOKUP(Q237,$BG$6:$BG$10,$BE$6:$BE$10),IF(テーブル2[[#This Row],[年齢]]=15,LOOKUP(Q237,$BF$6:$BF$10,$BE$6:$BE$10),IF(テーブル2[[#This Row],[年齢]]=14,LOOKUP(Q237,$BD$6:$BD$10,$BE$6:$BE$10),IF(テーブル2[[#This Row],[年齢]]=13,LOOKUP(Q237,$BC$6:$BC$10,$BE$6:$BE$10),LOOKUP(Q237,$BB$6:$BB$10,$BE$6:$BE$10)))))))</f>
        <v/>
      </c>
      <c r="S237" s="145">
        <f>IF(H237="",0,(IF(テーブル2[[#This Row],[性別]]="男",LOOKUP(テーブル2[[#This Row],[握力]],$AI$6:$AJ$15),LOOKUP(テーブル2[[#This Row],[握力]],$AI$20:$AJ$29))))</f>
        <v>0</v>
      </c>
      <c r="T237" s="145">
        <f>IF(テーブル2[[#This Row],[上体]]="",0,(IF(テーブル2[[#This Row],[性別]]="男",LOOKUP(テーブル2[[#This Row],[上体]],$AK$6:$AL$15),LOOKUP(テーブル2[[#This Row],[上体]],$AK$20:$AL$29))))</f>
        <v>0</v>
      </c>
      <c r="U237" s="145">
        <f>IF(テーブル2[[#This Row],[長座]]="",0,(IF(テーブル2[[#This Row],[性別]]="男",LOOKUP(テーブル2[[#This Row],[長座]],$AM$6:$AN$15),LOOKUP(テーブル2[[#This Row],[長座]],$AM$20:$AN$29))))</f>
        <v>0</v>
      </c>
      <c r="V237" s="145">
        <f>IF(テーブル2[[#This Row],[反復]]="",0,(IF(テーブル2[[#This Row],[性別]]="男",LOOKUP(テーブル2[[#This Row],[反復]],$AO$6:$AP$15),LOOKUP(テーブル2[[#This Row],[反復]],$AO$20:$AP$29))))</f>
        <v>0</v>
      </c>
      <c r="W237" s="145">
        <f>IF(テーブル2[[#This Row],[持久走]]="",0,(IF(テーブル2[[#This Row],[性別]]="男",LOOKUP(テーブル2[[#This Row],[持久走]],$AQ$6:$AR$15),LOOKUP(テーブル2[[#This Row],[持久走]],$AQ$20:$AR$29))))</f>
        <v>0</v>
      </c>
      <c r="X237" s="145">
        <f>IF(テーブル2[[#This Row],[ｼｬﾄﾙﾗﾝ]]="",0,(IF(テーブル2[[#This Row],[性別]]="男",LOOKUP(テーブル2[[#This Row],[ｼｬﾄﾙﾗﾝ]],$AS$6:$AT$15),LOOKUP(テーブル2[[#This Row],[ｼｬﾄﾙﾗﾝ]],$AS$20:$AT$29))))</f>
        <v>0</v>
      </c>
      <c r="Y237" s="145">
        <f>IF(テーブル2[[#This Row],[50m走]]="",0,(IF(テーブル2[[#This Row],[性別]]="男",LOOKUP(テーブル2[[#This Row],[50m走]],$AU$6:$AV$15),LOOKUP(テーブル2[[#This Row],[50m走]],$AU$20:$AV$29))))</f>
        <v>0</v>
      </c>
      <c r="Z237" s="145">
        <f>IF(テーブル2[[#This Row],[立幅とび]]="",0,(IF(テーブル2[[#This Row],[性別]]="男",LOOKUP(テーブル2[[#This Row],[立幅とび]],$AW$6:$AX$15),LOOKUP(テーブル2[[#This Row],[立幅とび]],$AW$20:$AX$29))))</f>
        <v>0</v>
      </c>
      <c r="AA237" s="145">
        <f>IF(テーブル2[[#This Row],[ボール投げ]]="",0,(IF(テーブル2[[#This Row],[性別]]="男",LOOKUP(テーブル2[[#This Row],[ボール投げ]],$AY$6:$AZ$15),LOOKUP(テーブル2[[#This Row],[ボール投げ]],$AY$20:$AZ$29))))</f>
        <v>0</v>
      </c>
      <c r="AB237" s="146" t="str">
        <f>IF(テーブル2[[#This Row],[学年]]=1,12,IF(テーブル2[[#This Row],[学年]]=2,13,IF(テーブル2[[#This Row],[学年]]=3,14,"")))</f>
        <v/>
      </c>
      <c r="AC237" s="192" t="str">
        <f>IF(テーブル2[[#This Row],[肥満度数値]]=0,"",LOOKUP(AE237,$AW$39:$AW$44,$AX$39:$AX$44))</f>
        <v/>
      </c>
      <c r="AD23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7" s="77">
        <f>IF(テーブル2[[#This Row],[体重]]="",0,(テーブル2[[#This Row],[体重]]-テーブル2[[#This Row],[標準体重]])/テーブル2[[#This Row],[標準体重]]*100)</f>
        <v>0</v>
      </c>
      <c r="AF237" s="26">
        <f>COUNTA(テーブル2[[#This Row],[握力]:[ボール投げ]])</f>
        <v>0</v>
      </c>
      <c r="AG237" s="1" t="str">
        <f>IF(テーブル2[[#This Row],[判定]]=$BE$10,"○","")</f>
        <v/>
      </c>
      <c r="AH237" s="1" t="str">
        <f>IF(AG237="","",COUNTIF($AG$6:AG237,"○"))</f>
        <v/>
      </c>
    </row>
    <row r="238" spans="1:34" ht="14.25" customHeight="1" x14ac:dyDescent="0.15">
      <c r="A238" s="44">
        <v>233</v>
      </c>
      <c r="B238" s="148"/>
      <c r="C238" s="151"/>
      <c r="D238" s="148"/>
      <c r="E238" s="152"/>
      <c r="F238" s="148"/>
      <c r="G238" s="148"/>
      <c r="H238" s="150"/>
      <c r="I238" s="150"/>
      <c r="J238" s="151"/>
      <c r="K238" s="148"/>
      <c r="L238" s="196"/>
      <c r="M238" s="151"/>
      <c r="N238" s="197"/>
      <c r="O238" s="151"/>
      <c r="P238" s="153"/>
      <c r="Q23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8" s="144" t="str">
        <f>IF(テーブル2[[#This Row],[得点]]=0,"",IF(テーブル2[[#This Row],[年齢]]=17,LOOKUP(Q238,$BH$6:$BH$10,$BE$6:$BE$10),IF(テーブル2[[#This Row],[年齢]]=16,LOOKUP(Q238,$BG$6:$BG$10,$BE$6:$BE$10),IF(テーブル2[[#This Row],[年齢]]=15,LOOKUP(Q238,$BF$6:$BF$10,$BE$6:$BE$10),IF(テーブル2[[#This Row],[年齢]]=14,LOOKUP(Q238,$BD$6:$BD$10,$BE$6:$BE$10),IF(テーブル2[[#This Row],[年齢]]=13,LOOKUP(Q238,$BC$6:$BC$10,$BE$6:$BE$10),LOOKUP(Q238,$BB$6:$BB$10,$BE$6:$BE$10)))))))</f>
        <v/>
      </c>
      <c r="S238" s="145">
        <f>IF(H238="",0,(IF(テーブル2[[#This Row],[性別]]="男",LOOKUP(テーブル2[[#This Row],[握力]],$AI$6:$AJ$15),LOOKUP(テーブル2[[#This Row],[握力]],$AI$20:$AJ$29))))</f>
        <v>0</v>
      </c>
      <c r="T238" s="145">
        <f>IF(テーブル2[[#This Row],[上体]]="",0,(IF(テーブル2[[#This Row],[性別]]="男",LOOKUP(テーブル2[[#This Row],[上体]],$AK$6:$AL$15),LOOKUP(テーブル2[[#This Row],[上体]],$AK$20:$AL$29))))</f>
        <v>0</v>
      </c>
      <c r="U238" s="145">
        <f>IF(テーブル2[[#This Row],[長座]]="",0,(IF(テーブル2[[#This Row],[性別]]="男",LOOKUP(テーブル2[[#This Row],[長座]],$AM$6:$AN$15),LOOKUP(テーブル2[[#This Row],[長座]],$AM$20:$AN$29))))</f>
        <v>0</v>
      </c>
      <c r="V238" s="145">
        <f>IF(テーブル2[[#This Row],[反復]]="",0,(IF(テーブル2[[#This Row],[性別]]="男",LOOKUP(テーブル2[[#This Row],[反復]],$AO$6:$AP$15),LOOKUP(テーブル2[[#This Row],[反復]],$AO$20:$AP$29))))</f>
        <v>0</v>
      </c>
      <c r="W238" s="145">
        <f>IF(テーブル2[[#This Row],[持久走]]="",0,(IF(テーブル2[[#This Row],[性別]]="男",LOOKUP(テーブル2[[#This Row],[持久走]],$AQ$6:$AR$15),LOOKUP(テーブル2[[#This Row],[持久走]],$AQ$20:$AR$29))))</f>
        <v>0</v>
      </c>
      <c r="X238" s="145">
        <f>IF(テーブル2[[#This Row],[ｼｬﾄﾙﾗﾝ]]="",0,(IF(テーブル2[[#This Row],[性別]]="男",LOOKUP(テーブル2[[#This Row],[ｼｬﾄﾙﾗﾝ]],$AS$6:$AT$15),LOOKUP(テーブル2[[#This Row],[ｼｬﾄﾙﾗﾝ]],$AS$20:$AT$29))))</f>
        <v>0</v>
      </c>
      <c r="Y238" s="145">
        <f>IF(テーブル2[[#This Row],[50m走]]="",0,(IF(テーブル2[[#This Row],[性別]]="男",LOOKUP(テーブル2[[#This Row],[50m走]],$AU$6:$AV$15),LOOKUP(テーブル2[[#This Row],[50m走]],$AU$20:$AV$29))))</f>
        <v>0</v>
      </c>
      <c r="Z238" s="145">
        <f>IF(テーブル2[[#This Row],[立幅とび]]="",0,(IF(テーブル2[[#This Row],[性別]]="男",LOOKUP(テーブル2[[#This Row],[立幅とび]],$AW$6:$AX$15),LOOKUP(テーブル2[[#This Row],[立幅とび]],$AW$20:$AX$29))))</f>
        <v>0</v>
      </c>
      <c r="AA238" s="145">
        <f>IF(テーブル2[[#This Row],[ボール投げ]]="",0,(IF(テーブル2[[#This Row],[性別]]="男",LOOKUP(テーブル2[[#This Row],[ボール投げ]],$AY$6:$AZ$15),LOOKUP(テーブル2[[#This Row],[ボール投げ]],$AY$20:$AZ$29))))</f>
        <v>0</v>
      </c>
      <c r="AB238" s="146" t="str">
        <f>IF(テーブル2[[#This Row],[学年]]=1,12,IF(テーブル2[[#This Row],[学年]]=2,13,IF(テーブル2[[#This Row],[学年]]=3,14,"")))</f>
        <v/>
      </c>
      <c r="AC238" s="192" t="str">
        <f>IF(テーブル2[[#This Row],[肥満度数値]]=0,"",LOOKUP(AE238,$AW$39:$AW$44,$AX$39:$AX$44))</f>
        <v/>
      </c>
      <c r="AD23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8" s="77">
        <f>IF(テーブル2[[#This Row],[体重]]="",0,(テーブル2[[#This Row],[体重]]-テーブル2[[#This Row],[標準体重]])/テーブル2[[#This Row],[標準体重]]*100)</f>
        <v>0</v>
      </c>
      <c r="AF238" s="26">
        <f>COUNTA(テーブル2[[#This Row],[握力]:[ボール投げ]])</f>
        <v>0</v>
      </c>
      <c r="AG238" s="1" t="str">
        <f>IF(テーブル2[[#This Row],[判定]]=$BE$10,"○","")</f>
        <v/>
      </c>
      <c r="AH238" s="1" t="str">
        <f>IF(AG238="","",COUNTIF($AG$6:AG238,"○"))</f>
        <v/>
      </c>
    </row>
    <row r="239" spans="1:34" ht="14.25" customHeight="1" x14ac:dyDescent="0.15">
      <c r="A239" s="44">
        <v>234</v>
      </c>
      <c r="B239" s="148"/>
      <c r="C239" s="151"/>
      <c r="D239" s="148"/>
      <c r="E239" s="152"/>
      <c r="F239" s="148"/>
      <c r="G239" s="148"/>
      <c r="H239" s="150"/>
      <c r="I239" s="150"/>
      <c r="J239" s="151"/>
      <c r="K239" s="148"/>
      <c r="L239" s="196"/>
      <c r="M239" s="151"/>
      <c r="N239" s="197"/>
      <c r="O239" s="151"/>
      <c r="P239" s="153"/>
      <c r="Q23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9" s="144" t="str">
        <f>IF(テーブル2[[#This Row],[得点]]=0,"",IF(テーブル2[[#This Row],[年齢]]=17,LOOKUP(Q239,$BH$6:$BH$10,$BE$6:$BE$10),IF(テーブル2[[#This Row],[年齢]]=16,LOOKUP(Q239,$BG$6:$BG$10,$BE$6:$BE$10),IF(テーブル2[[#This Row],[年齢]]=15,LOOKUP(Q239,$BF$6:$BF$10,$BE$6:$BE$10),IF(テーブル2[[#This Row],[年齢]]=14,LOOKUP(Q239,$BD$6:$BD$10,$BE$6:$BE$10),IF(テーブル2[[#This Row],[年齢]]=13,LOOKUP(Q239,$BC$6:$BC$10,$BE$6:$BE$10),LOOKUP(Q239,$BB$6:$BB$10,$BE$6:$BE$10)))))))</f>
        <v/>
      </c>
      <c r="S239" s="145">
        <f>IF(H239="",0,(IF(テーブル2[[#This Row],[性別]]="男",LOOKUP(テーブル2[[#This Row],[握力]],$AI$6:$AJ$15),LOOKUP(テーブル2[[#This Row],[握力]],$AI$20:$AJ$29))))</f>
        <v>0</v>
      </c>
      <c r="T239" s="145">
        <f>IF(テーブル2[[#This Row],[上体]]="",0,(IF(テーブル2[[#This Row],[性別]]="男",LOOKUP(テーブル2[[#This Row],[上体]],$AK$6:$AL$15),LOOKUP(テーブル2[[#This Row],[上体]],$AK$20:$AL$29))))</f>
        <v>0</v>
      </c>
      <c r="U239" s="145">
        <f>IF(テーブル2[[#This Row],[長座]]="",0,(IF(テーブル2[[#This Row],[性別]]="男",LOOKUP(テーブル2[[#This Row],[長座]],$AM$6:$AN$15),LOOKUP(テーブル2[[#This Row],[長座]],$AM$20:$AN$29))))</f>
        <v>0</v>
      </c>
      <c r="V239" s="145">
        <f>IF(テーブル2[[#This Row],[反復]]="",0,(IF(テーブル2[[#This Row],[性別]]="男",LOOKUP(テーブル2[[#This Row],[反復]],$AO$6:$AP$15),LOOKUP(テーブル2[[#This Row],[反復]],$AO$20:$AP$29))))</f>
        <v>0</v>
      </c>
      <c r="W239" s="145">
        <f>IF(テーブル2[[#This Row],[持久走]]="",0,(IF(テーブル2[[#This Row],[性別]]="男",LOOKUP(テーブル2[[#This Row],[持久走]],$AQ$6:$AR$15),LOOKUP(テーブル2[[#This Row],[持久走]],$AQ$20:$AR$29))))</f>
        <v>0</v>
      </c>
      <c r="X239" s="145">
        <f>IF(テーブル2[[#This Row],[ｼｬﾄﾙﾗﾝ]]="",0,(IF(テーブル2[[#This Row],[性別]]="男",LOOKUP(テーブル2[[#This Row],[ｼｬﾄﾙﾗﾝ]],$AS$6:$AT$15),LOOKUP(テーブル2[[#This Row],[ｼｬﾄﾙﾗﾝ]],$AS$20:$AT$29))))</f>
        <v>0</v>
      </c>
      <c r="Y239" s="145">
        <f>IF(テーブル2[[#This Row],[50m走]]="",0,(IF(テーブル2[[#This Row],[性別]]="男",LOOKUP(テーブル2[[#This Row],[50m走]],$AU$6:$AV$15),LOOKUP(テーブル2[[#This Row],[50m走]],$AU$20:$AV$29))))</f>
        <v>0</v>
      </c>
      <c r="Z239" s="145">
        <f>IF(テーブル2[[#This Row],[立幅とび]]="",0,(IF(テーブル2[[#This Row],[性別]]="男",LOOKUP(テーブル2[[#This Row],[立幅とび]],$AW$6:$AX$15),LOOKUP(テーブル2[[#This Row],[立幅とび]],$AW$20:$AX$29))))</f>
        <v>0</v>
      </c>
      <c r="AA239" s="145">
        <f>IF(テーブル2[[#This Row],[ボール投げ]]="",0,(IF(テーブル2[[#This Row],[性別]]="男",LOOKUP(テーブル2[[#This Row],[ボール投げ]],$AY$6:$AZ$15),LOOKUP(テーブル2[[#This Row],[ボール投げ]],$AY$20:$AZ$29))))</f>
        <v>0</v>
      </c>
      <c r="AB239" s="146" t="str">
        <f>IF(テーブル2[[#This Row],[学年]]=1,12,IF(テーブル2[[#This Row],[学年]]=2,13,IF(テーブル2[[#This Row],[学年]]=3,14,"")))</f>
        <v/>
      </c>
      <c r="AC239" s="192" t="str">
        <f>IF(テーブル2[[#This Row],[肥満度数値]]=0,"",LOOKUP(AE239,$AW$39:$AW$44,$AX$39:$AX$44))</f>
        <v/>
      </c>
      <c r="AD23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39" s="77">
        <f>IF(テーブル2[[#This Row],[体重]]="",0,(テーブル2[[#This Row],[体重]]-テーブル2[[#This Row],[標準体重]])/テーブル2[[#This Row],[標準体重]]*100)</f>
        <v>0</v>
      </c>
      <c r="AF239" s="26">
        <f>COUNTA(テーブル2[[#This Row],[握力]:[ボール投げ]])</f>
        <v>0</v>
      </c>
      <c r="AG239" s="1" t="str">
        <f>IF(テーブル2[[#This Row],[判定]]=$BE$10,"○","")</f>
        <v/>
      </c>
      <c r="AH239" s="1" t="str">
        <f>IF(AG239="","",COUNTIF($AG$6:AG239,"○"))</f>
        <v/>
      </c>
    </row>
    <row r="240" spans="1:34" ht="14.25" customHeight="1" x14ac:dyDescent="0.15">
      <c r="A240" s="44">
        <v>235</v>
      </c>
      <c r="B240" s="148"/>
      <c r="C240" s="151"/>
      <c r="D240" s="148"/>
      <c r="E240" s="152"/>
      <c r="F240" s="148"/>
      <c r="G240" s="148"/>
      <c r="H240" s="150"/>
      <c r="I240" s="150"/>
      <c r="J240" s="151"/>
      <c r="K240" s="148"/>
      <c r="L240" s="196"/>
      <c r="M240" s="151"/>
      <c r="N240" s="197"/>
      <c r="O240" s="151"/>
      <c r="P240" s="153"/>
      <c r="Q24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0" s="144" t="str">
        <f>IF(テーブル2[[#This Row],[得点]]=0,"",IF(テーブル2[[#This Row],[年齢]]=17,LOOKUP(Q240,$BH$6:$BH$10,$BE$6:$BE$10),IF(テーブル2[[#This Row],[年齢]]=16,LOOKUP(Q240,$BG$6:$BG$10,$BE$6:$BE$10),IF(テーブル2[[#This Row],[年齢]]=15,LOOKUP(Q240,$BF$6:$BF$10,$BE$6:$BE$10),IF(テーブル2[[#This Row],[年齢]]=14,LOOKUP(Q240,$BD$6:$BD$10,$BE$6:$BE$10),IF(テーブル2[[#This Row],[年齢]]=13,LOOKUP(Q240,$BC$6:$BC$10,$BE$6:$BE$10),LOOKUP(Q240,$BB$6:$BB$10,$BE$6:$BE$10)))))))</f>
        <v/>
      </c>
      <c r="S240" s="145">
        <f>IF(H240="",0,(IF(テーブル2[[#This Row],[性別]]="男",LOOKUP(テーブル2[[#This Row],[握力]],$AI$6:$AJ$15),LOOKUP(テーブル2[[#This Row],[握力]],$AI$20:$AJ$29))))</f>
        <v>0</v>
      </c>
      <c r="T240" s="145">
        <f>IF(テーブル2[[#This Row],[上体]]="",0,(IF(テーブル2[[#This Row],[性別]]="男",LOOKUP(テーブル2[[#This Row],[上体]],$AK$6:$AL$15),LOOKUP(テーブル2[[#This Row],[上体]],$AK$20:$AL$29))))</f>
        <v>0</v>
      </c>
      <c r="U240" s="145">
        <f>IF(テーブル2[[#This Row],[長座]]="",0,(IF(テーブル2[[#This Row],[性別]]="男",LOOKUP(テーブル2[[#This Row],[長座]],$AM$6:$AN$15),LOOKUP(テーブル2[[#This Row],[長座]],$AM$20:$AN$29))))</f>
        <v>0</v>
      </c>
      <c r="V240" s="145">
        <f>IF(テーブル2[[#This Row],[反復]]="",0,(IF(テーブル2[[#This Row],[性別]]="男",LOOKUP(テーブル2[[#This Row],[反復]],$AO$6:$AP$15),LOOKUP(テーブル2[[#This Row],[反復]],$AO$20:$AP$29))))</f>
        <v>0</v>
      </c>
      <c r="W240" s="145">
        <f>IF(テーブル2[[#This Row],[持久走]]="",0,(IF(テーブル2[[#This Row],[性別]]="男",LOOKUP(テーブル2[[#This Row],[持久走]],$AQ$6:$AR$15),LOOKUP(テーブル2[[#This Row],[持久走]],$AQ$20:$AR$29))))</f>
        <v>0</v>
      </c>
      <c r="X240" s="145">
        <f>IF(テーブル2[[#This Row],[ｼｬﾄﾙﾗﾝ]]="",0,(IF(テーブル2[[#This Row],[性別]]="男",LOOKUP(テーブル2[[#This Row],[ｼｬﾄﾙﾗﾝ]],$AS$6:$AT$15),LOOKUP(テーブル2[[#This Row],[ｼｬﾄﾙﾗﾝ]],$AS$20:$AT$29))))</f>
        <v>0</v>
      </c>
      <c r="Y240" s="145">
        <f>IF(テーブル2[[#This Row],[50m走]]="",0,(IF(テーブル2[[#This Row],[性別]]="男",LOOKUP(テーブル2[[#This Row],[50m走]],$AU$6:$AV$15),LOOKUP(テーブル2[[#This Row],[50m走]],$AU$20:$AV$29))))</f>
        <v>0</v>
      </c>
      <c r="Z240" s="145">
        <f>IF(テーブル2[[#This Row],[立幅とび]]="",0,(IF(テーブル2[[#This Row],[性別]]="男",LOOKUP(テーブル2[[#This Row],[立幅とび]],$AW$6:$AX$15),LOOKUP(テーブル2[[#This Row],[立幅とび]],$AW$20:$AX$29))))</f>
        <v>0</v>
      </c>
      <c r="AA240" s="145">
        <f>IF(テーブル2[[#This Row],[ボール投げ]]="",0,(IF(テーブル2[[#This Row],[性別]]="男",LOOKUP(テーブル2[[#This Row],[ボール投げ]],$AY$6:$AZ$15),LOOKUP(テーブル2[[#This Row],[ボール投げ]],$AY$20:$AZ$29))))</f>
        <v>0</v>
      </c>
      <c r="AB240" s="146" t="str">
        <f>IF(テーブル2[[#This Row],[学年]]=1,12,IF(テーブル2[[#This Row],[学年]]=2,13,IF(テーブル2[[#This Row],[学年]]=3,14,"")))</f>
        <v/>
      </c>
      <c r="AC240" s="192" t="str">
        <f>IF(テーブル2[[#This Row],[肥満度数値]]=0,"",LOOKUP(AE240,$AW$39:$AW$44,$AX$39:$AX$44))</f>
        <v/>
      </c>
      <c r="AD24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0" s="77">
        <f>IF(テーブル2[[#This Row],[体重]]="",0,(テーブル2[[#This Row],[体重]]-テーブル2[[#This Row],[標準体重]])/テーブル2[[#This Row],[標準体重]]*100)</f>
        <v>0</v>
      </c>
      <c r="AF240" s="26">
        <f>COUNTA(テーブル2[[#This Row],[握力]:[ボール投げ]])</f>
        <v>0</v>
      </c>
      <c r="AG240" s="1" t="str">
        <f>IF(テーブル2[[#This Row],[判定]]=$BE$10,"○","")</f>
        <v/>
      </c>
      <c r="AH240" s="1" t="str">
        <f>IF(AG240="","",COUNTIF($AG$6:AG240,"○"))</f>
        <v/>
      </c>
    </row>
    <row r="241" spans="1:34" ht="14.25" customHeight="1" x14ac:dyDescent="0.15">
      <c r="A241" s="44">
        <v>236</v>
      </c>
      <c r="B241" s="148"/>
      <c r="C241" s="151"/>
      <c r="D241" s="148"/>
      <c r="E241" s="152"/>
      <c r="F241" s="148"/>
      <c r="G241" s="148"/>
      <c r="H241" s="150"/>
      <c r="I241" s="150"/>
      <c r="J241" s="151"/>
      <c r="K241" s="148"/>
      <c r="L241" s="196"/>
      <c r="M241" s="151"/>
      <c r="N241" s="197"/>
      <c r="O241" s="151"/>
      <c r="P241" s="153"/>
      <c r="Q24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1" s="144" t="str">
        <f>IF(テーブル2[[#This Row],[得点]]=0,"",IF(テーブル2[[#This Row],[年齢]]=17,LOOKUP(Q241,$BH$6:$BH$10,$BE$6:$BE$10),IF(テーブル2[[#This Row],[年齢]]=16,LOOKUP(Q241,$BG$6:$BG$10,$BE$6:$BE$10),IF(テーブル2[[#This Row],[年齢]]=15,LOOKUP(Q241,$BF$6:$BF$10,$BE$6:$BE$10),IF(テーブル2[[#This Row],[年齢]]=14,LOOKUP(Q241,$BD$6:$BD$10,$BE$6:$BE$10),IF(テーブル2[[#This Row],[年齢]]=13,LOOKUP(Q241,$BC$6:$BC$10,$BE$6:$BE$10),LOOKUP(Q241,$BB$6:$BB$10,$BE$6:$BE$10)))))))</f>
        <v/>
      </c>
      <c r="S241" s="145">
        <f>IF(H241="",0,(IF(テーブル2[[#This Row],[性別]]="男",LOOKUP(テーブル2[[#This Row],[握力]],$AI$6:$AJ$15),LOOKUP(テーブル2[[#This Row],[握力]],$AI$20:$AJ$29))))</f>
        <v>0</v>
      </c>
      <c r="T241" s="145">
        <f>IF(テーブル2[[#This Row],[上体]]="",0,(IF(テーブル2[[#This Row],[性別]]="男",LOOKUP(テーブル2[[#This Row],[上体]],$AK$6:$AL$15),LOOKUP(テーブル2[[#This Row],[上体]],$AK$20:$AL$29))))</f>
        <v>0</v>
      </c>
      <c r="U241" s="145">
        <f>IF(テーブル2[[#This Row],[長座]]="",0,(IF(テーブル2[[#This Row],[性別]]="男",LOOKUP(テーブル2[[#This Row],[長座]],$AM$6:$AN$15),LOOKUP(テーブル2[[#This Row],[長座]],$AM$20:$AN$29))))</f>
        <v>0</v>
      </c>
      <c r="V241" s="145">
        <f>IF(テーブル2[[#This Row],[反復]]="",0,(IF(テーブル2[[#This Row],[性別]]="男",LOOKUP(テーブル2[[#This Row],[反復]],$AO$6:$AP$15),LOOKUP(テーブル2[[#This Row],[反復]],$AO$20:$AP$29))))</f>
        <v>0</v>
      </c>
      <c r="W241" s="145">
        <f>IF(テーブル2[[#This Row],[持久走]]="",0,(IF(テーブル2[[#This Row],[性別]]="男",LOOKUP(テーブル2[[#This Row],[持久走]],$AQ$6:$AR$15),LOOKUP(テーブル2[[#This Row],[持久走]],$AQ$20:$AR$29))))</f>
        <v>0</v>
      </c>
      <c r="X241" s="145">
        <f>IF(テーブル2[[#This Row],[ｼｬﾄﾙﾗﾝ]]="",0,(IF(テーブル2[[#This Row],[性別]]="男",LOOKUP(テーブル2[[#This Row],[ｼｬﾄﾙﾗﾝ]],$AS$6:$AT$15),LOOKUP(テーブル2[[#This Row],[ｼｬﾄﾙﾗﾝ]],$AS$20:$AT$29))))</f>
        <v>0</v>
      </c>
      <c r="Y241" s="145">
        <f>IF(テーブル2[[#This Row],[50m走]]="",0,(IF(テーブル2[[#This Row],[性別]]="男",LOOKUP(テーブル2[[#This Row],[50m走]],$AU$6:$AV$15),LOOKUP(テーブル2[[#This Row],[50m走]],$AU$20:$AV$29))))</f>
        <v>0</v>
      </c>
      <c r="Z241" s="145">
        <f>IF(テーブル2[[#This Row],[立幅とび]]="",0,(IF(テーブル2[[#This Row],[性別]]="男",LOOKUP(テーブル2[[#This Row],[立幅とび]],$AW$6:$AX$15),LOOKUP(テーブル2[[#This Row],[立幅とび]],$AW$20:$AX$29))))</f>
        <v>0</v>
      </c>
      <c r="AA241" s="145">
        <f>IF(テーブル2[[#This Row],[ボール投げ]]="",0,(IF(テーブル2[[#This Row],[性別]]="男",LOOKUP(テーブル2[[#This Row],[ボール投げ]],$AY$6:$AZ$15),LOOKUP(テーブル2[[#This Row],[ボール投げ]],$AY$20:$AZ$29))))</f>
        <v>0</v>
      </c>
      <c r="AB241" s="146" t="str">
        <f>IF(テーブル2[[#This Row],[学年]]=1,12,IF(テーブル2[[#This Row],[学年]]=2,13,IF(テーブル2[[#This Row],[学年]]=3,14,"")))</f>
        <v/>
      </c>
      <c r="AC241" s="192" t="str">
        <f>IF(テーブル2[[#This Row],[肥満度数値]]=0,"",LOOKUP(AE241,$AW$39:$AW$44,$AX$39:$AX$44))</f>
        <v/>
      </c>
      <c r="AD24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1" s="77">
        <f>IF(テーブル2[[#This Row],[体重]]="",0,(テーブル2[[#This Row],[体重]]-テーブル2[[#This Row],[標準体重]])/テーブル2[[#This Row],[標準体重]]*100)</f>
        <v>0</v>
      </c>
      <c r="AF241" s="26">
        <f>COUNTA(テーブル2[[#This Row],[握力]:[ボール投げ]])</f>
        <v>0</v>
      </c>
      <c r="AG241" s="1" t="str">
        <f>IF(テーブル2[[#This Row],[判定]]=$BE$10,"○","")</f>
        <v/>
      </c>
      <c r="AH241" s="1" t="str">
        <f>IF(AG241="","",COUNTIF($AG$6:AG241,"○"))</f>
        <v/>
      </c>
    </row>
    <row r="242" spans="1:34" ht="14.25" customHeight="1" x14ac:dyDescent="0.15">
      <c r="A242" s="44">
        <v>237</v>
      </c>
      <c r="B242" s="148"/>
      <c r="C242" s="151"/>
      <c r="D242" s="148"/>
      <c r="E242" s="152"/>
      <c r="F242" s="148"/>
      <c r="G242" s="148"/>
      <c r="H242" s="150"/>
      <c r="I242" s="150"/>
      <c r="J242" s="151"/>
      <c r="K242" s="148"/>
      <c r="L242" s="196"/>
      <c r="M242" s="151"/>
      <c r="N242" s="197"/>
      <c r="O242" s="151"/>
      <c r="P242" s="153"/>
      <c r="Q24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2" s="144" t="str">
        <f>IF(テーブル2[[#This Row],[得点]]=0,"",IF(テーブル2[[#This Row],[年齢]]=17,LOOKUP(Q242,$BH$6:$BH$10,$BE$6:$BE$10),IF(テーブル2[[#This Row],[年齢]]=16,LOOKUP(Q242,$BG$6:$BG$10,$BE$6:$BE$10),IF(テーブル2[[#This Row],[年齢]]=15,LOOKUP(Q242,$BF$6:$BF$10,$BE$6:$BE$10),IF(テーブル2[[#This Row],[年齢]]=14,LOOKUP(Q242,$BD$6:$BD$10,$BE$6:$BE$10),IF(テーブル2[[#This Row],[年齢]]=13,LOOKUP(Q242,$BC$6:$BC$10,$BE$6:$BE$10),LOOKUP(Q242,$BB$6:$BB$10,$BE$6:$BE$10)))))))</f>
        <v/>
      </c>
      <c r="S242" s="145">
        <f>IF(H242="",0,(IF(テーブル2[[#This Row],[性別]]="男",LOOKUP(テーブル2[[#This Row],[握力]],$AI$6:$AJ$15),LOOKUP(テーブル2[[#This Row],[握力]],$AI$20:$AJ$29))))</f>
        <v>0</v>
      </c>
      <c r="T242" s="145">
        <f>IF(テーブル2[[#This Row],[上体]]="",0,(IF(テーブル2[[#This Row],[性別]]="男",LOOKUP(テーブル2[[#This Row],[上体]],$AK$6:$AL$15),LOOKUP(テーブル2[[#This Row],[上体]],$AK$20:$AL$29))))</f>
        <v>0</v>
      </c>
      <c r="U242" s="145">
        <f>IF(テーブル2[[#This Row],[長座]]="",0,(IF(テーブル2[[#This Row],[性別]]="男",LOOKUP(テーブル2[[#This Row],[長座]],$AM$6:$AN$15),LOOKUP(テーブル2[[#This Row],[長座]],$AM$20:$AN$29))))</f>
        <v>0</v>
      </c>
      <c r="V242" s="145">
        <f>IF(テーブル2[[#This Row],[反復]]="",0,(IF(テーブル2[[#This Row],[性別]]="男",LOOKUP(テーブル2[[#This Row],[反復]],$AO$6:$AP$15),LOOKUP(テーブル2[[#This Row],[反復]],$AO$20:$AP$29))))</f>
        <v>0</v>
      </c>
      <c r="W242" s="145">
        <f>IF(テーブル2[[#This Row],[持久走]]="",0,(IF(テーブル2[[#This Row],[性別]]="男",LOOKUP(テーブル2[[#This Row],[持久走]],$AQ$6:$AR$15),LOOKUP(テーブル2[[#This Row],[持久走]],$AQ$20:$AR$29))))</f>
        <v>0</v>
      </c>
      <c r="X242" s="145">
        <f>IF(テーブル2[[#This Row],[ｼｬﾄﾙﾗﾝ]]="",0,(IF(テーブル2[[#This Row],[性別]]="男",LOOKUP(テーブル2[[#This Row],[ｼｬﾄﾙﾗﾝ]],$AS$6:$AT$15),LOOKUP(テーブル2[[#This Row],[ｼｬﾄﾙﾗﾝ]],$AS$20:$AT$29))))</f>
        <v>0</v>
      </c>
      <c r="Y242" s="145">
        <f>IF(テーブル2[[#This Row],[50m走]]="",0,(IF(テーブル2[[#This Row],[性別]]="男",LOOKUP(テーブル2[[#This Row],[50m走]],$AU$6:$AV$15),LOOKUP(テーブル2[[#This Row],[50m走]],$AU$20:$AV$29))))</f>
        <v>0</v>
      </c>
      <c r="Z242" s="145">
        <f>IF(テーブル2[[#This Row],[立幅とび]]="",0,(IF(テーブル2[[#This Row],[性別]]="男",LOOKUP(テーブル2[[#This Row],[立幅とび]],$AW$6:$AX$15),LOOKUP(テーブル2[[#This Row],[立幅とび]],$AW$20:$AX$29))))</f>
        <v>0</v>
      </c>
      <c r="AA242" s="145">
        <f>IF(テーブル2[[#This Row],[ボール投げ]]="",0,(IF(テーブル2[[#This Row],[性別]]="男",LOOKUP(テーブル2[[#This Row],[ボール投げ]],$AY$6:$AZ$15),LOOKUP(テーブル2[[#This Row],[ボール投げ]],$AY$20:$AZ$29))))</f>
        <v>0</v>
      </c>
      <c r="AB242" s="146" t="str">
        <f>IF(テーブル2[[#This Row],[学年]]=1,12,IF(テーブル2[[#This Row],[学年]]=2,13,IF(テーブル2[[#This Row],[学年]]=3,14,"")))</f>
        <v/>
      </c>
      <c r="AC242" s="192" t="str">
        <f>IF(テーブル2[[#This Row],[肥満度数値]]=0,"",LOOKUP(AE242,$AW$39:$AW$44,$AX$39:$AX$44))</f>
        <v/>
      </c>
      <c r="AD24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2" s="77">
        <f>IF(テーブル2[[#This Row],[体重]]="",0,(テーブル2[[#This Row],[体重]]-テーブル2[[#This Row],[標準体重]])/テーブル2[[#This Row],[標準体重]]*100)</f>
        <v>0</v>
      </c>
      <c r="AF242" s="26">
        <f>COUNTA(テーブル2[[#This Row],[握力]:[ボール投げ]])</f>
        <v>0</v>
      </c>
      <c r="AG242" s="1" t="str">
        <f>IF(テーブル2[[#This Row],[判定]]=$BE$10,"○","")</f>
        <v/>
      </c>
      <c r="AH242" s="1" t="str">
        <f>IF(AG242="","",COUNTIF($AG$6:AG242,"○"))</f>
        <v/>
      </c>
    </row>
    <row r="243" spans="1:34" ht="14.25" customHeight="1" x14ac:dyDescent="0.15">
      <c r="A243" s="44">
        <v>238</v>
      </c>
      <c r="B243" s="148"/>
      <c r="C243" s="151"/>
      <c r="D243" s="148"/>
      <c r="E243" s="152"/>
      <c r="F243" s="148"/>
      <c r="G243" s="148"/>
      <c r="H243" s="150"/>
      <c r="I243" s="150"/>
      <c r="J243" s="151"/>
      <c r="K243" s="148"/>
      <c r="L243" s="196"/>
      <c r="M243" s="151"/>
      <c r="N243" s="197"/>
      <c r="O243" s="151"/>
      <c r="P243" s="153"/>
      <c r="Q24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3" s="144" t="str">
        <f>IF(テーブル2[[#This Row],[得点]]=0,"",IF(テーブル2[[#This Row],[年齢]]=17,LOOKUP(Q243,$BH$6:$BH$10,$BE$6:$BE$10),IF(テーブル2[[#This Row],[年齢]]=16,LOOKUP(Q243,$BG$6:$BG$10,$BE$6:$BE$10),IF(テーブル2[[#This Row],[年齢]]=15,LOOKUP(Q243,$BF$6:$BF$10,$BE$6:$BE$10),IF(テーブル2[[#This Row],[年齢]]=14,LOOKUP(Q243,$BD$6:$BD$10,$BE$6:$BE$10),IF(テーブル2[[#This Row],[年齢]]=13,LOOKUP(Q243,$BC$6:$BC$10,$BE$6:$BE$10),LOOKUP(Q243,$BB$6:$BB$10,$BE$6:$BE$10)))))))</f>
        <v/>
      </c>
      <c r="S243" s="145">
        <f>IF(H243="",0,(IF(テーブル2[[#This Row],[性別]]="男",LOOKUP(テーブル2[[#This Row],[握力]],$AI$6:$AJ$15),LOOKUP(テーブル2[[#This Row],[握力]],$AI$20:$AJ$29))))</f>
        <v>0</v>
      </c>
      <c r="T243" s="145">
        <f>IF(テーブル2[[#This Row],[上体]]="",0,(IF(テーブル2[[#This Row],[性別]]="男",LOOKUP(テーブル2[[#This Row],[上体]],$AK$6:$AL$15),LOOKUP(テーブル2[[#This Row],[上体]],$AK$20:$AL$29))))</f>
        <v>0</v>
      </c>
      <c r="U243" s="145">
        <f>IF(テーブル2[[#This Row],[長座]]="",0,(IF(テーブル2[[#This Row],[性別]]="男",LOOKUP(テーブル2[[#This Row],[長座]],$AM$6:$AN$15),LOOKUP(テーブル2[[#This Row],[長座]],$AM$20:$AN$29))))</f>
        <v>0</v>
      </c>
      <c r="V243" s="145">
        <f>IF(テーブル2[[#This Row],[反復]]="",0,(IF(テーブル2[[#This Row],[性別]]="男",LOOKUP(テーブル2[[#This Row],[反復]],$AO$6:$AP$15),LOOKUP(テーブル2[[#This Row],[反復]],$AO$20:$AP$29))))</f>
        <v>0</v>
      </c>
      <c r="W243" s="145">
        <f>IF(テーブル2[[#This Row],[持久走]]="",0,(IF(テーブル2[[#This Row],[性別]]="男",LOOKUP(テーブル2[[#This Row],[持久走]],$AQ$6:$AR$15),LOOKUP(テーブル2[[#This Row],[持久走]],$AQ$20:$AR$29))))</f>
        <v>0</v>
      </c>
      <c r="X243" s="145">
        <f>IF(テーブル2[[#This Row],[ｼｬﾄﾙﾗﾝ]]="",0,(IF(テーブル2[[#This Row],[性別]]="男",LOOKUP(テーブル2[[#This Row],[ｼｬﾄﾙﾗﾝ]],$AS$6:$AT$15),LOOKUP(テーブル2[[#This Row],[ｼｬﾄﾙﾗﾝ]],$AS$20:$AT$29))))</f>
        <v>0</v>
      </c>
      <c r="Y243" s="145">
        <f>IF(テーブル2[[#This Row],[50m走]]="",0,(IF(テーブル2[[#This Row],[性別]]="男",LOOKUP(テーブル2[[#This Row],[50m走]],$AU$6:$AV$15),LOOKUP(テーブル2[[#This Row],[50m走]],$AU$20:$AV$29))))</f>
        <v>0</v>
      </c>
      <c r="Z243" s="145">
        <f>IF(テーブル2[[#This Row],[立幅とび]]="",0,(IF(テーブル2[[#This Row],[性別]]="男",LOOKUP(テーブル2[[#This Row],[立幅とび]],$AW$6:$AX$15),LOOKUP(テーブル2[[#This Row],[立幅とび]],$AW$20:$AX$29))))</f>
        <v>0</v>
      </c>
      <c r="AA243" s="145">
        <f>IF(テーブル2[[#This Row],[ボール投げ]]="",0,(IF(テーブル2[[#This Row],[性別]]="男",LOOKUP(テーブル2[[#This Row],[ボール投げ]],$AY$6:$AZ$15),LOOKUP(テーブル2[[#This Row],[ボール投げ]],$AY$20:$AZ$29))))</f>
        <v>0</v>
      </c>
      <c r="AB243" s="146" t="str">
        <f>IF(テーブル2[[#This Row],[学年]]=1,12,IF(テーブル2[[#This Row],[学年]]=2,13,IF(テーブル2[[#This Row],[学年]]=3,14,"")))</f>
        <v/>
      </c>
      <c r="AC243" s="192" t="str">
        <f>IF(テーブル2[[#This Row],[肥満度数値]]=0,"",LOOKUP(AE243,$AW$39:$AW$44,$AX$39:$AX$44))</f>
        <v/>
      </c>
      <c r="AD24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3" s="77">
        <f>IF(テーブル2[[#This Row],[体重]]="",0,(テーブル2[[#This Row],[体重]]-テーブル2[[#This Row],[標準体重]])/テーブル2[[#This Row],[標準体重]]*100)</f>
        <v>0</v>
      </c>
      <c r="AF243" s="26">
        <f>COUNTA(テーブル2[[#This Row],[握力]:[ボール投げ]])</f>
        <v>0</v>
      </c>
      <c r="AG243" s="1" t="str">
        <f>IF(テーブル2[[#This Row],[判定]]=$BE$10,"○","")</f>
        <v/>
      </c>
      <c r="AH243" s="1" t="str">
        <f>IF(AG243="","",COUNTIF($AG$6:AG243,"○"))</f>
        <v/>
      </c>
    </row>
    <row r="244" spans="1:34" ht="14.25" customHeight="1" x14ac:dyDescent="0.15">
      <c r="A244" s="44">
        <v>239</v>
      </c>
      <c r="B244" s="148"/>
      <c r="C244" s="151"/>
      <c r="D244" s="148"/>
      <c r="E244" s="152"/>
      <c r="F244" s="148"/>
      <c r="G244" s="148"/>
      <c r="H244" s="150"/>
      <c r="I244" s="150"/>
      <c r="J244" s="151"/>
      <c r="K244" s="148"/>
      <c r="L244" s="196"/>
      <c r="M244" s="151"/>
      <c r="N244" s="197"/>
      <c r="O244" s="151"/>
      <c r="P244" s="153"/>
      <c r="Q24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4" s="144" t="str">
        <f>IF(テーブル2[[#This Row],[得点]]=0,"",IF(テーブル2[[#This Row],[年齢]]=17,LOOKUP(Q244,$BH$6:$BH$10,$BE$6:$BE$10),IF(テーブル2[[#This Row],[年齢]]=16,LOOKUP(Q244,$BG$6:$BG$10,$BE$6:$BE$10),IF(テーブル2[[#This Row],[年齢]]=15,LOOKUP(Q244,$BF$6:$BF$10,$BE$6:$BE$10),IF(テーブル2[[#This Row],[年齢]]=14,LOOKUP(Q244,$BD$6:$BD$10,$BE$6:$BE$10),IF(テーブル2[[#This Row],[年齢]]=13,LOOKUP(Q244,$BC$6:$BC$10,$BE$6:$BE$10),LOOKUP(Q244,$BB$6:$BB$10,$BE$6:$BE$10)))))))</f>
        <v/>
      </c>
      <c r="S244" s="145">
        <f>IF(H244="",0,(IF(テーブル2[[#This Row],[性別]]="男",LOOKUP(テーブル2[[#This Row],[握力]],$AI$6:$AJ$15),LOOKUP(テーブル2[[#This Row],[握力]],$AI$20:$AJ$29))))</f>
        <v>0</v>
      </c>
      <c r="T244" s="145">
        <f>IF(テーブル2[[#This Row],[上体]]="",0,(IF(テーブル2[[#This Row],[性別]]="男",LOOKUP(テーブル2[[#This Row],[上体]],$AK$6:$AL$15),LOOKUP(テーブル2[[#This Row],[上体]],$AK$20:$AL$29))))</f>
        <v>0</v>
      </c>
      <c r="U244" s="145">
        <f>IF(テーブル2[[#This Row],[長座]]="",0,(IF(テーブル2[[#This Row],[性別]]="男",LOOKUP(テーブル2[[#This Row],[長座]],$AM$6:$AN$15),LOOKUP(テーブル2[[#This Row],[長座]],$AM$20:$AN$29))))</f>
        <v>0</v>
      </c>
      <c r="V244" s="145">
        <f>IF(テーブル2[[#This Row],[反復]]="",0,(IF(テーブル2[[#This Row],[性別]]="男",LOOKUP(テーブル2[[#This Row],[反復]],$AO$6:$AP$15),LOOKUP(テーブル2[[#This Row],[反復]],$AO$20:$AP$29))))</f>
        <v>0</v>
      </c>
      <c r="W244" s="145">
        <f>IF(テーブル2[[#This Row],[持久走]]="",0,(IF(テーブル2[[#This Row],[性別]]="男",LOOKUP(テーブル2[[#This Row],[持久走]],$AQ$6:$AR$15),LOOKUP(テーブル2[[#This Row],[持久走]],$AQ$20:$AR$29))))</f>
        <v>0</v>
      </c>
      <c r="X244" s="145">
        <f>IF(テーブル2[[#This Row],[ｼｬﾄﾙﾗﾝ]]="",0,(IF(テーブル2[[#This Row],[性別]]="男",LOOKUP(テーブル2[[#This Row],[ｼｬﾄﾙﾗﾝ]],$AS$6:$AT$15),LOOKUP(テーブル2[[#This Row],[ｼｬﾄﾙﾗﾝ]],$AS$20:$AT$29))))</f>
        <v>0</v>
      </c>
      <c r="Y244" s="145">
        <f>IF(テーブル2[[#This Row],[50m走]]="",0,(IF(テーブル2[[#This Row],[性別]]="男",LOOKUP(テーブル2[[#This Row],[50m走]],$AU$6:$AV$15),LOOKUP(テーブル2[[#This Row],[50m走]],$AU$20:$AV$29))))</f>
        <v>0</v>
      </c>
      <c r="Z244" s="145">
        <f>IF(テーブル2[[#This Row],[立幅とび]]="",0,(IF(テーブル2[[#This Row],[性別]]="男",LOOKUP(テーブル2[[#This Row],[立幅とび]],$AW$6:$AX$15),LOOKUP(テーブル2[[#This Row],[立幅とび]],$AW$20:$AX$29))))</f>
        <v>0</v>
      </c>
      <c r="AA244" s="145">
        <f>IF(テーブル2[[#This Row],[ボール投げ]]="",0,(IF(テーブル2[[#This Row],[性別]]="男",LOOKUP(テーブル2[[#This Row],[ボール投げ]],$AY$6:$AZ$15),LOOKUP(テーブル2[[#This Row],[ボール投げ]],$AY$20:$AZ$29))))</f>
        <v>0</v>
      </c>
      <c r="AB244" s="146" t="str">
        <f>IF(テーブル2[[#This Row],[学年]]=1,12,IF(テーブル2[[#This Row],[学年]]=2,13,IF(テーブル2[[#This Row],[学年]]=3,14,"")))</f>
        <v/>
      </c>
      <c r="AC244" s="192" t="str">
        <f>IF(テーブル2[[#This Row],[肥満度数値]]=0,"",LOOKUP(AE244,$AW$39:$AW$44,$AX$39:$AX$44))</f>
        <v/>
      </c>
      <c r="AD24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4" s="77">
        <f>IF(テーブル2[[#This Row],[体重]]="",0,(テーブル2[[#This Row],[体重]]-テーブル2[[#This Row],[標準体重]])/テーブル2[[#This Row],[標準体重]]*100)</f>
        <v>0</v>
      </c>
      <c r="AF244" s="26">
        <f>COUNTA(テーブル2[[#This Row],[握力]:[ボール投げ]])</f>
        <v>0</v>
      </c>
      <c r="AG244" s="1" t="str">
        <f>IF(テーブル2[[#This Row],[判定]]=$BE$10,"○","")</f>
        <v/>
      </c>
      <c r="AH244" s="1" t="str">
        <f>IF(AG244="","",COUNTIF($AG$6:AG244,"○"))</f>
        <v/>
      </c>
    </row>
    <row r="245" spans="1:34" ht="14.25" customHeight="1" x14ac:dyDescent="0.15">
      <c r="A245" s="44">
        <v>240</v>
      </c>
      <c r="B245" s="148"/>
      <c r="C245" s="151"/>
      <c r="D245" s="148"/>
      <c r="E245" s="152"/>
      <c r="F245" s="148"/>
      <c r="G245" s="148"/>
      <c r="H245" s="150"/>
      <c r="I245" s="150"/>
      <c r="J245" s="151"/>
      <c r="K245" s="148"/>
      <c r="L245" s="196"/>
      <c r="M245" s="151"/>
      <c r="N245" s="197"/>
      <c r="O245" s="151"/>
      <c r="P245" s="153"/>
      <c r="Q24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5" s="144" t="str">
        <f>IF(テーブル2[[#This Row],[得点]]=0,"",IF(テーブル2[[#This Row],[年齢]]=17,LOOKUP(Q245,$BH$6:$BH$10,$BE$6:$BE$10),IF(テーブル2[[#This Row],[年齢]]=16,LOOKUP(Q245,$BG$6:$BG$10,$BE$6:$BE$10),IF(テーブル2[[#This Row],[年齢]]=15,LOOKUP(Q245,$BF$6:$BF$10,$BE$6:$BE$10),IF(テーブル2[[#This Row],[年齢]]=14,LOOKUP(Q245,$BD$6:$BD$10,$BE$6:$BE$10),IF(テーブル2[[#This Row],[年齢]]=13,LOOKUP(Q245,$BC$6:$BC$10,$BE$6:$BE$10),LOOKUP(Q245,$BB$6:$BB$10,$BE$6:$BE$10)))))))</f>
        <v/>
      </c>
      <c r="S245" s="145">
        <f>IF(H245="",0,(IF(テーブル2[[#This Row],[性別]]="男",LOOKUP(テーブル2[[#This Row],[握力]],$AI$6:$AJ$15),LOOKUP(テーブル2[[#This Row],[握力]],$AI$20:$AJ$29))))</f>
        <v>0</v>
      </c>
      <c r="T245" s="145">
        <f>IF(テーブル2[[#This Row],[上体]]="",0,(IF(テーブル2[[#This Row],[性別]]="男",LOOKUP(テーブル2[[#This Row],[上体]],$AK$6:$AL$15),LOOKUP(テーブル2[[#This Row],[上体]],$AK$20:$AL$29))))</f>
        <v>0</v>
      </c>
      <c r="U245" s="145">
        <f>IF(テーブル2[[#This Row],[長座]]="",0,(IF(テーブル2[[#This Row],[性別]]="男",LOOKUP(テーブル2[[#This Row],[長座]],$AM$6:$AN$15),LOOKUP(テーブル2[[#This Row],[長座]],$AM$20:$AN$29))))</f>
        <v>0</v>
      </c>
      <c r="V245" s="145">
        <f>IF(テーブル2[[#This Row],[反復]]="",0,(IF(テーブル2[[#This Row],[性別]]="男",LOOKUP(テーブル2[[#This Row],[反復]],$AO$6:$AP$15),LOOKUP(テーブル2[[#This Row],[反復]],$AO$20:$AP$29))))</f>
        <v>0</v>
      </c>
      <c r="W245" s="145">
        <f>IF(テーブル2[[#This Row],[持久走]]="",0,(IF(テーブル2[[#This Row],[性別]]="男",LOOKUP(テーブル2[[#This Row],[持久走]],$AQ$6:$AR$15),LOOKUP(テーブル2[[#This Row],[持久走]],$AQ$20:$AR$29))))</f>
        <v>0</v>
      </c>
      <c r="X245" s="145">
        <f>IF(テーブル2[[#This Row],[ｼｬﾄﾙﾗﾝ]]="",0,(IF(テーブル2[[#This Row],[性別]]="男",LOOKUP(テーブル2[[#This Row],[ｼｬﾄﾙﾗﾝ]],$AS$6:$AT$15),LOOKUP(テーブル2[[#This Row],[ｼｬﾄﾙﾗﾝ]],$AS$20:$AT$29))))</f>
        <v>0</v>
      </c>
      <c r="Y245" s="145">
        <f>IF(テーブル2[[#This Row],[50m走]]="",0,(IF(テーブル2[[#This Row],[性別]]="男",LOOKUP(テーブル2[[#This Row],[50m走]],$AU$6:$AV$15),LOOKUP(テーブル2[[#This Row],[50m走]],$AU$20:$AV$29))))</f>
        <v>0</v>
      </c>
      <c r="Z245" s="145">
        <f>IF(テーブル2[[#This Row],[立幅とび]]="",0,(IF(テーブル2[[#This Row],[性別]]="男",LOOKUP(テーブル2[[#This Row],[立幅とび]],$AW$6:$AX$15),LOOKUP(テーブル2[[#This Row],[立幅とび]],$AW$20:$AX$29))))</f>
        <v>0</v>
      </c>
      <c r="AA245" s="145">
        <f>IF(テーブル2[[#This Row],[ボール投げ]]="",0,(IF(テーブル2[[#This Row],[性別]]="男",LOOKUP(テーブル2[[#This Row],[ボール投げ]],$AY$6:$AZ$15),LOOKUP(テーブル2[[#This Row],[ボール投げ]],$AY$20:$AZ$29))))</f>
        <v>0</v>
      </c>
      <c r="AB245" s="146" t="str">
        <f>IF(テーブル2[[#This Row],[学年]]=1,12,IF(テーブル2[[#This Row],[学年]]=2,13,IF(テーブル2[[#This Row],[学年]]=3,14,"")))</f>
        <v/>
      </c>
      <c r="AC245" s="192" t="str">
        <f>IF(テーブル2[[#This Row],[肥満度数値]]=0,"",LOOKUP(AE245,$AW$39:$AW$44,$AX$39:$AX$44))</f>
        <v/>
      </c>
      <c r="AD24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5" s="77">
        <f>IF(テーブル2[[#This Row],[体重]]="",0,(テーブル2[[#This Row],[体重]]-テーブル2[[#This Row],[標準体重]])/テーブル2[[#This Row],[標準体重]]*100)</f>
        <v>0</v>
      </c>
      <c r="AF245" s="26">
        <f>COUNTA(テーブル2[[#This Row],[握力]:[ボール投げ]])</f>
        <v>0</v>
      </c>
      <c r="AG245" s="1" t="str">
        <f>IF(テーブル2[[#This Row],[判定]]=$BE$10,"○","")</f>
        <v/>
      </c>
      <c r="AH245" s="1" t="str">
        <f>IF(AG245="","",COUNTIF($AG$6:AG245,"○"))</f>
        <v/>
      </c>
    </row>
    <row r="246" spans="1:34" ht="14.25" customHeight="1" x14ac:dyDescent="0.15">
      <c r="A246" s="44">
        <v>241</v>
      </c>
      <c r="B246" s="148"/>
      <c r="C246" s="151"/>
      <c r="D246" s="148"/>
      <c r="E246" s="152"/>
      <c r="F246" s="148"/>
      <c r="G246" s="148"/>
      <c r="H246" s="150"/>
      <c r="I246" s="150"/>
      <c r="J246" s="151"/>
      <c r="K246" s="148"/>
      <c r="L246" s="196"/>
      <c r="M246" s="151"/>
      <c r="N246" s="197"/>
      <c r="O246" s="151"/>
      <c r="P246" s="153"/>
      <c r="Q24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6" s="144" t="str">
        <f>IF(テーブル2[[#This Row],[得点]]=0,"",IF(テーブル2[[#This Row],[年齢]]=17,LOOKUP(Q246,$BH$6:$BH$10,$BE$6:$BE$10),IF(テーブル2[[#This Row],[年齢]]=16,LOOKUP(Q246,$BG$6:$BG$10,$BE$6:$BE$10),IF(テーブル2[[#This Row],[年齢]]=15,LOOKUP(Q246,$BF$6:$BF$10,$BE$6:$BE$10),IF(テーブル2[[#This Row],[年齢]]=14,LOOKUP(Q246,$BD$6:$BD$10,$BE$6:$BE$10),IF(テーブル2[[#This Row],[年齢]]=13,LOOKUP(Q246,$BC$6:$BC$10,$BE$6:$BE$10),LOOKUP(Q246,$BB$6:$BB$10,$BE$6:$BE$10)))))))</f>
        <v/>
      </c>
      <c r="S246" s="145">
        <f>IF(H246="",0,(IF(テーブル2[[#This Row],[性別]]="男",LOOKUP(テーブル2[[#This Row],[握力]],$AI$6:$AJ$15),LOOKUP(テーブル2[[#This Row],[握力]],$AI$20:$AJ$29))))</f>
        <v>0</v>
      </c>
      <c r="T246" s="145">
        <f>IF(テーブル2[[#This Row],[上体]]="",0,(IF(テーブル2[[#This Row],[性別]]="男",LOOKUP(テーブル2[[#This Row],[上体]],$AK$6:$AL$15),LOOKUP(テーブル2[[#This Row],[上体]],$AK$20:$AL$29))))</f>
        <v>0</v>
      </c>
      <c r="U246" s="145">
        <f>IF(テーブル2[[#This Row],[長座]]="",0,(IF(テーブル2[[#This Row],[性別]]="男",LOOKUP(テーブル2[[#This Row],[長座]],$AM$6:$AN$15),LOOKUP(テーブル2[[#This Row],[長座]],$AM$20:$AN$29))))</f>
        <v>0</v>
      </c>
      <c r="V246" s="145">
        <f>IF(テーブル2[[#This Row],[反復]]="",0,(IF(テーブル2[[#This Row],[性別]]="男",LOOKUP(テーブル2[[#This Row],[反復]],$AO$6:$AP$15),LOOKUP(テーブル2[[#This Row],[反復]],$AO$20:$AP$29))))</f>
        <v>0</v>
      </c>
      <c r="W246" s="145">
        <f>IF(テーブル2[[#This Row],[持久走]]="",0,(IF(テーブル2[[#This Row],[性別]]="男",LOOKUP(テーブル2[[#This Row],[持久走]],$AQ$6:$AR$15),LOOKUP(テーブル2[[#This Row],[持久走]],$AQ$20:$AR$29))))</f>
        <v>0</v>
      </c>
      <c r="X246" s="145">
        <f>IF(テーブル2[[#This Row],[ｼｬﾄﾙﾗﾝ]]="",0,(IF(テーブル2[[#This Row],[性別]]="男",LOOKUP(テーブル2[[#This Row],[ｼｬﾄﾙﾗﾝ]],$AS$6:$AT$15),LOOKUP(テーブル2[[#This Row],[ｼｬﾄﾙﾗﾝ]],$AS$20:$AT$29))))</f>
        <v>0</v>
      </c>
      <c r="Y246" s="145">
        <f>IF(テーブル2[[#This Row],[50m走]]="",0,(IF(テーブル2[[#This Row],[性別]]="男",LOOKUP(テーブル2[[#This Row],[50m走]],$AU$6:$AV$15),LOOKUP(テーブル2[[#This Row],[50m走]],$AU$20:$AV$29))))</f>
        <v>0</v>
      </c>
      <c r="Z246" s="145">
        <f>IF(テーブル2[[#This Row],[立幅とび]]="",0,(IF(テーブル2[[#This Row],[性別]]="男",LOOKUP(テーブル2[[#This Row],[立幅とび]],$AW$6:$AX$15),LOOKUP(テーブル2[[#This Row],[立幅とび]],$AW$20:$AX$29))))</f>
        <v>0</v>
      </c>
      <c r="AA246" s="145">
        <f>IF(テーブル2[[#This Row],[ボール投げ]]="",0,(IF(テーブル2[[#This Row],[性別]]="男",LOOKUP(テーブル2[[#This Row],[ボール投げ]],$AY$6:$AZ$15),LOOKUP(テーブル2[[#This Row],[ボール投げ]],$AY$20:$AZ$29))))</f>
        <v>0</v>
      </c>
      <c r="AB246" s="146" t="str">
        <f>IF(テーブル2[[#This Row],[学年]]=1,12,IF(テーブル2[[#This Row],[学年]]=2,13,IF(テーブル2[[#This Row],[学年]]=3,14,"")))</f>
        <v/>
      </c>
      <c r="AC246" s="192" t="str">
        <f>IF(テーブル2[[#This Row],[肥満度数値]]=0,"",LOOKUP(AE246,$AW$39:$AW$44,$AX$39:$AX$44))</f>
        <v/>
      </c>
      <c r="AD24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6" s="77">
        <f>IF(テーブル2[[#This Row],[体重]]="",0,(テーブル2[[#This Row],[体重]]-テーブル2[[#This Row],[標準体重]])/テーブル2[[#This Row],[標準体重]]*100)</f>
        <v>0</v>
      </c>
      <c r="AF246" s="26">
        <f>COUNTA(テーブル2[[#This Row],[握力]:[ボール投げ]])</f>
        <v>0</v>
      </c>
      <c r="AG246" s="1" t="str">
        <f>IF(テーブル2[[#This Row],[判定]]=$BE$10,"○","")</f>
        <v/>
      </c>
      <c r="AH246" s="1" t="str">
        <f>IF(AG246="","",COUNTIF($AG$6:AG246,"○"))</f>
        <v/>
      </c>
    </row>
    <row r="247" spans="1:34" ht="14.25" customHeight="1" x14ac:dyDescent="0.15">
      <c r="A247" s="44">
        <v>242</v>
      </c>
      <c r="B247" s="148"/>
      <c r="C247" s="151"/>
      <c r="D247" s="148"/>
      <c r="E247" s="152"/>
      <c r="F247" s="148"/>
      <c r="G247" s="148"/>
      <c r="H247" s="150"/>
      <c r="I247" s="150"/>
      <c r="J247" s="151"/>
      <c r="K247" s="148"/>
      <c r="L247" s="196"/>
      <c r="M247" s="151"/>
      <c r="N247" s="197"/>
      <c r="O247" s="151"/>
      <c r="P247" s="153"/>
      <c r="Q24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7" s="144" t="str">
        <f>IF(テーブル2[[#This Row],[得点]]=0,"",IF(テーブル2[[#This Row],[年齢]]=17,LOOKUP(Q247,$BH$6:$BH$10,$BE$6:$BE$10),IF(テーブル2[[#This Row],[年齢]]=16,LOOKUP(Q247,$BG$6:$BG$10,$BE$6:$BE$10),IF(テーブル2[[#This Row],[年齢]]=15,LOOKUP(Q247,$BF$6:$BF$10,$BE$6:$BE$10),IF(テーブル2[[#This Row],[年齢]]=14,LOOKUP(Q247,$BD$6:$BD$10,$BE$6:$BE$10),IF(テーブル2[[#This Row],[年齢]]=13,LOOKUP(Q247,$BC$6:$BC$10,$BE$6:$BE$10),LOOKUP(Q247,$BB$6:$BB$10,$BE$6:$BE$10)))))))</f>
        <v/>
      </c>
      <c r="S247" s="145">
        <f>IF(H247="",0,(IF(テーブル2[[#This Row],[性別]]="男",LOOKUP(テーブル2[[#This Row],[握力]],$AI$6:$AJ$15),LOOKUP(テーブル2[[#This Row],[握力]],$AI$20:$AJ$29))))</f>
        <v>0</v>
      </c>
      <c r="T247" s="145">
        <f>IF(テーブル2[[#This Row],[上体]]="",0,(IF(テーブル2[[#This Row],[性別]]="男",LOOKUP(テーブル2[[#This Row],[上体]],$AK$6:$AL$15),LOOKUP(テーブル2[[#This Row],[上体]],$AK$20:$AL$29))))</f>
        <v>0</v>
      </c>
      <c r="U247" s="145">
        <f>IF(テーブル2[[#This Row],[長座]]="",0,(IF(テーブル2[[#This Row],[性別]]="男",LOOKUP(テーブル2[[#This Row],[長座]],$AM$6:$AN$15),LOOKUP(テーブル2[[#This Row],[長座]],$AM$20:$AN$29))))</f>
        <v>0</v>
      </c>
      <c r="V247" s="145">
        <f>IF(テーブル2[[#This Row],[反復]]="",0,(IF(テーブル2[[#This Row],[性別]]="男",LOOKUP(テーブル2[[#This Row],[反復]],$AO$6:$AP$15),LOOKUP(テーブル2[[#This Row],[反復]],$AO$20:$AP$29))))</f>
        <v>0</v>
      </c>
      <c r="W247" s="145">
        <f>IF(テーブル2[[#This Row],[持久走]]="",0,(IF(テーブル2[[#This Row],[性別]]="男",LOOKUP(テーブル2[[#This Row],[持久走]],$AQ$6:$AR$15),LOOKUP(テーブル2[[#This Row],[持久走]],$AQ$20:$AR$29))))</f>
        <v>0</v>
      </c>
      <c r="X247" s="145">
        <f>IF(テーブル2[[#This Row],[ｼｬﾄﾙﾗﾝ]]="",0,(IF(テーブル2[[#This Row],[性別]]="男",LOOKUP(テーブル2[[#This Row],[ｼｬﾄﾙﾗﾝ]],$AS$6:$AT$15),LOOKUP(テーブル2[[#This Row],[ｼｬﾄﾙﾗﾝ]],$AS$20:$AT$29))))</f>
        <v>0</v>
      </c>
      <c r="Y247" s="145">
        <f>IF(テーブル2[[#This Row],[50m走]]="",0,(IF(テーブル2[[#This Row],[性別]]="男",LOOKUP(テーブル2[[#This Row],[50m走]],$AU$6:$AV$15),LOOKUP(テーブル2[[#This Row],[50m走]],$AU$20:$AV$29))))</f>
        <v>0</v>
      </c>
      <c r="Z247" s="145">
        <f>IF(テーブル2[[#This Row],[立幅とび]]="",0,(IF(テーブル2[[#This Row],[性別]]="男",LOOKUP(テーブル2[[#This Row],[立幅とび]],$AW$6:$AX$15),LOOKUP(テーブル2[[#This Row],[立幅とび]],$AW$20:$AX$29))))</f>
        <v>0</v>
      </c>
      <c r="AA247" s="145">
        <f>IF(テーブル2[[#This Row],[ボール投げ]]="",0,(IF(テーブル2[[#This Row],[性別]]="男",LOOKUP(テーブル2[[#This Row],[ボール投げ]],$AY$6:$AZ$15),LOOKUP(テーブル2[[#This Row],[ボール投げ]],$AY$20:$AZ$29))))</f>
        <v>0</v>
      </c>
      <c r="AB247" s="146" t="str">
        <f>IF(テーブル2[[#This Row],[学年]]=1,12,IF(テーブル2[[#This Row],[学年]]=2,13,IF(テーブル2[[#This Row],[学年]]=3,14,"")))</f>
        <v/>
      </c>
      <c r="AC247" s="192" t="str">
        <f>IF(テーブル2[[#This Row],[肥満度数値]]=0,"",LOOKUP(AE247,$AW$39:$AW$44,$AX$39:$AX$44))</f>
        <v/>
      </c>
      <c r="AD24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7" s="77">
        <f>IF(テーブル2[[#This Row],[体重]]="",0,(テーブル2[[#This Row],[体重]]-テーブル2[[#This Row],[標準体重]])/テーブル2[[#This Row],[標準体重]]*100)</f>
        <v>0</v>
      </c>
      <c r="AF247" s="26">
        <f>COUNTA(テーブル2[[#This Row],[握力]:[ボール投げ]])</f>
        <v>0</v>
      </c>
      <c r="AG247" s="1" t="str">
        <f>IF(テーブル2[[#This Row],[判定]]=$BE$10,"○","")</f>
        <v/>
      </c>
      <c r="AH247" s="1" t="str">
        <f>IF(AG247="","",COUNTIF($AG$6:AG247,"○"))</f>
        <v/>
      </c>
    </row>
    <row r="248" spans="1:34" ht="14.25" customHeight="1" x14ac:dyDescent="0.15">
      <c r="A248" s="44">
        <v>243</v>
      </c>
      <c r="B248" s="148"/>
      <c r="C248" s="151"/>
      <c r="D248" s="148"/>
      <c r="E248" s="152"/>
      <c r="F248" s="148"/>
      <c r="G248" s="148"/>
      <c r="H248" s="150"/>
      <c r="I248" s="150"/>
      <c r="J248" s="151"/>
      <c r="K248" s="148"/>
      <c r="L248" s="196"/>
      <c r="M248" s="151"/>
      <c r="N248" s="197"/>
      <c r="O248" s="151"/>
      <c r="P248" s="153"/>
      <c r="Q24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8" s="144" t="str">
        <f>IF(テーブル2[[#This Row],[得点]]=0,"",IF(テーブル2[[#This Row],[年齢]]=17,LOOKUP(Q248,$BH$6:$BH$10,$BE$6:$BE$10),IF(テーブル2[[#This Row],[年齢]]=16,LOOKUP(Q248,$BG$6:$BG$10,$BE$6:$BE$10),IF(テーブル2[[#This Row],[年齢]]=15,LOOKUP(Q248,$BF$6:$BF$10,$BE$6:$BE$10),IF(テーブル2[[#This Row],[年齢]]=14,LOOKUP(Q248,$BD$6:$BD$10,$BE$6:$BE$10),IF(テーブル2[[#This Row],[年齢]]=13,LOOKUP(Q248,$BC$6:$BC$10,$BE$6:$BE$10),LOOKUP(Q248,$BB$6:$BB$10,$BE$6:$BE$10)))))))</f>
        <v/>
      </c>
      <c r="S248" s="145">
        <f>IF(H248="",0,(IF(テーブル2[[#This Row],[性別]]="男",LOOKUP(テーブル2[[#This Row],[握力]],$AI$6:$AJ$15),LOOKUP(テーブル2[[#This Row],[握力]],$AI$20:$AJ$29))))</f>
        <v>0</v>
      </c>
      <c r="T248" s="145">
        <f>IF(テーブル2[[#This Row],[上体]]="",0,(IF(テーブル2[[#This Row],[性別]]="男",LOOKUP(テーブル2[[#This Row],[上体]],$AK$6:$AL$15),LOOKUP(テーブル2[[#This Row],[上体]],$AK$20:$AL$29))))</f>
        <v>0</v>
      </c>
      <c r="U248" s="145">
        <f>IF(テーブル2[[#This Row],[長座]]="",0,(IF(テーブル2[[#This Row],[性別]]="男",LOOKUP(テーブル2[[#This Row],[長座]],$AM$6:$AN$15),LOOKUP(テーブル2[[#This Row],[長座]],$AM$20:$AN$29))))</f>
        <v>0</v>
      </c>
      <c r="V248" s="145">
        <f>IF(テーブル2[[#This Row],[反復]]="",0,(IF(テーブル2[[#This Row],[性別]]="男",LOOKUP(テーブル2[[#This Row],[反復]],$AO$6:$AP$15),LOOKUP(テーブル2[[#This Row],[反復]],$AO$20:$AP$29))))</f>
        <v>0</v>
      </c>
      <c r="W248" s="145">
        <f>IF(テーブル2[[#This Row],[持久走]]="",0,(IF(テーブル2[[#This Row],[性別]]="男",LOOKUP(テーブル2[[#This Row],[持久走]],$AQ$6:$AR$15),LOOKUP(テーブル2[[#This Row],[持久走]],$AQ$20:$AR$29))))</f>
        <v>0</v>
      </c>
      <c r="X248" s="145">
        <f>IF(テーブル2[[#This Row],[ｼｬﾄﾙﾗﾝ]]="",0,(IF(テーブル2[[#This Row],[性別]]="男",LOOKUP(テーブル2[[#This Row],[ｼｬﾄﾙﾗﾝ]],$AS$6:$AT$15),LOOKUP(テーブル2[[#This Row],[ｼｬﾄﾙﾗﾝ]],$AS$20:$AT$29))))</f>
        <v>0</v>
      </c>
      <c r="Y248" s="145">
        <f>IF(テーブル2[[#This Row],[50m走]]="",0,(IF(テーブル2[[#This Row],[性別]]="男",LOOKUP(テーブル2[[#This Row],[50m走]],$AU$6:$AV$15),LOOKUP(テーブル2[[#This Row],[50m走]],$AU$20:$AV$29))))</f>
        <v>0</v>
      </c>
      <c r="Z248" s="145">
        <f>IF(テーブル2[[#This Row],[立幅とび]]="",0,(IF(テーブル2[[#This Row],[性別]]="男",LOOKUP(テーブル2[[#This Row],[立幅とび]],$AW$6:$AX$15),LOOKUP(テーブル2[[#This Row],[立幅とび]],$AW$20:$AX$29))))</f>
        <v>0</v>
      </c>
      <c r="AA248" s="145">
        <f>IF(テーブル2[[#This Row],[ボール投げ]]="",0,(IF(テーブル2[[#This Row],[性別]]="男",LOOKUP(テーブル2[[#This Row],[ボール投げ]],$AY$6:$AZ$15),LOOKUP(テーブル2[[#This Row],[ボール投げ]],$AY$20:$AZ$29))))</f>
        <v>0</v>
      </c>
      <c r="AB248" s="146" t="str">
        <f>IF(テーブル2[[#This Row],[学年]]=1,12,IF(テーブル2[[#This Row],[学年]]=2,13,IF(テーブル2[[#This Row],[学年]]=3,14,"")))</f>
        <v/>
      </c>
      <c r="AC248" s="192" t="str">
        <f>IF(テーブル2[[#This Row],[肥満度数値]]=0,"",LOOKUP(AE248,$AW$39:$AW$44,$AX$39:$AX$44))</f>
        <v/>
      </c>
      <c r="AD24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8" s="77">
        <f>IF(テーブル2[[#This Row],[体重]]="",0,(テーブル2[[#This Row],[体重]]-テーブル2[[#This Row],[標準体重]])/テーブル2[[#This Row],[標準体重]]*100)</f>
        <v>0</v>
      </c>
      <c r="AF248" s="26">
        <f>COUNTA(テーブル2[[#This Row],[握力]:[ボール投げ]])</f>
        <v>0</v>
      </c>
      <c r="AG248" s="1" t="str">
        <f>IF(テーブル2[[#This Row],[判定]]=$BE$10,"○","")</f>
        <v/>
      </c>
      <c r="AH248" s="1" t="str">
        <f>IF(AG248="","",COUNTIF($AG$6:AG248,"○"))</f>
        <v/>
      </c>
    </row>
    <row r="249" spans="1:34" ht="14.25" customHeight="1" x14ac:dyDescent="0.15">
      <c r="A249" s="44">
        <v>244</v>
      </c>
      <c r="B249" s="148"/>
      <c r="C249" s="151"/>
      <c r="D249" s="148"/>
      <c r="E249" s="152"/>
      <c r="F249" s="148"/>
      <c r="G249" s="148"/>
      <c r="H249" s="150"/>
      <c r="I249" s="150"/>
      <c r="J249" s="151"/>
      <c r="K249" s="148"/>
      <c r="L249" s="196"/>
      <c r="M249" s="151"/>
      <c r="N249" s="197"/>
      <c r="O249" s="151"/>
      <c r="P249" s="153"/>
      <c r="Q24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9" s="144" t="str">
        <f>IF(テーブル2[[#This Row],[得点]]=0,"",IF(テーブル2[[#This Row],[年齢]]=17,LOOKUP(Q249,$BH$6:$BH$10,$BE$6:$BE$10),IF(テーブル2[[#This Row],[年齢]]=16,LOOKUP(Q249,$BG$6:$BG$10,$BE$6:$BE$10),IF(テーブル2[[#This Row],[年齢]]=15,LOOKUP(Q249,$BF$6:$BF$10,$BE$6:$BE$10),IF(テーブル2[[#This Row],[年齢]]=14,LOOKUP(Q249,$BD$6:$BD$10,$BE$6:$BE$10),IF(テーブル2[[#This Row],[年齢]]=13,LOOKUP(Q249,$BC$6:$BC$10,$BE$6:$BE$10),LOOKUP(Q249,$BB$6:$BB$10,$BE$6:$BE$10)))))))</f>
        <v/>
      </c>
      <c r="S249" s="145">
        <f>IF(H249="",0,(IF(テーブル2[[#This Row],[性別]]="男",LOOKUP(テーブル2[[#This Row],[握力]],$AI$6:$AJ$15),LOOKUP(テーブル2[[#This Row],[握力]],$AI$20:$AJ$29))))</f>
        <v>0</v>
      </c>
      <c r="T249" s="145">
        <f>IF(テーブル2[[#This Row],[上体]]="",0,(IF(テーブル2[[#This Row],[性別]]="男",LOOKUP(テーブル2[[#This Row],[上体]],$AK$6:$AL$15),LOOKUP(テーブル2[[#This Row],[上体]],$AK$20:$AL$29))))</f>
        <v>0</v>
      </c>
      <c r="U249" s="145">
        <f>IF(テーブル2[[#This Row],[長座]]="",0,(IF(テーブル2[[#This Row],[性別]]="男",LOOKUP(テーブル2[[#This Row],[長座]],$AM$6:$AN$15),LOOKUP(テーブル2[[#This Row],[長座]],$AM$20:$AN$29))))</f>
        <v>0</v>
      </c>
      <c r="V249" s="145">
        <f>IF(テーブル2[[#This Row],[反復]]="",0,(IF(テーブル2[[#This Row],[性別]]="男",LOOKUP(テーブル2[[#This Row],[反復]],$AO$6:$AP$15),LOOKUP(テーブル2[[#This Row],[反復]],$AO$20:$AP$29))))</f>
        <v>0</v>
      </c>
      <c r="W249" s="145">
        <f>IF(テーブル2[[#This Row],[持久走]]="",0,(IF(テーブル2[[#This Row],[性別]]="男",LOOKUP(テーブル2[[#This Row],[持久走]],$AQ$6:$AR$15),LOOKUP(テーブル2[[#This Row],[持久走]],$AQ$20:$AR$29))))</f>
        <v>0</v>
      </c>
      <c r="X249" s="145">
        <f>IF(テーブル2[[#This Row],[ｼｬﾄﾙﾗﾝ]]="",0,(IF(テーブル2[[#This Row],[性別]]="男",LOOKUP(テーブル2[[#This Row],[ｼｬﾄﾙﾗﾝ]],$AS$6:$AT$15),LOOKUP(テーブル2[[#This Row],[ｼｬﾄﾙﾗﾝ]],$AS$20:$AT$29))))</f>
        <v>0</v>
      </c>
      <c r="Y249" s="145">
        <f>IF(テーブル2[[#This Row],[50m走]]="",0,(IF(テーブル2[[#This Row],[性別]]="男",LOOKUP(テーブル2[[#This Row],[50m走]],$AU$6:$AV$15),LOOKUP(テーブル2[[#This Row],[50m走]],$AU$20:$AV$29))))</f>
        <v>0</v>
      </c>
      <c r="Z249" s="145">
        <f>IF(テーブル2[[#This Row],[立幅とび]]="",0,(IF(テーブル2[[#This Row],[性別]]="男",LOOKUP(テーブル2[[#This Row],[立幅とび]],$AW$6:$AX$15),LOOKUP(テーブル2[[#This Row],[立幅とび]],$AW$20:$AX$29))))</f>
        <v>0</v>
      </c>
      <c r="AA249" s="145">
        <f>IF(テーブル2[[#This Row],[ボール投げ]]="",0,(IF(テーブル2[[#This Row],[性別]]="男",LOOKUP(テーブル2[[#This Row],[ボール投げ]],$AY$6:$AZ$15),LOOKUP(テーブル2[[#This Row],[ボール投げ]],$AY$20:$AZ$29))))</f>
        <v>0</v>
      </c>
      <c r="AB249" s="146" t="str">
        <f>IF(テーブル2[[#This Row],[学年]]=1,12,IF(テーブル2[[#This Row],[学年]]=2,13,IF(テーブル2[[#This Row],[学年]]=3,14,"")))</f>
        <v/>
      </c>
      <c r="AC249" s="192" t="str">
        <f>IF(テーブル2[[#This Row],[肥満度数値]]=0,"",LOOKUP(AE249,$AW$39:$AW$44,$AX$39:$AX$44))</f>
        <v/>
      </c>
      <c r="AD24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49" s="77">
        <f>IF(テーブル2[[#This Row],[体重]]="",0,(テーブル2[[#This Row],[体重]]-テーブル2[[#This Row],[標準体重]])/テーブル2[[#This Row],[標準体重]]*100)</f>
        <v>0</v>
      </c>
      <c r="AF249" s="26">
        <f>COUNTA(テーブル2[[#This Row],[握力]:[ボール投げ]])</f>
        <v>0</v>
      </c>
      <c r="AG249" s="1" t="str">
        <f>IF(テーブル2[[#This Row],[判定]]=$BE$10,"○","")</f>
        <v/>
      </c>
      <c r="AH249" s="1" t="str">
        <f>IF(AG249="","",COUNTIF($AG$6:AG249,"○"))</f>
        <v/>
      </c>
    </row>
    <row r="250" spans="1:34" ht="14.25" customHeight="1" x14ac:dyDescent="0.15">
      <c r="A250" s="44">
        <v>245</v>
      </c>
      <c r="B250" s="148"/>
      <c r="C250" s="151"/>
      <c r="D250" s="148"/>
      <c r="E250" s="152"/>
      <c r="F250" s="148"/>
      <c r="G250" s="148"/>
      <c r="H250" s="150"/>
      <c r="I250" s="150"/>
      <c r="J250" s="151"/>
      <c r="K250" s="148"/>
      <c r="L250" s="196"/>
      <c r="M250" s="151"/>
      <c r="N250" s="197"/>
      <c r="O250" s="151"/>
      <c r="P250" s="153"/>
      <c r="Q25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0" s="144" t="str">
        <f>IF(テーブル2[[#This Row],[得点]]=0,"",IF(テーブル2[[#This Row],[年齢]]=17,LOOKUP(Q250,$BH$6:$BH$10,$BE$6:$BE$10),IF(テーブル2[[#This Row],[年齢]]=16,LOOKUP(Q250,$BG$6:$BG$10,$BE$6:$BE$10),IF(テーブル2[[#This Row],[年齢]]=15,LOOKUP(Q250,$BF$6:$BF$10,$BE$6:$BE$10),IF(テーブル2[[#This Row],[年齢]]=14,LOOKUP(Q250,$BD$6:$BD$10,$BE$6:$BE$10),IF(テーブル2[[#This Row],[年齢]]=13,LOOKUP(Q250,$BC$6:$BC$10,$BE$6:$BE$10),LOOKUP(Q250,$BB$6:$BB$10,$BE$6:$BE$10)))))))</f>
        <v/>
      </c>
      <c r="S250" s="145">
        <f>IF(H250="",0,(IF(テーブル2[[#This Row],[性別]]="男",LOOKUP(テーブル2[[#This Row],[握力]],$AI$6:$AJ$15),LOOKUP(テーブル2[[#This Row],[握力]],$AI$20:$AJ$29))))</f>
        <v>0</v>
      </c>
      <c r="T250" s="145">
        <f>IF(テーブル2[[#This Row],[上体]]="",0,(IF(テーブル2[[#This Row],[性別]]="男",LOOKUP(テーブル2[[#This Row],[上体]],$AK$6:$AL$15),LOOKUP(テーブル2[[#This Row],[上体]],$AK$20:$AL$29))))</f>
        <v>0</v>
      </c>
      <c r="U250" s="145">
        <f>IF(テーブル2[[#This Row],[長座]]="",0,(IF(テーブル2[[#This Row],[性別]]="男",LOOKUP(テーブル2[[#This Row],[長座]],$AM$6:$AN$15),LOOKUP(テーブル2[[#This Row],[長座]],$AM$20:$AN$29))))</f>
        <v>0</v>
      </c>
      <c r="V250" s="145">
        <f>IF(テーブル2[[#This Row],[反復]]="",0,(IF(テーブル2[[#This Row],[性別]]="男",LOOKUP(テーブル2[[#This Row],[反復]],$AO$6:$AP$15),LOOKUP(テーブル2[[#This Row],[反復]],$AO$20:$AP$29))))</f>
        <v>0</v>
      </c>
      <c r="W250" s="145">
        <f>IF(テーブル2[[#This Row],[持久走]]="",0,(IF(テーブル2[[#This Row],[性別]]="男",LOOKUP(テーブル2[[#This Row],[持久走]],$AQ$6:$AR$15),LOOKUP(テーブル2[[#This Row],[持久走]],$AQ$20:$AR$29))))</f>
        <v>0</v>
      </c>
      <c r="X250" s="145">
        <f>IF(テーブル2[[#This Row],[ｼｬﾄﾙﾗﾝ]]="",0,(IF(テーブル2[[#This Row],[性別]]="男",LOOKUP(テーブル2[[#This Row],[ｼｬﾄﾙﾗﾝ]],$AS$6:$AT$15),LOOKUP(テーブル2[[#This Row],[ｼｬﾄﾙﾗﾝ]],$AS$20:$AT$29))))</f>
        <v>0</v>
      </c>
      <c r="Y250" s="145">
        <f>IF(テーブル2[[#This Row],[50m走]]="",0,(IF(テーブル2[[#This Row],[性別]]="男",LOOKUP(テーブル2[[#This Row],[50m走]],$AU$6:$AV$15),LOOKUP(テーブル2[[#This Row],[50m走]],$AU$20:$AV$29))))</f>
        <v>0</v>
      </c>
      <c r="Z250" s="145">
        <f>IF(テーブル2[[#This Row],[立幅とび]]="",0,(IF(テーブル2[[#This Row],[性別]]="男",LOOKUP(テーブル2[[#This Row],[立幅とび]],$AW$6:$AX$15),LOOKUP(テーブル2[[#This Row],[立幅とび]],$AW$20:$AX$29))))</f>
        <v>0</v>
      </c>
      <c r="AA250" s="145">
        <f>IF(テーブル2[[#This Row],[ボール投げ]]="",0,(IF(テーブル2[[#This Row],[性別]]="男",LOOKUP(テーブル2[[#This Row],[ボール投げ]],$AY$6:$AZ$15),LOOKUP(テーブル2[[#This Row],[ボール投げ]],$AY$20:$AZ$29))))</f>
        <v>0</v>
      </c>
      <c r="AB250" s="146" t="str">
        <f>IF(テーブル2[[#This Row],[学年]]=1,12,IF(テーブル2[[#This Row],[学年]]=2,13,IF(テーブル2[[#This Row],[学年]]=3,14,"")))</f>
        <v/>
      </c>
      <c r="AC250" s="192" t="str">
        <f>IF(テーブル2[[#This Row],[肥満度数値]]=0,"",LOOKUP(AE250,$AW$39:$AW$44,$AX$39:$AX$44))</f>
        <v/>
      </c>
      <c r="AD25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0" s="77">
        <f>IF(テーブル2[[#This Row],[体重]]="",0,(テーブル2[[#This Row],[体重]]-テーブル2[[#This Row],[標準体重]])/テーブル2[[#This Row],[標準体重]]*100)</f>
        <v>0</v>
      </c>
      <c r="AF250" s="26">
        <f>COUNTA(テーブル2[[#This Row],[握力]:[ボール投げ]])</f>
        <v>0</v>
      </c>
      <c r="AG250" s="1" t="str">
        <f>IF(テーブル2[[#This Row],[判定]]=$BE$10,"○","")</f>
        <v/>
      </c>
      <c r="AH250" s="1" t="str">
        <f>IF(AG250="","",COUNTIF($AG$6:AG250,"○"))</f>
        <v/>
      </c>
    </row>
    <row r="251" spans="1:34" ht="14.25" customHeight="1" x14ac:dyDescent="0.15">
      <c r="A251" s="44">
        <v>246</v>
      </c>
      <c r="B251" s="148"/>
      <c r="C251" s="151"/>
      <c r="D251" s="148"/>
      <c r="E251" s="152"/>
      <c r="F251" s="148"/>
      <c r="G251" s="148"/>
      <c r="H251" s="150"/>
      <c r="I251" s="150"/>
      <c r="J251" s="151"/>
      <c r="K251" s="148"/>
      <c r="L251" s="196"/>
      <c r="M251" s="151"/>
      <c r="N251" s="197"/>
      <c r="O251" s="151"/>
      <c r="P251" s="153"/>
      <c r="Q25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1" s="144" t="str">
        <f>IF(テーブル2[[#This Row],[得点]]=0,"",IF(テーブル2[[#This Row],[年齢]]=17,LOOKUP(Q251,$BH$6:$BH$10,$BE$6:$BE$10),IF(テーブル2[[#This Row],[年齢]]=16,LOOKUP(Q251,$BG$6:$BG$10,$BE$6:$BE$10),IF(テーブル2[[#This Row],[年齢]]=15,LOOKUP(Q251,$BF$6:$BF$10,$BE$6:$BE$10),IF(テーブル2[[#This Row],[年齢]]=14,LOOKUP(Q251,$BD$6:$BD$10,$BE$6:$BE$10),IF(テーブル2[[#This Row],[年齢]]=13,LOOKUP(Q251,$BC$6:$BC$10,$BE$6:$BE$10),LOOKUP(Q251,$BB$6:$BB$10,$BE$6:$BE$10)))))))</f>
        <v/>
      </c>
      <c r="S251" s="145">
        <f>IF(H251="",0,(IF(テーブル2[[#This Row],[性別]]="男",LOOKUP(テーブル2[[#This Row],[握力]],$AI$6:$AJ$15),LOOKUP(テーブル2[[#This Row],[握力]],$AI$20:$AJ$29))))</f>
        <v>0</v>
      </c>
      <c r="T251" s="145">
        <f>IF(テーブル2[[#This Row],[上体]]="",0,(IF(テーブル2[[#This Row],[性別]]="男",LOOKUP(テーブル2[[#This Row],[上体]],$AK$6:$AL$15),LOOKUP(テーブル2[[#This Row],[上体]],$AK$20:$AL$29))))</f>
        <v>0</v>
      </c>
      <c r="U251" s="145">
        <f>IF(テーブル2[[#This Row],[長座]]="",0,(IF(テーブル2[[#This Row],[性別]]="男",LOOKUP(テーブル2[[#This Row],[長座]],$AM$6:$AN$15),LOOKUP(テーブル2[[#This Row],[長座]],$AM$20:$AN$29))))</f>
        <v>0</v>
      </c>
      <c r="V251" s="145">
        <f>IF(テーブル2[[#This Row],[反復]]="",0,(IF(テーブル2[[#This Row],[性別]]="男",LOOKUP(テーブル2[[#This Row],[反復]],$AO$6:$AP$15),LOOKUP(テーブル2[[#This Row],[反復]],$AO$20:$AP$29))))</f>
        <v>0</v>
      </c>
      <c r="W251" s="145">
        <f>IF(テーブル2[[#This Row],[持久走]]="",0,(IF(テーブル2[[#This Row],[性別]]="男",LOOKUP(テーブル2[[#This Row],[持久走]],$AQ$6:$AR$15),LOOKUP(テーブル2[[#This Row],[持久走]],$AQ$20:$AR$29))))</f>
        <v>0</v>
      </c>
      <c r="X251" s="145">
        <f>IF(テーブル2[[#This Row],[ｼｬﾄﾙﾗﾝ]]="",0,(IF(テーブル2[[#This Row],[性別]]="男",LOOKUP(テーブル2[[#This Row],[ｼｬﾄﾙﾗﾝ]],$AS$6:$AT$15),LOOKUP(テーブル2[[#This Row],[ｼｬﾄﾙﾗﾝ]],$AS$20:$AT$29))))</f>
        <v>0</v>
      </c>
      <c r="Y251" s="145">
        <f>IF(テーブル2[[#This Row],[50m走]]="",0,(IF(テーブル2[[#This Row],[性別]]="男",LOOKUP(テーブル2[[#This Row],[50m走]],$AU$6:$AV$15),LOOKUP(テーブル2[[#This Row],[50m走]],$AU$20:$AV$29))))</f>
        <v>0</v>
      </c>
      <c r="Z251" s="145">
        <f>IF(テーブル2[[#This Row],[立幅とび]]="",0,(IF(テーブル2[[#This Row],[性別]]="男",LOOKUP(テーブル2[[#This Row],[立幅とび]],$AW$6:$AX$15),LOOKUP(テーブル2[[#This Row],[立幅とび]],$AW$20:$AX$29))))</f>
        <v>0</v>
      </c>
      <c r="AA251" s="145">
        <f>IF(テーブル2[[#This Row],[ボール投げ]]="",0,(IF(テーブル2[[#This Row],[性別]]="男",LOOKUP(テーブル2[[#This Row],[ボール投げ]],$AY$6:$AZ$15),LOOKUP(テーブル2[[#This Row],[ボール投げ]],$AY$20:$AZ$29))))</f>
        <v>0</v>
      </c>
      <c r="AB251" s="146" t="str">
        <f>IF(テーブル2[[#This Row],[学年]]=1,12,IF(テーブル2[[#This Row],[学年]]=2,13,IF(テーブル2[[#This Row],[学年]]=3,14,"")))</f>
        <v/>
      </c>
      <c r="AC251" s="192" t="str">
        <f>IF(テーブル2[[#This Row],[肥満度数値]]=0,"",LOOKUP(AE251,$AW$39:$AW$44,$AX$39:$AX$44))</f>
        <v/>
      </c>
      <c r="AD25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1" s="77">
        <f>IF(テーブル2[[#This Row],[体重]]="",0,(テーブル2[[#This Row],[体重]]-テーブル2[[#This Row],[標準体重]])/テーブル2[[#This Row],[標準体重]]*100)</f>
        <v>0</v>
      </c>
      <c r="AF251" s="26">
        <f>COUNTA(テーブル2[[#This Row],[握力]:[ボール投げ]])</f>
        <v>0</v>
      </c>
      <c r="AG251" s="1" t="str">
        <f>IF(テーブル2[[#This Row],[判定]]=$BE$10,"○","")</f>
        <v/>
      </c>
      <c r="AH251" s="1" t="str">
        <f>IF(AG251="","",COUNTIF($AG$6:AG251,"○"))</f>
        <v/>
      </c>
    </row>
    <row r="252" spans="1:34" ht="14.25" customHeight="1" x14ac:dyDescent="0.15">
      <c r="A252" s="44">
        <v>247</v>
      </c>
      <c r="B252" s="148"/>
      <c r="C252" s="151"/>
      <c r="D252" s="148"/>
      <c r="E252" s="152"/>
      <c r="F252" s="148"/>
      <c r="G252" s="148"/>
      <c r="H252" s="150"/>
      <c r="I252" s="150"/>
      <c r="J252" s="151"/>
      <c r="K252" s="148"/>
      <c r="L252" s="196"/>
      <c r="M252" s="151"/>
      <c r="N252" s="197"/>
      <c r="O252" s="151"/>
      <c r="P252" s="153"/>
      <c r="Q25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2" s="144" t="str">
        <f>IF(テーブル2[[#This Row],[得点]]=0,"",IF(テーブル2[[#This Row],[年齢]]=17,LOOKUP(Q252,$BH$6:$BH$10,$BE$6:$BE$10),IF(テーブル2[[#This Row],[年齢]]=16,LOOKUP(Q252,$BG$6:$BG$10,$BE$6:$BE$10),IF(テーブル2[[#This Row],[年齢]]=15,LOOKUP(Q252,$BF$6:$BF$10,$BE$6:$BE$10),IF(テーブル2[[#This Row],[年齢]]=14,LOOKUP(Q252,$BD$6:$BD$10,$BE$6:$BE$10),IF(テーブル2[[#This Row],[年齢]]=13,LOOKUP(Q252,$BC$6:$BC$10,$BE$6:$BE$10),LOOKUP(Q252,$BB$6:$BB$10,$BE$6:$BE$10)))))))</f>
        <v/>
      </c>
      <c r="S252" s="145">
        <f>IF(H252="",0,(IF(テーブル2[[#This Row],[性別]]="男",LOOKUP(テーブル2[[#This Row],[握力]],$AI$6:$AJ$15),LOOKUP(テーブル2[[#This Row],[握力]],$AI$20:$AJ$29))))</f>
        <v>0</v>
      </c>
      <c r="T252" s="145">
        <f>IF(テーブル2[[#This Row],[上体]]="",0,(IF(テーブル2[[#This Row],[性別]]="男",LOOKUP(テーブル2[[#This Row],[上体]],$AK$6:$AL$15),LOOKUP(テーブル2[[#This Row],[上体]],$AK$20:$AL$29))))</f>
        <v>0</v>
      </c>
      <c r="U252" s="145">
        <f>IF(テーブル2[[#This Row],[長座]]="",0,(IF(テーブル2[[#This Row],[性別]]="男",LOOKUP(テーブル2[[#This Row],[長座]],$AM$6:$AN$15),LOOKUP(テーブル2[[#This Row],[長座]],$AM$20:$AN$29))))</f>
        <v>0</v>
      </c>
      <c r="V252" s="145">
        <f>IF(テーブル2[[#This Row],[反復]]="",0,(IF(テーブル2[[#This Row],[性別]]="男",LOOKUP(テーブル2[[#This Row],[反復]],$AO$6:$AP$15),LOOKUP(テーブル2[[#This Row],[反復]],$AO$20:$AP$29))))</f>
        <v>0</v>
      </c>
      <c r="W252" s="145">
        <f>IF(テーブル2[[#This Row],[持久走]]="",0,(IF(テーブル2[[#This Row],[性別]]="男",LOOKUP(テーブル2[[#This Row],[持久走]],$AQ$6:$AR$15),LOOKUP(テーブル2[[#This Row],[持久走]],$AQ$20:$AR$29))))</f>
        <v>0</v>
      </c>
      <c r="X252" s="145">
        <f>IF(テーブル2[[#This Row],[ｼｬﾄﾙﾗﾝ]]="",0,(IF(テーブル2[[#This Row],[性別]]="男",LOOKUP(テーブル2[[#This Row],[ｼｬﾄﾙﾗﾝ]],$AS$6:$AT$15),LOOKUP(テーブル2[[#This Row],[ｼｬﾄﾙﾗﾝ]],$AS$20:$AT$29))))</f>
        <v>0</v>
      </c>
      <c r="Y252" s="145">
        <f>IF(テーブル2[[#This Row],[50m走]]="",0,(IF(テーブル2[[#This Row],[性別]]="男",LOOKUP(テーブル2[[#This Row],[50m走]],$AU$6:$AV$15),LOOKUP(テーブル2[[#This Row],[50m走]],$AU$20:$AV$29))))</f>
        <v>0</v>
      </c>
      <c r="Z252" s="145">
        <f>IF(テーブル2[[#This Row],[立幅とび]]="",0,(IF(テーブル2[[#This Row],[性別]]="男",LOOKUP(テーブル2[[#This Row],[立幅とび]],$AW$6:$AX$15),LOOKUP(テーブル2[[#This Row],[立幅とび]],$AW$20:$AX$29))))</f>
        <v>0</v>
      </c>
      <c r="AA252" s="145">
        <f>IF(テーブル2[[#This Row],[ボール投げ]]="",0,(IF(テーブル2[[#This Row],[性別]]="男",LOOKUP(テーブル2[[#This Row],[ボール投げ]],$AY$6:$AZ$15),LOOKUP(テーブル2[[#This Row],[ボール投げ]],$AY$20:$AZ$29))))</f>
        <v>0</v>
      </c>
      <c r="AB252" s="146" t="str">
        <f>IF(テーブル2[[#This Row],[学年]]=1,12,IF(テーブル2[[#This Row],[学年]]=2,13,IF(テーブル2[[#This Row],[学年]]=3,14,"")))</f>
        <v/>
      </c>
      <c r="AC252" s="192" t="str">
        <f>IF(テーブル2[[#This Row],[肥満度数値]]=0,"",LOOKUP(AE252,$AW$39:$AW$44,$AX$39:$AX$44))</f>
        <v/>
      </c>
      <c r="AD25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2" s="77">
        <f>IF(テーブル2[[#This Row],[体重]]="",0,(テーブル2[[#This Row],[体重]]-テーブル2[[#This Row],[標準体重]])/テーブル2[[#This Row],[標準体重]]*100)</f>
        <v>0</v>
      </c>
      <c r="AF252" s="26">
        <f>COUNTA(テーブル2[[#This Row],[握力]:[ボール投げ]])</f>
        <v>0</v>
      </c>
      <c r="AG252" s="1" t="str">
        <f>IF(テーブル2[[#This Row],[判定]]=$BE$10,"○","")</f>
        <v/>
      </c>
      <c r="AH252" s="1" t="str">
        <f>IF(AG252="","",COUNTIF($AG$6:AG252,"○"))</f>
        <v/>
      </c>
    </row>
    <row r="253" spans="1:34" ht="14.25" customHeight="1" x14ac:dyDescent="0.15">
      <c r="A253" s="44">
        <v>248</v>
      </c>
      <c r="B253" s="148"/>
      <c r="C253" s="151"/>
      <c r="D253" s="148"/>
      <c r="E253" s="152"/>
      <c r="F253" s="148"/>
      <c r="G253" s="148"/>
      <c r="H253" s="150"/>
      <c r="I253" s="150"/>
      <c r="J253" s="151"/>
      <c r="K253" s="148"/>
      <c r="L253" s="196"/>
      <c r="M253" s="151"/>
      <c r="N253" s="197"/>
      <c r="O253" s="151"/>
      <c r="P253" s="153"/>
      <c r="Q25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3" s="144" t="str">
        <f>IF(テーブル2[[#This Row],[得点]]=0,"",IF(テーブル2[[#This Row],[年齢]]=17,LOOKUP(Q253,$BH$6:$BH$10,$BE$6:$BE$10),IF(テーブル2[[#This Row],[年齢]]=16,LOOKUP(Q253,$BG$6:$BG$10,$BE$6:$BE$10),IF(テーブル2[[#This Row],[年齢]]=15,LOOKUP(Q253,$BF$6:$BF$10,$BE$6:$BE$10),IF(テーブル2[[#This Row],[年齢]]=14,LOOKUP(Q253,$BD$6:$BD$10,$BE$6:$BE$10),IF(テーブル2[[#This Row],[年齢]]=13,LOOKUP(Q253,$BC$6:$BC$10,$BE$6:$BE$10),LOOKUP(Q253,$BB$6:$BB$10,$BE$6:$BE$10)))))))</f>
        <v/>
      </c>
      <c r="S253" s="145">
        <f>IF(H253="",0,(IF(テーブル2[[#This Row],[性別]]="男",LOOKUP(テーブル2[[#This Row],[握力]],$AI$6:$AJ$15),LOOKUP(テーブル2[[#This Row],[握力]],$AI$20:$AJ$29))))</f>
        <v>0</v>
      </c>
      <c r="T253" s="145">
        <f>IF(テーブル2[[#This Row],[上体]]="",0,(IF(テーブル2[[#This Row],[性別]]="男",LOOKUP(テーブル2[[#This Row],[上体]],$AK$6:$AL$15),LOOKUP(テーブル2[[#This Row],[上体]],$AK$20:$AL$29))))</f>
        <v>0</v>
      </c>
      <c r="U253" s="145">
        <f>IF(テーブル2[[#This Row],[長座]]="",0,(IF(テーブル2[[#This Row],[性別]]="男",LOOKUP(テーブル2[[#This Row],[長座]],$AM$6:$AN$15),LOOKUP(テーブル2[[#This Row],[長座]],$AM$20:$AN$29))))</f>
        <v>0</v>
      </c>
      <c r="V253" s="145">
        <f>IF(テーブル2[[#This Row],[反復]]="",0,(IF(テーブル2[[#This Row],[性別]]="男",LOOKUP(テーブル2[[#This Row],[反復]],$AO$6:$AP$15),LOOKUP(テーブル2[[#This Row],[反復]],$AO$20:$AP$29))))</f>
        <v>0</v>
      </c>
      <c r="W253" s="145">
        <f>IF(テーブル2[[#This Row],[持久走]]="",0,(IF(テーブル2[[#This Row],[性別]]="男",LOOKUP(テーブル2[[#This Row],[持久走]],$AQ$6:$AR$15),LOOKUP(テーブル2[[#This Row],[持久走]],$AQ$20:$AR$29))))</f>
        <v>0</v>
      </c>
      <c r="X253" s="145">
        <f>IF(テーブル2[[#This Row],[ｼｬﾄﾙﾗﾝ]]="",0,(IF(テーブル2[[#This Row],[性別]]="男",LOOKUP(テーブル2[[#This Row],[ｼｬﾄﾙﾗﾝ]],$AS$6:$AT$15),LOOKUP(テーブル2[[#This Row],[ｼｬﾄﾙﾗﾝ]],$AS$20:$AT$29))))</f>
        <v>0</v>
      </c>
      <c r="Y253" s="145">
        <f>IF(テーブル2[[#This Row],[50m走]]="",0,(IF(テーブル2[[#This Row],[性別]]="男",LOOKUP(テーブル2[[#This Row],[50m走]],$AU$6:$AV$15),LOOKUP(テーブル2[[#This Row],[50m走]],$AU$20:$AV$29))))</f>
        <v>0</v>
      </c>
      <c r="Z253" s="145">
        <f>IF(テーブル2[[#This Row],[立幅とび]]="",0,(IF(テーブル2[[#This Row],[性別]]="男",LOOKUP(テーブル2[[#This Row],[立幅とび]],$AW$6:$AX$15),LOOKUP(テーブル2[[#This Row],[立幅とび]],$AW$20:$AX$29))))</f>
        <v>0</v>
      </c>
      <c r="AA253" s="145">
        <f>IF(テーブル2[[#This Row],[ボール投げ]]="",0,(IF(テーブル2[[#This Row],[性別]]="男",LOOKUP(テーブル2[[#This Row],[ボール投げ]],$AY$6:$AZ$15),LOOKUP(テーブル2[[#This Row],[ボール投げ]],$AY$20:$AZ$29))))</f>
        <v>0</v>
      </c>
      <c r="AB253" s="146" t="str">
        <f>IF(テーブル2[[#This Row],[学年]]=1,12,IF(テーブル2[[#This Row],[学年]]=2,13,IF(テーブル2[[#This Row],[学年]]=3,14,"")))</f>
        <v/>
      </c>
      <c r="AC253" s="192" t="str">
        <f>IF(テーブル2[[#This Row],[肥満度数値]]=0,"",LOOKUP(AE253,$AW$39:$AW$44,$AX$39:$AX$44))</f>
        <v/>
      </c>
      <c r="AD25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3" s="77">
        <f>IF(テーブル2[[#This Row],[体重]]="",0,(テーブル2[[#This Row],[体重]]-テーブル2[[#This Row],[標準体重]])/テーブル2[[#This Row],[標準体重]]*100)</f>
        <v>0</v>
      </c>
      <c r="AF253" s="26">
        <f>COUNTA(テーブル2[[#This Row],[握力]:[ボール投げ]])</f>
        <v>0</v>
      </c>
      <c r="AG253" s="1" t="str">
        <f>IF(テーブル2[[#This Row],[判定]]=$BE$10,"○","")</f>
        <v/>
      </c>
      <c r="AH253" s="1" t="str">
        <f>IF(AG253="","",COUNTIF($AG$6:AG253,"○"))</f>
        <v/>
      </c>
    </row>
    <row r="254" spans="1:34" ht="14.25" customHeight="1" x14ac:dyDescent="0.15">
      <c r="A254" s="44">
        <v>249</v>
      </c>
      <c r="B254" s="148"/>
      <c r="C254" s="151"/>
      <c r="D254" s="148"/>
      <c r="E254" s="152"/>
      <c r="F254" s="148"/>
      <c r="G254" s="148"/>
      <c r="H254" s="150"/>
      <c r="I254" s="150"/>
      <c r="J254" s="151"/>
      <c r="K254" s="148"/>
      <c r="L254" s="196"/>
      <c r="M254" s="151"/>
      <c r="N254" s="197"/>
      <c r="O254" s="151"/>
      <c r="P254" s="153"/>
      <c r="Q25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4" s="144" t="str">
        <f>IF(テーブル2[[#This Row],[得点]]=0,"",IF(テーブル2[[#This Row],[年齢]]=17,LOOKUP(Q254,$BH$6:$BH$10,$BE$6:$BE$10),IF(テーブル2[[#This Row],[年齢]]=16,LOOKUP(Q254,$BG$6:$BG$10,$BE$6:$BE$10),IF(テーブル2[[#This Row],[年齢]]=15,LOOKUP(Q254,$BF$6:$BF$10,$BE$6:$BE$10),IF(テーブル2[[#This Row],[年齢]]=14,LOOKUP(Q254,$BD$6:$BD$10,$BE$6:$BE$10),IF(テーブル2[[#This Row],[年齢]]=13,LOOKUP(Q254,$BC$6:$BC$10,$BE$6:$BE$10),LOOKUP(Q254,$BB$6:$BB$10,$BE$6:$BE$10)))))))</f>
        <v/>
      </c>
      <c r="S254" s="145">
        <f>IF(H254="",0,(IF(テーブル2[[#This Row],[性別]]="男",LOOKUP(テーブル2[[#This Row],[握力]],$AI$6:$AJ$15),LOOKUP(テーブル2[[#This Row],[握力]],$AI$20:$AJ$29))))</f>
        <v>0</v>
      </c>
      <c r="T254" s="145">
        <f>IF(テーブル2[[#This Row],[上体]]="",0,(IF(テーブル2[[#This Row],[性別]]="男",LOOKUP(テーブル2[[#This Row],[上体]],$AK$6:$AL$15),LOOKUP(テーブル2[[#This Row],[上体]],$AK$20:$AL$29))))</f>
        <v>0</v>
      </c>
      <c r="U254" s="145">
        <f>IF(テーブル2[[#This Row],[長座]]="",0,(IF(テーブル2[[#This Row],[性別]]="男",LOOKUP(テーブル2[[#This Row],[長座]],$AM$6:$AN$15),LOOKUP(テーブル2[[#This Row],[長座]],$AM$20:$AN$29))))</f>
        <v>0</v>
      </c>
      <c r="V254" s="145">
        <f>IF(テーブル2[[#This Row],[反復]]="",0,(IF(テーブル2[[#This Row],[性別]]="男",LOOKUP(テーブル2[[#This Row],[反復]],$AO$6:$AP$15),LOOKUP(テーブル2[[#This Row],[反復]],$AO$20:$AP$29))))</f>
        <v>0</v>
      </c>
      <c r="W254" s="145">
        <f>IF(テーブル2[[#This Row],[持久走]]="",0,(IF(テーブル2[[#This Row],[性別]]="男",LOOKUP(テーブル2[[#This Row],[持久走]],$AQ$6:$AR$15),LOOKUP(テーブル2[[#This Row],[持久走]],$AQ$20:$AR$29))))</f>
        <v>0</v>
      </c>
      <c r="X254" s="145">
        <f>IF(テーブル2[[#This Row],[ｼｬﾄﾙﾗﾝ]]="",0,(IF(テーブル2[[#This Row],[性別]]="男",LOOKUP(テーブル2[[#This Row],[ｼｬﾄﾙﾗﾝ]],$AS$6:$AT$15),LOOKUP(テーブル2[[#This Row],[ｼｬﾄﾙﾗﾝ]],$AS$20:$AT$29))))</f>
        <v>0</v>
      </c>
      <c r="Y254" s="145">
        <f>IF(テーブル2[[#This Row],[50m走]]="",0,(IF(テーブル2[[#This Row],[性別]]="男",LOOKUP(テーブル2[[#This Row],[50m走]],$AU$6:$AV$15),LOOKUP(テーブル2[[#This Row],[50m走]],$AU$20:$AV$29))))</f>
        <v>0</v>
      </c>
      <c r="Z254" s="145">
        <f>IF(テーブル2[[#This Row],[立幅とび]]="",0,(IF(テーブル2[[#This Row],[性別]]="男",LOOKUP(テーブル2[[#This Row],[立幅とび]],$AW$6:$AX$15),LOOKUP(テーブル2[[#This Row],[立幅とび]],$AW$20:$AX$29))))</f>
        <v>0</v>
      </c>
      <c r="AA254" s="145">
        <f>IF(テーブル2[[#This Row],[ボール投げ]]="",0,(IF(テーブル2[[#This Row],[性別]]="男",LOOKUP(テーブル2[[#This Row],[ボール投げ]],$AY$6:$AZ$15),LOOKUP(テーブル2[[#This Row],[ボール投げ]],$AY$20:$AZ$29))))</f>
        <v>0</v>
      </c>
      <c r="AB254" s="146" t="str">
        <f>IF(テーブル2[[#This Row],[学年]]=1,12,IF(テーブル2[[#This Row],[学年]]=2,13,IF(テーブル2[[#This Row],[学年]]=3,14,"")))</f>
        <v/>
      </c>
      <c r="AC254" s="192" t="str">
        <f>IF(テーブル2[[#This Row],[肥満度数値]]=0,"",LOOKUP(AE254,$AW$39:$AW$44,$AX$39:$AX$44))</f>
        <v/>
      </c>
      <c r="AD25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4" s="77">
        <f>IF(テーブル2[[#This Row],[体重]]="",0,(テーブル2[[#This Row],[体重]]-テーブル2[[#This Row],[標準体重]])/テーブル2[[#This Row],[標準体重]]*100)</f>
        <v>0</v>
      </c>
      <c r="AF254" s="26">
        <f>COUNTA(テーブル2[[#This Row],[握力]:[ボール投げ]])</f>
        <v>0</v>
      </c>
      <c r="AG254" s="1" t="str">
        <f>IF(テーブル2[[#This Row],[判定]]=$BE$10,"○","")</f>
        <v/>
      </c>
      <c r="AH254" s="1" t="str">
        <f>IF(AG254="","",COUNTIF($AG$6:AG254,"○"))</f>
        <v/>
      </c>
    </row>
    <row r="255" spans="1:34" ht="14.25" customHeight="1" x14ac:dyDescent="0.15">
      <c r="A255" s="44">
        <v>250</v>
      </c>
      <c r="B255" s="148"/>
      <c r="C255" s="151"/>
      <c r="D255" s="148"/>
      <c r="E255" s="152"/>
      <c r="F255" s="148"/>
      <c r="G255" s="148"/>
      <c r="H255" s="150"/>
      <c r="I255" s="150"/>
      <c r="J255" s="151"/>
      <c r="K255" s="148"/>
      <c r="L255" s="196"/>
      <c r="M255" s="151"/>
      <c r="N255" s="197"/>
      <c r="O255" s="151"/>
      <c r="P255" s="153"/>
      <c r="Q25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5" s="144" t="str">
        <f>IF(テーブル2[[#This Row],[得点]]=0,"",IF(テーブル2[[#This Row],[年齢]]=17,LOOKUP(Q255,$BH$6:$BH$10,$BE$6:$BE$10),IF(テーブル2[[#This Row],[年齢]]=16,LOOKUP(Q255,$BG$6:$BG$10,$BE$6:$BE$10),IF(テーブル2[[#This Row],[年齢]]=15,LOOKUP(Q255,$BF$6:$BF$10,$BE$6:$BE$10),IF(テーブル2[[#This Row],[年齢]]=14,LOOKUP(Q255,$BD$6:$BD$10,$BE$6:$BE$10),IF(テーブル2[[#This Row],[年齢]]=13,LOOKUP(Q255,$BC$6:$BC$10,$BE$6:$BE$10),LOOKUP(Q255,$BB$6:$BB$10,$BE$6:$BE$10)))))))</f>
        <v/>
      </c>
      <c r="S255" s="145">
        <f>IF(H255="",0,(IF(テーブル2[[#This Row],[性別]]="男",LOOKUP(テーブル2[[#This Row],[握力]],$AI$6:$AJ$15),LOOKUP(テーブル2[[#This Row],[握力]],$AI$20:$AJ$29))))</f>
        <v>0</v>
      </c>
      <c r="T255" s="145">
        <f>IF(テーブル2[[#This Row],[上体]]="",0,(IF(テーブル2[[#This Row],[性別]]="男",LOOKUP(テーブル2[[#This Row],[上体]],$AK$6:$AL$15),LOOKUP(テーブル2[[#This Row],[上体]],$AK$20:$AL$29))))</f>
        <v>0</v>
      </c>
      <c r="U255" s="145">
        <f>IF(テーブル2[[#This Row],[長座]]="",0,(IF(テーブル2[[#This Row],[性別]]="男",LOOKUP(テーブル2[[#This Row],[長座]],$AM$6:$AN$15),LOOKUP(テーブル2[[#This Row],[長座]],$AM$20:$AN$29))))</f>
        <v>0</v>
      </c>
      <c r="V255" s="145">
        <f>IF(テーブル2[[#This Row],[反復]]="",0,(IF(テーブル2[[#This Row],[性別]]="男",LOOKUP(テーブル2[[#This Row],[反復]],$AO$6:$AP$15),LOOKUP(テーブル2[[#This Row],[反復]],$AO$20:$AP$29))))</f>
        <v>0</v>
      </c>
      <c r="W255" s="145">
        <f>IF(テーブル2[[#This Row],[持久走]]="",0,(IF(テーブル2[[#This Row],[性別]]="男",LOOKUP(テーブル2[[#This Row],[持久走]],$AQ$6:$AR$15),LOOKUP(テーブル2[[#This Row],[持久走]],$AQ$20:$AR$29))))</f>
        <v>0</v>
      </c>
      <c r="X255" s="145">
        <f>IF(テーブル2[[#This Row],[ｼｬﾄﾙﾗﾝ]]="",0,(IF(テーブル2[[#This Row],[性別]]="男",LOOKUP(テーブル2[[#This Row],[ｼｬﾄﾙﾗﾝ]],$AS$6:$AT$15),LOOKUP(テーブル2[[#This Row],[ｼｬﾄﾙﾗﾝ]],$AS$20:$AT$29))))</f>
        <v>0</v>
      </c>
      <c r="Y255" s="145">
        <f>IF(テーブル2[[#This Row],[50m走]]="",0,(IF(テーブル2[[#This Row],[性別]]="男",LOOKUP(テーブル2[[#This Row],[50m走]],$AU$6:$AV$15),LOOKUP(テーブル2[[#This Row],[50m走]],$AU$20:$AV$29))))</f>
        <v>0</v>
      </c>
      <c r="Z255" s="145">
        <f>IF(テーブル2[[#This Row],[立幅とび]]="",0,(IF(テーブル2[[#This Row],[性別]]="男",LOOKUP(テーブル2[[#This Row],[立幅とび]],$AW$6:$AX$15),LOOKUP(テーブル2[[#This Row],[立幅とび]],$AW$20:$AX$29))))</f>
        <v>0</v>
      </c>
      <c r="AA255" s="145">
        <f>IF(テーブル2[[#This Row],[ボール投げ]]="",0,(IF(テーブル2[[#This Row],[性別]]="男",LOOKUP(テーブル2[[#This Row],[ボール投げ]],$AY$6:$AZ$15),LOOKUP(テーブル2[[#This Row],[ボール投げ]],$AY$20:$AZ$29))))</f>
        <v>0</v>
      </c>
      <c r="AB255" s="146" t="str">
        <f>IF(テーブル2[[#This Row],[学年]]=1,12,IF(テーブル2[[#This Row],[学年]]=2,13,IF(テーブル2[[#This Row],[学年]]=3,14,"")))</f>
        <v/>
      </c>
      <c r="AC255" s="192" t="str">
        <f>IF(テーブル2[[#This Row],[肥満度数値]]=0,"",LOOKUP(AE255,$AW$39:$AW$44,$AX$39:$AX$44))</f>
        <v/>
      </c>
      <c r="AD25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5" s="77">
        <f>IF(テーブル2[[#This Row],[体重]]="",0,(テーブル2[[#This Row],[体重]]-テーブル2[[#This Row],[標準体重]])/テーブル2[[#This Row],[標準体重]]*100)</f>
        <v>0</v>
      </c>
      <c r="AF255" s="26">
        <f>COUNTA(テーブル2[[#This Row],[握力]:[ボール投げ]])</f>
        <v>0</v>
      </c>
      <c r="AG255" s="1" t="str">
        <f>IF(テーブル2[[#This Row],[判定]]=$BE$10,"○","")</f>
        <v/>
      </c>
      <c r="AH255" s="1" t="str">
        <f>IF(AG255="","",COUNTIF($AG$6:AG255,"○"))</f>
        <v/>
      </c>
    </row>
    <row r="256" spans="1:34" ht="14.25" customHeight="1" x14ac:dyDescent="0.15">
      <c r="A256" s="44">
        <v>251</v>
      </c>
      <c r="B256" s="148"/>
      <c r="C256" s="151"/>
      <c r="D256" s="148"/>
      <c r="E256" s="152"/>
      <c r="F256" s="148"/>
      <c r="G256" s="148"/>
      <c r="H256" s="150"/>
      <c r="I256" s="150"/>
      <c r="J256" s="151"/>
      <c r="K256" s="148"/>
      <c r="L256" s="196"/>
      <c r="M256" s="151"/>
      <c r="N256" s="197"/>
      <c r="O256" s="151"/>
      <c r="P256" s="153"/>
      <c r="Q25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6" s="144" t="str">
        <f>IF(テーブル2[[#This Row],[得点]]=0,"",IF(テーブル2[[#This Row],[年齢]]=17,LOOKUP(Q256,$BH$6:$BH$10,$BE$6:$BE$10),IF(テーブル2[[#This Row],[年齢]]=16,LOOKUP(Q256,$BG$6:$BG$10,$BE$6:$BE$10),IF(テーブル2[[#This Row],[年齢]]=15,LOOKUP(Q256,$BF$6:$BF$10,$BE$6:$BE$10),IF(テーブル2[[#This Row],[年齢]]=14,LOOKUP(Q256,$BD$6:$BD$10,$BE$6:$BE$10),IF(テーブル2[[#This Row],[年齢]]=13,LOOKUP(Q256,$BC$6:$BC$10,$BE$6:$BE$10),LOOKUP(Q256,$BB$6:$BB$10,$BE$6:$BE$10)))))))</f>
        <v/>
      </c>
      <c r="S256" s="145">
        <f>IF(H256="",0,(IF(テーブル2[[#This Row],[性別]]="男",LOOKUP(テーブル2[[#This Row],[握力]],$AI$6:$AJ$15),LOOKUP(テーブル2[[#This Row],[握力]],$AI$20:$AJ$29))))</f>
        <v>0</v>
      </c>
      <c r="T256" s="145">
        <f>IF(テーブル2[[#This Row],[上体]]="",0,(IF(テーブル2[[#This Row],[性別]]="男",LOOKUP(テーブル2[[#This Row],[上体]],$AK$6:$AL$15),LOOKUP(テーブル2[[#This Row],[上体]],$AK$20:$AL$29))))</f>
        <v>0</v>
      </c>
      <c r="U256" s="145">
        <f>IF(テーブル2[[#This Row],[長座]]="",0,(IF(テーブル2[[#This Row],[性別]]="男",LOOKUP(テーブル2[[#This Row],[長座]],$AM$6:$AN$15),LOOKUP(テーブル2[[#This Row],[長座]],$AM$20:$AN$29))))</f>
        <v>0</v>
      </c>
      <c r="V256" s="145">
        <f>IF(テーブル2[[#This Row],[反復]]="",0,(IF(テーブル2[[#This Row],[性別]]="男",LOOKUP(テーブル2[[#This Row],[反復]],$AO$6:$AP$15),LOOKUP(テーブル2[[#This Row],[反復]],$AO$20:$AP$29))))</f>
        <v>0</v>
      </c>
      <c r="W256" s="145">
        <f>IF(テーブル2[[#This Row],[持久走]]="",0,(IF(テーブル2[[#This Row],[性別]]="男",LOOKUP(テーブル2[[#This Row],[持久走]],$AQ$6:$AR$15),LOOKUP(テーブル2[[#This Row],[持久走]],$AQ$20:$AR$29))))</f>
        <v>0</v>
      </c>
      <c r="X256" s="145">
        <f>IF(テーブル2[[#This Row],[ｼｬﾄﾙﾗﾝ]]="",0,(IF(テーブル2[[#This Row],[性別]]="男",LOOKUP(テーブル2[[#This Row],[ｼｬﾄﾙﾗﾝ]],$AS$6:$AT$15),LOOKUP(テーブル2[[#This Row],[ｼｬﾄﾙﾗﾝ]],$AS$20:$AT$29))))</f>
        <v>0</v>
      </c>
      <c r="Y256" s="145">
        <f>IF(テーブル2[[#This Row],[50m走]]="",0,(IF(テーブル2[[#This Row],[性別]]="男",LOOKUP(テーブル2[[#This Row],[50m走]],$AU$6:$AV$15),LOOKUP(テーブル2[[#This Row],[50m走]],$AU$20:$AV$29))))</f>
        <v>0</v>
      </c>
      <c r="Z256" s="145">
        <f>IF(テーブル2[[#This Row],[立幅とび]]="",0,(IF(テーブル2[[#This Row],[性別]]="男",LOOKUP(テーブル2[[#This Row],[立幅とび]],$AW$6:$AX$15),LOOKUP(テーブル2[[#This Row],[立幅とび]],$AW$20:$AX$29))))</f>
        <v>0</v>
      </c>
      <c r="AA256" s="145">
        <f>IF(テーブル2[[#This Row],[ボール投げ]]="",0,(IF(テーブル2[[#This Row],[性別]]="男",LOOKUP(テーブル2[[#This Row],[ボール投げ]],$AY$6:$AZ$15),LOOKUP(テーブル2[[#This Row],[ボール投げ]],$AY$20:$AZ$29))))</f>
        <v>0</v>
      </c>
      <c r="AB256" s="146" t="str">
        <f>IF(テーブル2[[#This Row],[学年]]=1,12,IF(テーブル2[[#This Row],[学年]]=2,13,IF(テーブル2[[#This Row],[学年]]=3,14,"")))</f>
        <v/>
      </c>
      <c r="AC256" s="192" t="str">
        <f>IF(テーブル2[[#This Row],[肥満度数値]]=0,"",LOOKUP(AE256,$AW$39:$AW$44,$AX$39:$AX$44))</f>
        <v/>
      </c>
      <c r="AD25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6" s="77">
        <f>IF(テーブル2[[#This Row],[体重]]="",0,(テーブル2[[#This Row],[体重]]-テーブル2[[#This Row],[標準体重]])/テーブル2[[#This Row],[標準体重]]*100)</f>
        <v>0</v>
      </c>
      <c r="AF256" s="26">
        <f>COUNTA(テーブル2[[#This Row],[握力]:[ボール投げ]])</f>
        <v>0</v>
      </c>
      <c r="AG256" s="1" t="str">
        <f>IF(テーブル2[[#This Row],[判定]]=$BE$10,"○","")</f>
        <v/>
      </c>
      <c r="AH256" s="1" t="str">
        <f>IF(AG256="","",COUNTIF($AG$6:AG256,"○"))</f>
        <v/>
      </c>
    </row>
    <row r="257" spans="1:34" ht="14.25" customHeight="1" x14ac:dyDescent="0.15">
      <c r="A257" s="44">
        <v>252</v>
      </c>
      <c r="B257" s="148"/>
      <c r="C257" s="151"/>
      <c r="D257" s="148"/>
      <c r="E257" s="152"/>
      <c r="F257" s="148"/>
      <c r="G257" s="148"/>
      <c r="H257" s="150"/>
      <c r="I257" s="150"/>
      <c r="J257" s="151"/>
      <c r="K257" s="148"/>
      <c r="L257" s="196"/>
      <c r="M257" s="151"/>
      <c r="N257" s="197"/>
      <c r="O257" s="151"/>
      <c r="P257" s="153"/>
      <c r="Q25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7" s="144" t="str">
        <f>IF(テーブル2[[#This Row],[得点]]=0,"",IF(テーブル2[[#This Row],[年齢]]=17,LOOKUP(Q257,$BH$6:$BH$10,$BE$6:$BE$10),IF(テーブル2[[#This Row],[年齢]]=16,LOOKUP(Q257,$BG$6:$BG$10,$BE$6:$BE$10),IF(テーブル2[[#This Row],[年齢]]=15,LOOKUP(Q257,$BF$6:$BF$10,$BE$6:$BE$10),IF(テーブル2[[#This Row],[年齢]]=14,LOOKUP(Q257,$BD$6:$BD$10,$BE$6:$BE$10),IF(テーブル2[[#This Row],[年齢]]=13,LOOKUP(Q257,$BC$6:$BC$10,$BE$6:$BE$10),LOOKUP(Q257,$BB$6:$BB$10,$BE$6:$BE$10)))))))</f>
        <v/>
      </c>
      <c r="S257" s="145">
        <f>IF(H257="",0,(IF(テーブル2[[#This Row],[性別]]="男",LOOKUP(テーブル2[[#This Row],[握力]],$AI$6:$AJ$15),LOOKUP(テーブル2[[#This Row],[握力]],$AI$20:$AJ$29))))</f>
        <v>0</v>
      </c>
      <c r="T257" s="145">
        <f>IF(テーブル2[[#This Row],[上体]]="",0,(IF(テーブル2[[#This Row],[性別]]="男",LOOKUP(テーブル2[[#This Row],[上体]],$AK$6:$AL$15),LOOKUP(テーブル2[[#This Row],[上体]],$AK$20:$AL$29))))</f>
        <v>0</v>
      </c>
      <c r="U257" s="145">
        <f>IF(テーブル2[[#This Row],[長座]]="",0,(IF(テーブル2[[#This Row],[性別]]="男",LOOKUP(テーブル2[[#This Row],[長座]],$AM$6:$AN$15),LOOKUP(テーブル2[[#This Row],[長座]],$AM$20:$AN$29))))</f>
        <v>0</v>
      </c>
      <c r="V257" s="145">
        <f>IF(テーブル2[[#This Row],[反復]]="",0,(IF(テーブル2[[#This Row],[性別]]="男",LOOKUP(テーブル2[[#This Row],[反復]],$AO$6:$AP$15),LOOKUP(テーブル2[[#This Row],[反復]],$AO$20:$AP$29))))</f>
        <v>0</v>
      </c>
      <c r="W257" s="145">
        <f>IF(テーブル2[[#This Row],[持久走]]="",0,(IF(テーブル2[[#This Row],[性別]]="男",LOOKUP(テーブル2[[#This Row],[持久走]],$AQ$6:$AR$15),LOOKUP(テーブル2[[#This Row],[持久走]],$AQ$20:$AR$29))))</f>
        <v>0</v>
      </c>
      <c r="X257" s="145">
        <f>IF(テーブル2[[#This Row],[ｼｬﾄﾙﾗﾝ]]="",0,(IF(テーブル2[[#This Row],[性別]]="男",LOOKUP(テーブル2[[#This Row],[ｼｬﾄﾙﾗﾝ]],$AS$6:$AT$15),LOOKUP(テーブル2[[#This Row],[ｼｬﾄﾙﾗﾝ]],$AS$20:$AT$29))))</f>
        <v>0</v>
      </c>
      <c r="Y257" s="145">
        <f>IF(テーブル2[[#This Row],[50m走]]="",0,(IF(テーブル2[[#This Row],[性別]]="男",LOOKUP(テーブル2[[#This Row],[50m走]],$AU$6:$AV$15),LOOKUP(テーブル2[[#This Row],[50m走]],$AU$20:$AV$29))))</f>
        <v>0</v>
      </c>
      <c r="Z257" s="145">
        <f>IF(テーブル2[[#This Row],[立幅とび]]="",0,(IF(テーブル2[[#This Row],[性別]]="男",LOOKUP(テーブル2[[#This Row],[立幅とび]],$AW$6:$AX$15),LOOKUP(テーブル2[[#This Row],[立幅とび]],$AW$20:$AX$29))))</f>
        <v>0</v>
      </c>
      <c r="AA257" s="145">
        <f>IF(テーブル2[[#This Row],[ボール投げ]]="",0,(IF(テーブル2[[#This Row],[性別]]="男",LOOKUP(テーブル2[[#This Row],[ボール投げ]],$AY$6:$AZ$15),LOOKUP(テーブル2[[#This Row],[ボール投げ]],$AY$20:$AZ$29))))</f>
        <v>0</v>
      </c>
      <c r="AB257" s="146" t="str">
        <f>IF(テーブル2[[#This Row],[学年]]=1,12,IF(テーブル2[[#This Row],[学年]]=2,13,IF(テーブル2[[#This Row],[学年]]=3,14,"")))</f>
        <v/>
      </c>
      <c r="AC257" s="192" t="str">
        <f>IF(テーブル2[[#This Row],[肥満度数値]]=0,"",LOOKUP(AE257,$AW$39:$AW$44,$AX$39:$AX$44))</f>
        <v/>
      </c>
      <c r="AD25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7" s="77">
        <f>IF(テーブル2[[#This Row],[体重]]="",0,(テーブル2[[#This Row],[体重]]-テーブル2[[#This Row],[標準体重]])/テーブル2[[#This Row],[標準体重]]*100)</f>
        <v>0</v>
      </c>
      <c r="AF257" s="26">
        <f>COUNTA(テーブル2[[#This Row],[握力]:[ボール投げ]])</f>
        <v>0</v>
      </c>
      <c r="AG257" s="1" t="str">
        <f>IF(テーブル2[[#This Row],[判定]]=$BE$10,"○","")</f>
        <v/>
      </c>
      <c r="AH257" s="1" t="str">
        <f>IF(AG257="","",COUNTIF($AG$6:AG257,"○"))</f>
        <v/>
      </c>
    </row>
    <row r="258" spans="1:34" ht="14.25" customHeight="1" x14ac:dyDescent="0.15">
      <c r="A258" s="44">
        <v>253</v>
      </c>
      <c r="B258" s="148"/>
      <c r="C258" s="151"/>
      <c r="D258" s="148"/>
      <c r="E258" s="152"/>
      <c r="F258" s="148"/>
      <c r="G258" s="148"/>
      <c r="H258" s="150"/>
      <c r="I258" s="150"/>
      <c r="J258" s="151"/>
      <c r="K258" s="148"/>
      <c r="L258" s="196"/>
      <c r="M258" s="151"/>
      <c r="N258" s="197"/>
      <c r="O258" s="151"/>
      <c r="P258" s="153"/>
      <c r="Q25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8" s="144" t="str">
        <f>IF(テーブル2[[#This Row],[得点]]=0,"",IF(テーブル2[[#This Row],[年齢]]=17,LOOKUP(Q258,$BH$6:$BH$10,$BE$6:$BE$10),IF(テーブル2[[#This Row],[年齢]]=16,LOOKUP(Q258,$BG$6:$BG$10,$BE$6:$BE$10),IF(テーブル2[[#This Row],[年齢]]=15,LOOKUP(Q258,$BF$6:$BF$10,$BE$6:$BE$10),IF(テーブル2[[#This Row],[年齢]]=14,LOOKUP(Q258,$BD$6:$BD$10,$BE$6:$BE$10),IF(テーブル2[[#This Row],[年齢]]=13,LOOKUP(Q258,$BC$6:$BC$10,$BE$6:$BE$10),LOOKUP(Q258,$BB$6:$BB$10,$BE$6:$BE$10)))))))</f>
        <v/>
      </c>
      <c r="S258" s="145">
        <f>IF(H258="",0,(IF(テーブル2[[#This Row],[性別]]="男",LOOKUP(テーブル2[[#This Row],[握力]],$AI$6:$AJ$15),LOOKUP(テーブル2[[#This Row],[握力]],$AI$20:$AJ$29))))</f>
        <v>0</v>
      </c>
      <c r="T258" s="145">
        <f>IF(テーブル2[[#This Row],[上体]]="",0,(IF(テーブル2[[#This Row],[性別]]="男",LOOKUP(テーブル2[[#This Row],[上体]],$AK$6:$AL$15),LOOKUP(テーブル2[[#This Row],[上体]],$AK$20:$AL$29))))</f>
        <v>0</v>
      </c>
      <c r="U258" s="145">
        <f>IF(テーブル2[[#This Row],[長座]]="",0,(IF(テーブル2[[#This Row],[性別]]="男",LOOKUP(テーブル2[[#This Row],[長座]],$AM$6:$AN$15),LOOKUP(テーブル2[[#This Row],[長座]],$AM$20:$AN$29))))</f>
        <v>0</v>
      </c>
      <c r="V258" s="145">
        <f>IF(テーブル2[[#This Row],[反復]]="",0,(IF(テーブル2[[#This Row],[性別]]="男",LOOKUP(テーブル2[[#This Row],[反復]],$AO$6:$AP$15),LOOKUP(テーブル2[[#This Row],[反復]],$AO$20:$AP$29))))</f>
        <v>0</v>
      </c>
      <c r="W258" s="145">
        <f>IF(テーブル2[[#This Row],[持久走]]="",0,(IF(テーブル2[[#This Row],[性別]]="男",LOOKUP(テーブル2[[#This Row],[持久走]],$AQ$6:$AR$15),LOOKUP(テーブル2[[#This Row],[持久走]],$AQ$20:$AR$29))))</f>
        <v>0</v>
      </c>
      <c r="X258" s="145">
        <f>IF(テーブル2[[#This Row],[ｼｬﾄﾙﾗﾝ]]="",0,(IF(テーブル2[[#This Row],[性別]]="男",LOOKUP(テーブル2[[#This Row],[ｼｬﾄﾙﾗﾝ]],$AS$6:$AT$15),LOOKUP(テーブル2[[#This Row],[ｼｬﾄﾙﾗﾝ]],$AS$20:$AT$29))))</f>
        <v>0</v>
      </c>
      <c r="Y258" s="145">
        <f>IF(テーブル2[[#This Row],[50m走]]="",0,(IF(テーブル2[[#This Row],[性別]]="男",LOOKUP(テーブル2[[#This Row],[50m走]],$AU$6:$AV$15),LOOKUP(テーブル2[[#This Row],[50m走]],$AU$20:$AV$29))))</f>
        <v>0</v>
      </c>
      <c r="Z258" s="145">
        <f>IF(テーブル2[[#This Row],[立幅とび]]="",0,(IF(テーブル2[[#This Row],[性別]]="男",LOOKUP(テーブル2[[#This Row],[立幅とび]],$AW$6:$AX$15),LOOKUP(テーブル2[[#This Row],[立幅とび]],$AW$20:$AX$29))))</f>
        <v>0</v>
      </c>
      <c r="AA258" s="145">
        <f>IF(テーブル2[[#This Row],[ボール投げ]]="",0,(IF(テーブル2[[#This Row],[性別]]="男",LOOKUP(テーブル2[[#This Row],[ボール投げ]],$AY$6:$AZ$15),LOOKUP(テーブル2[[#This Row],[ボール投げ]],$AY$20:$AZ$29))))</f>
        <v>0</v>
      </c>
      <c r="AB258" s="146" t="str">
        <f>IF(テーブル2[[#This Row],[学年]]=1,12,IF(テーブル2[[#This Row],[学年]]=2,13,IF(テーブル2[[#This Row],[学年]]=3,14,"")))</f>
        <v/>
      </c>
      <c r="AC258" s="192" t="str">
        <f>IF(テーブル2[[#This Row],[肥満度数値]]=0,"",LOOKUP(AE258,$AW$39:$AW$44,$AX$39:$AX$44))</f>
        <v/>
      </c>
      <c r="AD25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8" s="77">
        <f>IF(テーブル2[[#This Row],[体重]]="",0,(テーブル2[[#This Row],[体重]]-テーブル2[[#This Row],[標準体重]])/テーブル2[[#This Row],[標準体重]]*100)</f>
        <v>0</v>
      </c>
      <c r="AF258" s="26">
        <f>COUNTA(テーブル2[[#This Row],[握力]:[ボール投げ]])</f>
        <v>0</v>
      </c>
      <c r="AG258" s="1" t="str">
        <f>IF(テーブル2[[#This Row],[判定]]=$BE$10,"○","")</f>
        <v/>
      </c>
      <c r="AH258" s="1" t="str">
        <f>IF(AG258="","",COUNTIF($AG$6:AG258,"○"))</f>
        <v/>
      </c>
    </row>
    <row r="259" spans="1:34" ht="14.25" customHeight="1" x14ac:dyDescent="0.15">
      <c r="A259" s="44">
        <v>254</v>
      </c>
      <c r="B259" s="148"/>
      <c r="C259" s="151"/>
      <c r="D259" s="148"/>
      <c r="E259" s="152"/>
      <c r="F259" s="148"/>
      <c r="G259" s="148"/>
      <c r="H259" s="150"/>
      <c r="I259" s="150"/>
      <c r="J259" s="151"/>
      <c r="K259" s="148"/>
      <c r="L259" s="196"/>
      <c r="M259" s="151"/>
      <c r="N259" s="197"/>
      <c r="O259" s="151"/>
      <c r="P259" s="153"/>
      <c r="Q25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9" s="144" t="str">
        <f>IF(テーブル2[[#This Row],[得点]]=0,"",IF(テーブル2[[#This Row],[年齢]]=17,LOOKUP(Q259,$BH$6:$BH$10,$BE$6:$BE$10),IF(テーブル2[[#This Row],[年齢]]=16,LOOKUP(Q259,$BG$6:$BG$10,$BE$6:$BE$10),IF(テーブル2[[#This Row],[年齢]]=15,LOOKUP(Q259,$BF$6:$BF$10,$BE$6:$BE$10),IF(テーブル2[[#This Row],[年齢]]=14,LOOKUP(Q259,$BD$6:$BD$10,$BE$6:$BE$10),IF(テーブル2[[#This Row],[年齢]]=13,LOOKUP(Q259,$BC$6:$BC$10,$BE$6:$BE$10),LOOKUP(Q259,$BB$6:$BB$10,$BE$6:$BE$10)))))))</f>
        <v/>
      </c>
      <c r="S259" s="145">
        <f>IF(H259="",0,(IF(テーブル2[[#This Row],[性別]]="男",LOOKUP(テーブル2[[#This Row],[握力]],$AI$6:$AJ$15),LOOKUP(テーブル2[[#This Row],[握力]],$AI$20:$AJ$29))))</f>
        <v>0</v>
      </c>
      <c r="T259" s="145">
        <f>IF(テーブル2[[#This Row],[上体]]="",0,(IF(テーブル2[[#This Row],[性別]]="男",LOOKUP(テーブル2[[#This Row],[上体]],$AK$6:$AL$15),LOOKUP(テーブル2[[#This Row],[上体]],$AK$20:$AL$29))))</f>
        <v>0</v>
      </c>
      <c r="U259" s="145">
        <f>IF(テーブル2[[#This Row],[長座]]="",0,(IF(テーブル2[[#This Row],[性別]]="男",LOOKUP(テーブル2[[#This Row],[長座]],$AM$6:$AN$15),LOOKUP(テーブル2[[#This Row],[長座]],$AM$20:$AN$29))))</f>
        <v>0</v>
      </c>
      <c r="V259" s="145">
        <f>IF(テーブル2[[#This Row],[反復]]="",0,(IF(テーブル2[[#This Row],[性別]]="男",LOOKUP(テーブル2[[#This Row],[反復]],$AO$6:$AP$15),LOOKUP(テーブル2[[#This Row],[反復]],$AO$20:$AP$29))))</f>
        <v>0</v>
      </c>
      <c r="W259" s="145">
        <f>IF(テーブル2[[#This Row],[持久走]]="",0,(IF(テーブル2[[#This Row],[性別]]="男",LOOKUP(テーブル2[[#This Row],[持久走]],$AQ$6:$AR$15),LOOKUP(テーブル2[[#This Row],[持久走]],$AQ$20:$AR$29))))</f>
        <v>0</v>
      </c>
      <c r="X259" s="145">
        <f>IF(テーブル2[[#This Row],[ｼｬﾄﾙﾗﾝ]]="",0,(IF(テーブル2[[#This Row],[性別]]="男",LOOKUP(テーブル2[[#This Row],[ｼｬﾄﾙﾗﾝ]],$AS$6:$AT$15),LOOKUP(テーブル2[[#This Row],[ｼｬﾄﾙﾗﾝ]],$AS$20:$AT$29))))</f>
        <v>0</v>
      </c>
      <c r="Y259" s="145">
        <f>IF(テーブル2[[#This Row],[50m走]]="",0,(IF(テーブル2[[#This Row],[性別]]="男",LOOKUP(テーブル2[[#This Row],[50m走]],$AU$6:$AV$15),LOOKUP(テーブル2[[#This Row],[50m走]],$AU$20:$AV$29))))</f>
        <v>0</v>
      </c>
      <c r="Z259" s="145">
        <f>IF(テーブル2[[#This Row],[立幅とび]]="",0,(IF(テーブル2[[#This Row],[性別]]="男",LOOKUP(テーブル2[[#This Row],[立幅とび]],$AW$6:$AX$15),LOOKUP(テーブル2[[#This Row],[立幅とび]],$AW$20:$AX$29))))</f>
        <v>0</v>
      </c>
      <c r="AA259" s="145">
        <f>IF(テーブル2[[#This Row],[ボール投げ]]="",0,(IF(テーブル2[[#This Row],[性別]]="男",LOOKUP(テーブル2[[#This Row],[ボール投げ]],$AY$6:$AZ$15),LOOKUP(テーブル2[[#This Row],[ボール投げ]],$AY$20:$AZ$29))))</f>
        <v>0</v>
      </c>
      <c r="AB259" s="146" t="str">
        <f>IF(テーブル2[[#This Row],[学年]]=1,12,IF(テーブル2[[#This Row],[学年]]=2,13,IF(テーブル2[[#This Row],[学年]]=3,14,"")))</f>
        <v/>
      </c>
      <c r="AC259" s="192" t="str">
        <f>IF(テーブル2[[#This Row],[肥満度数値]]=0,"",LOOKUP(AE259,$AW$39:$AW$44,$AX$39:$AX$44))</f>
        <v/>
      </c>
      <c r="AD25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59" s="77">
        <f>IF(テーブル2[[#This Row],[体重]]="",0,(テーブル2[[#This Row],[体重]]-テーブル2[[#This Row],[標準体重]])/テーブル2[[#This Row],[標準体重]]*100)</f>
        <v>0</v>
      </c>
      <c r="AF259" s="26">
        <f>COUNTA(テーブル2[[#This Row],[握力]:[ボール投げ]])</f>
        <v>0</v>
      </c>
      <c r="AG259" s="1" t="str">
        <f>IF(テーブル2[[#This Row],[判定]]=$BE$10,"○","")</f>
        <v/>
      </c>
      <c r="AH259" s="1" t="str">
        <f>IF(AG259="","",COUNTIF($AG$6:AG259,"○"))</f>
        <v/>
      </c>
    </row>
    <row r="260" spans="1:34" ht="14.25" customHeight="1" x14ac:dyDescent="0.15">
      <c r="A260" s="44">
        <v>255</v>
      </c>
      <c r="B260" s="148"/>
      <c r="C260" s="151"/>
      <c r="D260" s="148"/>
      <c r="E260" s="152"/>
      <c r="F260" s="148"/>
      <c r="G260" s="148"/>
      <c r="H260" s="150"/>
      <c r="I260" s="150"/>
      <c r="J260" s="151"/>
      <c r="K260" s="148"/>
      <c r="L260" s="196"/>
      <c r="M260" s="151"/>
      <c r="N260" s="197"/>
      <c r="O260" s="151"/>
      <c r="P260" s="153"/>
      <c r="Q26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0" s="144" t="str">
        <f>IF(テーブル2[[#This Row],[得点]]=0,"",IF(テーブル2[[#This Row],[年齢]]=17,LOOKUP(Q260,$BH$6:$BH$10,$BE$6:$BE$10),IF(テーブル2[[#This Row],[年齢]]=16,LOOKUP(Q260,$BG$6:$BG$10,$BE$6:$BE$10),IF(テーブル2[[#This Row],[年齢]]=15,LOOKUP(Q260,$BF$6:$BF$10,$BE$6:$BE$10),IF(テーブル2[[#This Row],[年齢]]=14,LOOKUP(Q260,$BD$6:$BD$10,$BE$6:$BE$10),IF(テーブル2[[#This Row],[年齢]]=13,LOOKUP(Q260,$BC$6:$BC$10,$BE$6:$BE$10),LOOKUP(Q260,$BB$6:$BB$10,$BE$6:$BE$10)))))))</f>
        <v/>
      </c>
      <c r="S260" s="145">
        <f>IF(H260="",0,(IF(テーブル2[[#This Row],[性別]]="男",LOOKUP(テーブル2[[#This Row],[握力]],$AI$6:$AJ$15),LOOKUP(テーブル2[[#This Row],[握力]],$AI$20:$AJ$29))))</f>
        <v>0</v>
      </c>
      <c r="T260" s="145">
        <f>IF(テーブル2[[#This Row],[上体]]="",0,(IF(テーブル2[[#This Row],[性別]]="男",LOOKUP(テーブル2[[#This Row],[上体]],$AK$6:$AL$15),LOOKUP(テーブル2[[#This Row],[上体]],$AK$20:$AL$29))))</f>
        <v>0</v>
      </c>
      <c r="U260" s="145">
        <f>IF(テーブル2[[#This Row],[長座]]="",0,(IF(テーブル2[[#This Row],[性別]]="男",LOOKUP(テーブル2[[#This Row],[長座]],$AM$6:$AN$15),LOOKUP(テーブル2[[#This Row],[長座]],$AM$20:$AN$29))))</f>
        <v>0</v>
      </c>
      <c r="V260" s="145">
        <f>IF(テーブル2[[#This Row],[反復]]="",0,(IF(テーブル2[[#This Row],[性別]]="男",LOOKUP(テーブル2[[#This Row],[反復]],$AO$6:$AP$15),LOOKUP(テーブル2[[#This Row],[反復]],$AO$20:$AP$29))))</f>
        <v>0</v>
      </c>
      <c r="W260" s="145">
        <f>IF(テーブル2[[#This Row],[持久走]]="",0,(IF(テーブル2[[#This Row],[性別]]="男",LOOKUP(テーブル2[[#This Row],[持久走]],$AQ$6:$AR$15),LOOKUP(テーブル2[[#This Row],[持久走]],$AQ$20:$AR$29))))</f>
        <v>0</v>
      </c>
      <c r="X260" s="145">
        <f>IF(テーブル2[[#This Row],[ｼｬﾄﾙﾗﾝ]]="",0,(IF(テーブル2[[#This Row],[性別]]="男",LOOKUP(テーブル2[[#This Row],[ｼｬﾄﾙﾗﾝ]],$AS$6:$AT$15),LOOKUP(テーブル2[[#This Row],[ｼｬﾄﾙﾗﾝ]],$AS$20:$AT$29))))</f>
        <v>0</v>
      </c>
      <c r="Y260" s="145">
        <f>IF(テーブル2[[#This Row],[50m走]]="",0,(IF(テーブル2[[#This Row],[性別]]="男",LOOKUP(テーブル2[[#This Row],[50m走]],$AU$6:$AV$15),LOOKUP(テーブル2[[#This Row],[50m走]],$AU$20:$AV$29))))</f>
        <v>0</v>
      </c>
      <c r="Z260" s="145">
        <f>IF(テーブル2[[#This Row],[立幅とび]]="",0,(IF(テーブル2[[#This Row],[性別]]="男",LOOKUP(テーブル2[[#This Row],[立幅とび]],$AW$6:$AX$15),LOOKUP(テーブル2[[#This Row],[立幅とび]],$AW$20:$AX$29))))</f>
        <v>0</v>
      </c>
      <c r="AA260" s="145">
        <f>IF(テーブル2[[#This Row],[ボール投げ]]="",0,(IF(テーブル2[[#This Row],[性別]]="男",LOOKUP(テーブル2[[#This Row],[ボール投げ]],$AY$6:$AZ$15),LOOKUP(テーブル2[[#This Row],[ボール投げ]],$AY$20:$AZ$29))))</f>
        <v>0</v>
      </c>
      <c r="AB260" s="146" t="str">
        <f>IF(テーブル2[[#This Row],[学年]]=1,12,IF(テーブル2[[#This Row],[学年]]=2,13,IF(テーブル2[[#This Row],[学年]]=3,14,"")))</f>
        <v/>
      </c>
      <c r="AC260" s="192" t="str">
        <f>IF(テーブル2[[#This Row],[肥満度数値]]=0,"",LOOKUP(AE260,$AW$39:$AW$44,$AX$39:$AX$44))</f>
        <v/>
      </c>
      <c r="AD26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0" s="77">
        <f>IF(テーブル2[[#This Row],[体重]]="",0,(テーブル2[[#This Row],[体重]]-テーブル2[[#This Row],[標準体重]])/テーブル2[[#This Row],[標準体重]]*100)</f>
        <v>0</v>
      </c>
      <c r="AF260" s="26">
        <f>COUNTA(テーブル2[[#This Row],[握力]:[ボール投げ]])</f>
        <v>0</v>
      </c>
      <c r="AG260" s="1" t="str">
        <f>IF(テーブル2[[#This Row],[判定]]=$BE$10,"○","")</f>
        <v/>
      </c>
      <c r="AH260" s="1" t="str">
        <f>IF(AG260="","",COUNTIF($AG$6:AG260,"○"))</f>
        <v/>
      </c>
    </row>
    <row r="261" spans="1:34" ht="14.25" customHeight="1" x14ac:dyDescent="0.15">
      <c r="A261" s="44">
        <v>256</v>
      </c>
      <c r="B261" s="148"/>
      <c r="C261" s="151"/>
      <c r="D261" s="148"/>
      <c r="E261" s="152"/>
      <c r="F261" s="148"/>
      <c r="G261" s="148"/>
      <c r="H261" s="150"/>
      <c r="I261" s="150"/>
      <c r="J261" s="151"/>
      <c r="K261" s="148"/>
      <c r="L261" s="196"/>
      <c r="M261" s="151"/>
      <c r="N261" s="197"/>
      <c r="O261" s="151"/>
      <c r="P261" s="153"/>
      <c r="Q26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1" s="144" t="str">
        <f>IF(テーブル2[[#This Row],[得点]]=0,"",IF(テーブル2[[#This Row],[年齢]]=17,LOOKUP(Q261,$BH$6:$BH$10,$BE$6:$BE$10),IF(テーブル2[[#This Row],[年齢]]=16,LOOKUP(Q261,$BG$6:$BG$10,$BE$6:$BE$10),IF(テーブル2[[#This Row],[年齢]]=15,LOOKUP(Q261,$BF$6:$BF$10,$BE$6:$BE$10),IF(テーブル2[[#This Row],[年齢]]=14,LOOKUP(Q261,$BD$6:$BD$10,$BE$6:$BE$10),IF(テーブル2[[#This Row],[年齢]]=13,LOOKUP(Q261,$BC$6:$BC$10,$BE$6:$BE$10),LOOKUP(Q261,$BB$6:$BB$10,$BE$6:$BE$10)))))))</f>
        <v/>
      </c>
      <c r="S261" s="145">
        <f>IF(H261="",0,(IF(テーブル2[[#This Row],[性別]]="男",LOOKUP(テーブル2[[#This Row],[握力]],$AI$6:$AJ$15),LOOKUP(テーブル2[[#This Row],[握力]],$AI$20:$AJ$29))))</f>
        <v>0</v>
      </c>
      <c r="T261" s="145">
        <f>IF(テーブル2[[#This Row],[上体]]="",0,(IF(テーブル2[[#This Row],[性別]]="男",LOOKUP(テーブル2[[#This Row],[上体]],$AK$6:$AL$15),LOOKUP(テーブル2[[#This Row],[上体]],$AK$20:$AL$29))))</f>
        <v>0</v>
      </c>
      <c r="U261" s="145">
        <f>IF(テーブル2[[#This Row],[長座]]="",0,(IF(テーブル2[[#This Row],[性別]]="男",LOOKUP(テーブル2[[#This Row],[長座]],$AM$6:$AN$15),LOOKUP(テーブル2[[#This Row],[長座]],$AM$20:$AN$29))))</f>
        <v>0</v>
      </c>
      <c r="V261" s="145">
        <f>IF(テーブル2[[#This Row],[反復]]="",0,(IF(テーブル2[[#This Row],[性別]]="男",LOOKUP(テーブル2[[#This Row],[反復]],$AO$6:$AP$15),LOOKUP(テーブル2[[#This Row],[反復]],$AO$20:$AP$29))))</f>
        <v>0</v>
      </c>
      <c r="W261" s="145">
        <f>IF(テーブル2[[#This Row],[持久走]]="",0,(IF(テーブル2[[#This Row],[性別]]="男",LOOKUP(テーブル2[[#This Row],[持久走]],$AQ$6:$AR$15),LOOKUP(テーブル2[[#This Row],[持久走]],$AQ$20:$AR$29))))</f>
        <v>0</v>
      </c>
      <c r="X261" s="145">
        <f>IF(テーブル2[[#This Row],[ｼｬﾄﾙﾗﾝ]]="",0,(IF(テーブル2[[#This Row],[性別]]="男",LOOKUP(テーブル2[[#This Row],[ｼｬﾄﾙﾗﾝ]],$AS$6:$AT$15),LOOKUP(テーブル2[[#This Row],[ｼｬﾄﾙﾗﾝ]],$AS$20:$AT$29))))</f>
        <v>0</v>
      </c>
      <c r="Y261" s="145">
        <f>IF(テーブル2[[#This Row],[50m走]]="",0,(IF(テーブル2[[#This Row],[性別]]="男",LOOKUP(テーブル2[[#This Row],[50m走]],$AU$6:$AV$15),LOOKUP(テーブル2[[#This Row],[50m走]],$AU$20:$AV$29))))</f>
        <v>0</v>
      </c>
      <c r="Z261" s="145">
        <f>IF(テーブル2[[#This Row],[立幅とび]]="",0,(IF(テーブル2[[#This Row],[性別]]="男",LOOKUP(テーブル2[[#This Row],[立幅とび]],$AW$6:$AX$15),LOOKUP(テーブル2[[#This Row],[立幅とび]],$AW$20:$AX$29))))</f>
        <v>0</v>
      </c>
      <c r="AA261" s="145">
        <f>IF(テーブル2[[#This Row],[ボール投げ]]="",0,(IF(テーブル2[[#This Row],[性別]]="男",LOOKUP(テーブル2[[#This Row],[ボール投げ]],$AY$6:$AZ$15),LOOKUP(テーブル2[[#This Row],[ボール投げ]],$AY$20:$AZ$29))))</f>
        <v>0</v>
      </c>
      <c r="AB261" s="146" t="str">
        <f>IF(テーブル2[[#This Row],[学年]]=1,12,IF(テーブル2[[#This Row],[学年]]=2,13,IF(テーブル2[[#This Row],[学年]]=3,14,"")))</f>
        <v/>
      </c>
      <c r="AC261" s="192" t="str">
        <f>IF(テーブル2[[#This Row],[肥満度数値]]=0,"",LOOKUP(AE261,$AW$39:$AW$44,$AX$39:$AX$44))</f>
        <v/>
      </c>
      <c r="AD26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1" s="77">
        <f>IF(テーブル2[[#This Row],[体重]]="",0,(テーブル2[[#This Row],[体重]]-テーブル2[[#This Row],[標準体重]])/テーブル2[[#This Row],[標準体重]]*100)</f>
        <v>0</v>
      </c>
      <c r="AF261" s="26">
        <f>COUNTA(テーブル2[[#This Row],[握力]:[ボール投げ]])</f>
        <v>0</v>
      </c>
      <c r="AG261" s="1" t="str">
        <f>IF(テーブル2[[#This Row],[判定]]=$BE$10,"○","")</f>
        <v/>
      </c>
      <c r="AH261" s="1" t="str">
        <f>IF(AG261="","",COUNTIF($AG$6:AG261,"○"))</f>
        <v/>
      </c>
    </row>
    <row r="262" spans="1:34" ht="14.25" customHeight="1" x14ac:dyDescent="0.15">
      <c r="A262" s="44">
        <v>257</v>
      </c>
      <c r="B262" s="148"/>
      <c r="C262" s="151"/>
      <c r="D262" s="148"/>
      <c r="E262" s="152"/>
      <c r="F262" s="148"/>
      <c r="G262" s="148"/>
      <c r="H262" s="150"/>
      <c r="I262" s="150"/>
      <c r="J262" s="151"/>
      <c r="K262" s="148"/>
      <c r="L262" s="196"/>
      <c r="M262" s="151"/>
      <c r="N262" s="197"/>
      <c r="O262" s="151"/>
      <c r="P262" s="153"/>
      <c r="Q26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2" s="144" t="str">
        <f>IF(テーブル2[[#This Row],[得点]]=0,"",IF(テーブル2[[#This Row],[年齢]]=17,LOOKUP(Q262,$BH$6:$BH$10,$BE$6:$BE$10),IF(テーブル2[[#This Row],[年齢]]=16,LOOKUP(Q262,$BG$6:$BG$10,$BE$6:$BE$10),IF(テーブル2[[#This Row],[年齢]]=15,LOOKUP(Q262,$BF$6:$BF$10,$BE$6:$BE$10),IF(テーブル2[[#This Row],[年齢]]=14,LOOKUP(Q262,$BD$6:$BD$10,$BE$6:$BE$10),IF(テーブル2[[#This Row],[年齢]]=13,LOOKUP(Q262,$BC$6:$BC$10,$BE$6:$BE$10),LOOKUP(Q262,$BB$6:$BB$10,$BE$6:$BE$10)))))))</f>
        <v/>
      </c>
      <c r="S262" s="145">
        <f>IF(H262="",0,(IF(テーブル2[[#This Row],[性別]]="男",LOOKUP(テーブル2[[#This Row],[握力]],$AI$6:$AJ$15),LOOKUP(テーブル2[[#This Row],[握力]],$AI$20:$AJ$29))))</f>
        <v>0</v>
      </c>
      <c r="T262" s="145">
        <f>IF(テーブル2[[#This Row],[上体]]="",0,(IF(テーブル2[[#This Row],[性別]]="男",LOOKUP(テーブル2[[#This Row],[上体]],$AK$6:$AL$15),LOOKUP(テーブル2[[#This Row],[上体]],$AK$20:$AL$29))))</f>
        <v>0</v>
      </c>
      <c r="U262" s="145">
        <f>IF(テーブル2[[#This Row],[長座]]="",0,(IF(テーブル2[[#This Row],[性別]]="男",LOOKUP(テーブル2[[#This Row],[長座]],$AM$6:$AN$15),LOOKUP(テーブル2[[#This Row],[長座]],$AM$20:$AN$29))))</f>
        <v>0</v>
      </c>
      <c r="V262" s="145">
        <f>IF(テーブル2[[#This Row],[反復]]="",0,(IF(テーブル2[[#This Row],[性別]]="男",LOOKUP(テーブル2[[#This Row],[反復]],$AO$6:$AP$15),LOOKUP(テーブル2[[#This Row],[反復]],$AO$20:$AP$29))))</f>
        <v>0</v>
      </c>
      <c r="W262" s="145">
        <f>IF(テーブル2[[#This Row],[持久走]]="",0,(IF(テーブル2[[#This Row],[性別]]="男",LOOKUP(テーブル2[[#This Row],[持久走]],$AQ$6:$AR$15),LOOKUP(テーブル2[[#This Row],[持久走]],$AQ$20:$AR$29))))</f>
        <v>0</v>
      </c>
      <c r="X262" s="145">
        <f>IF(テーブル2[[#This Row],[ｼｬﾄﾙﾗﾝ]]="",0,(IF(テーブル2[[#This Row],[性別]]="男",LOOKUP(テーブル2[[#This Row],[ｼｬﾄﾙﾗﾝ]],$AS$6:$AT$15),LOOKUP(テーブル2[[#This Row],[ｼｬﾄﾙﾗﾝ]],$AS$20:$AT$29))))</f>
        <v>0</v>
      </c>
      <c r="Y262" s="145">
        <f>IF(テーブル2[[#This Row],[50m走]]="",0,(IF(テーブル2[[#This Row],[性別]]="男",LOOKUP(テーブル2[[#This Row],[50m走]],$AU$6:$AV$15),LOOKUP(テーブル2[[#This Row],[50m走]],$AU$20:$AV$29))))</f>
        <v>0</v>
      </c>
      <c r="Z262" s="145">
        <f>IF(テーブル2[[#This Row],[立幅とび]]="",0,(IF(テーブル2[[#This Row],[性別]]="男",LOOKUP(テーブル2[[#This Row],[立幅とび]],$AW$6:$AX$15),LOOKUP(テーブル2[[#This Row],[立幅とび]],$AW$20:$AX$29))))</f>
        <v>0</v>
      </c>
      <c r="AA262" s="145">
        <f>IF(テーブル2[[#This Row],[ボール投げ]]="",0,(IF(テーブル2[[#This Row],[性別]]="男",LOOKUP(テーブル2[[#This Row],[ボール投げ]],$AY$6:$AZ$15),LOOKUP(テーブル2[[#This Row],[ボール投げ]],$AY$20:$AZ$29))))</f>
        <v>0</v>
      </c>
      <c r="AB262" s="146" t="str">
        <f>IF(テーブル2[[#This Row],[学年]]=1,12,IF(テーブル2[[#This Row],[学年]]=2,13,IF(テーブル2[[#This Row],[学年]]=3,14,"")))</f>
        <v/>
      </c>
      <c r="AC262" s="192" t="str">
        <f>IF(テーブル2[[#This Row],[肥満度数値]]=0,"",LOOKUP(AE262,$AW$39:$AW$44,$AX$39:$AX$44))</f>
        <v/>
      </c>
      <c r="AD26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2" s="77">
        <f>IF(テーブル2[[#This Row],[体重]]="",0,(テーブル2[[#This Row],[体重]]-テーブル2[[#This Row],[標準体重]])/テーブル2[[#This Row],[標準体重]]*100)</f>
        <v>0</v>
      </c>
      <c r="AF262" s="26">
        <f>COUNTA(テーブル2[[#This Row],[握力]:[ボール投げ]])</f>
        <v>0</v>
      </c>
      <c r="AG262" s="1" t="str">
        <f>IF(テーブル2[[#This Row],[判定]]=$BE$10,"○","")</f>
        <v/>
      </c>
      <c r="AH262" s="1" t="str">
        <f>IF(AG262="","",COUNTIF($AG$6:AG262,"○"))</f>
        <v/>
      </c>
    </row>
    <row r="263" spans="1:34" ht="14.25" customHeight="1" x14ac:dyDescent="0.15">
      <c r="A263" s="44">
        <v>258</v>
      </c>
      <c r="B263" s="148"/>
      <c r="C263" s="151"/>
      <c r="D263" s="148"/>
      <c r="E263" s="152"/>
      <c r="F263" s="148"/>
      <c r="G263" s="148"/>
      <c r="H263" s="150"/>
      <c r="I263" s="150"/>
      <c r="J263" s="151"/>
      <c r="K263" s="148"/>
      <c r="L263" s="196"/>
      <c r="M263" s="151"/>
      <c r="N263" s="197"/>
      <c r="O263" s="151"/>
      <c r="P263" s="153"/>
      <c r="Q26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3" s="144" t="str">
        <f>IF(テーブル2[[#This Row],[得点]]=0,"",IF(テーブル2[[#This Row],[年齢]]=17,LOOKUP(Q263,$BH$6:$BH$10,$BE$6:$BE$10),IF(テーブル2[[#This Row],[年齢]]=16,LOOKUP(Q263,$BG$6:$BG$10,$BE$6:$BE$10),IF(テーブル2[[#This Row],[年齢]]=15,LOOKUP(Q263,$BF$6:$BF$10,$BE$6:$BE$10),IF(テーブル2[[#This Row],[年齢]]=14,LOOKUP(Q263,$BD$6:$BD$10,$BE$6:$BE$10),IF(テーブル2[[#This Row],[年齢]]=13,LOOKUP(Q263,$BC$6:$BC$10,$BE$6:$BE$10),LOOKUP(Q263,$BB$6:$BB$10,$BE$6:$BE$10)))))))</f>
        <v/>
      </c>
      <c r="S263" s="145">
        <f>IF(H263="",0,(IF(テーブル2[[#This Row],[性別]]="男",LOOKUP(テーブル2[[#This Row],[握力]],$AI$6:$AJ$15),LOOKUP(テーブル2[[#This Row],[握力]],$AI$20:$AJ$29))))</f>
        <v>0</v>
      </c>
      <c r="T263" s="145">
        <f>IF(テーブル2[[#This Row],[上体]]="",0,(IF(テーブル2[[#This Row],[性別]]="男",LOOKUP(テーブル2[[#This Row],[上体]],$AK$6:$AL$15),LOOKUP(テーブル2[[#This Row],[上体]],$AK$20:$AL$29))))</f>
        <v>0</v>
      </c>
      <c r="U263" s="145">
        <f>IF(テーブル2[[#This Row],[長座]]="",0,(IF(テーブル2[[#This Row],[性別]]="男",LOOKUP(テーブル2[[#This Row],[長座]],$AM$6:$AN$15),LOOKUP(テーブル2[[#This Row],[長座]],$AM$20:$AN$29))))</f>
        <v>0</v>
      </c>
      <c r="V263" s="145">
        <f>IF(テーブル2[[#This Row],[反復]]="",0,(IF(テーブル2[[#This Row],[性別]]="男",LOOKUP(テーブル2[[#This Row],[反復]],$AO$6:$AP$15),LOOKUP(テーブル2[[#This Row],[反復]],$AO$20:$AP$29))))</f>
        <v>0</v>
      </c>
      <c r="W263" s="145">
        <f>IF(テーブル2[[#This Row],[持久走]]="",0,(IF(テーブル2[[#This Row],[性別]]="男",LOOKUP(テーブル2[[#This Row],[持久走]],$AQ$6:$AR$15),LOOKUP(テーブル2[[#This Row],[持久走]],$AQ$20:$AR$29))))</f>
        <v>0</v>
      </c>
      <c r="X263" s="145">
        <f>IF(テーブル2[[#This Row],[ｼｬﾄﾙﾗﾝ]]="",0,(IF(テーブル2[[#This Row],[性別]]="男",LOOKUP(テーブル2[[#This Row],[ｼｬﾄﾙﾗﾝ]],$AS$6:$AT$15),LOOKUP(テーブル2[[#This Row],[ｼｬﾄﾙﾗﾝ]],$AS$20:$AT$29))))</f>
        <v>0</v>
      </c>
      <c r="Y263" s="145">
        <f>IF(テーブル2[[#This Row],[50m走]]="",0,(IF(テーブル2[[#This Row],[性別]]="男",LOOKUP(テーブル2[[#This Row],[50m走]],$AU$6:$AV$15),LOOKUP(テーブル2[[#This Row],[50m走]],$AU$20:$AV$29))))</f>
        <v>0</v>
      </c>
      <c r="Z263" s="145">
        <f>IF(テーブル2[[#This Row],[立幅とび]]="",0,(IF(テーブル2[[#This Row],[性別]]="男",LOOKUP(テーブル2[[#This Row],[立幅とび]],$AW$6:$AX$15),LOOKUP(テーブル2[[#This Row],[立幅とび]],$AW$20:$AX$29))))</f>
        <v>0</v>
      </c>
      <c r="AA263" s="145">
        <f>IF(テーブル2[[#This Row],[ボール投げ]]="",0,(IF(テーブル2[[#This Row],[性別]]="男",LOOKUP(テーブル2[[#This Row],[ボール投げ]],$AY$6:$AZ$15),LOOKUP(テーブル2[[#This Row],[ボール投げ]],$AY$20:$AZ$29))))</f>
        <v>0</v>
      </c>
      <c r="AB263" s="146" t="str">
        <f>IF(テーブル2[[#This Row],[学年]]=1,12,IF(テーブル2[[#This Row],[学年]]=2,13,IF(テーブル2[[#This Row],[学年]]=3,14,"")))</f>
        <v/>
      </c>
      <c r="AC263" s="192" t="str">
        <f>IF(テーブル2[[#This Row],[肥満度数値]]=0,"",LOOKUP(AE263,$AW$39:$AW$44,$AX$39:$AX$44))</f>
        <v/>
      </c>
      <c r="AD26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3" s="77">
        <f>IF(テーブル2[[#This Row],[体重]]="",0,(テーブル2[[#This Row],[体重]]-テーブル2[[#This Row],[標準体重]])/テーブル2[[#This Row],[標準体重]]*100)</f>
        <v>0</v>
      </c>
      <c r="AF263" s="26">
        <f>COUNTA(テーブル2[[#This Row],[握力]:[ボール投げ]])</f>
        <v>0</v>
      </c>
      <c r="AG263" s="1" t="str">
        <f>IF(テーブル2[[#This Row],[判定]]=$BE$10,"○","")</f>
        <v/>
      </c>
      <c r="AH263" s="1" t="str">
        <f>IF(AG263="","",COUNTIF($AG$6:AG263,"○"))</f>
        <v/>
      </c>
    </row>
    <row r="264" spans="1:34" ht="14.25" customHeight="1" x14ac:dyDescent="0.15">
      <c r="A264" s="44">
        <v>259</v>
      </c>
      <c r="B264" s="148"/>
      <c r="C264" s="151"/>
      <c r="D264" s="148"/>
      <c r="E264" s="152"/>
      <c r="F264" s="148"/>
      <c r="G264" s="148"/>
      <c r="H264" s="150"/>
      <c r="I264" s="150"/>
      <c r="J264" s="151"/>
      <c r="K264" s="148"/>
      <c r="L264" s="196"/>
      <c r="M264" s="151"/>
      <c r="N264" s="197"/>
      <c r="O264" s="151"/>
      <c r="P264" s="153"/>
      <c r="Q26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4" s="144" t="str">
        <f>IF(テーブル2[[#This Row],[得点]]=0,"",IF(テーブル2[[#This Row],[年齢]]=17,LOOKUP(Q264,$BH$6:$BH$10,$BE$6:$BE$10),IF(テーブル2[[#This Row],[年齢]]=16,LOOKUP(Q264,$BG$6:$BG$10,$BE$6:$BE$10),IF(テーブル2[[#This Row],[年齢]]=15,LOOKUP(Q264,$BF$6:$BF$10,$BE$6:$BE$10),IF(テーブル2[[#This Row],[年齢]]=14,LOOKUP(Q264,$BD$6:$BD$10,$BE$6:$BE$10),IF(テーブル2[[#This Row],[年齢]]=13,LOOKUP(Q264,$BC$6:$BC$10,$BE$6:$BE$10),LOOKUP(Q264,$BB$6:$BB$10,$BE$6:$BE$10)))))))</f>
        <v/>
      </c>
      <c r="S264" s="145">
        <f>IF(H264="",0,(IF(テーブル2[[#This Row],[性別]]="男",LOOKUP(テーブル2[[#This Row],[握力]],$AI$6:$AJ$15),LOOKUP(テーブル2[[#This Row],[握力]],$AI$20:$AJ$29))))</f>
        <v>0</v>
      </c>
      <c r="T264" s="145">
        <f>IF(テーブル2[[#This Row],[上体]]="",0,(IF(テーブル2[[#This Row],[性別]]="男",LOOKUP(テーブル2[[#This Row],[上体]],$AK$6:$AL$15),LOOKUP(テーブル2[[#This Row],[上体]],$AK$20:$AL$29))))</f>
        <v>0</v>
      </c>
      <c r="U264" s="145">
        <f>IF(テーブル2[[#This Row],[長座]]="",0,(IF(テーブル2[[#This Row],[性別]]="男",LOOKUP(テーブル2[[#This Row],[長座]],$AM$6:$AN$15),LOOKUP(テーブル2[[#This Row],[長座]],$AM$20:$AN$29))))</f>
        <v>0</v>
      </c>
      <c r="V264" s="145">
        <f>IF(テーブル2[[#This Row],[反復]]="",0,(IF(テーブル2[[#This Row],[性別]]="男",LOOKUP(テーブル2[[#This Row],[反復]],$AO$6:$AP$15),LOOKUP(テーブル2[[#This Row],[反復]],$AO$20:$AP$29))))</f>
        <v>0</v>
      </c>
      <c r="W264" s="145">
        <f>IF(テーブル2[[#This Row],[持久走]]="",0,(IF(テーブル2[[#This Row],[性別]]="男",LOOKUP(テーブル2[[#This Row],[持久走]],$AQ$6:$AR$15),LOOKUP(テーブル2[[#This Row],[持久走]],$AQ$20:$AR$29))))</f>
        <v>0</v>
      </c>
      <c r="X264" s="145">
        <f>IF(テーブル2[[#This Row],[ｼｬﾄﾙﾗﾝ]]="",0,(IF(テーブル2[[#This Row],[性別]]="男",LOOKUP(テーブル2[[#This Row],[ｼｬﾄﾙﾗﾝ]],$AS$6:$AT$15),LOOKUP(テーブル2[[#This Row],[ｼｬﾄﾙﾗﾝ]],$AS$20:$AT$29))))</f>
        <v>0</v>
      </c>
      <c r="Y264" s="145">
        <f>IF(テーブル2[[#This Row],[50m走]]="",0,(IF(テーブル2[[#This Row],[性別]]="男",LOOKUP(テーブル2[[#This Row],[50m走]],$AU$6:$AV$15),LOOKUP(テーブル2[[#This Row],[50m走]],$AU$20:$AV$29))))</f>
        <v>0</v>
      </c>
      <c r="Z264" s="145">
        <f>IF(テーブル2[[#This Row],[立幅とび]]="",0,(IF(テーブル2[[#This Row],[性別]]="男",LOOKUP(テーブル2[[#This Row],[立幅とび]],$AW$6:$AX$15),LOOKUP(テーブル2[[#This Row],[立幅とび]],$AW$20:$AX$29))))</f>
        <v>0</v>
      </c>
      <c r="AA264" s="145">
        <f>IF(テーブル2[[#This Row],[ボール投げ]]="",0,(IF(テーブル2[[#This Row],[性別]]="男",LOOKUP(テーブル2[[#This Row],[ボール投げ]],$AY$6:$AZ$15),LOOKUP(テーブル2[[#This Row],[ボール投げ]],$AY$20:$AZ$29))))</f>
        <v>0</v>
      </c>
      <c r="AB264" s="146" t="str">
        <f>IF(テーブル2[[#This Row],[学年]]=1,12,IF(テーブル2[[#This Row],[学年]]=2,13,IF(テーブル2[[#This Row],[学年]]=3,14,"")))</f>
        <v/>
      </c>
      <c r="AC264" s="192" t="str">
        <f>IF(テーブル2[[#This Row],[肥満度数値]]=0,"",LOOKUP(AE264,$AW$39:$AW$44,$AX$39:$AX$44))</f>
        <v/>
      </c>
      <c r="AD26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4" s="77">
        <f>IF(テーブル2[[#This Row],[体重]]="",0,(テーブル2[[#This Row],[体重]]-テーブル2[[#This Row],[標準体重]])/テーブル2[[#This Row],[標準体重]]*100)</f>
        <v>0</v>
      </c>
      <c r="AF264" s="26">
        <f>COUNTA(テーブル2[[#This Row],[握力]:[ボール投げ]])</f>
        <v>0</v>
      </c>
      <c r="AG264" s="1" t="str">
        <f>IF(テーブル2[[#This Row],[判定]]=$BE$10,"○","")</f>
        <v/>
      </c>
      <c r="AH264" s="1" t="str">
        <f>IF(AG264="","",COUNTIF($AG$6:AG264,"○"))</f>
        <v/>
      </c>
    </row>
    <row r="265" spans="1:34" ht="14.25" customHeight="1" x14ac:dyDescent="0.15">
      <c r="A265" s="44">
        <v>260</v>
      </c>
      <c r="B265" s="148"/>
      <c r="C265" s="151"/>
      <c r="D265" s="148"/>
      <c r="E265" s="152"/>
      <c r="F265" s="148"/>
      <c r="G265" s="148"/>
      <c r="H265" s="150"/>
      <c r="I265" s="150"/>
      <c r="J265" s="151"/>
      <c r="K265" s="148"/>
      <c r="L265" s="196"/>
      <c r="M265" s="151"/>
      <c r="N265" s="197"/>
      <c r="O265" s="151"/>
      <c r="P265" s="153"/>
      <c r="Q26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5" s="144" t="str">
        <f>IF(テーブル2[[#This Row],[得点]]=0,"",IF(テーブル2[[#This Row],[年齢]]=17,LOOKUP(Q265,$BH$6:$BH$10,$BE$6:$BE$10),IF(テーブル2[[#This Row],[年齢]]=16,LOOKUP(Q265,$BG$6:$BG$10,$BE$6:$BE$10),IF(テーブル2[[#This Row],[年齢]]=15,LOOKUP(Q265,$BF$6:$BF$10,$BE$6:$BE$10),IF(テーブル2[[#This Row],[年齢]]=14,LOOKUP(Q265,$BD$6:$BD$10,$BE$6:$BE$10),IF(テーブル2[[#This Row],[年齢]]=13,LOOKUP(Q265,$BC$6:$BC$10,$BE$6:$BE$10),LOOKUP(Q265,$BB$6:$BB$10,$BE$6:$BE$10)))))))</f>
        <v/>
      </c>
      <c r="S265" s="145">
        <f>IF(H265="",0,(IF(テーブル2[[#This Row],[性別]]="男",LOOKUP(テーブル2[[#This Row],[握力]],$AI$6:$AJ$15),LOOKUP(テーブル2[[#This Row],[握力]],$AI$20:$AJ$29))))</f>
        <v>0</v>
      </c>
      <c r="T265" s="145">
        <f>IF(テーブル2[[#This Row],[上体]]="",0,(IF(テーブル2[[#This Row],[性別]]="男",LOOKUP(テーブル2[[#This Row],[上体]],$AK$6:$AL$15),LOOKUP(テーブル2[[#This Row],[上体]],$AK$20:$AL$29))))</f>
        <v>0</v>
      </c>
      <c r="U265" s="145">
        <f>IF(テーブル2[[#This Row],[長座]]="",0,(IF(テーブル2[[#This Row],[性別]]="男",LOOKUP(テーブル2[[#This Row],[長座]],$AM$6:$AN$15),LOOKUP(テーブル2[[#This Row],[長座]],$AM$20:$AN$29))))</f>
        <v>0</v>
      </c>
      <c r="V265" s="145">
        <f>IF(テーブル2[[#This Row],[反復]]="",0,(IF(テーブル2[[#This Row],[性別]]="男",LOOKUP(テーブル2[[#This Row],[反復]],$AO$6:$AP$15),LOOKUP(テーブル2[[#This Row],[反復]],$AO$20:$AP$29))))</f>
        <v>0</v>
      </c>
      <c r="W265" s="145">
        <f>IF(テーブル2[[#This Row],[持久走]]="",0,(IF(テーブル2[[#This Row],[性別]]="男",LOOKUP(テーブル2[[#This Row],[持久走]],$AQ$6:$AR$15),LOOKUP(テーブル2[[#This Row],[持久走]],$AQ$20:$AR$29))))</f>
        <v>0</v>
      </c>
      <c r="X265" s="145">
        <f>IF(テーブル2[[#This Row],[ｼｬﾄﾙﾗﾝ]]="",0,(IF(テーブル2[[#This Row],[性別]]="男",LOOKUP(テーブル2[[#This Row],[ｼｬﾄﾙﾗﾝ]],$AS$6:$AT$15),LOOKUP(テーブル2[[#This Row],[ｼｬﾄﾙﾗﾝ]],$AS$20:$AT$29))))</f>
        <v>0</v>
      </c>
      <c r="Y265" s="145">
        <f>IF(テーブル2[[#This Row],[50m走]]="",0,(IF(テーブル2[[#This Row],[性別]]="男",LOOKUP(テーブル2[[#This Row],[50m走]],$AU$6:$AV$15),LOOKUP(テーブル2[[#This Row],[50m走]],$AU$20:$AV$29))))</f>
        <v>0</v>
      </c>
      <c r="Z265" s="145">
        <f>IF(テーブル2[[#This Row],[立幅とび]]="",0,(IF(テーブル2[[#This Row],[性別]]="男",LOOKUP(テーブル2[[#This Row],[立幅とび]],$AW$6:$AX$15),LOOKUP(テーブル2[[#This Row],[立幅とび]],$AW$20:$AX$29))))</f>
        <v>0</v>
      </c>
      <c r="AA265" s="145">
        <f>IF(テーブル2[[#This Row],[ボール投げ]]="",0,(IF(テーブル2[[#This Row],[性別]]="男",LOOKUP(テーブル2[[#This Row],[ボール投げ]],$AY$6:$AZ$15),LOOKUP(テーブル2[[#This Row],[ボール投げ]],$AY$20:$AZ$29))))</f>
        <v>0</v>
      </c>
      <c r="AB265" s="146" t="str">
        <f>IF(テーブル2[[#This Row],[学年]]=1,12,IF(テーブル2[[#This Row],[学年]]=2,13,IF(テーブル2[[#This Row],[学年]]=3,14,"")))</f>
        <v/>
      </c>
      <c r="AC265" s="192" t="str">
        <f>IF(テーブル2[[#This Row],[肥満度数値]]=0,"",LOOKUP(AE265,$AW$39:$AW$44,$AX$39:$AX$44))</f>
        <v/>
      </c>
      <c r="AD26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5" s="77">
        <f>IF(テーブル2[[#This Row],[体重]]="",0,(テーブル2[[#This Row],[体重]]-テーブル2[[#This Row],[標準体重]])/テーブル2[[#This Row],[標準体重]]*100)</f>
        <v>0</v>
      </c>
      <c r="AF265" s="26">
        <f>COUNTA(テーブル2[[#This Row],[握力]:[ボール投げ]])</f>
        <v>0</v>
      </c>
      <c r="AG265" s="1" t="str">
        <f>IF(テーブル2[[#This Row],[判定]]=$BE$10,"○","")</f>
        <v/>
      </c>
      <c r="AH265" s="1" t="str">
        <f>IF(AG265="","",COUNTIF($AG$6:AG265,"○"))</f>
        <v/>
      </c>
    </row>
    <row r="266" spans="1:34" ht="14.25" customHeight="1" x14ac:dyDescent="0.15">
      <c r="A266" s="44">
        <v>261</v>
      </c>
      <c r="B266" s="148"/>
      <c r="C266" s="151"/>
      <c r="D266" s="148"/>
      <c r="E266" s="152"/>
      <c r="F266" s="148"/>
      <c r="G266" s="148"/>
      <c r="H266" s="150"/>
      <c r="I266" s="150"/>
      <c r="J266" s="151"/>
      <c r="K266" s="148"/>
      <c r="L266" s="196"/>
      <c r="M266" s="151"/>
      <c r="N266" s="197"/>
      <c r="O266" s="151"/>
      <c r="P266" s="153"/>
      <c r="Q26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6" s="144" t="str">
        <f>IF(テーブル2[[#This Row],[得点]]=0,"",IF(テーブル2[[#This Row],[年齢]]=17,LOOKUP(Q266,$BH$6:$BH$10,$BE$6:$BE$10),IF(テーブル2[[#This Row],[年齢]]=16,LOOKUP(Q266,$BG$6:$BG$10,$BE$6:$BE$10),IF(テーブル2[[#This Row],[年齢]]=15,LOOKUP(Q266,$BF$6:$BF$10,$BE$6:$BE$10),IF(テーブル2[[#This Row],[年齢]]=14,LOOKUP(Q266,$BD$6:$BD$10,$BE$6:$BE$10),IF(テーブル2[[#This Row],[年齢]]=13,LOOKUP(Q266,$BC$6:$BC$10,$BE$6:$BE$10),LOOKUP(Q266,$BB$6:$BB$10,$BE$6:$BE$10)))))))</f>
        <v/>
      </c>
      <c r="S266" s="145">
        <f>IF(H266="",0,(IF(テーブル2[[#This Row],[性別]]="男",LOOKUP(テーブル2[[#This Row],[握力]],$AI$6:$AJ$15),LOOKUP(テーブル2[[#This Row],[握力]],$AI$20:$AJ$29))))</f>
        <v>0</v>
      </c>
      <c r="T266" s="145">
        <f>IF(テーブル2[[#This Row],[上体]]="",0,(IF(テーブル2[[#This Row],[性別]]="男",LOOKUP(テーブル2[[#This Row],[上体]],$AK$6:$AL$15),LOOKUP(テーブル2[[#This Row],[上体]],$AK$20:$AL$29))))</f>
        <v>0</v>
      </c>
      <c r="U266" s="145">
        <f>IF(テーブル2[[#This Row],[長座]]="",0,(IF(テーブル2[[#This Row],[性別]]="男",LOOKUP(テーブル2[[#This Row],[長座]],$AM$6:$AN$15),LOOKUP(テーブル2[[#This Row],[長座]],$AM$20:$AN$29))))</f>
        <v>0</v>
      </c>
      <c r="V266" s="145">
        <f>IF(テーブル2[[#This Row],[反復]]="",0,(IF(テーブル2[[#This Row],[性別]]="男",LOOKUP(テーブル2[[#This Row],[反復]],$AO$6:$AP$15),LOOKUP(テーブル2[[#This Row],[反復]],$AO$20:$AP$29))))</f>
        <v>0</v>
      </c>
      <c r="W266" s="145">
        <f>IF(テーブル2[[#This Row],[持久走]]="",0,(IF(テーブル2[[#This Row],[性別]]="男",LOOKUP(テーブル2[[#This Row],[持久走]],$AQ$6:$AR$15),LOOKUP(テーブル2[[#This Row],[持久走]],$AQ$20:$AR$29))))</f>
        <v>0</v>
      </c>
      <c r="X266" s="145">
        <f>IF(テーブル2[[#This Row],[ｼｬﾄﾙﾗﾝ]]="",0,(IF(テーブル2[[#This Row],[性別]]="男",LOOKUP(テーブル2[[#This Row],[ｼｬﾄﾙﾗﾝ]],$AS$6:$AT$15),LOOKUP(テーブル2[[#This Row],[ｼｬﾄﾙﾗﾝ]],$AS$20:$AT$29))))</f>
        <v>0</v>
      </c>
      <c r="Y266" s="145">
        <f>IF(テーブル2[[#This Row],[50m走]]="",0,(IF(テーブル2[[#This Row],[性別]]="男",LOOKUP(テーブル2[[#This Row],[50m走]],$AU$6:$AV$15),LOOKUP(テーブル2[[#This Row],[50m走]],$AU$20:$AV$29))))</f>
        <v>0</v>
      </c>
      <c r="Z266" s="145">
        <f>IF(テーブル2[[#This Row],[立幅とび]]="",0,(IF(テーブル2[[#This Row],[性別]]="男",LOOKUP(テーブル2[[#This Row],[立幅とび]],$AW$6:$AX$15),LOOKUP(テーブル2[[#This Row],[立幅とび]],$AW$20:$AX$29))))</f>
        <v>0</v>
      </c>
      <c r="AA266" s="145">
        <f>IF(テーブル2[[#This Row],[ボール投げ]]="",0,(IF(テーブル2[[#This Row],[性別]]="男",LOOKUP(テーブル2[[#This Row],[ボール投げ]],$AY$6:$AZ$15),LOOKUP(テーブル2[[#This Row],[ボール投げ]],$AY$20:$AZ$29))))</f>
        <v>0</v>
      </c>
      <c r="AB266" s="146" t="str">
        <f>IF(テーブル2[[#This Row],[学年]]=1,12,IF(テーブル2[[#This Row],[学年]]=2,13,IF(テーブル2[[#This Row],[学年]]=3,14,"")))</f>
        <v/>
      </c>
      <c r="AC266" s="192" t="str">
        <f>IF(テーブル2[[#This Row],[肥満度数値]]=0,"",LOOKUP(AE266,$AW$39:$AW$44,$AX$39:$AX$44))</f>
        <v/>
      </c>
      <c r="AD26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6" s="77">
        <f>IF(テーブル2[[#This Row],[体重]]="",0,(テーブル2[[#This Row],[体重]]-テーブル2[[#This Row],[標準体重]])/テーブル2[[#This Row],[標準体重]]*100)</f>
        <v>0</v>
      </c>
      <c r="AF266" s="26">
        <f>COUNTA(テーブル2[[#This Row],[握力]:[ボール投げ]])</f>
        <v>0</v>
      </c>
      <c r="AG266" s="1" t="str">
        <f>IF(テーブル2[[#This Row],[判定]]=$BE$10,"○","")</f>
        <v/>
      </c>
      <c r="AH266" s="1" t="str">
        <f>IF(AG266="","",COUNTIF($AG$6:AG266,"○"))</f>
        <v/>
      </c>
    </row>
    <row r="267" spans="1:34" ht="14.25" customHeight="1" x14ac:dyDescent="0.15">
      <c r="A267" s="44">
        <v>262</v>
      </c>
      <c r="B267" s="148"/>
      <c r="C267" s="151"/>
      <c r="D267" s="148"/>
      <c r="E267" s="152"/>
      <c r="F267" s="148"/>
      <c r="G267" s="148"/>
      <c r="H267" s="150"/>
      <c r="I267" s="150"/>
      <c r="J267" s="151"/>
      <c r="K267" s="148"/>
      <c r="L267" s="196"/>
      <c r="M267" s="151"/>
      <c r="N267" s="197"/>
      <c r="O267" s="151"/>
      <c r="P267" s="153"/>
      <c r="Q26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7" s="144" t="str">
        <f>IF(テーブル2[[#This Row],[得点]]=0,"",IF(テーブル2[[#This Row],[年齢]]=17,LOOKUP(Q267,$BH$6:$BH$10,$BE$6:$BE$10),IF(テーブル2[[#This Row],[年齢]]=16,LOOKUP(Q267,$BG$6:$BG$10,$BE$6:$BE$10),IF(テーブル2[[#This Row],[年齢]]=15,LOOKUP(Q267,$BF$6:$BF$10,$BE$6:$BE$10),IF(テーブル2[[#This Row],[年齢]]=14,LOOKUP(Q267,$BD$6:$BD$10,$BE$6:$BE$10),IF(テーブル2[[#This Row],[年齢]]=13,LOOKUP(Q267,$BC$6:$BC$10,$BE$6:$BE$10),LOOKUP(Q267,$BB$6:$BB$10,$BE$6:$BE$10)))))))</f>
        <v/>
      </c>
      <c r="S267" s="145">
        <f>IF(H267="",0,(IF(テーブル2[[#This Row],[性別]]="男",LOOKUP(テーブル2[[#This Row],[握力]],$AI$6:$AJ$15),LOOKUP(テーブル2[[#This Row],[握力]],$AI$20:$AJ$29))))</f>
        <v>0</v>
      </c>
      <c r="T267" s="145">
        <f>IF(テーブル2[[#This Row],[上体]]="",0,(IF(テーブル2[[#This Row],[性別]]="男",LOOKUP(テーブル2[[#This Row],[上体]],$AK$6:$AL$15),LOOKUP(テーブル2[[#This Row],[上体]],$AK$20:$AL$29))))</f>
        <v>0</v>
      </c>
      <c r="U267" s="145">
        <f>IF(テーブル2[[#This Row],[長座]]="",0,(IF(テーブル2[[#This Row],[性別]]="男",LOOKUP(テーブル2[[#This Row],[長座]],$AM$6:$AN$15),LOOKUP(テーブル2[[#This Row],[長座]],$AM$20:$AN$29))))</f>
        <v>0</v>
      </c>
      <c r="V267" s="145">
        <f>IF(テーブル2[[#This Row],[反復]]="",0,(IF(テーブル2[[#This Row],[性別]]="男",LOOKUP(テーブル2[[#This Row],[反復]],$AO$6:$AP$15),LOOKUP(テーブル2[[#This Row],[反復]],$AO$20:$AP$29))))</f>
        <v>0</v>
      </c>
      <c r="W267" s="145">
        <f>IF(テーブル2[[#This Row],[持久走]]="",0,(IF(テーブル2[[#This Row],[性別]]="男",LOOKUP(テーブル2[[#This Row],[持久走]],$AQ$6:$AR$15),LOOKUP(テーブル2[[#This Row],[持久走]],$AQ$20:$AR$29))))</f>
        <v>0</v>
      </c>
      <c r="X267" s="145">
        <f>IF(テーブル2[[#This Row],[ｼｬﾄﾙﾗﾝ]]="",0,(IF(テーブル2[[#This Row],[性別]]="男",LOOKUP(テーブル2[[#This Row],[ｼｬﾄﾙﾗﾝ]],$AS$6:$AT$15),LOOKUP(テーブル2[[#This Row],[ｼｬﾄﾙﾗﾝ]],$AS$20:$AT$29))))</f>
        <v>0</v>
      </c>
      <c r="Y267" s="145">
        <f>IF(テーブル2[[#This Row],[50m走]]="",0,(IF(テーブル2[[#This Row],[性別]]="男",LOOKUP(テーブル2[[#This Row],[50m走]],$AU$6:$AV$15),LOOKUP(テーブル2[[#This Row],[50m走]],$AU$20:$AV$29))))</f>
        <v>0</v>
      </c>
      <c r="Z267" s="145">
        <f>IF(テーブル2[[#This Row],[立幅とび]]="",0,(IF(テーブル2[[#This Row],[性別]]="男",LOOKUP(テーブル2[[#This Row],[立幅とび]],$AW$6:$AX$15),LOOKUP(テーブル2[[#This Row],[立幅とび]],$AW$20:$AX$29))))</f>
        <v>0</v>
      </c>
      <c r="AA267" s="145">
        <f>IF(テーブル2[[#This Row],[ボール投げ]]="",0,(IF(テーブル2[[#This Row],[性別]]="男",LOOKUP(テーブル2[[#This Row],[ボール投げ]],$AY$6:$AZ$15),LOOKUP(テーブル2[[#This Row],[ボール投げ]],$AY$20:$AZ$29))))</f>
        <v>0</v>
      </c>
      <c r="AB267" s="146" t="str">
        <f>IF(テーブル2[[#This Row],[学年]]=1,12,IF(テーブル2[[#This Row],[学年]]=2,13,IF(テーブル2[[#This Row],[学年]]=3,14,"")))</f>
        <v/>
      </c>
      <c r="AC267" s="192" t="str">
        <f>IF(テーブル2[[#This Row],[肥満度数値]]=0,"",LOOKUP(AE267,$AW$39:$AW$44,$AX$39:$AX$44))</f>
        <v/>
      </c>
      <c r="AD26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7" s="77">
        <f>IF(テーブル2[[#This Row],[体重]]="",0,(テーブル2[[#This Row],[体重]]-テーブル2[[#This Row],[標準体重]])/テーブル2[[#This Row],[標準体重]]*100)</f>
        <v>0</v>
      </c>
      <c r="AF267" s="26">
        <f>COUNTA(テーブル2[[#This Row],[握力]:[ボール投げ]])</f>
        <v>0</v>
      </c>
      <c r="AG267" s="1" t="str">
        <f>IF(テーブル2[[#This Row],[判定]]=$BE$10,"○","")</f>
        <v/>
      </c>
      <c r="AH267" s="1" t="str">
        <f>IF(AG267="","",COUNTIF($AG$6:AG267,"○"))</f>
        <v/>
      </c>
    </row>
    <row r="268" spans="1:34" ht="14.25" customHeight="1" x14ac:dyDescent="0.15">
      <c r="A268" s="44">
        <v>263</v>
      </c>
      <c r="B268" s="148"/>
      <c r="C268" s="151"/>
      <c r="D268" s="148"/>
      <c r="E268" s="152"/>
      <c r="F268" s="148"/>
      <c r="G268" s="148"/>
      <c r="H268" s="150"/>
      <c r="I268" s="150"/>
      <c r="J268" s="151"/>
      <c r="K268" s="148"/>
      <c r="L268" s="196"/>
      <c r="M268" s="151"/>
      <c r="N268" s="197"/>
      <c r="O268" s="151"/>
      <c r="P268" s="153"/>
      <c r="Q26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8" s="144" t="str">
        <f>IF(テーブル2[[#This Row],[得点]]=0,"",IF(テーブル2[[#This Row],[年齢]]=17,LOOKUP(Q268,$BH$6:$BH$10,$BE$6:$BE$10),IF(テーブル2[[#This Row],[年齢]]=16,LOOKUP(Q268,$BG$6:$BG$10,$BE$6:$BE$10),IF(テーブル2[[#This Row],[年齢]]=15,LOOKUP(Q268,$BF$6:$BF$10,$BE$6:$BE$10),IF(テーブル2[[#This Row],[年齢]]=14,LOOKUP(Q268,$BD$6:$BD$10,$BE$6:$BE$10),IF(テーブル2[[#This Row],[年齢]]=13,LOOKUP(Q268,$BC$6:$BC$10,$BE$6:$BE$10),LOOKUP(Q268,$BB$6:$BB$10,$BE$6:$BE$10)))))))</f>
        <v/>
      </c>
      <c r="S268" s="145">
        <f>IF(H268="",0,(IF(テーブル2[[#This Row],[性別]]="男",LOOKUP(テーブル2[[#This Row],[握力]],$AI$6:$AJ$15),LOOKUP(テーブル2[[#This Row],[握力]],$AI$20:$AJ$29))))</f>
        <v>0</v>
      </c>
      <c r="T268" s="145">
        <f>IF(テーブル2[[#This Row],[上体]]="",0,(IF(テーブル2[[#This Row],[性別]]="男",LOOKUP(テーブル2[[#This Row],[上体]],$AK$6:$AL$15),LOOKUP(テーブル2[[#This Row],[上体]],$AK$20:$AL$29))))</f>
        <v>0</v>
      </c>
      <c r="U268" s="145">
        <f>IF(テーブル2[[#This Row],[長座]]="",0,(IF(テーブル2[[#This Row],[性別]]="男",LOOKUP(テーブル2[[#This Row],[長座]],$AM$6:$AN$15),LOOKUP(テーブル2[[#This Row],[長座]],$AM$20:$AN$29))))</f>
        <v>0</v>
      </c>
      <c r="V268" s="145">
        <f>IF(テーブル2[[#This Row],[反復]]="",0,(IF(テーブル2[[#This Row],[性別]]="男",LOOKUP(テーブル2[[#This Row],[反復]],$AO$6:$AP$15),LOOKUP(テーブル2[[#This Row],[反復]],$AO$20:$AP$29))))</f>
        <v>0</v>
      </c>
      <c r="W268" s="145">
        <f>IF(テーブル2[[#This Row],[持久走]]="",0,(IF(テーブル2[[#This Row],[性別]]="男",LOOKUP(テーブル2[[#This Row],[持久走]],$AQ$6:$AR$15),LOOKUP(テーブル2[[#This Row],[持久走]],$AQ$20:$AR$29))))</f>
        <v>0</v>
      </c>
      <c r="X268" s="145">
        <f>IF(テーブル2[[#This Row],[ｼｬﾄﾙﾗﾝ]]="",0,(IF(テーブル2[[#This Row],[性別]]="男",LOOKUP(テーブル2[[#This Row],[ｼｬﾄﾙﾗﾝ]],$AS$6:$AT$15),LOOKUP(テーブル2[[#This Row],[ｼｬﾄﾙﾗﾝ]],$AS$20:$AT$29))))</f>
        <v>0</v>
      </c>
      <c r="Y268" s="145">
        <f>IF(テーブル2[[#This Row],[50m走]]="",0,(IF(テーブル2[[#This Row],[性別]]="男",LOOKUP(テーブル2[[#This Row],[50m走]],$AU$6:$AV$15),LOOKUP(テーブル2[[#This Row],[50m走]],$AU$20:$AV$29))))</f>
        <v>0</v>
      </c>
      <c r="Z268" s="145">
        <f>IF(テーブル2[[#This Row],[立幅とび]]="",0,(IF(テーブル2[[#This Row],[性別]]="男",LOOKUP(テーブル2[[#This Row],[立幅とび]],$AW$6:$AX$15),LOOKUP(テーブル2[[#This Row],[立幅とび]],$AW$20:$AX$29))))</f>
        <v>0</v>
      </c>
      <c r="AA268" s="145">
        <f>IF(テーブル2[[#This Row],[ボール投げ]]="",0,(IF(テーブル2[[#This Row],[性別]]="男",LOOKUP(テーブル2[[#This Row],[ボール投げ]],$AY$6:$AZ$15),LOOKUP(テーブル2[[#This Row],[ボール投げ]],$AY$20:$AZ$29))))</f>
        <v>0</v>
      </c>
      <c r="AB268" s="146" t="str">
        <f>IF(テーブル2[[#This Row],[学年]]=1,12,IF(テーブル2[[#This Row],[学年]]=2,13,IF(テーブル2[[#This Row],[学年]]=3,14,"")))</f>
        <v/>
      </c>
      <c r="AC268" s="192" t="str">
        <f>IF(テーブル2[[#This Row],[肥満度数値]]=0,"",LOOKUP(AE268,$AW$39:$AW$44,$AX$39:$AX$44))</f>
        <v/>
      </c>
      <c r="AD26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8" s="77">
        <f>IF(テーブル2[[#This Row],[体重]]="",0,(テーブル2[[#This Row],[体重]]-テーブル2[[#This Row],[標準体重]])/テーブル2[[#This Row],[標準体重]]*100)</f>
        <v>0</v>
      </c>
      <c r="AF268" s="26">
        <f>COUNTA(テーブル2[[#This Row],[握力]:[ボール投げ]])</f>
        <v>0</v>
      </c>
      <c r="AG268" s="1" t="str">
        <f>IF(テーブル2[[#This Row],[判定]]=$BE$10,"○","")</f>
        <v/>
      </c>
      <c r="AH268" s="1" t="str">
        <f>IF(AG268="","",COUNTIF($AG$6:AG268,"○"))</f>
        <v/>
      </c>
    </row>
    <row r="269" spans="1:34" ht="14.25" customHeight="1" x14ac:dyDescent="0.15">
      <c r="A269" s="44">
        <v>264</v>
      </c>
      <c r="B269" s="148"/>
      <c r="C269" s="151"/>
      <c r="D269" s="148"/>
      <c r="E269" s="152"/>
      <c r="F269" s="148"/>
      <c r="G269" s="148"/>
      <c r="H269" s="150"/>
      <c r="I269" s="150"/>
      <c r="J269" s="151"/>
      <c r="K269" s="148"/>
      <c r="L269" s="196"/>
      <c r="M269" s="151"/>
      <c r="N269" s="197"/>
      <c r="O269" s="151"/>
      <c r="P269" s="153"/>
      <c r="Q26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9" s="144" t="str">
        <f>IF(テーブル2[[#This Row],[得点]]=0,"",IF(テーブル2[[#This Row],[年齢]]=17,LOOKUP(Q269,$BH$6:$BH$10,$BE$6:$BE$10),IF(テーブル2[[#This Row],[年齢]]=16,LOOKUP(Q269,$BG$6:$BG$10,$BE$6:$BE$10),IF(テーブル2[[#This Row],[年齢]]=15,LOOKUP(Q269,$BF$6:$BF$10,$BE$6:$BE$10),IF(テーブル2[[#This Row],[年齢]]=14,LOOKUP(Q269,$BD$6:$BD$10,$BE$6:$BE$10),IF(テーブル2[[#This Row],[年齢]]=13,LOOKUP(Q269,$BC$6:$BC$10,$BE$6:$BE$10),LOOKUP(Q269,$BB$6:$BB$10,$BE$6:$BE$10)))))))</f>
        <v/>
      </c>
      <c r="S269" s="145">
        <f>IF(H269="",0,(IF(テーブル2[[#This Row],[性別]]="男",LOOKUP(テーブル2[[#This Row],[握力]],$AI$6:$AJ$15),LOOKUP(テーブル2[[#This Row],[握力]],$AI$20:$AJ$29))))</f>
        <v>0</v>
      </c>
      <c r="T269" s="145">
        <f>IF(テーブル2[[#This Row],[上体]]="",0,(IF(テーブル2[[#This Row],[性別]]="男",LOOKUP(テーブル2[[#This Row],[上体]],$AK$6:$AL$15),LOOKUP(テーブル2[[#This Row],[上体]],$AK$20:$AL$29))))</f>
        <v>0</v>
      </c>
      <c r="U269" s="145">
        <f>IF(テーブル2[[#This Row],[長座]]="",0,(IF(テーブル2[[#This Row],[性別]]="男",LOOKUP(テーブル2[[#This Row],[長座]],$AM$6:$AN$15),LOOKUP(テーブル2[[#This Row],[長座]],$AM$20:$AN$29))))</f>
        <v>0</v>
      </c>
      <c r="V269" s="145">
        <f>IF(テーブル2[[#This Row],[反復]]="",0,(IF(テーブル2[[#This Row],[性別]]="男",LOOKUP(テーブル2[[#This Row],[反復]],$AO$6:$AP$15),LOOKUP(テーブル2[[#This Row],[反復]],$AO$20:$AP$29))))</f>
        <v>0</v>
      </c>
      <c r="W269" s="145">
        <f>IF(テーブル2[[#This Row],[持久走]]="",0,(IF(テーブル2[[#This Row],[性別]]="男",LOOKUP(テーブル2[[#This Row],[持久走]],$AQ$6:$AR$15),LOOKUP(テーブル2[[#This Row],[持久走]],$AQ$20:$AR$29))))</f>
        <v>0</v>
      </c>
      <c r="X269" s="145">
        <f>IF(テーブル2[[#This Row],[ｼｬﾄﾙﾗﾝ]]="",0,(IF(テーブル2[[#This Row],[性別]]="男",LOOKUP(テーブル2[[#This Row],[ｼｬﾄﾙﾗﾝ]],$AS$6:$AT$15),LOOKUP(テーブル2[[#This Row],[ｼｬﾄﾙﾗﾝ]],$AS$20:$AT$29))))</f>
        <v>0</v>
      </c>
      <c r="Y269" s="145">
        <f>IF(テーブル2[[#This Row],[50m走]]="",0,(IF(テーブル2[[#This Row],[性別]]="男",LOOKUP(テーブル2[[#This Row],[50m走]],$AU$6:$AV$15),LOOKUP(テーブル2[[#This Row],[50m走]],$AU$20:$AV$29))))</f>
        <v>0</v>
      </c>
      <c r="Z269" s="145">
        <f>IF(テーブル2[[#This Row],[立幅とび]]="",0,(IF(テーブル2[[#This Row],[性別]]="男",LOOKUP(テーブル2[[#This Row],[立幅とび]],$AW$6:$AX$15),LOOKUP(テーブル2[[#This Row],[立幅とび]],$AW$20:$AX$29))))</f>
        <v>0</v>
      </c>
      <c r="AA269" s="145">
        <f>IF(テーブル2[[#This Row],[ボール投げ]]="",0,(IF(テーブル2[[#This Row],[性別]]="男",LOOKUP(テーブル2[[#This Row],[ボール投げ]],$AY$6:$AZ$15),LOOKUP(テーブル2[[#This Row],[ボール投げ]],$AY$20:$AZ$29))))</f>
        <v>0</v>
      </c>
      <c r="AB269" s="146" t="str">
        <f>IF(テーブル2[[#This Row],[学年]]=1,12,IF(テーブル2[[#This Row],[学年]]=2,13,IF(テーブル2[[#This Row],[学年]]=3,14,"")))</f>
        <v/>
      </c>
      <c r="AC269" s="192" t="str">
        <f>IF(テーブル2[[#This Row],[肥満度数値]]=0,"",LOOKUP(AE269,$AW$39:$AW$44,$AX$39:$AX$44))</f>
        <v/>
      </c>
      <c r="AD26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69" s="77">
        <f>IF(テーブル2[[#This Row],[体重]]="",0,(テーブル2[[#This Row],[体重]]-テーブル2[[#This Row],[標準体重]])/テーブル2[[#This Row],[標準体重]]*100)</f>
        <v>0</v>
      </c>
      <c r="AF269" s="26">
        <f>COUNTA(テーブル2[[#This Row],[握力]:[ボール投げ]])</f>
        <v>0</v>
      </c>
      <c r="AG269" s="1" t="str">
        <f>IF(テーブル2[[#This Row],[判定]]=$BE$10,"○","")</f>
        <v/>
      </c>
      <c r="AH269" s="1" t="str">
        <f>IF(AG269="","",COUNTIF($AG$6:AG269,"○"))</f>
        <v/>
      </c>
    </row>
    <row r="270" spans="1:34" ht="14.25" customHeight="1" x14ac:dyDescent="0.15">
      <c r="A270" s="44">
        <v>265</v>
      </c>
      <c r="B270" s="148"/>
      <c r="C270" s="151"/>
      <c r="D270" s="148"/>
      <c r="E270" s="152"/>
      <c r="F270" s="148"/>
      <c r="G270" s="148"/>
      <c r="H270" s="150"/>
      <c r="I270" s="150"/>
      <c r="J270" s="151"/>
      <c r="K270" s="148"/>
      <c r="L270" s="196"/>
      <c r="M270" s="151"/>
      <c r="N270" s="197"/>
      <c r="O270" s="151"/>
      <c r="P270" s="153"/>
      <c r="Q27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0" s="144" t="str">
        <f>IF(テーブル2[[#This Row],[得点]]=0,"",IF(テーブル2[[#This Row],[年齢]]=17,LOOKUP(Q270,$BH$6:$BH$10,$BE$6:$BE$10),IF(テーブル2[[#This Row],[年齢]]=16,LOOKUP(Q270,$BG$6:$BG$10,$BE$6:$BE$10),IF(テーブル2[[#This Row],[年齢]]=15,LOOKUP(Q270,$BF$6:$BF$10,$BE$6:$BE$10),IF(テーブル2[[#This Row],[年齢]]=14,LOOKUP(Q270,$BD$6:$BD$10,$BE$6:$BE$10),IF(テーブル2[[#This Row],[年齢]]=13,LOOKUP(Q270,$BC$6:$BC$10,$BE$6:$BE$10),LOOKUP(Q270,$BB$6:$BB$10,$BE$6:$BE$10)))))))</f>
        <v/>
      </c>
      <c r="S270" s="145">
        <f>IF(H270="",0,(IF(テーブル2[[#This Row],[性別]]="男",LOOKUP(テーブル2[[#This Row],[握力]],$AI$6:$AJ$15),LOOKUP(テーブル2[[#This Row],[握力]],$AI$20:$AJ$29))))</f>
        <v>0</v>
      </c>
      <c r="T270" s="145">
        <f>IF(テーブル2[[#This Row],[上体]]="",0,(IF(テーブル2[[#This Row],[性別]]="男",LOOKUP(テーブル2[[#This Row],[上体]],$AK$6:$AL$15),LOOKUP(テーブル2[[#This Row],[上体]],$AK$20:$AL$29))))</f>
        <v>0</v>
      </c>
      <c r="U270" s="145">
        <f>IF(テーブル2[[#This Row],[長座]]="",0,(IF(テーブル2[[#This Row],[性別]]="男",LOOKUP(テーブル2[[#This Row],[長座]],$AM$6:$AN$15),LOOKUP(テーブル2[[#This Row],[長座]],$AM$20:$AN$29))))</f>
        <v>0</v>
      </c>
      <c r="V270" s="145">
        <f>IF(テーブル2[[#This Row],[反復]]="",0,(IF(テーブル2[[#This Row],[性別]]="男",LOOKUP(テーブル2[[#This Row],[反復]],$AO$6:$AP$15),LOOKUP(テーブル2[[#This Row],[反復]],$AO$20:$AP$29))))</f>
        <v>0</v>
      </c>
      <c r="W270" s="145">
        <f>IF(テーブル2[[#This Row],[持久走]]="",0,(IF(テーブル2[[#This Row],[性別]]="男",LOOKUP(テーブル2[[#This Row],[持久走]],$AQ$6:$AR$15),LOOKUP(テーブル2[[#This Row],[持久走]],$AQ$20:$AR$29))))</f>
        <v>0</v>
      </c>
      <c r="X270" s="145">
        <f>IF(テーブル2[[#This Row],[ｼｬﾄﾙﾗﾝ]]="",0,(IF(テーブル2[[#This Row],[性別]]="男",LOOKUP(テーブル2[[#This Row],[ｼｬﾄﾙﾗﾝ]],$AS$6:$AT$15),LOOKUP(テーブル2[[#This Row],[ｼｬﾄﾙﾗﾝ]],$AS$20:$AT$29))))</f>
        <v>0</v>
      </c>
      <c r="Y270" s="145">
        <f>IF(テーブル2[[#This Row],[50m走]]="",0,(IF(テーブル2[[#This Row],[性別]]="男",LOOKUP(テーブル2[[#This Row],[50m走]],$AU$6:$AV$15),LOOKUP(テーブル2[[#This Row],[50m走]],$AU$20:$AV$29))))</f>
        <v>0</v>
      </c>
      <c r="Z270" s="145">
        <f>IF(テーブル2[[#This Row],[立幅とび]]="",0,(IF(テーブル2[[#This Row],[性別]]="男",LOOKUP(テーブル2[[#This Row],[立幅とび]],$AW$6:$AX$15),LOOKUP(テーブル2[[#This Row],[立幅とび]],$AW$20:$AX$29))))</f>
        <v>0</v>
      </c>
      <c r="AA270" s="145">
        <f>IF(テーブル2[[#This Row],[ボール投げ]]="",0,(IF(テーブル2[[#This Row],[性別]]="男",LOOKUP(テーブル2[[#This Row],[ボール投げ]],$AY$6:$AZ$15),LOOKUP(テーブル2[[#This Row],[ボール投げ]],$AY$20:$AZ$29))))</f>
        <v>0</v>
      </c>
      <c r="AB270" s="146" t="str">
        <f>IF(テーブル2[[#This Row],[学年]]=1,12,IF(テーブル2[[#This Row],[学年]]=2,13,IF(テーブル2[[#This Row],[学年]]=3,14,"")))</f>
        <v/>
      </c>
      <c r="AC270" s="192" t="str">
        <f>IF(テーブル2[[#This Row],[肥満度数値]]=0,"",LOOKUP(AE270,$AW$39:$AW$44,$AX$39:$AX$44))</f>
        <v/>
      </c>
      <c r="AD27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0" s="77">
        <f>IF(テーブル2[[#This Row],[体重]]="",0,(テーブル2[[#This Row],[体重]]-テーブル2[[#This Row],[標準体重]])/テーブル2[[#This Row],[標準体重]]*100)</f>
        <v>0</v>
      </c>
      <c r="AF270" s="26">
        <f>COUNTA(テーブル2[[#This Row],[握力]:[ボール投げ]])</f>
        <v>0</v>
      </c>
      <c r="AG270" s="1" t="str">
        <f>IF(テーブル2[[#This Row],[判定]]=$BE$10,"○","")</f>
        <v/>
      </c>
      <c r="AH270" s="1" t="str">
        <f>IF(AG270="","",COUNTIF($AG$6:AG270,"○"))</f>
        <v/>
      </c>
    </row>
    <row r="271" spans="1:34" ht="14.25" customHeight="1" x14ac:dyDescent="0.15">
      <c r="A271" s="44">
        <v>266</v>
      </c>
      <c r="B271" s="148"/>
      <c r="C271" s="151"/>
      <c r="D271" s="148"/>
      <c r="E271" s="152"/>
      <c r="F271" s="148"/>
      <c r="G271" s="148"/>
      <c r="H271" s="150"/>
      <c r="I271" s="150"/>
      <c r="J271" s="151"/>
      <c r="K271" s="148"/>
      <c r="L271" s="196"/>
      <c r="M271" s="151"/>
      <c r="N271" s="197"/>
      <c r="O271" s="151"/>
      <c r="P271" s="153"/>
      <c r="Q27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1" s="144" t="str">
        <f>IF(テーブル2[[#This Row],[得点]]=0,"",IF(テーブル2[[#This Row],[年齢]]=17,LOOKUP(Q271,$BH$6:$BH$10,$BE$6:$BE$10),IF(テーブル2[[#This Row],[年齢]]=16,LOOKUP(Q271,$BG$6:$BG$10,$BE$6:$BE$10),IF(テーブル2[[#This Row],[年齢]]=15,LOOKUP(Q271,$BF$6:$BF$10,$BE$6:$BE$10),IF(テーブル2[[#This Row],[年齢]]=14,LOOKUP(Q271,$BD$6:$BD$10,$BE$6:$BE$10),IF(テーブル2[[#This Row],[年齢]]=13,LOOKUP(Q271,$BC$6:$BC$10,$BE$6:$BE$10),LOOKUP(Q271,$BB$6:$BB$10,$BE$6:$BE$10)))))))</f>
        <v/>
      </c>
      <c r="S271" s="145">
        <f>IF(H271="",0,(IF(テーブル2[[#This Row],[性別]]="男",LOOKUP(テーブル2[[#This Row],[握力]],$AI$6:$AJ$15),LOOKUP(テーブル2[[#This Row],[握力]],$AI$20:$AJ$29))))</f>
        <v>0</v>
      </c>
      <c r="T271" s="145">
        <f>IF(テーブル2[[#This Row],[上体]]="",0,(IF(テーブル2[[#This Row],[性別]]="男",LOOKUP(テーブル2[[#This Row],[上体]],$AK$6:$AL$15),LOOKUP(テーブル2[[#This Row],[上体]],$AK$20:$AL$29))))</f>
        <v>0</v>
      </c>
      <c r="U271" s="145">
        <f>IF(テーブル2[[#This Row],[長座]]="",0,(IF(テーブル2[[#This Row],[性別]]="男",LOOKUP(テーブル2[[#This Row],[長座]],$AM$6:$AN$15),LOOKUP(テーブル2[[#This Row],[長座]],$AM$20:$AN$29))))</f>
        <v>0</v>
      </c>
      <c r="V271" s="145">
        <f>IF(テーブル2[[#This Row],[反復]]="",0,(IF(テーブル2[[#This Row],[性別]]="男",LOOKUP(テーブル2[[#This Row],[反復]],$AO$6:$AP$15),LOOKUP(テーブル2[[#This Row],[反復]],$AO$20:$AP$29))))</f>
        <v>0</v>
      </c>
      <c r="W271" s="145">
        <f>IF(テーブル2[[#This Row],[持久走]]="",0,(IF(テーブル2[[#This Row],[性別]]="男",LOOKUP(テーブル2[[#This Row],[持久走]],$AQ$6:$AR$15),LOOKUP(テーブル2[[#This Row],[持久走]],$AQ$20:$AR$29))))</f>
        <v>0</v>
      </c>
      <c r="X271" s="145">
        <f>IF(テーブル2[[#This Row],[ｼｬﾄﾙﾗﾝ]]="",0,(IF(テーブル2[[#This Row],[性別]]="男",LOOKUP(テーブル2[[#This Row],[ｼｬﾄﾙﾗﾝ]],$AS$6:$AT$15),LOOKUP(テーブル2[[#This Row],[ｼｬﾄﾙﾗﾝ]],$AS$20:$AT$29))))</f>
        <v>0</v>
      </c>
      <c r="Y271" s="145">
        <f>IF(テーブル2[[#This Row],[50m走]]="",0,(IF(テーブル2[[#This Row],[性別]]="男",LOOKUP(テーブル2[[#This Row],[50m走]],$AU$6:$AV$15),LOOKUP(テーブル2[[#This Row],[50m走]],$AU$20:$AV$29))))</f>
        <v>0</v>
      </c>
      <c r="Z271" s="145">
        <f>IF(テーブル2[[#This Row],[立幅とび]]="",0,(IF(テーブル2[[#This Row],[性別]]="男",LOOKUP(テーブル2[[#This Row],[立幅とび]],$AW$6:$AX$15),LOOKUP(テーブル2[[#This Row],[立幅とび]],$AW$20:$AX$29))))</f>
        <v>0</v>
      </c>
      <c r="AA271" s="145">
        <f>IF(テーブル2[[#This Row],[ボール投げ]]="",0,(IF(テーブル2[[#This Row],[性別]]="男",LOOKUP(テーブル2[[#This Row],[ボール投げ]],$AY$6:$AZ$15),LOOKUP(テーブル2[[#This Row],[ボール投げ]],$AY$20:$AZ$29))))</f>
        <v>0</v>
      </c>
      <c r="AB271" s="146" t="str">
        <f>IF(テーブル2[[#This Row],[学年]]=1,12,IF(テーブル2[[#This Row],[学年]]=2,13,IF(テーブル2[[#This Row],[学年]]=3,14,"")))</f>
        <v/>
      </c>
      <c r="AC271" s="192" t="str">
        <f>IF(テーブル2[[#This Row],[肥満度数値]]=0,"",LOOKUP(AE271,$AW$39:$AW$44,$AX$39:$AX$44))</f>
        <v/>
      </c>
      <c r="AD27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1" s="77">
        <f>IF(テーブル2[[#This Row],[体重]]="",0,(テーブル2[[#This Row],[体重]]-テーブル2[[#This Row],[標準体重]])/テーブル2[[#This Row],[標準体重]]*100)</f>
        <v>0</v>
      </c>
      <c r="AF271" s="26">
        <f>COUNTA(テーブル2[[#This Row],[握力]:[ボール投げ]])</f>
        <v>0</v>
      </c>
      <c r="AG271" s="1" t="str">
        <f>IF(テーブル2[[#This Row],[判定]]=$BE$10,"○","")</f>
        <v/>
      </c>
      <c r="AH271" s="1" t="str">
        <f>IF(AG271="","",COUNTIF($AG$6:AG271,"○"))</f>
        <v/>
      </c>
    </row>
    <row r="272" spans="1:34" ht="14.25" customHeight="1" x14ac:dyDescent="0.15">
      <c r="A272" s="44">
        <v>267</v>
      </c>
      <c r="B272" s="148"/>
      <c r="C272" s="151"/>
      <c r="D272" s="148"/>
      <c r="E272" s="152"/>
      <c r="F272" s="148"/>
      <c r="G272" s="148"/>
      <c r="H272" s="150"/>
      <c r="I272" s="150"/>
      <c r="J272" s="151"/>
      <c r="K272" s="148"/>
      <c r="L272" s="196"/>
      <c r="M272" s="151"/>
      <c r="N272" s="197"/>
      <c r="O272" s="151"/>
      <c r="P272" s="153"/>
      <c r="Q27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2" s="144" t="str">
        <f>IF(テーブル2[[#This Row],[得点]]=0,"",IF(テーブル2[[#This Row],[年齢]]=17,LOOKUP(Q272,$BH$6:$BH$10,$BE$6:$BE$10),IF(テーブル2[[#This Row],[年齢]]=16,LOOKUP(Q272,$BG$6:$BG$10,$BE$6:$BE$10),IF(テーブル2[[#This Row],[年齢]]=15,LOOKUP(Q272,$BF$6:$BF$10,$BE$6:$BE$10),IF(テーブル2[[#This Row],[年齢]]=14,LOOKUP(Q272,$BD$6:$BD$10,$BE$6:$BE$10),IF(テーブル2[[#This Row],[年齢]]=13,LOOKUP(Q272,$BC$6:$BC$10,$BE$6:$BE$10),LOOKUP(Q272,$BB$6:$BB$10,$BE$6:$BE$10)))))))</f>
        <v/>
      </c>
      <c r="S272" s="145">
        <f>IF(H272="",0,(IF(テーブル2[[#This Row],[性別]]="男",LOOKUP(テーブル2[[#This Row],[握力]],$AI$6:$AJ$15),LOOKUP(テーブル2[[#This Row],[握力]],$AI$20:$AJ$29))))</f>
        <v>0</v>
      </c>
      <c r="T272" s="145">
        <f>IF(テーブル2[[#This Row],[上体]]="",0,(IF(テーブル2[[#This Row],[性別]]="男",LOOKUP(テーブル2[[#This Row],[上体]],$AK$6:$AL$15),LOOKUP(テーブル2[[#This Row],[上体]],$AK$20:$AL$29))))</f>
        <v>0</v>
      </c>
      <c r="U272" s="145">
        <f>IF(テーブル2[[#This Row],[長座]]="",0,(IF(テーブル2[[#This Row],[性別]]="男",LOOKUP(テーブル2[[#This Row],[長座]],$AM$6:$AN$15),LOOKUP(テーブル2[[#This Row],[長座]],$AM$20:$AN$29))))</f>
        <v>0</v>
      </c>
      <c r="V272" s="145">
        <f>IF(テーブル2[[#This Row],[反復]]="",0,(IF(テーブル2[[#This Row],[性別]]="男",LOOKUP(テーブル2[[#This Row],[反復]],$AO$6:$AP$15),LOOKUP(テーブル2[[#This Row],[反復]],$AO$20:$AP$29))))</f>
        <v>0</v>
      </c>
      <c r="W272" s="145">
        <f>IF(テーブル2[[#This Row],[持久走]]="",0,(IF(テーブル2[[#This Row],[性別]]="男",LOOKUP(テーブル2[[#This Row],[持久走]],$AQ$6:$AR$15),LOOKUP(テーブル2[[#This Row],[持久走]],$AQ$20:$AR$29))))</f>
        <v>0</v>
      </c>
      <c r="X272" s="145">
        <f>IF(テーブル2[[#This Row],[ｼｬﾄﾙﾗﾝ]]="",0,(IF(テーブル2[[#This Row],[性別]]="男",LOOKUP(テーブル2[[#This Row],[ｼｬﾄﾙﾗﾝ]],$AS$6:$AT$15),LOOKUP(テーブル2[[#This Row],[ｼｬﾄﾙﾗﾝ]],$AS$20:$AT$29))))</f>
        <v>0</v>
      </c>
      <c r="Y272" s="145">
        <f>IF(テーブル2[[#This Row],[50m走]]="",0,(IF(テーブル2[[#This Row],[性別]]="男",LOOKUP(テーブル2[[#This Row],[50m走]],$AU$6:$AV$15),LOOKUP(テーブル2[[#This Row],[50m走]],$AU$20:$AV$29))))</f>
        <v>0</v>
      </c>
      <c r="Z272" s="145">
        <f>IF(テーブル2[[#This Row],[立幅とび]]="",0,(IF(テーブル2[[#This Row],[性別]]="男",LOOKUP(テーブル2[[#This Row],[立幅とび]],$AW$6:$AX$15),LOOKUP(テーブル2[[#This Row],[立幅とび]],$AW$20:$AX$29))))</f>
        <v>0</v>
      </c>
      <c r="AA272" s="145">
        <f>IF(テーブル2[[#This Row],[ボール投げ]]="",0,(IF(テーブル2[[#This Row],[性別]]="男",LOOKUP(テーブル2[[#This Row],[ボール投げ]],$AY$6:$AZ$15),LOOKUP(テーブル2[[#This Row],[ボール投げ]],$AY$20:$AZ$29))))</f>
        <v>0</v>
      </c>
      <c r="AB272" s="146" t="str">
        <f>IF(テーブル2[[#This Row],[学年]]=1,12,IF(テーブル2[[#This Row],[学年]]=2,13,IF(テーブル2[[#This Row],[学年]]=3,14,"")))</f>
        <v/>
      </c>
      <c r="AC272" s="192" t="str">
        <f>IF(テーブル2[[#This Row],[肥満度数値]]=0,"",LOOKUP(AE272,$AW$39:$AW$44,$AX$39:$AX$44))</f>
        <v/>
      </c>
      <c r="AD27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2" s="77">
        <f>IF(テーブル2[[#This Row],[体重]]="",0,(テーブル2[[#This Row],[体重]]-テーブル2[[#This Row],[標準体重]])/テーブル2[[#This Row],[標準体重]]*100)</f>
        <v>0</v>
      </c>
      <c r="AF272" s="26">
        <f>COUNTA(テーブル2[[#This Row],[握力]:[ボール投げ]])</f>
        <v>0</v>
      </c>
      <c r="AG272" s="1" t="str">
        <f>IF(テーブル2[[#This Row],[判定]]=$BE$10,"○","")</f>
        <v/>
      </c>
      <c r="AH272" s="1" t="str">
        <f>IF(AG272="","",COUNTIF($AG$6:AG272,"○"))</f>
        <v/>
      </c>
    </row>
    <row r="273" spans="1:34" ht="14.25" customHeight="1" x14ac:dyDescent="0.15">
      <c r="A273" s="44">
        <v>268</v>
      </c>
      <c r="B273" s="148"/>
      <c r="C273" s="151"/>
      <c r="D273" s="148"/>
      <c r="E273" s="152"/>
      <c r="F273" s="148"/>
      <c r="G273" s="148"/>
      <c r="H273" s="150"/>
      <c r="I273" s="150"/>
      <c r="J273" s="151"/>
      <c r="K273" s="148"/>
      <c r="L273" s="196"/>
      <c r="M273" s="151"/>
      <c r="N273" s="197"/>
      <c r="O273" s="151"/>
      <c r="P273" s="153"/>
      <c r="Q27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3" s="144" t="str">
        <f>IF(テーブル2[[#This Row],[得点]]=0,"",IF(テーブル2[[#This Row],[年齢]]=17,LOOKUP(Q273,$BH$6:$BH$10,$BE$6:$BE$10),IF(テーブル2[[#This Row],[年齢]]=16,LOOKUP(Q273,$BG$6:$BG$10,$BE$6:$BE$10),IF(テーブル2[[#This Row],[年齢]]=15,LOOKUP(Q273,$BF$6:$BF$10,$BE$6:$BE$10),IF(テーブル2[[#This Row],[年齢]]=14,LOOKUP(Q273,$BD$6:$BD$10,$BE$6:$BE$10),IF(テーブル2[[#This Row],[年齢]]=13,LOOKUP(Q273,$BC$6:$BC$10,$BE$6:$BE$10),LOOKUP(Q273,$BB$6:$BB$10,$BE$6:$BE$10)))))))</f>
        <v/>
      </c>
      <c r="S273" s="145">
        <f>IF(H273="",0,(IF(テーブル2[[#This Row],[性別]]="男",LOOKUP(テーブル2[[#This Row],[握力]],$AI$6:$AJ$15),LOOKUP(テーブル2[[#This Row],[握力]],$AI$20:$AJ$29))))</f>
        <v>0</v>
      </c>
      <c r="T273" s="145">
        <f>IF(テーブル2[[#This Row],[上体]]="",0,(IF(テーブル2[[#This Row],[性別]]="男",LOOKUP(テーブル2[[#This Row],[上体]],$AK$6:$AL$15),LOOKUP(テーブル2[[#This Row],[上体]],$AK$20:$AL$29))))</f>
        <v>0</v>
      </c>
      <c r="U273" s="145">
        <f>IF(テーブル2[[#This Row],[長座]]="",0,(IF(テーブル2[[#This Row],[性別]]="男",LOOKUP(テーブル2[[#This Row],[長座]],$AM$6:$AN$15),LOOKUP(テーブル2[[#This Row],[長座]],$AM$20:$AN$29))))</f>
        <v>0</v>
      </c>
      <c r="V273" s="145">
        <f>IF(テーブル2[[#This Row],[反復]]="",0,(IF(テーブル2[[#This Row],[性別]]="男",LOOKUP(テーブル2[[#This Row],[反復]],$AO$6:$AP$15),LOOKUP(テーブル2[[#This Row],[反復]],$AO$20:$AP$29))))</f>
        <v>0</v>
      </c>
      <c r="W273" s="145">
        <f>IF(テーブル2[[#This Row],[持久走]]="",0,(IF(テーブル2[[#This Row],[性別]]="男",LOOKUP(テーブル2[[#This Row],[持久走]],$AQ$6:$AR$15),LOOKUP(テーブル2[[#This Row],[持久走]],$AQ$20:$AR$29))))</f>
        <v>0</v>
      </c>
      <c r="X273" s="145">
        <f>IF(テーブル2[[#This Row],[ｼｬﾄﾙﾗﾝ]]="",0,(IF(テーブル2[[#This Row],[性別]]="男",LOOKUP(テーブル2[[#This Row],[ｼｬﾄﾙﾗﾝ]],$AS$6:$AT$15),LOOKUP(テーブル2[[#This Row],[ｼｬﾄﾙﾗﾝ]],$AS$20:$AT$29))))</f>
        <v>0</v>
      </c>
      <c r="Y273" s="145">
        <f>IF(テーブル2[[#This Row],[50m走]]="",0,(IF(テーブル2[[#This Row],[性別]]="男",LOOKUP(テーブル2[[#This Row],[50m走]],$AU$6:$AV$15),LOOKUP(テーブル2[[#This Row],[50m走]],$AU$20:$AV$29))))</f>
        <v>0</v>
      </c>
      <c r="Z273" s="145">
        <f>IF(テーブル2[[#This Row],[立幅とび]]="",0,(IF(テーブル2[[#This Row],[性別]]="男",LOOKUP(テーブル2[[#This Row],[立幅とび]],$AW$6:$AX$15),LOOKUP(テーブル2[[#This Row],[立幅とび]],$AW$20:$AX$29))))</f>
        <v>0</v>
      </c>
      <c r="AA273" s="145">
        <f>IF(テーブル2[[#This Row],[ボール投げ]]="",0,(IF(テーブル2[[#This Row],[性別]]="男",LOOKUP(テーブル2[[#This Row],[ボール投げ]],$AY$6:$AZ$15),LOOKUP(テーブル2[[#This Row],[ボール投げ]],$AY$20:$AZ$29))))</f>
        <v>0</v>
      </c>
      <c r="AB273" s="146" t="str">
        <f>IF(テーブル2[[#This Row],[学年]]=1,12,IF(テーブル2[[#This Row],[学年]]=2,13,IF(テーブル2[[#This Row],[学年]]=3,14,"")))</f>
        <v/>
      </c>
      <c r="AC273" s="192" t="str">
        <f>IF(テーブル2[[#This Row],[肥満度数値]]=0,"",LOOKUP(AE273,$AW$39:$AW$44,$AX$39:$AX$44))</f>
        <v/>
      </c>
      <c r="AD27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3" s="77">
        <f>IF(テーブル2[[#This Row],[体重]]="",0,(テーブル2[[#This Row],[体重]]-テーブル2[[#This Row],[標準体重]])/テーブル2[[#This Row],[標準体重]]*100)</f>
        <v>0</v>
      </c>
      <c r="AF273" s="26">
        <f>COUNTA(テーブル2[[#This Row],[握力]:[ボール投げ]])</f>
        <v>0</v>
      </c>
      <c r="AG273" s="1" t="str">
        <f>IF(テーブル2[[#This Row],[判定]]=$BE$10,"○","")</f>
        <v/>
      </c>
      <c r="AH273" s="1" t="str">
        <f>IF(AG273="","",COUNTIF($AG$6:AG273,"○"))</f>
        <v/>
      </c>
    </row>
    <row r="274" spans="1:34" ht="14.25" customHeight="1" x14ac:dyDescent="0.15">
      <c r="A274" s="44">
        <v>269</v>
      </c>
      <c r="B274" s="148"/>
      <c r="C274" s="151"/>
      <c r="D274" s="148"/>
      <c r="E274" s="152"/>
      <c r="F274" s="148"/>
      <c r="G274" s="148"/>
      <c r="H274" s="150"/>
      <c r="I274" s="150"/>
      <c r="J274" s="151"/>
      <c r="K274" s="148"/>
      <c r="L274" s="196"/>
      <c r="M274" s="151"/>
      <c r="N274" s="197"/>
      <c r="O274" s="151"/>
      <c r="P274" s="153"/>
      <c r="Q27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4" s="144" t="str">
        <f>IF(テーブル2[[#This Row],[得点]]=0,"",IF(テーブル2[[#This Row],[年齢]]=17,LOOKUP(Q274,$BH$6:$BH$10,$BE$6:$BE$10),IF(テーブル2[[#This Row],[年齢]]=16,LOOKUP(Q274,$BG$6:$BG$10,$BE$6:$BE$10),IF(テーブル2[[#This Row],[年齢]]=15,LOOKUP(Q274,$BF$6:$BF$10,$BE$6:$BE$10),IF(テーブル2[[#This Row],[年齢]]=14,LOOKUP(Q274,$BD$6:$BD$10,$BE$6:$BE$10),IF(テーブル2[[#This Row],[年齢]]=13,LOOKUP(Q274,$BC$6:$BC$10,$BE$6:$BE$10),LOOKUP(Q274,$BB$6:$BB$10,$BE$6:$BE$10)))))))</f>
        <v/>
      </c>
      <c r="S274" s="145">
        <f>IF(H274="",0,(IF(テーブル2[[#This Row],[性別]]="男",LOOKUP(テーブル2[[#This Row],[握力]],$AI$6:$AJ$15),LOOKUP(テーブル2[[#This Row],[握力]],$AI$20:$AJ$29))))</f>
        <v>0</v>
      </c>
      <c r="T274" s="145">
        <f>IF(テーブル2[[#This Row],[上体]]="",0,(IF(テーブル2[[#This Row],[性別]]="男",LOOKUP(テーブル2[[#This Row],[上体]],$AK$6:$AL$15),LOOKUP(テーブル2[[#This Row],[上体]],$AK$20:$AL$29))))</f>
        <v>0</v>
      </c>
      <c r="U274" s="145">
        <f>IF(テーブル2[[#This Row],[長座]]="",0,(IF(テーブル2[[#This Row],[性別]]="男",LOOKUP(テーブル2[[#This Row],[長座]],$AM$6:$AN$15),LOOKUP(テーブル2[[#This Row],[長座]],$AM$20:$AN$29))))</f>
        <v>0</v>
      </c>
      <c r="V274" s="145">
        <f>IF(テーブル2[[#This Row],[反復]]="",0,(IF(テーブル2[[#This Row],[性別]]="男",LOOKUP(テーブル2[[#This Row],[反復]],$AO$6:$AP$15),LOOKUP(テーブル2[[#This Row],[反復]],$AO$20:$AP$29))))</f>
        <v>0</v>
      </c>
      <c r="W274" s="145">
        <f>IF(テーブル2[[#This Row],[持久走]]="",0,(IF(テーブル2[[#This Row],[性別]]="男",LOOKUP(テーブル2[[#This Row],[持久走]],$AQ$6:$AR$15),LOOKUP(テーブル2[[#This Row],[持久走]],$AQ$20:$AR$29))))</f>
        <v>0</v>
      </c>
      <c r="X274" s="145">
        <f>IF(テーブル2[[#This Row],[ｼｬﾄﾙﾗﾝ]]="",0,(IF(テーブル2[[#This Row],[性別]]="男",LOOKUP(テーブル2[[#This Row],[ｼｬﾄﾙﾗﾝ]],$AS$6:$AT$15),LOOKUP(テーブル2[[#This Row],[ｼｬﾄﾙﾗﾝ]],$AS$20:$AT$29))))</f>
        <v>0</v>
      </c>
      <c r="Y274" s="145">
        <f>IF(テーブル2[[#This Row],[50m走]]="",0,(IF(テーブル2[[#This Row],[性別]]="男",LOOKUP(テーブル2[[#This Row],[50m走]],$AU$6:$AV$15),LOOKUP(テーブル2[[#This Row],[50m走]],$AU$20:$AV$29))))</f>
        <v>0</v>
      </c>
      <c r="Z274" s="145">
        <f>IF(テーブル2[[#This Row],[立幅とび]]="",0,(IF(テーブル2[[#This Row],[性別]]="男",LOOKUP(テーブル2[[#This Row],[立幅とび]],$AW$6:$AX$15),LOOKUP(テーブル2[[#This Row],[立幅とび]],$AW$20:$AX$29))))</f>
        <v>0</v>
      </c>
      <c r="AA274" s="145">
        <f>IF(テーブル2[[#This Row],[ボール投げ]]="",0,(IF(テーブル2[[#This Row],[性別]]="男",LOOKUP(テーブル2[[#This Row],[ボール投げ]],$AY$6:$AZ$15),LOOKUP(テーブル2[[#This Row],[ボール投げ]],$AY$20:$AZ$29))))</f>
        <v>0</v>
      </c>
      <c r="AB274" s="146" t="str">
        <f>IF(テーブル2[[#This Row],[学年]]=1,12,IF(テーブル2[[#This Row],[学年]]=2,13,IF(テーブル2[[#This Row],[学年]]=3,14,"")))</f>
        <v/>
      </c>
      <c r="AC274" s="192" t="str">
        <f>IF(テーブル2[[#This Row],[肥満度数値]]=0,"",LOOKUP(AE274,$AW$39:$AW$44,$AX$39:$AX$44))</f>
        <v/>
      </c>
      <c r="AD27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4" s="77">
        <f>IF(テーブル2[[#This Row],[体重]]="",0,(テーブル2[[#This Row],[体重]]-テーブル2[[#This Row],[標準体重]])/テーブル2[[#This Row],[標準体重]]*100)</f>
        <v>0</v>
      </c>
      <c r="AF274" s="26">
        <f>COUNTA(テーブル2[[#This Row],[握力]:[ボール投げ]])</f>
        <v>0</v>
      </c>
      <c r="AG274" s="1" t="str">
        <f>IF(テーブル2[[#This Row],[判定]]=$BE$10,"○","")</f>
        <v/>
      </c>
      <c r="AH274" s="1" t="str">
        <f>IF(AG274="","",COUNTIF($AG$6:AG274,"○"))</f>
        <v/>
      </c>
    </row>
    <row r="275" spans="1:34" ht="14.25" customHeight="1" x14ac:dyDescent="0.15">
      <c r="A275" s="44">
        <v>270</v>
      </c>
      <c r="B275" s="148"/>
      <c r="C275" s="151"/>
      <c r="D275" s="148"/>
      <c r="E275" s="152"/>
      <c r="F275" s="148"/>
      <c r="G275" s="148"/>
      <c r="H275" s="150"/>
      <c r="I275" s="150"/>
      <c r="J275" s="151"/>
      <c r="K275" s="148"/>
      <c r="L275" s="196"/>
      <c r="M275" s="151"/>
      <c r="N275" s="197"/>
      <c r="O275" s="151"/>
      <c r="P275" s="153"/>
      <c r="Q27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5" s="144" t="str">
        <f>IF(テーブル2[[#This Row],[得点]]=0,"",IF(テーブル2[[#This Row],[年齢]]=17,LOOKUP(Q275,$BH$6:$BH$10,$BE$6:$BE$10),IF(テーブル2[[#This Row],[年齢]]=16,LOOKUP(Q275,$BG$6:$BG$10,$BE$6:$BE$10),IF(テーブル2[[#This Row],[年齢]]=15,LOOKUP(Q275,$BF$6:$BF$10,$BE$6:$BE$10),IF(テーブル2[[#This Row],[年齢]]=14,LOOKUP(Q275,$BD$6:$BD$10,$BE$6:$BE$10),IF(テーブル2[[#This Row],[年齢]]=13,LOOKUP(Q275,$BC$6:$BC$10,$BE$6:$BE$10),LOOKUP(Q275,$BB$6:$BB$10,$BE$6:$BE$10)))))))</f>
        <v/>
      </c>
      <c r="S275" s="145">
        <f>IF(H275="",0,(IF(テーブル2[[#This Row],[性別]]="男",LOOKUP(テーブル2[[#This Row],[握力]],$AI$6:$AJ$15),LOOKUP(テーブル2[[#This Row],[握力]],$AI$20:$AJ$29))))</f>
        <v>0</v>
      </c>
      <c r="T275" s="145">
        <f>IF(テーブル2[[#This Row],[上体]]="",0,(IF(テーブル2[[#This Row],[性別]]="男",LOOKUP(テーブル2[[#This Row],[上体]],$AK$6:$AL$15),LOOKUP(テーブル2[[#This Row],[上体]],$AK$20:$AL$29))))</f>
        <v>0</v>
      </c>
      <c r="U275" s="145">
        <f>IF(テーブル2[[#This Row],[長座]]="",0,(IF(テーブル2[[#This Row],[性別]]="男",LOOKUP(テーブル2[[#This Row],[長座]],$AM$6:$AN$15),LOOKUP(テーブル2[[#This Row],[長座]],$AM$20:$AN$29))))</f>
        <v>0</v>
      </c>
      <c r="V275" s="145">
        <f>IF(テーブル2[[#This Row],[反復]]="",0,(IF(テーブル2[[#This Row],[性別]]="男",LOOKUP(テーブル2[[#This Row],[反復]],$AO$6:$AP$15),LOOKUP(テーブル2[[#This Row],[反復]],$AO$20:$AP$29))))</f>
        <v>0</v>
      </c>
      <c r="W275" s="145">
        <f>IF(テーブル2[[#This Row],[持久走]]="",0,(IF(テーブル2[[#This Row],[性別]]="男",LOOKUP(テーブル2[[#This Row],[持久走]],$AQ$6:$AR$15),LOOKUP(テーブル2[[#This Row],[持久走]],$AQ$20:$AR$29))))</f>
        <v>0</v>
      </c>
      <c r="X275" s="145">
        <f>IF(テーブル2[[#This Row],[ｼｬﾄﾙﾗﾝ]]="",0,(IF(テーブル2[[#This Row],[性別]]="男",LOOKUP(テーブル2[[#This Row],[ｼｬﾄﾙﾗﾝ]],$AS$6:$AT$15),LOOKUP(テーブル2[[#This Row],[ｼｬﾄﾙﾗﾝ]],$AS$20:$AT$29))))</f>
        <v>0</v>
      </c>
      <c r="Y275" s="145">
        <f>IF(テーブル2[[#This Row],[50m走]]="",0,(IF(テーブル2[[#This Row],[性別]]="男",LOOKUP(テーブル2[[#This Row],[50m走]],$AU$6:$AV$15),LOOKUP(テーブル2[[#This Row],[50m走]],$AU$20:$AV$29))))</f>
        <v>0</v>
      </c>
      <c r="Z275" s="145">
        <f>IF(テーブル2[[#This Row],[立幅とび]]="",0,(IF(テーブル2[[#This Row],[性別]]="男",LOOKUP(テーブル2[[#This Row],[立幅とび]],$AW$6:$AX$15),LOOKUP(テーブル2[[#This Row],[立幅とび]],$AW$20:$AX$29))))</f>
        <v>0</v>
      </c>
      <c r="AA275" s="145">
        <f>IF(テーブル2[[#This Row],[ボール投げ]]="",0,(IF(テーブル2[[#This Row],[性別]]="男",LOOKUP(テーブル2[[#This Row],[ボール投げ]],$AY$6:$AZ$15),LOOKUP(テーブル2[[#This Row],[ボール投げ]],$AY$20:$AZ$29))))</f>
        <v>0</v>
      </c>
      <c r="AB275" s="146" t="str">
        <f>IF(テーブル2[[#This Row],[学年]]=1,12,IF(テーブル2[[#This Row],[学年]]=2,13,IF(テーブル2[[#This Row],[学年]]=3,14,"")))</f>
        <v/>
      </c>
      <c r="AC275" s="192" t="str">
        <f>IF(テーブル2[[#This Row],[肥満度数値]]=0,"",LOOKUP(AE275,$AW$39:$AW$44,$AX$39:$AX$44))</f>
        <v/>
      </c>
      <c r="AD27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5" s="77">
        <f>IF(テーブル2[[#This Row],[体重]]="",0,(テーブル2[[#This Row],[体重]]-テーブル2[[#This Row],[標準体重]])/テーブル2[[#This Row],[標準体重]]*100)</f>
        <v>0</v>
      </c>
      <c r="AF275" s="26">
        <f>COUNTA(テーブル2[[#This Row],[握力]:[ボール投げ]])</f>
        <v>0</v>
      </c>
      <c r="AG275" s="1" t="str">
        <f>IF(テーブル2[[#This Row],[判定]]=$BE$10,"○","")</f>
        <v/>
      </c>
      <c r="AH275" s="1" t="str">
        <f>IF(AG275="","",COUNTIF($AG$6:AG275,"○"))</f>
        <v/>
      </c>
    </row>
    <row r="276" spans="1:34" ht="14.25" customHeight="1" x14ac:dyDescent="0.15">
      <c r="A276" s="44">
        <v>271</v>
      </c>
      <c r="B276" s="148"/>
      <c r="C276" s="151"/>
      <c r="D276" s="148"/>
      <c r="E276" s="152"/>
      <c r="F276" s="148"/>
      <c r="G276" s="148"/>
      <c r="H276" s="150"/>
      <c r="I276" s="150"/>
      <c r="J276" s="151"/>
      <c r="K276" s="148"/>
      <c r="L276" s="196"/>
      <c r="M276" s="151"/>
      <c r="N276" s="197"/>
      <c r="O276" s="151"/>
      <c r="P276" s="153"/>
      <c r="Q27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6" s="144" t="str">
        <f>IF(テーブル2[[#This Row],[得点]]=0,"",IF(テーブル2[[#This Row],[年齢]]=17,LOOKUP(Q276,$BH$6:$BH$10,$BE$6:$BE$10),IF(テーブル2[[#This Row],[年齢]]=16,LOOKUP(Q276,$BG$6:$BG$10,$BE$6:$BE$10),IF(テーブル2[[#This Row],[年齢]]=15,LOOKUP(Q276,$BF$6:$BF$10,$BE$6:$BE$10),IF(テーブル2[[#This Row],[年齢]]=14,LOOKUP(Q276,$BD$6:$BD$10,$BE$6:$BE$10),IF(テーブル2[[#This Row],[年齢]]=13,LOOKUP(Q276,$BC$6:$BC$10,$BE$6:$BE$10),LOOKUP(Q276,$BB$6:$BB$10,$BE$6:$BE$10)))))))</f>
        <v/>
      </c>
      <c r="S276" s="145">
        <f>IF(H276="",0,(IF(テーブル2[[#This Row],[性別]]="男",LOOKUP(テーブル2[[#This Row],[握力]],$AI$6:$AJ$15),LOOKUP(テーブル2[[#This Row],[握力]],$AI$20:$AJ$29))))</f>
        <v>0</v>
      </c>
      <c r="T276" s="145">
        <f>IF(テーブル2[[#This Row],[上体]]="",0,(IF(テーブル2[[#This Row],[性別]]="男",LOOKUP(テーブル2[[#This Row],[上体]],$AK$6:$AL$15),LOOKUP(テーブル2[[#This Row],[上体]],$AK$20:$AL$29))))</f>
        <v>0</v>
      </c>
      <c r="U276" s="145">
        <f>IF(テーブル2[[#This Row],[長座]]="",0,(IF(テーブル2[[#This Row],[性別]]="男",LOOKUP(テーブル2[[#This Row],[長座]],$AM$6:$AN$15),LOOKUP(テーブル2[[#This Row],[長座]],$AM$20:$AN$29))))</f>
        <v>0</v>
      </c>
      <c r="V276" s="145">
        <f>IF(テーブル2[[#This Row],[反復]]="",0,(IF(テーブル2[[#This Row],[性別]]="男",LOOKUP(テーブル2[[#This Row],[反復]],$AO$6:$AP$15),LOOKUP(テーブル2[[#This Row],[反復]],$AO$20:$AP$29))))</f>
        <v>0</v>
      </c>
      <c r="W276" s="145">
        <f>IF(テーブル2[[#This Row],[持久走]]="",0,(IF(テーブル2[[#This Row],[性別]]="男",LOOKUP(テーブル2[[#This Row],[持久走]],$AQ$6:$AR$15),LOOKUP(テーブル2[[#This Row],[持久走]],$AQ$20:$AR$29))))</f>
        <v>0</v>
      </c>
      <c r="X276" s="145">
        <f>IF(テーブル2[[#This Row],[ｼｬﾄﾙﾗﾝ]]="",0,(IF(テーブル2[[#This Row],[性別]]="男",LOOKUP(テーブル2[[#This Row],[ｼｬﾄﾙﾗﾝ]],$AS$6:$AT$15),LOOKUP(テーブル2[[#This Row],[ｼｬﾄﾙﾗﾝ]],$AS$20:$AT$29))))</f>
        <v>0</v>
      </c>
      <c r="Y276" s="145">
        <f>IF(テーブル2[[#This Row],[50m走]]="",0,(IF(テーブル2[[#This Row],[性別]]="男",LOOKUP(テーブル2[[#This Row],[50m走]],$AU$6:$AV$15),LOOKUP(テーブル2[[#This Row],[50m走]],$AU$20:$AV$29))))</f>
        <v>0</v>
      </c>
      <c r="Z276" s="145">
        <f>IF(テーブル2[[#This Row],[立幅とび]]="",0,(IF(テーブル2[[#This Row],[性別]]="男",LOOKUP(テーブル2[[#This Row],[立幅とび]],$AW$6:$AX$15),LOOKUP(テーブル2[[#This Row],[立幅とび]],$AW$20:$AX$29))))</f>
        <v>0</v>
      </c>
      <c r="AA276" s="145">
        <f>IF(テーブル2[[#This Row],[ボール投げ]]="",0,(IF(テーブル2[[#This Row],[性別]]="男",LOOKUP(テーブル2[[#This Row],[ボール投げ]],$AY$6:$AZ$15),LOOKUP(テーブル2[[#This Row],[ボール投げ]],$AY$20:$AZ$29))))</f>
        <v>0</v>
      </c>
      <c r="AB276" s="146" t="str">
        <f>IF(テーブル2[[#This Row],[学年]]=1,12,IF(テーブル2[[#This Row],[学年]]=2,13,IF(テーブル2[[#This Row],[学年]]=3,14,"")))</f>
        <v/>
      </c>
      <c r="AC276" s="192" t="str">
        <f>IF(テーブル2[[#This Row],[肥満度数値]]=0,"",LOOKUP(AE276,$AW$39:$AW$44,$AX$39:$AX$44))</f>
        <v/>
      </c>
      <c r="AD27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6" s="77">
        <f>IF(テーブル2[[#This Row],[体重]]="",0,(テーブル2[[#This Row],[体重]]-テーブル2[[#This Row],[標準体重]])/テーブル2[[#This Row],[標準体重]]*100)</f>
        <v>0</v>
      </c>
      <c r="AF276" s="26">
        <f>COUNTA(テーブル2[[#This Row],[握力]:[ボール投げ]])</f>
        <v>0</v>
      </c>
      <c r="AG276" s="1" t="str">
        <f>IF(テーブル2[[#This Row],[判定]]=$BE$10,"○","")</f>
        <v/>
      </c>
      <c r="AH276" s="1" t="str">
        <f>IF(AG276="","",COUNTIF($AG$6:AG276,"○"))</f>
        <v/>
      </c>
    </row>
    <row r="277" spans="1:34" ht="14.25" customHeight="1" x14ac:dyDescent="0.15">
      <c r="A277" s="44">
        <v>272</v>
      </c>
      <c r="B277" s="148"/>
      <c r="C277" s="151"/>
      <c r="D277" s="148"/>
      <c r="E277" s="152"/>
      <c r="F277" s="148"/>
      <c r="G277" s="148"/>
      <c r="H277" s="150"/>
      <c r="I277" s="150"/>
      <c r="J277" s="151"/>
      <c r="K277" s="148"/>
      <c r="L277" s="196"/>
      <c r="M277" s="151"/>
      <c r="N277" s="197"/>
      <c r="O277" s="151"/>
      <c r="P277" s="153"/>
      <c r="Q27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7" s="144" t="str">
        <f>IF(テーブル2[[#This Row],[得点]]=0,"",IF(テーブル2[[#This Row],[年齢]]=17,LOOKUP(Q277,$BH$6:$BH$10,$BE$6:$BE$10),IF(テーブル2[[#This Row],[年齢]]=16,LOOKUP(Q277,$BG$6:$BG$10,$BE$6:$BE$10),IF(テーブル2[[#This Row],[年齢]]=15,LOOKUP(Q277,$BF$6:$BF$10,$BE$6:$BE$10),IF(テーブル2[[#This Row],[年齢]]=14,LOOKUP(Q277,$BD$6:$BD$10,$BE$6:$BE$10),IF(テーブル2[[#This Row],[年齢]]=13,LOOKUP(Q277,$BC$6:$BC$10,$BE$6:$BE$10),LOOKUP(Q277,$BB$6:$BB$10,$BE$6:$BE$10)))))))</f>
        <v/>
      </c>
      <c r="S277" s="145">
        <f>IF(H277="",0,(IF(テーブル2[[#This Row],[性別]]="男",LOOKUP(テーブル2[[#This Row],[握力]],$AI$6:$AJ$15),LOOKUP(テーブル2[[#This Row],[握力]],$AI$20:$AJ$29))))</f>
        <v>0</v>
      </c>
      <c r="T277" s="145">
        <f>IF(テーブル2[[#This Row],[上体]]="",0,(IF(テーブル2[[#This Row],[性別]]="男",LOOKUP(テーブル2[[#This Row],[上体]],$AK$6:$AL$15),LOOKUP(テーブル2[[#This Row],[上体]],$AK$20:$AL$29))))</f>
        <v>0</v>
      </c>
      <c r="U277" s="145">
        <f>IF(テーブル2[[#This Row],[長座]]="",0,(IF(テーブル2[[#This Row],[性別]]="男",LOOKUP(テーブル2[[#This Row],[長座]],$AM$6:$AN$15),LOOKUP(テーブル2[[#This Row],[長座]],$AM$20:$AN$29))))</f>
        <v>0</v>
      </c>
      <c r="V277" s="145">
        <f>IF(テーブル2[[#This Row],[反復]]="",0,(IF(テーブル2[[#This Row],[性別]]="男",LOOKUP(テーブル2[[#This Row],[反復]],$AO$6:$AP$15),LOOKUP(テーブル2[[#This Row],[反復]],$AO$20:$AP$29))))</f>
        <v>0</v>
      </c>
      <c r="W277" s="145">
        <f>IF(テーブル2[[#This Row],[持久走]]="",0,(IF(テーブル2[[#This Row],[性別]]="男",LOOKUP(テーブル2[[#This Row],[持久走]],$AQ$6:$AR$15),LOOKUP(テーブル2[[#This Row],[持久走]],$AQ$20:$AR$29))))</f>
        <v>0</v>
      </c>
      <c r="X277" s="145">
        <f>IF(テーブル2[[#This Row],[ｼｬﾄﾙﾗﾝ]]="",0,(IF(テーブル2[[#This Row],[性別]]="男",LOOKUP(テーブル2[[#This Row],[ｼｬﾄﾙﾗﾝ]],$AS$6:$AT$15),LOOKUP(テーブル2[[#This Row],[ｼｬﾄﾙﾗﾝ]],$AS$20:$AT$29))))</f>
        <v>0</v>
      </c>
      <c r="Y277" s="145">
        <f>IF(テーブル2[[#This Row],[50m走]]="",0,(IF(テーブル2[[#This Row],[性別]]="男",LOOKUP(テーブル2[[#This Row],[50m走]],$AU$6:$AV$15),LOOKUP(テーブル2[[#This Row],[50m走]],$AU$20:$AV$29))))</f>
        <v>0</v>
      </c>
      <c r="Z277" s="145">
        <f>IF(テーブル2[[#This Row],[立幅とび]]="",0,(IF(テーブル2[[#This Row],[性別]]="男",LOOKUP(テーブル2[[#This Row],[立幅とび]],$AW$6:$AX$15),LOOKUP(テーブル2[[#This Row],[立幅とび]],$AW$20:$AX$29))))</f>
        <v>0</v>
      </c>
      <c r="AA277" s="145">
        <f>IF(テーブル2[[#This Row],[ボール投げ]]="",0,(IF(テーブル2[[#This Row],[性別]]="男",LOOKUP(テーブル2[[#This Row],[ボール投げ]],$AY$6:$AZ$15),LOOKUP(テーブル2[[#This Row],[ボール投げ]],$AY$20:$AZ$29))))</f>
        <v>0</v>
      </c>
      <c r="AB277" s="146" t="str">
        <f>IF(テーブル2[[#This Row],[学年]]=1,12,IF(テーブル2[[#This Row],[学年]]=2,13,IF(テーブル2[[#This Row],[学年]]=3,14,"")))</f>
        <v/>
      </c>
      <c r="AC277" s="192" t="str">
        <f>IF(テーブル2[[#This Row],[肥満度数値]]=0,"",LOOKUP(AE277,$AW$39:$AW$44,$AX$39:$AX$44))</f>
        <v/>
      </c>
      <c r="AD27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7" s="77">
        <f>IF(テーブル2[[#This Row],[体重]]="",0,(テーブル2[[#This Row],[体重]]-テーブル2[[#This Row],[標準体重]])/テーブル2[[#This Row],[標準体重]]*100)</f>
        <v>0</v>
      </c>
      <c r="AF277" s="26">
        <f>COUNTA(テーブル2[[#This Row],[握力]:[ボール投げ]])</f>
        <v>0</v>
      </c>
      <c r="AG277" s="1" t="str">
        <f>IF(テーブル2[[#This Row],[判定]]=$BE$10,"○","")</f>
        <v/>
      </c>
      <c r="AH277" s="1" t="str">
        <f>IF(AG277="","",COUNTIF($AG$6:AG277,"○"))</f>
        <v/>
      </c>
    </row>
    <row r="278" spans="1:34" ht="14.25" customHeight="1" x14ac:dyDescent="0.15">
      <c r="A278" s="44">
        <v>273</v>
      </c>
      <c r="B278" s="148"/>
      <c r="C278" s="151"/>
      <c r="D278" s="148"/>
      <c r="E278" s="152"/>
      <c r="F278" s="148"/>
      <c r="G278" s="148"/>
      <c r="H278" s="150"/>
      <c r="I278" s="150"/>
      <c r="J278" s="151"/>
      <c r="K278" s="148"/>
      <c r="L278" s="196"/>
      <c r="M278" s="151"/>
      <c r="N278" s="197"/>
      <c r="O278" s="151"/>
      <c r="P278" s="153"/>
      <c r="Q27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8" s="144" t="str">
        <f>IF(テーブル2[[#This Row],[得点]]=0,"",IF(テーブル2[[#This Row],[年齢]]=17,LOOKUP(Q278,$BH$6:$BH$10,$BE$6:$BE$10),IF(テーブル2[[#This Row],[年齢]]=16,LOOKUP(Q278,$BG$6:$BG$10,$BE$6:$BE$10),IF(テーブル2[[#This Row],[年齢]]=15,LOOKUP(Q278,$BF$6:$BF$10,$BE$6:$BE$10),IF(テーブル2[[#This Row],[年齢]]=14,LOOKUP(Q278,$BD$6:$BD$10,$BE$6:$BE$10),IF(テーブル2[[#This Row],[年齢]]=13,LOOKUP(Q278,$BC$6:$BC$10,$BE$6:$BE$10),LOOKUP(Q278,$BB$6:$BB$10,$BE$6:$BE$10)))))))</f>
        <v/>
      </c>
      <c r="S278" s="145">
        <f>IF(H278="",0,(IF(テーブル2[[#This Row],[性別]]="男",LOOKUP(テーブル2[[#This Row],[握力]],$AI$6:$AJ$15),LOOKUP(テーブル2[[#This Row],[握力]],$AI$20:$AJ$29))))</f>
        <v>0</v>
      </c>
      <c r="T278" s="145">
        <f>IF(テーブル2[[#This Row],[上体]]="",0,(IF(テーブル2[[#This Row],[性別]]="男",LOOKUP(テーブル2[[#This Row],[上体]],$AK$6:$AL$15),LOOKUP(テーブル2[[#This Row],[上体]],$AK$20:$AL$29))))</f>
        <v>0</v>
      </c>
      <c r="U278" s="145">
        <f>IF(テーブル2[[#This Row],[長座]]="",0,(IF(テーブル2[[#This Row],[性別]]="男",LOOKUP(テーブル2[[#This Row],[長座]],$AM$6:$AN$15),LOOKUP(テーブル2[[#This Row],[長座]],$AM$20:$AN$29))))</f>
        <v>0</v>
      </c>
      <c r="V278" s="145">
        <f>IF(テーブル2[[#This Row],[反復]]="",0,(IF(テーブル2[[#This Row],[性別]]="男",LOOKUP(テーブル2[[#This Row],[反復]],$AO$6:$AP$15),LOOKUP(テーブル2[[#This Row],[反復]],$AO$20:$AP$29))))</f>
        <v>0</v>
      </c>
      <c r="W278" s="145">
        <f>IF(テーブル2[[#This Row],[持久走]]="",0,(IF(テーブル2[[#This Row],[性別]]="男",LOOKUP(テーブル2[[#This Row],[持久走]],$AQ$6:$AR$15),LOOKUP(テーブル2[[#This Row],[持久走]],$AQ$20:$AR$29))))</f>
        <v>0</v>
      </c>
      <c r="X278" s="145">
        <f>IF(テーブル2[[#This Row],[ｼｬﾄﾙﾗﾝ]]="",0,(IF(テーブル2[[#This Row],[性別]]="男",LOOKUP(テーブル2[[#This Row],[ｼｬﾄﾙﾗﾝ]],$AS$6:$AT$15),LOOKUP(テーブル2[[#This Row],[ｼｬﾄﾙﾗﾝ]],$AS$20:$AT$29))))</f>
        <v>0</v>
      </c>
      <c r="Y278" s="145">
        <f>IF(テーブル2[[#This Row],[50m走]]="",0,(IF(テーブル2[[#This Row],[性別]]="男",LOOKUP(テーブル2[[#This Row],[50m走]],$AU$6:$AV$15),LOOKUP(テーブル2[[#This Row],[50m走]],$AU$20:$AV$29))))</f>
        <v>0</v>
      </c>
      <c r="Z278" s="145">
        <f>IF(テーブル2[[#This Row],[立幅とび]]="",0,(IF(テーブル2[[#This Row],[性別]]="男",LOOKUP(テーブル2[[#This Row],[立幅とび]],$AW$6:$AX$15),LOOKUP(テーブル2[[#This Row],[立幅とび]],$AW$20:$AX$29))))</f>
        <v>0</v>
      </c>
      <c r="AA278" s="145">
        <f>IF(テーブル2[[#This Row],[ボール投げ]]="",0,(IF(テーブル2[[#This Row],[性別]]="男",LOOKUP(テーブル2[[#This Row],[ボール投げ]],$AY$6:$AZ$15),LOOKUP(テーブル2[[#This Row],[ボール投げ]],$AY$20:$AZ$29))))</f>
        <v>0</v>
      </c>
      <c r="AB278" s="146" t="str">
        <f>IF(テーブル2[[#This Row],[学年]]=1,12,IF(テーブル2[[#This Row],[学年]]=2,13,IF(テーブル2[[#This Row],[学年]]=3,14,"")))</f>
        <v/>
      </c>
      <c r="AC278" s="192" t="str">
        <f>IF(テーブル2[[#This Row],[肥満度数値]]=0,"",LOOKUP(AE278,$AW$39:$AW$44,$AX$39:$AX$44))</f>
        <v/>
      </c>
      <c r="AD27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8" s="77">
        <f>IF(テーブル2[[#This Row],[体重]]="",0,(テーブル2[[#This Row],[体重]]-テーブル2[[#This Row],[標準体重]])/テーブル2[[#This Row],[標準体重]]*100)</f>
        <v>0</v>
      </c>
      <c r="AF278" s="26">
        <f>COUNTA(テーブル2[[#This Row],[握力]:[ボール投げ]])</f>
        <v>0</v>
      </c>
      <c r="AG278" s="1" t="str">
        <f>IF(テーブル2[[#This Row],[判定]]=$BE$10,"○","")</f>
        <v/>
      </c>
      <c r="AH278" s="1" t="str">
        <f>IF(AG278="","",COUNTIF($AG$6:AG278,"○"))</f>
        <v/>
      </c>
    </row>
    <row r="279" spans="1:34" ht="14.25" customHeight="1" x14ac:dyDescent="0.15">
      <c r="A279" s="44">
        <v>274</v>
      </c>
      <c r="B279" s="148"/>
      <c r="C279" s="151"/>
      <c r="D279" s="148"/>
      <c r="E279" s="152"/>
      <c r="F279" s="148"/>
      <c r="G279" s="148"/>
      <c r="H279" s="150"/>
      <c r="I279" s="150"/>
      <c r="J279" s="151"/>
      <c r="K279" s="148"/>
      <c r="L279" s="196"/>
      <c r="M279" s="151"/>
      <c r="N279" s="197"/>
      <c r="O279" s="151"/>
      <c r="P279" s="153"/>
      <c r="Q27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9" s="144" t="str">
        <f>IF(テーブル2[[#This Row],[得点]]=0,"",IF(テーブル2[[#This Row],[年齢]]=17,LOOKUP(Q279,$BH$6:$BH$10,$BE$6:$BE$10),IF(テーブル2[[#This Row],[年齢]]=16,LOOKUP(Q279,$BG$6:$BG$10,$BE$6:$BE$10),IF(テーブル2[[#This Row],[年齢]]=15,LOOKUP(Q279,$BF$6:$BF$10,$BE$6:$BE$10),IF(テーブル2[[#This Row],[年齢]]=14,LOOKUP(Q279,$BD$6:$BD$10,$BE$6:$BE$10),IF(テーブル2[[#This Row],[年齢]]=13,LOOKUP(Q279,$BC$6:$BC$10,$BE$6:$BE$10),LOOKUP(Q279,$BB$6:$BB$10,$BE$6:$BE$10)))))))</f>
        <v/>
      </c>
      <c r="S279" s="145">
        <f>IF(H279="",0,(IF(テーブル2[[#This Row],[性別]]="男",LOOKUP(テーブル2[[#This Row],[握力]],$AI$6:$AJ$15),LOOKUP(テーブル2[[#This Row],[握力]],$AI$20:$AJ$29))))</f>
        <v>0</v>
      </c>
      <c r="T279" s="145">
        <f>IF(テーブル2[[#This Row],[上体]]="",0,(IF(テーブル2[[#This Row],[性別]]="男",LOOKUP(テーブル2[[#This Row],[上体]],$AK$6:$AL$15),LOOKUP(テーブル2[[#This Row],[上体]],$AK$20:$AL$29))))</f>
        <v>0</v>
      </c>
      <c r="U279" s="145">
        <f>IF(テーブル2[[#This Row],[長座]]="",0,(IF(テーブル2[[#This Row],[性別]]="男",LOOKUP(テーブル2[[#This Row],[長座]],$AM$6:$AN$15),LOOKUP(テーブル2[[#This Row],[長座]],$AM$20:$AN$29))))</f>
        <v>0</v>
      </c>
      <c r="V279" s="145">
        <f>IF(テーブル2[[#This Row],[反復]]="",0,(IF(テーブル2[[#This Row],[性別]]="男",LOOKUP(テーブル2[[#This Row],[反復]],$AO$6:$AP$15),LOOKUP(テーブル2[[#This Row],[反復]],$AO$20:$AP$29))))</f>
        <v>0</v>
      </c>
      <c r="W279" s="145">
        <f>IF(テーブル2[[#This Row],[持久走]]="",0,(IF(テーブル2[[#This Row],[性別]]="男",LOOKUP(テーブル2[[#This Row],[持久走]],$AQ$6:$AR$15),LOOKUP(テーブル2[[#This Row],[持久走]],$AQ$20:$AR$29))))</f>
        <v>0</v>
      </c>
      <c r="X279" s="145">
        <f>IF(テーブル2[[#This Row],[ｼｬﾄﾙﾗﾝ]]="",0,(IF(テーブル2[[#This Row],[性別]]="男",LOOKUP(テーブル2[[#This Row],[ｼｬﾄﾙﾗﾝ]],$AS$6:$AT$15),LOOKUP(テーブル2[[#This Row],[ｼｬﾄﾙﾗﾝ]],$AS$20:$AT$29))))</f>
        <v>0</v>
      </c>
      <c r="Y279" s="145">
        <f>IF(テーブル2[[#This Row],[50m走]]="",0,(IF(テーブル2[[#This Row],[性別]]="男",LOOKUP(テーブル2[[#This Row],[50m走]],$AU$6:$AV$15),LOOKUP(テーブル2[[#This Row],[50m走]],$AU$20:$AV$29))))</f>
        <v>0</v>
      </c>
      <c r="Z279" s="145">
        <f>IF(テーブル2[[#This Row],[立幅とび]]="",0,(IF(テーブル2[[#This Row],[性別]]="男",LOOKUP(テーブル2[[#This Row],[立幅とび]],$AW$6:$AX$15),LOOKUP(テーブル2[[#This Row],[立幅とび]],$AW$20:$AX$29))))</f>
        <v>0</v>
      </c>
      <c r="AA279" s="145">
        <f>IF(テーブル2[[#This Row],[ボール投げ]]="",0,(IF(テーブル2[[#This Row],[性別]]="男",LOOKUP(テーブル2[[#This Row],[ボール投げ]],$AY$6:$AZ$15),LOOKUP(テーブル2[[#This Row],[ボール投げ]],$AY$20:$AZ$29))))</f>
        <v>0</v>
      </c>
      <c r="AB279" s="146" t="str">
        <f>IF(テーブル2[[#This Row],[学年]]=1,12,IF(テーブル2[[#This Row],[学年]]=2,13,IF(テーブル2[[#This Row],[学年]]=3,14,"")))</f>
        <v/>
      </c>
      <c r="AC279" s="192" t="str">
        <f>IF(テーブル2[[#This Row],[肥満度数値]]=0,"",LOOKUP(AE279,$AW$39:$AW$44,$AX$39:$AX$44))</f>
        <v/>
      </c>
      <c r="AD27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79" s="77">
        <f>IF(テーブル2[[#This Row],[体重]]="",0,(テーブル2[[#This Row],[体重]]-テーブル2[[#This Row],[標準体重]])/テーブル2[[#This Row],[標準体重]]*100)</f>
        <v>0</v>
      </c>
      <c r="AF279" s="26">
        <f>COUNTA(テーブル2[[#This Row],[握力]:[ボール投げ]])</f>
        <v>0</v>
      </c>
      <c r="AG279" s="1" t="str">
        <f>IF(テーブル2[[#This Row],[判定]]=$BE$10,"○","")</f>
        <v/>
      </c>
      <c r="AH279" s="1" t="str">
        <f>IF(AG279="","",COUNTIF($AG$6:AG279,"○"))</f>
        <v/>
      </c>
    </row>
    <row r="280" spans="1:34" ht="14.25" customHeight="1" x14ac:dyDescent="0.15">
      <c r="A280" s="44">
        <v>275</v>
      </c>
      <c r="B280" s="148"/>
      <c r="C280" s="151"/>
      <c r="D280" s="148"/>
      <c r="E280" s="152"/>
      <c r="F280" s="148"/>
      <c r="G280" s="148"/>
      <c r="H280" s="150"/>
      <c r="I280" s="150"/>
      <c r="J280" s="151"/>
      <c r="K280" s="148"/>
      <c r="L280" s="196"/>
      <c r="M280" s="151"/>
      <c r="N280" s="197"/>
      <c r="O280" s="151"/>
      <c r="P280" s="153"/>
      <c r="Q28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0" s="144" t="str">
        <f>IF(テーブル2[[#This Row],[得点]]=0,"",IF(テーブル2[[#This Row],[年齢]]=17,LOOKUP(Q280,$BH$6:$BH$10,$BE$6:$BE$10),IF(テーブル2[[#This Row],[年齢]]=16,LOOKUP(Q280,$BG$6:$BG$10,$BE$6:$BE$10),IF(テーブル2[[#This Row],[年齢]]=15,LOOKUP(Q280,$BF$6:$BF$10,$BE$6:$BE$10),IF(テーブル2[[#This Row],[年齢]]=14,LOOKUP(Q280,$BD$6:$BD$10,$BE$6:$BE$10),IF(テーブル2[[#This Row],[年齢]]=13,LOOKUP(Q280,$BC$6:$BC$10,$BE$6:$BE$10),LOOKUP(Q280,$BB$6:$BB$10,$BE$6:$BE$10)))))))</f>
        <v/>
      </c>
      <c r="S280" s="145">
        <f>IF(H280="",0,(IF(テーブル2[[#This Row],[性別]]="男",LOOKUP(テーブル2[[#This Row],[握力]],$AI$6:$AJ$15),LOOKUP(テーブル2[[#This Row],[握力]],$AI$20:$AJ$29))))</f>
        <v>0</v>
      </c>
      <c r="T280" s="145">
        <f>IF(テーブル2[[#This Row],[上体]]="",0,(IF(テーブル2[[#This Row],[性別]]="男",LOOKUP(テーブル2[[#This Row],[上体]],$AK$6:$AL$15),LOOKUP(テーブル2[[#This Row],[上体]],$AK$20:$AL$29))))</f>
        <v>0</v>
      </c>
      <c r="U280" s="145">
        <f>IF(テーブル2[[#This Row],[長座]]="",0,(IF(テーブル2[[#This Row],[性別]]="男",LOOKUP(テーブル2[[#This Row],[長座]],$AM$6:$AN$15),LOOKUP(テーブル2[[#This Row],[長座]],$AM$20:$AN$29))))</f>
        <v>0</v>
      </c>
      <c r="V280" s="145">
        <f>IF(テーブル2[[#This Row],[反復]]="",0,(IF(テーブル2[[#This Row],[性別]]="男",LOOKUP(テーブル2[[#This Row],[反復]],$AO$6:$AP$15),LOOKUP(テーブル2[[#This Row],[反復]],$AO$20:$AP$29))))</f>
        <v>0</v>
      </c>
      <c r="W280" s="145">
        <f>IF(テーブル2[[#This Row],[持久走]]="",0,(IF(テーブル2[[#This Row],[性別]]="男",LOOKUP(テーブル2[[#This Row],[持久走]],$AQ$6:$AR$15),LOOKUP(テーブル2[[#This Row],[持久走]],$AQ$20:$AR$29))))</f>
        <v>0</v>
      </c>
      <c r="X280" s="145">
        <f>IF(テーブル2[[#This Row],[ｼｬﾄﾙﾗﾝ]]="",0,(IF(テーブル2[[#This Row],[性別]]="男",LOOKUP(テーブル2[[#This Row],[ｼｬﾄﾙﾗﾝ]],$AS$6:$AT$15),LOOKUP(テーブル2[[#This Row],[ｼｬﾄﾙﾗﾝ]],$AS$20:$AT$29))))</f>
        <v>0</v>
      </c>
      <c r="Y280" s="145">
        <f>IF(テーブル2[[#This Row],[50m走]]="",0,(IF(テーブル2[[#This Row],[性別]]="男",LOOKUP(テーブル2[[#This Row],[50m走]],$AU$6:$AV$15),LOOKUP(テーブル2[[#This Row],[50m走]],$AU$20:$AV$29))))</f>
        <v>0</v>
      </c>
      <c r="Z280" s="145">
        <f>IF(テーブル2[[#This Row],[立幅とび]]="",0,(IF(テーブル2[[#This Row],[性別]]="男",LOOKUP(テーブル2[[#This Row],[立幅とび]],$AW$6:$AX$15),LOOKUP(テーブル2[[#This Row],[立幅とび]],$AW$20:$AX$29))))</f>
        <v>0</v>
      </c>
      <c r="AA280" s="145">
        <f>IF(テーブル2[[#This Row],[ボール投げ]]="",0,(IF(テーブル2[[#This Row],[性別]]="男",LOOKUP(テーブル2[[#This Row],[ボール投げ]],$AY$6:$AZ$15),LOOKUP(テーブル2[[#This Row],[ボール投げ]],$AY$20:$AZ$29))))</f>
        <v>0</v>
      </c>
      <c r="AB280" s="146" t="str">
        <f>IF(テーブル2[[#This Row],[学年]]=1,12,IF(テーブル2[[#This Row],[学年]]=2,13,IF(テーブル2[[#This Row],[学年]]=3,14,"")))</f>
        <v/>
      </c>
      <c r="AC280" s="192" t="str">
        <f>IF(テーブル2[[#This Row],[肥満度数値]]=0,"",LOOKUP(AE280,$AW$39:$AW$44,$AX$39:$AX$44))</f>
        <v/>
      </c>
      <c r="AD28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0" s="77">
        <f>IF(テーブル2[[#This Row],[体重]]="",0,(テーブル2[[#This Row],[体重]]-テーブル2[[#This Row],[標準体重]])/テーブル2[[#This Row],[標準体重]]*100)</f>
        <v>0</v>
      </c>
      <c r="AF280" s="26">
        <f>COUNTA(テーブル2[[#This Row],[握力]:[ボール投げ]])</f>
        <v>0</v>
      </c>
      <c r="AG280" s="1" t="str">
        <f>IF(テーブル2[[#This Row],[判定]]=$BE$10,"○","")</f>
        <v/>
      </c>
      <c r="AH280" s="1" t="str">
        <f>IF(AG280="","",COUNTIF($AG$6:AG280,"○"))</f>
        <v/>
      </c>
    </row>
    <row r="281" spans="1:34" ht="14.25" customHeight="1" x14ac:dyDescent="0.15">
      <c r="A281" s="44">
        <v>276</v>
      </c>
      <c r="B281" s="148"/>
      <c r="C281" s="151"/>
      <c r="D281" s="148"/>
      <c r="E281" s="152"/>
      <c r="F281" s="148"/>
      <c r="G281" s="148"/>
      <c r="H281" s="150"/>
      <c r="I281" s="150"/>
      <c r="J281" s="151"/>
      <c r="K281" s="148"/>
      <c r="L281" s="196"/>
      <c r="M281" s="151"/>
      <c r="N281" s="197"/>
      <c r="O281" s="151"/>
      <c r="P281" s="153"/>
      <c r="Q28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1" s="144" t="str">
        <f>IF(テーブル2[[#This Row],[得点]]=0,"",IF(テーブル2[[#This Row],[年齢]]=17,LOOKUP(Q281,$BH$6:$BH$10,$BE$6:$BE$10),IF(テーブル2[[#This Row],[年齢]]=16,LOOKUP(Q281,$BG$6:$BG$10,$BE$6:$BE$10),IF(テーブル2[[#This Row],[年齢]]=15,LOOKUP(Q281,$BF$6:$BF$10,$BE$6:$BE$10),IF(テーブル2[[#This Row],[年齢]]=14,LOOKUP(Q281,$BD$6:$BD$10,$BE$6:$BE$10),IF(テーブル2[[#This Row],[年齢]]=13,LOOKUP(Q281,$BC$6:$BC$10,$BE$6:$BE$10),LOOKUP(Q281,$BB$6:$BB$10,$BE$6:$BE$10)))))))</f>
        <v/>
      </c>
      <c r="S281" s="145">
        <f>IF(H281="",0,(IF(テーブル2[[#This Row],[性別]]="男",LOOKUP(テーブル2[[#This Row],[握力]],$AI$6:$AJ$15),LOOKUP(テーブル2[[#This Row],[握力]],$AI$20:$AJ$29))))</f>
        <v>0</v>
      </c>
      <c r="T281" s="145">
        <f>IF(テーブル2[[#This Row],[上体]]="",0,(IF(テーブル2[[#This Row],[性別]]="男",LOOKUP(テーブル2[[#This Row],[上体]],$AK$6:$AL$15),LOOKUP(テーブル2[[#This Row],[上体]],$AK$20:$AL$29))))</f>
        <v>0</v>
      </c>
      <c r="U281" s="145">
        <f>IF(テーブル2[[#This Row],[長座]]="",0,(IF(テーブル2[[#This Row],[性別]]="男",LOOKUP(テーブル2[[#This Row],[長座]],$AM$6:$AN$15),LOOKUP(テーブル2[[#This Row],[長座]],$AM$20:$AN$29))))</f>
        <v>0</v>
      </c>
      <c r="V281" s="145">
        <f>IF(テーブル2[[#This Row],[反復]]="",0,(IF(テーブル2[[#This Row],[性別]]="男",LOOKUP(テーブル2[[#This Row],[反復]],$AO$6:$AP$15),LOOKUP(テーブル2[[#This Row],[反復]],$AO$20:$AP$29))))</f>
        <v>0</v>
      </c>
      <c r="W281" s="145">
        <f>IF(テーブル2[[#This Row],[持久走]]="",0,(IF(テーブル2[[#This Row],[性別]]="男",LOOKUP(テーブル2[[#This Row],[持久走]],$AQ$6:$AR$15),LOOKUP(テーブル2[[#This Row],[持久走]],$AQ$20:$AR$29))))</f>
        <v>0</v>
      </c>
      <c r="X281" s="145">
        <f>IF(テーブル2[[#This Row],[ｼｬﾄﾙﾗﾝ]]="",0,(IF(テーブル2[[#This Row],[性別]]="男",LOOKUP(テーブル2[[#This Row],[ｼｬﾄﾙﾗﾝ]],$AS$6:$AT$15),LOOKUP(テーブル2[[#This Row],[ｼｬﾄﾙﾗﾝ]],$AS$20:$AT$29))))</f>
        <v>0</v>
      </c>
      <c r="Y281" s="145">
        <f>IF(テーブル2[[#This Row],[50m走]]="",0,(IF(テーブル2[[#This Row],[性別]]="男",LOOKUP(テーブル2[[#This Row],[50m走]],$AU$6:$AV$15),LOOKUP(テーブル2[[#This Row],[50m走]],$AU$20:$AV$29))))</f>
        <v>0</v>
      </c>
      <c r="Z281" s="145">
        <f>IF(テーブル2[[#This Row],[立幅とび]]="",0,(IF(テーブル2[[#This Row],[性別]]="男",LOOKUP(テーブル2[[#This Row],[立幅とび]],$AW$6:$AX$15),LOOKUP(テーブル2[[#This Row],[立幅とび]],$AW$20:$AX$29))))</f>
        <v>0</v>
      </c>
      <c r="AA281" s="145">
        <f>IF(テーブル2[[#This Row],[ボール投げ]]="",0,(IF(テーブル2[[#This Row],[性別]]="男",LOOKUP(テーブル2[[#This Row],[ボール投げ]],$AY$6:$AZ$15),LOOKUP(テーブル2[[#This Row],[ボール投げ]],$AY$20:$AZ$29))))</f>
        <v>0</v>
      </c>
      <c r="AB281" s="146" t="str">
        <f>IF(テーブル2[[#This Row],[学年]]=1,12,IF(テーブル2[[#This Row],[学年]]=2,13,IF(テーブル2[[#This Row],[学年]]=3,14,"")))</f>
        <v/>
      </c>
      <c r="AC281" s="192" t="str">
        <f>IF(テーブル2[[#This Row],[肥満度数値]]=0,"",LOOKUP(AE281,$AW$39:$AW$44,$AX$39:$AX$44))</f>
        <v/>
      </c>
      <c r="AD28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1" s="77">
        <f>IF(テーブル2[[#This Row],[体重]]="",0,(テーブル2[[#This Row],[体重]]-テーブル2[[#This Row],[標準体重]])/テーブル2[[#This Row],[標準体重]]*100)</f>
        <v>0</v>
      </c>
      <c r="AF281" s="26">
        <f>COUNTA(テーブル2[[#This Row],[握力]:[ボール投げ]])</f>
        <v>0</v>
      </c>
      <c r="AG281" s="1" t="str">
        <f>IF(テーブル2[[#This Row],[判定]]=$BE$10,"○","")</f>
        <v/>
      </c>
      <c r="AH281" s="1" t="str">
        <f>IF(AG281="","",COUNTIF($AG$6:AG281,"○"))</f>
        <v/>
      </c>
    </row>
    <row r="282" spans="1:34" ht="14.25" customHeight="1" x14ac:dyDescent="0.15">
      <c r="A282" s="44">
        <v>277</v>
      </c>
      <c r="B282" s="148"/>
      <c r="C282" s="151"/>
      <c r="D282" s="148"/>
      <c r="E282" s="152"/>
      <c r="F282" s="148"/>
      <c r="G282" s="148"/>
      <c r="H282" s="150"/>
      <c r="I282" s="150"/>
      <c r="J282" s="151"/>
      <c r="K282" s="148"/>
      <c r="L282" s="196"/>
      <c r="M282" s="151"/>
      <c r="N282" s="197"/>
      <c r="O282" s="151"/>
      <c r="P282" s="153"/>
      <c r="Q28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2" s="144" t="str">
        <f>IF(テーブル2[[#This Row],[得点]]=0,"",IF(テーブル2[[#This Row],[年齢]]=17,LOOKUP(Q282,$BH$6:$BH$10,$BE$6:$BE$10),IF(テーブル2[[#This Row],[年齢]]=16,LOOKUP(Q282,$BG$6:$BG$10,$BE$6:$BE$10),IF(テーブル2[[#This Row],[年齢]]=15,LOOKUP(Q282,$BF$6:$BF$10,$BE$6:$BE$10),IF(テーブル2[[#This Row],[年齢]]=14,LOOKUP(Q282,$BD$6:$BD$10,$BE$6:$BE$10),IF(テーブル2[[#This Row],[年齢]]=13,LOOKUP(Q282,$BC$6:$BC$10,$BE$6:$BE$10),LOOKUP(Q282,$BB$6:$BB$10,$BE$6:$BE$10)))))))</f>
        <v/>
      </c>
      <c r="S282" s="145">
        <f>IF(H282="",0,(IF(テーブル2[[#This Row],[性別]]="男",LOOKUP(テーブル2[[#This Row],[握力]],$AI$6:$AJ$15),LOOKUP(テーブル2[[#This Row],[握力]],$AI$20:$AJ$29))))</f>
        <v>0</v>
      </c>
      <c r="T282" s="145">
        <f>IF(テーブル2[[#This Row],[上体]]="",0,(IF(テーブル2[[#This Row],[性別]]="男",LOOKUP(テーブル2[[#This Row],[上体]],$AK$6:$AL$15),LOOKUP(テーブル2[[#This Row],[上体]],$AK$20:$AL$29))))</f>
        <v>0</v>
      </c>
      <c r="U282" s="145">
        <f>IF(テーブル2[[#This Row],[長座]]="",0,(IF(テーブル2[[#This Row],[性別]]="男",LOOKUP(テーブル2[[#This Row],[長座]],$AM$6:$AN$15),LOOKUP(テーブル2[[#This Row],[長座]],$AM$20:$AN$29))))</f>
        <v>0</v>
      </c>
      <c r="V282" s="145">
        <f>IF(テーブル2[[#This Row],[反復]]="",0,(IF(テーブル2[[#This Row],[性別]]="男",LOOKUP(テーブル2[[#This Row],[反復]],$AO$6:$AP$15),LOOKUP(テーブル2[[#This Row],[反復]],$AO$20:$AP$29))))</f>
        <v>0</v>
      </c>
      <c r="W282" s="145">
        <f>IF(テーブル2[[#This Row],[持久走]]="",0,(IF(テーブル2[[#This Row],[性別]]="男",LOOKUP(テーブル2[[#This Row],[持久走]],$AQ$6:$AR$15),LOOKUP(テーブル2[[#This Row],[持久走]],$AQ$20:$AR$29))))</f>
        <v>0</v>
      </c>
      <c r="X282" s="145">
        <f>IF(テーブル2[[#This Row],[ｼｬﾄﾙﾗﾝ]]="",0,(IF(テーブル2[[#This Row],[性別]]="男",LOOKUP(テーブル2[[#This Row],[ｼｬﾄﾙﾗﾝ]],$AS$6:$AT$15),LOOKUP(テーブル2[[#This Row],[ｼｬﾄﾙﾗﾝ]],$AS$20:$AT$29))))</f>
        <v>0</v>
      </c>
      <c r="Y282" s="145">
        <f>IF(テーブル2[[#This Row],[50m走]]="",0,(IF(テーブル2[[#This Row],[性別]]="男",LOOKUP(テーブル2[[#This Row],[50m走]],$AU$6:$AV$15),LOOKUP(テーブル2[[#This Row],[50m走]],$AU$20:$AV$29))))</f>
        <v>0</v>
      </c>
      <c r="Z282" s="145">
        <f>IF(テーブル2[[#This Row],[立幅とび]]="",0,(IF(テーブル2[[#This Row],[性別]]="男",LOOKUP(テーブル2[[#This Row],[立幅とび]],$AW$6:$AX$15),LOOKUP(テーブル2[[#This Row],[立幅とび]],$AW$20:$AX$29))))</f>
        <v>0</v>
      </c>
      <c r="AA282" s="145">
        <f>IF(テーブル2[[#This Row],[ボール投げ]]="",0,(IF(テーブル2[[#This Row],[性別]]="男",LOOKUP(テーブル2[[#This Row],[ボール投げ]],$AY$6:$AZ$15),LOOKUP(テーブル2[[#This Row],[ボール投げ]],$AY$20:$AZ$29))))</f>
        <v>0</v>
      </c>
      <c r="AB282" s="146" t="str">
        <f>IF(テーブル2[[#This Row],[学年]]=1,12,IF(テーブル2[[#This Row],[学年]]=2,13,IF(テーブル2[[#This Row],[学年]]=3,14,"")))</f>
        <v/>
      </c>
      <c r="AC282" s="192" t="str">
        <f>IF(テーブル2[[#This Row],[肥満度数値]]=0,"",LOOKUP(AE282,$AW$39:$AW$44,$AX$39:$AX$44))</f>
        <v/>
      </c>
      <c r="AD28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2" s="77">
        <f>IF(テーブル2[[#This Row],[体重]]="",0,(テーブル2[[#This Row],[体重]]-テーブル2[[#This Row],[標準体重]])/テーブル2[[#This Row],[標準体重]]*100)</f>
        <v>0</v>
      </c>
      <c r="AF282" s="26">
        <f>COUNTA(テーブル2[[#This Row],[握力]:[ボール投げ]])</f>
        <v>0</v>
      </c>
      <c r="AG282" s="1" t="str">
        <f>IF(テーブル2[[#This Row],[判定]]=$BE$10,"○","")</f>
        <v/>
      </c>
      <c r="AH282" s="1" t="str">
        <f>IF(AG282="","",COUNTIF($AG$6:AG282,"○"))</f>
        <v/>
      </c>
    </row>
    <row r="283" spans="1:34" ht="14.25" customHeight="1" x14ac:dyDescent="0.15">
      <c r="A283" s="44">
        <v>278</v>
      </c>
      <c r="B283" s="148"/>
      <c r="C283" s="151"/>
      <c r="D283" s="148"/>
      <c r="E283" s="152"/>
      <c r="F283" s="148"/>
      <c r="G283" s="148"/>
      <c r="H283" s="150"/>
      <c r="I283" s="150"/>
      <c r="J283" s="151"/>
      <c r="K283" s="148"/>
      <c r="L283" s="196"/>
      <c r="M283" s="151"/>
      <c r="N283" s="197"/>
      <c r="O283" s="151"/>
      <c r="P283" s="153"/>
      <c r="Q28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3" s="144" t="str">
        <f>IF(テーブル2[[#This Row],[得点]]=0,"",IF(テーブル2[[#This Row],[年齢]]=17,LOOKUP(Q283,$BH$6:$BH$10,$BE$6:$BE$10),IF(テーブル2[[#This Row],[年齢]]=16,LOOKUP(Q283,$BG$6:$BG$10,$BE$6:$BE$10),IF(テーブル2[[#This Row],[年齢]]=15,LOOKUP(Q283,$BF$6:$BF$10,$BE$6:$BE$10),IF(テーブル2[[#This Row],[年齢]]=14,LOOKUP(Q283,$BD$6:$BD$10,$BE$6:$BE$10),IF(テーブル2[[#This Row],[年齢]]=13,LOOKUP(Q283,$BC$6:$BC$10,$BE$6:$BE$10),LOOKUP(Q283,$BB$6:$BB$10,$BE$6:$BE$10)))))))</f>
        <v/>
      </c>
      <c r="S283" s="145">
        <f>IF(H283="",0,(IF(テーブル2[[#This Row],[性別]]="男",LOOKUP(テーブル2[[#This Row],[握力]],$AI$6:$AJ$15),LOOKUP(テーブル2[[#This Row],[握力]],$AI$20:$AJ$29))))</f>
        <v>0</v>
      </c>
      <c r="T283" s="145">
        <f>IF(テーブル2[[#This Row],[上体]]="",0,(IF(テーブル2[[#This Row],[性別]]="男",LOOKUP(テーブル2[[#This Row],[上体]],$AK$6:$AL$15),LOOKUP(テーブル2[[#This Row],[上体]],$AK$20:$AL$29))))</f>
        <v>0</v>
      </c>
      <c r="U283" s="145">
        <f>IF(テーブル2[[#This Row],[長座]]="",0,(IF(テーブル2[[#This Row],[性別]]="男",LOOKUP(テーブル2[[#This Row],[長座]],$AM$6:$AN$15),LOOKUP(テーブル2[[#This Row],[長座]],$AM$20:$AN$29))))</f>
        <v>0</v>
      </c>
      <c r="V283" s="145">
        <f>IF(テーブル2[[#This Row],[反復]]="",0,(IF(テーブル2[[#This Row],[性別]]="男",LOOKUP(テーブル2[[#This Row],[反復]],$AO$6:$AP$15),LOOKUP(テーブル2[[#This Row],[反復]],$AO$20:$AP$29))))</f>
        <v>0</v>
      </c>
      <c r="W283" s="145">
        <f>IF(テーブル2[[#This Row],[持久走]]="",0,(IF(テーブル2[[#This Row],[性別]]="男",LOOKUP(テーブル2[[#This Row],[持久走]],$AQ$6:$AR$15),LOOKUP(テーブル2[[#This Row],[持久走]],$AQ$20:$AR$29))))</f>
        <v>0</v>
      </c>
      <c r="X283" s="145">
        <f>IF(テーブル2[[#This Row],[ｼｬﾄﾙﾗﾝ]]="",0,(IF(テーブル2[[#This Row],[性別]]="男",LOOKUP(テーブル2[[#This Row],[ｼｬﾄﾙﾗﾝ]],$AS$6:$AT$15),LOOKUP(テーブル2[[#This Row],[ｼｬﾄﾙﾗﾝ]],$AS$20:$AT$29))))</f>
        <v>0</v>
      </c>
      <c r="Y283" s="145">
        <f>IF(テーブル2[[#This Row],[50m走]]="",0,(IF(テーブル2[[#This Row],[性別]]="男",LOOKUP(テーブル2[[#This Row],[50m走]],$AU$6:$AV$15),LOOKUP(テーブル2[[#This Row],[50m走]],$AU$20:$AV$29))))</f>
        <v>0</v>
      </c>
      <c r="Z283" s="145">
        <f>IF(テーブル2[[#This Row],[立幅とび]]="",0,(IF(テーブル2[[#This Row],[性別]]="男",LOOKUP(テーブル2[[#This Row],[立幅とび]],$AW$6:$AX$15),LOOKUP(テーブル2[[#This Row],[立幅とび]],$AW$20:$AX$29))))</f>
        <v>0</v>
      </c>
      <c r="AA283" s="145">
        <f>IF(テーブル2[[#This Row],[ボール投げ]]="",0,(IF(テーブル2[[#This Row],[性別]]="男",LOOKUP(テーブル2[[#This Row],[ボール投げ]],$AY$6:$AZ$15),LOOKUP(テーブル2[[#This Row],[ボール投げ]],$AY$20:$AZ$29))))</f>
        <v>0</v>
      </c>
      <c r="AB283" s="146" t="str">
        <f>IF(テーブル2[[#This Row],[学年]]=1,12,IF(テーブル2[[#This Row],[学年]]=2,13,IF(テーブル2[[#This Row],[学年]]=3,14,"")))</f>
        <v/>
      </c>
      <c r="AC283" s="192" t="str">
        <f>IF(テーブル2[[#This Row],[肥満度数値]]=0,"",LOOKUP(AE283,$AW$39:$AW$44,$AX$39:$AX$44))</f>
        <v/>
      </c>
      <c r="AD28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3" s="77">
        <f>IF(テーブル2[[#This Row],[体重]]="",0,(テーブル2[[#This Row],[体重]]-テーブル2[[#This Row],[標準体重]])/テーブル2[[#This Row],[標準体重]]*100)</f>
        <v>0</v>
      </c>
      <c r="AF283" s="26">
        <f>COUNTA(テーブル2[[#This Row],[握力]:[ボール投げ]])</f>
        <v>0</v>
      </c>
      <c r="AG283" s="1" t="str">
        <f>IF(テーブル2[[#This Row],[判定]]=$BE$10,"○","")</f>
        <v/>
      </c>
      <c r="AH283" s="1" t="str">
        <f>IF(AG283="","",COUNTIF($AG$6:AG283,"○"))</f>
        <v/>
      </c>
    </row>
    <row r="284" spans="1:34" ht="14.25" customHeight="1" x14ac:dyDescent="0.15">
      <c r="A284" s="44">
        <v>279</v>
      </c>
      <c r="B284" s="148"/>
      <c r="C284" s="151"/>
      <c r="D284" s="148"/>
      <c r="E284" s="152"/>
      <c r="F284" s="148"/>
      <c r="G284" s="148"/>
      <c r="H284" s="150"/>
      <c r="I284" s="150"/>
      <c r="J284" s="151"/>
      <c r="K284" s="148"/>
      <c r="L284" s="196"/>
      <c r="M284" s="151"/>
      <c r="N284" s="197"/>
      <c r="O284" s="151"/>
      <c r="P284" s="153"/>
      <c r="Q28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4" s="144" t="str">
        <f>IF(テーブル2[[#This Row],[得点]]=0,"",IF(テーブル2[[#This Row],[年齢]]=17,LOOKUP(Q284,$BH$6:$BH$10,$BE$6:$BE$10),IF(テーブル2[[#This Row],[年齢]]=16,LOOKUP(Q284,$BG$6:$BG$10,$BE$6:$BE$10),IF(テーブル2[[#This Row],[年齢]]=15,LOOKUP(Q284,$BF$6:$BF$10,$BE$6:$BE$10),IF(テーブル2[[#This Row],[年齢]]=14,LOOKUP(Q284,$BD$6:$BD$10,$BE$6:$BE$10),IF(テーブル2[[#This Row],[年齢]]=13,LOOKUP(Q284,$BC$6:$BC$10,$BE$6:$BE$10),LOOKUP(Q284,$BB$6:$BB$10,$BE$6:$BE$10)))))))</f>
        <v/>
      </c>
      <c r="S284" s="145">
        <f>IF(H284="",0,(IF(テーブル2[[#This Row],[性別]]="男",LOOKUP(テーブル2[[#This Row],[握力]],$AI$6:$AJ$15),LOOKUP(テーブル2[[#This Row],[握力]],$AI$20:$AJ$29))))</f>
        <v>0</v>
      </c>
      <c r="T284" s="145">
        <f>IF(テーブル2[[#This Row],[上体]]="",0,(IF(テーブル2[[#This Row],[性別]]="男",LOOKUP(テーブル2[[#This Row],[上体]],$AK$6:$AL$15),LOOKUP(テーブル2[[#This Row],[上体]],$AK$20:$AL$29))))</f>
        <v>0</v>
      </c>
      <c r="U284" s="145">
        <f>IF(テーブル2[[#This Row],[長座]]="",0,(IF(テーブル2[[#This Row],[性別]]="男",LOOKUP(テーブル2[[#This Row],[長座]],$AM$6:$AN$15),LOOKUP(テーブル2[[#This Row],[長座]],$AM$20:$AN$29))))</f>
        <v>0</v>
      </c>
      <c r="V284" s="145">
        <f>IF(テーブル2[[#This Row],[反復]]="",0,(IF(テーブル2[[#This Row],[性別]]="男",LOOKUP(テーブル2[[#This Row],[反復]],$AO$6:$AP$15),LOOKUP(テーブル2[[#This Row],[反復]],$AO$20:$AP$29))))</f>
        <v>0</v>
      </c>
      <c r="W284" s="145">
        <f>IF(テーブル2[[#This Row],[持久走]]="",0,(IF(テーブル2[[#This Row],[性別]]="男",LOOKUP(テーブル2[[#This Row],[持久走]],$AQ$6:$AR$15),LOOKUP(テーブル2[[#This Row],[持久走]],$AQ$20:$AR$29))))</f>
        <v>0</v>
      </c>
      <c r="X284" s="145">
        <f>IF(テーブル2[[#This Row],[ｼｬﾄﾙﾗﾝ]]="",0,(IF(テーブル2[[#This Row],[性別]]="男",LOOKUP(テーブル2[[#This Row],[ｼｬﾄﾙﾗﾝ]],$AS$6:$AT$15),LOOKUP(テーブル2[[#This Row],[ｼｬﾄﾙﾗﾝ]],$AS$20:$AT$29))))</f>
        <v>0</v>
      </c>
      <c r="Y284" s="145">
        <f>IF(テーブル2[[#This Row],[50m走]]="",0,(IF(テーブル2[[#This Row],[性別]]="男",LOOKUP(テーブル2[[#This Row],[50m走]],$AU$6:$AV$15),LOOKUP(テーブル2[[#This Row],[50m走]],$AU$20:$AV$29))))</f>
        <v>0</v>
      </c>
      <c r="Z284" s="145">
        <f>IF(テーブル2[[#This Row],[立幅とび]]="",0,(IF(テーブル2[[#This Row],[性別]]="男",LOOKUP(テーブル2[[#This Row],[立幅とび]],$AW$6:$AX$15),LOOKUP(テーブル2[[#This Row],[立幅とび]],$AW$20:$AX$29))))</f>
        <v>0</v>
      </c>
      <c r="AA284" s="145">
        <f>IF(テーブル2[[#This Row],[ボール投げ]]="",0,(IF(テーブル2[[#This Row],[性別]]="男",LOOKUP(テーブル2[[#This Row],[ボール投げ]],$AY$6:$AZ$15),LOOKUP(テーブル2[[#This Row],[ボール投げ]],$AY$20:$AZ$29))))</f>
        <v>0</v>
      </c>
      <c r="AB284" s="146" t="str">
        <f>IF(テーブル2[[#This Row],[学年]]=1,12,IF(テーブル2[[#This Row],[学年]]=2,13,IF(テーブル2[[#This Row],[学年]]=3,14,"")))</f>
        <v/>
      </c>
      <c r="AC284" s="192" t="str">
        <f>IF(テーブル2[[#This Row],[肥満度数値]]=0,"",LOOKUP(AE284,$AW$39:$AW$44,$AX$39:$AX$44))</f>
        <v/>
      </c>
      <c r="AD28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4" s="77">
        <f>IF(テーブル2[[#This Row],[体重]]="",0,(テーブル2[[#This Row],[体重]]-テーブル2[[#This Row],[標準体重]])/テーブル2[[#This Row],[標準体重]]*100)</f>
        <v>0</v>
      </c>
      <c r="AF284" s="26">
        <f>COUNTA(テーブル2[[#This Row],[握力]:[ボール投げ]])</f>
        <v>0</v>
      </c>
      <c r="AG284" s="1" t="str">
        <f>IF(テーブル2[[#This Row],[判定]]=$BE$10,"○","")</f>
        <v/>
      </c>
      <c r="AH284" s="1" t="str">
        <f>IF(AG284="","",COUNTIF($AG$6:AG284,"○"))</f>
        <v/>
      </c>
    </row>
    <row r="285" spans="1:34" ht="14.25" customHeight="1" x14ac:dyDescent="0.15">
      <c r="A285" s="44">
        <v>280</v>
      </c>
      <c r="B285" s="148"/>
      <c r="C285" s="151"/>
      <c r="D285" s="148"/>
      <c r="E285" s="152"/>
      <c r="F285" s="148"/>
      <c r="G285" s="148"/>
      <c r="H285" s="150"/>
      <c r="I285" s="150"/>
      <c r="J285" s="151"/>
      <c r="K285" s="148"/>
      <c r="L285" s="196"/>
      <c r="M285" s="151"/>
      <c r="N285" s="197"/>
      <c r="O285" s="151"/>
      <c r="P285" s="153"/>
      <c r="Q28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5" s="144" t="str">
        <f>IF(テーブル2[[#This Row],[得点]]=0,"",IF(テーブル2[[#This Row],[年齢]]=17,LOOKUP(Q285,$BH$6:$BH$10,$BE$6:$BE$10),IF(テーブル2[[#This Row],[年齢]]=16,LOOKUP(Q285,$BG$6:$BG$10,$BE$6:$BE$10),IF(テーブル2[[#This Row],[年齢]]=15,LOOKUP(Q285,$BF$6:$BF$10,$BE$6:$BE$10),IF(テーブル2[[#This Row],[年齢]]=14,LOOKUP(Q285,$BD$6:$BD$10,$BE$6:$BE$10),IF(テーブル2[[#This Row],[年齢]]=13,LOOKUP(Q285,$BC$6:$BC$10,$BE$6:$BE$10),LOOKUP(Q285,$BB$6:$BB$10,$BE$6:$BE$10)))))))</f>
        <v/>
      </c>
      <c r="S285" s="145">
        <f>IF(H285="",0,(IF(テーブル2[[#This Row],[性別]]="男",LOOKUP(テーブル2[[#This Row],[握力]],$AI$6:$AJ$15),LOOKUP(テーブル2[[#This Row],[握力]],$AI$20:$AJ$29))))</f>
        <v>0</v>
      </c>
      <c r="T285" s="145">
        <f>IF(テーブル2[[#This Row],[上体]]="",0,(IF(テーブル2[[#This Row],[性別]]="男",LOOKUP(テーブル2[[#This Row],[上体]],$AK$6:$AL$15),LOOKUP(テーブル2[[#This Row],[上体]],$AK$20:$AL$29))))</f>
        <v>0</v>
      </c>
      <c r="U285" s="145">
        <f>IF(テーブル2[[#This Row],[長座]]="",0,(IF(テーブル2[[#This Row],[性別]]="男",LOOKUP(テーブル2[[#This Row],[長座]],$AM$6:$AN$15),LOOKUP(テーブル2[[#This Row],[長座]],$AM$20:$AN$29))))</f>
        <v>0</v>
      </c>
      <c r="V285" s="145">
        <f>IF(テーブル2[[#This Row],[反復]]="",0,(IF(テーブル2[[#This Row],[性別]]="男",LOOKUP(テーブル2[[#This Row],[反復]],$AO$6:$AP$15),LOOKUP(テーブル2[[#This Row],[反復]],$AO$20:$AP$29))))</f>
        <v>0</v>
      </c>
      <c r="W285" s="145">
        <f>IF(テーブル2[[#This Row],[持久走]]="",0,(IF(テーブル2[[#This Row],[性別]]="男",LOOKUP(テーブル2[[#This Row],[持久走]],$AQ$6:$AR$15),LOOKUP(テーブル2[[#This Row],[持久走]],$AQ$20:$AR$29))))</f>
        <v>0</v>
      </c>
      <c r="X285" s="145">
        <f>IF(テーブル2[[#This Row],[ｼｬﾄﾙﾗﾝ]]="",0,(IF(テーブル2[[#This Row],[性別]]="男",LOOKUP(テーブル2[[#This Row],[ｼｬﾄﾙﾗﾝ]],$AS$6:$AT$15),LOOKUP(テーブル2[[#This Row],[ｼｬﾄﾙﾗﾝ]],$AS$20:$AT$29))))</f>
        <v>0</v>
      </c>
      <c r="Y285" s="145">
        <f>IF(テーブル2[[#This Row],[50m走]]="",0,(IF(テーブル2[[#This Row],[性別]]="男",LOOKUP(テーブル2[[#This Row],[50m走]],$AU$6:$AV$15),LOOKUP(テーブル2[[#This Row],[50m走]],$AU$20:$AV$29))))</f>
        <v>0</v>
      </c>
      <c r="Z285" s="145">
        <f>IF(テーブル2[[#This Row],[立幅とび]]="",0,(IF(テーブル2[[#This Row],[性別]]="男",LOOKUP(テーブル2[[#This Row],[立幅とび]],$AW$6:$AX$15),LOOKUP(テーブル2[[#This Row],[立幅とび]],$AW$20:$AX$29))))</f>
        <v>0</v>
      </c>
      <c r="AA285" s="145">
        <f>IF(テーブル2[[#This Row],[ボール投げ]]="",0,(IF(テーブル2[[#This Row],[性別]]="男",LOOKUP(テーブル2[[#This Row],[ボール投げ]],$AY$6:$AZ$15),LOOKUP(テーブル2[[#This Row],[ボール投げ]],$AY$20:$AZ$29))))</f>
        <v>0</v>
      </c>
      <c r="AB285" s="146" t="str">
        <f>IF(テーブル2[[#This Row],[学年]]=1,12,IF(テーブル2[[#This Row],[学年]]=2,13,IF(テーブル2[[#This Row],[学年]]=3,14,"")))</f>
        <v/>
      </c>
      <c r="AC285" s="192" t="str">
        <f>IF(テーブル2[[#This Row],[肥満度数値]]=0,"",LOOKUP(AE285,$AW$39:$AW$44,$AX$39:$AX$44))</f>
        <v/>
      </c>
      <c r="AD28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5" s="77">
        <f>IF(テーブル2[[#This Row],[体重]]="",0,(テーブル2[[#This Row],[体重]]-テーブル2[[#This Row],[標準体重]])/テーブル2[[#This Row],[標準体重]]*100)</f>
        <v>0</v>
      </c>
      <c r="AF285" s="26">
        <f>COUNTA(テーブル2[[#This Row],[握力]:[ボール投げ]])</f>
        <v>0</v>
      </c>
      <c r="AG285" s="1" t="str">
        <f>IF(テーブル2[[#This Row],[判定]]=$BE$10,"○","")</f>
        <v/>
      </c>
      <c r="AH285" s="1" t="str">
        <f>IF(AG285="","",COUNTIF($AG$6:AG285,"○"))</f>
        <v/>
      </c>
    </row>
    <row r="286" spans="1:34" ht="14.25" customHeight="1" x14ac:dyDescent="0.15">
      <c r="A286" s="44">
        <v>281</v>
      </c>
      <c r="B286" s="148"/>
      <c r="C286" s="151"/>
      <c r="D286" s="148"/>
      <c r="E286" s="152"/>
      <c r="F286" s="148"/>
      <c r="G286" s="148"/>
      <c r="H286" s="150"/>
      <c r="I286" s="150"/>
      <c r="J286" s="151"/>
      <c r="K286" s="148"/>
      <c r="L286" s="196"/>
      <c r="M286" s="151"/>
      <c r="N286" s="197"/>
      <c r="O286" s="151"/>
      <c r="P286" s="153"/>
      <c r="Q28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6" s="144" t="str">
        <f>IF(テーブル2[[#This Row],[得点]]=0,"",IF(テーブル2[[#This Row],[年齢]]=17,LOOKUP(Q286,$BH$6:$BH$10,$BE$6:$BE$10),IF(テーブル2[[#This Row],[年齢]]=16,LOOKUP(Q286,$BG$6:$BG$10,$BE$6:$BE$10),IF(テーブル2[[#This Row],[年齢]]=15,LOOKUP(Q286,$BF$6:$BF$10,$BE$6:$BE$10),IF(テーブル2[[#This Row],[年齢]]=14,LOOKUP(Q286,$BD$6:$BD$10,$BE$6:$BE$10),IF(テーブル2[[#This Row],[年齢]]=13,LOOKUP(Q286,$BC$6:$BC$10,$BE$6:$BE$10),LOOKUP(Q286,$BB$6:$BB$10,$BE$6:$BE$10)))))))</f>
        <v/>
      </c>
      <c r="S286" s="145">
        <f>IF(H286="",0,(IF(テーブル2[[#This Row],[性別]]="男",LOOKUP(テーブル2[[#This Row],[握力]],$AI$6:$AJ$15),LOOKUP(テーブル2[[#This Row],[握力]],$AI$20:$AJ$29))))</f>
        <v>0</v>
      </c>
      <c r="T286" s="145">
        <f>IF(テーブル2[[#This Row],[上体]]="",0,(IF(テーブル2[[#This Row],[性別]]="男",LOOKUP(テーブル2[[#This Row],[上体]],$AK$6:$AL$15),LOOKUP(テーブル2[[#This Row],[上体]],$AK$20:$AL$29))))</f>
        <v>0</v>
      </c>
      <c r="U286" s="145">
        <f>IF(テーブル2[[#This Row],[長座]]="",0,(IF(テーブル2[[#This Row],[性別]]="男",LOOKUP(テーブル2[[#This Row],[長座]],$AM$6:$AN$15),LOOKUP(テーブル2[[#This Row],[長座]],$AM$20:$AN$29))))</f>
        <v>0</v>
      </c>
      <c r="V286" s="145">
        <f>IF(テーブル2[[#This Row],[反復]]="",0,(IF(テーブル2[[#This Row],[性別]]="男",LOOKUP(テーブル2[[#This Row],[反復]],$AO$6:$AP$15),LOOKUP(テーブル2[[#This Row],[反復]],$AO$20:$AP$29))))</f>
        <v>0</v>
      </c>
      <c r="W286" s="145">
        <f>IF(テーブル2[[#This Row],[持久走]]="",0,(IF(テーブル2[[#This Row],[性別]]="男",LOOKUP(テーブル2[[#This Row],[持久走]],$AQ$6:$AR$15),LOOKUP(テーブル2[[#This Row],[持久走]],$AQ$20:$AR$29))))</f>
        <v>0</v>
      </c>
      <c r="X286" s="145">
        <f>IF(テーブル2[[#This Row],[ｼｬﾄﾙﾗﾝ]]="",0,(IF(テーブル2[[#This Row],[性別]]="男",LOOKUP(テーブル2[[#This Row],[ｼｬﾄﾙﾗﾝ]],$AS$6:$AT$15),LOOKUP(テーブル2[[#This Row],[ｼｬﾄﾙﾗﾝ]],$AS$20:$AT$29))))</f>
        <v>0</v>
      </c>
      <c r="Y286" s="145">
        <f>IF(テーブル2[[#This Row],[50m走]]="",0,(IF(テーブル2[[#This Row],[性別]]="男",LOOKUP(テーブル2[[#This Row],[50m走]],$AU$6:$AV$15),LOOKUP(テーブル2[[#This Row],[50m走]],$AU$20:$AV$29))))</f>
        <v>0</v>
      </c>
      <c r="Z286" s="145">
        <f>IF(テーブル2[[#This Row],[立幅とび]]="",0,(IF(テーブル2[[#This Row],[性別]]="男",LOOKUP(テーブル2[[#This Row],[立幅とび]],$AW$6:$AX$15),LOOKUP(テーブル2[[#This Row],[立幅とび]],$AW$20:$AX$29))))</f>
        <v>0</v>
      </c>
      <c r="AA286" s="145">
        <f>IF(テーブル2[[#This Row],[ボール投げ]]="",0,(IF(テーブル2[[#This Row],[性別]]="男",LOOKUP(テーブル2[[#This Row],[ボール投げ]],$AY$6:$AZ$15),LOOKUP(テーブル2[[#This Row],[ボール投げ]],$AY$20:$AZ$29))))</f>
        <v>0</v>
      </c>
      <c r="AB286" s="146" t="str">
        <f>IF(テーブル2[[#This Row],[学年]]=1,12,IF(テーブル2[[#This Row],[学年]]=2,13,IF(テーブル2[[#This Row],[学年]]=3,14,"")))</f>
        <v/>
      </c>
      <c r="AC286" s="192" t="str">
        <f>IF(テーブル2[[#This Row],[肥満度数値]]=0,"",LOOKUP(AE286,$AW$39:$AW$44,$AX$39:$AX$44))</f>
        <v/>
      </c>
      <c r="AD28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6" s="77">
        <f>IF(テーブル2[[#This Row],[体重]]="",0,(テーブル2[[#This Row],[体重]]-テーブル2[[#This Row],[標準体重]])/テーブル2[[#This Row],[標準体重]]*100)</f>
        <v>0</v>
      </c>
      <c r="AF286" s="26">
        <f>COUNTA(テーブル2[[#This Row],[握力]:[ボール投げ]])</f>
        <v>0</v>
      </c>
      <c r="AG286" s="1" t="str">
        <f>IF(テーブル2[[#This Row],[判定]]=$BE$10,"○","")</f>
        <v/>
      </c>
      <c r="AH286" s="1" t="str">
        <f>IF(AG286="","",COUNTIF($AG$6:AG286,"○"))</f>
        <v/>
      </c>
    </row>
    <row r="287" spans="1:34" ht="14.25" customHeight="1" x14ac:dyDescent="0.15">
      <c r="A287" s="44">
        <v>282</v>
      </c>
      <c r="B287" s="148"/>
      <c r="C287" s="151"/>
      <c r="D287" s="148"/>
      <c r="E287" s="152"/>
      <c r="F287" s="148"/>
      <c r="G287" s="148"/>
      <c r="H287" s="150"/>
      <c r="I287" s="150"/>
      <c r="J287" s="151"/>
      <c r="K287" s="148"/>
      <c r="L287" s="196"/>
      <c r="M287" s="151"/>
      <c r="N287" s="197"/>
      <c r="O287" s="151"/>
      <c r="P287" s="153"/>
      <c r="Q28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7" s="144" t="str">
        <f>IF(テーブル2[[#This Row],[得点]]=0,"",IF(テーブル2[[#This Row],[年齢]]=17,LOOKUP(Q287,$BH$6:$BH$10,$BE$6:$BE$10),IF(テーブル2[[#This Row],[年齢]]=16,LOOKUP(Q287,$BG$6:$BG$10,$BE$6:$BE$10),IF(テーブル2[[#This Row],[年齢]]=15,LOOKUP(Q287,$BF$6:$BF$10,$BE$6:$BE$10),IF(テーブル2[[#This Row],[年齢]]=14,LOOKUP(Q287,$BD$6:$BD$10,$BE$6:$BE$10),IF(テーブル2[[#This Row],[年齢]]=13,LOOKUP(Q287,$BC$6:$BC$10,$BE$6:$BE$10),LOOKUP(Q287,$BB$6:$BB$10,$BE$6:$BE$10)))))))</f>
        <v/>
      </c>
      <c r="S287" s="145">
        <f>IF(H287="",0,(IF(テーブル2[[#This Row],[性別]]="男",LOOKUP(テーブル2[[#This Row],[握力]],$AI$6:$AJ$15),LOOKUP(テーブル2[[#This Row],[握力]],$AI$20:$AJ$29))))</f>
        <v>0</v>
      </c>
      <c r="T287" s="145">
        <f>IF(テーブル2[[#This Row],[上体]]="",0,(IF(テーブル2[[#This Row],[性別]]="男",LOOKUP(テーブル2[[#This Row],[上体]],$AK$6:$AL$15),LOOKUP(テーブル2[[#This Row],[上体]],$AK$20:$AL$29))))</f>
        <v>0</v>
      </c>
      <c r="U287" s="145">
        <f>IF(テーブル2[[#This Row],[長座]]="",0,(IF(テーブル2[[#This Row],[性別]]="男",LOOKUP(テーブル2[[#This Row],[長座]],$AM$6:$AN$15),LOOKUP(テーブル2[[#This Row],[長座]],$AM$20:$AN$29))))</f>
        <v>0</v>
      </c>
      <c r="V287" s="145">
        <f>IF(テーブル2[[#This Row],[反復]]="",0,(IF(テーブル2[[#This Row],[性別]]="男",LOOKUP(テーブル2[[#This Row],[反復]],$AO$6:$AP$15),LOOKUP(テーブル2[[#This Row],[反復]],$AO$20:$AP$29))))</f>
        <v>0</v>
      </c>
      <c r="W287" s="145">
        <f>IF(テーブル2[[#This Row],[持久走]]="",0,(IF(テーブル2[[#This Row],[性別]]="男",LOOKUP(テーブル2[[#This Row],[持久走]],$AQ$6:$AR$15),LOOKUP(テーブル2[[#This Row],[持久走]],$AQ$20:$AR$29))))</f>
        <v>0</v>
      </c>
      <c r="X287" s="145">
        <f>IF(テーブル2[[#This Row],[ｼｬﾄﾙﾗﾝ]]="",0,(IF(テーブル2[[#This Row],[性別]]="男",LOOKUP(テーブル2[[#This Row],[ｼｬﾄﾙﾗﾝ]],$AS$6:$AT$15),LOOKUP(テーブル2[[#This Row],[ｼｬﾄﾙﾗﾝ]],$AS$20:$AT$29))))</f>
        <v>0</v>
      </c>
      <c r="Y287" s="145">
        <f>IF(テーブル2[[#This Row],[50m走]]="",0,(IF(テーブル2[[#This Row],[性別]]="男",LOOKUP(テーブル2[[#This Row],[50m走]],$AU$6:$AV$15),LOOKUP(テーブル2[[#This Row],[50m走]],$AU$20:$AV$29))))</f>
        <v>0</v>
      </c>
      <c r="Z287" s="145">
        <f>IF(テーブル2[[#This Row],[立幅とび]]="",0,(IF(テーブル2[[#This Row],[性別]]="男",LOOKUP(テーブル2[[#This Row],[立幅とび]],$AW$6:$AX$15),LOOKUP(テーブル2[[#This Row],[立幅とび]],$AW$20:$AX$29))))</f>
        <v>0</v>
      </c>
      <c r="AA287" s="145">
        <f>IF(テーブル2[[#This Row],[ボール投げ]]="",0,(IF(テーブル2[[#This Row],[性別]]="男",LOOKUP(テーブル2[[#This Row],[ボール投げ]],$AY$6:$AZ$15),LOOKUP(テーブル2[[#This Row],[ボール投げ]],$AY$20:$AZ$29))))</f>
        <v>0</v>
      </c>
      <c r="AB287" s="146" t="str">
        <f>IF(テーブル2[[#This Row],[学年]]=1,12,IF(テーブル2[[#This Row],[学年]]=2,13,IF(テーブル2[[#This Row],[学年]]=3,14,"")))</f>
        <v/>
      </c>
      <c r="AC287" s="192" t="str">
        <f>IF(テーブル2[[#This Row],[肥満度数値]]=0,"",LOOKUP(AE287,$AW$39:$AW$44,$AX$39:$AX$44))</f>
        <v/>
      </c>
      <c r="AD28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7" s="77">
        <f>IF(テーブル2[[#This Row],[体重]]="",0,(テーブル2[[#This Row],[体重]]-テーブル2[[#This Row],[標準体重]])/テーブル2[[#This Row],[標準体重]]*100)</f>
        <v>0</v>
      </c>
      <c r="AF287" s="26">
        <f>COUNTA(テーブル2[[#This Row],[握力]:[ボール投げ]])</f>
        <v>0</v>
      </c>
      <c r="AG287" s="1" t="str">
        <f>IF(テーブル2[[#This Row],[判定]]=$BE$10,"○","")</f>
        <v/>
      </c>
      <c r="AH287" s="1" t="str">
        <f>IF(AG287="","",COUNTIF($AG$6:AG287,"○"))</f>
        <v/>
      </c>
    </row>
    <row r="288" spans="1:34" ht="14.25" customHeight="1" x14ac:dyDescent="0.15">
      <c r="A288" s="44">
        <v>283</v>
      </c>
      <c r="B288" s="148"/>
      <c r="C288" s="151"/>
      <c r="D288" s="148"/>
      <c r="E288" s="152"/>
      <c r="F288" s="148"/>
      <c r="G288" s="148"/>
      <c r="H288" s="150"/>
      <c r="I288" s="150"/>
      <c r="J288" s="151"/>
      <c r="K288" s="148"/>
      <c r="L288" s="196"/>
      <c r="M288" s="151"/>
      <c r="N288" s="197"/>
      <c r="O288" s="151"/>
      <c r="P288" s="153"/>
      <c r="Q28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8" s="144" t="str">
        <f>IF(テーブル2[[#This Row],[得点]]=0,"",IF(テーブル2[[#This Row],[年齢]]=17,LOOKUP(Q288,$BH$6:$BH$10,$BE$6:$BE$10),IF(テーブル2[[#This Row],[年齢]]=16,LOOKUP(Q288,$BG$6:$BG$10,$BE$6:$BE$10),IF(テーブル2[[#This Row],[年齢]]=15,LOOKUP(Q288,$BF$6:$BF$10,$BE$6:$BE$10),IF(テーブル2[[#This Row],[年齢]]=14,LOOKUP(Q288,$BD$6:$BD$10,$BE$6:$BE$10),IF(テーブル2[[#This Row],[年齢]]=13,LOOKUP(Q288,$BC$6:$BC$10,$BE$6:$BE$10),LOOKUP(Q288,$BB$6:$BB$10,$BE$6:$BE$10)))))))</f>
        <v/>
      </c>
      <c r="S288" s="145">
        <f>IF(H288="",0,(IF(テーブル2[[#This Row],[性別]]="男",LOOKUP(テーブル2[[#This Row],[握力]],$AI$6:$AJ$15),LOOKUP(テーブル2[[#This Row],[握力]],$AI$20:$AJ$29))))</f>
        <v>0</v>
      </c>
      <c r="T288" s="145">
        <f>IF(テーブル2[[#This Row],[上体]]="",0,(IF(テーブル2[[#This Row],[性別]]="男",LOOKUP(テーブル2[[#This Row],[上体]],$AK$6:$AL$15),LOOKUP(テーブル2[[#This Row],[上体]],$AK$20:$AL$29))))</f>
        <v>0</v>
      </c>
      <c r="U288" s="145">
        <f>IF(テーブル2[[#This Row],[長座]]="",0,(IF(テーブル2[[#This Row],[性別]]="男",LOOKUP(テーブル2[[#This Row],[長座]],$AM$6:$AN$15),LOOKUP(テーブル2[[#This Row],[長座]],$AM$20:$AN$29))))</f>
        <v>0</v>
      </c>
      <c r="V288" s="145">
        <f>IF(テーブル2[[#This Row],[反復]]="",0,(IF(テーブル2[[#This Row],[性別]]="男",LOOKUP(テーブル2[[#This Row],[反復]],$AO$6:$AP$15),LOOKUP(テーブル2[[#This Row],[反復]],$AO$20:$AP$29))))</f>
        <v>0</v>
      </c>
      <c r="W288" s="145">
        <f>IF(テーブル2[[#This Row],[持久走]]="",0,(IF(テーブル2[[#This Row],[性別]]="男",LOOKUP(テーブル2[[#This Row],[持久走]],$AQ$6:$AR$15),LOOKUP(テーブル2[[#This Row],[持久走]],$AQ$20:$AR$29))))</f>
        <v>0</v>
      </c>
      <c r="X288" s="145">
        <f>IF(テーブル2[[#This Row],[ｼｬﾄﾙﾗﾝ]]="",0,(IF(テーブル2[[#This Row],[性別]]="男",LOOKUP(テーブル2[[#This Row],[ｼｬﾄﾙﾗﾝ]],$AS$6:$AT$15),LOOKUP(テーブル2[[#This Row],[ｼｬﾄﾙﾗﾝ]],$AS$20:$AT$29))))</f>
        <v>0</v>
      </c>
      <c r="Y288" s="145">
        <f>IF(テーブル2[[#This Row],[50m走]]="",0,(IF(テーブル2[[#This Row],[性別]]="男",LOOKUP(テーブル2[[#This Row],[50m走]],$AU$6:$AV$15),LOOKUP(テーブル2[[#This Row],[50m走]],$AU$20:$AV$29))))</f>
        <v>0</v>
      </c>
      <c r="Z288" s="145">
        <f>IF(テーブル2[[#This Row],[立幅とび]]="",0,(IF(テーブル2[[#This Row],[性別]]="男",LOOKUP(テーブル2[[#This Row],[立幅とび]],$AW$6:$AX$15),LOOKUP(テーブル2[[#This Row],[立幅とび]],$AW$20:$AX$29))))</f>
        <v>0</v>
      </c>
      <c r="AA288" s="145">
        <f>IF(テーブル2[[#This Row],[ボール投げ]]="",0,(IF(テーブル2[[#This Row],[性別]]="男",LOOKUP(テーブル2[[#This Row],[ボール投げ]],$AY$6:$AZ$15),LOOKUP(テーブル2[[#This Row],[ボール投げ]],$AY$20:$AZ$29))))</f>
        <v>0</v>
      </c>
      <c r="AB288" s="146" t="str">
        <f>IF(テーブル2[[#This Row],[学年]]=1,12,IF(テーブル2[[#This Row],[学年]]=2,13,IF(テーブル2[[#This Row],[学年]]=3,14,"")))</f>
        <v/>
      </c>
      <c r="AC288" s="192" t="str">
        <f>IF(テーブル2[[#This Row],[肥満度数値]]=0,"",LOOKUP(AE288,$AW$39:$AW$44,$AX$39:$AX$44))</f>
        <v/>
      </c>
      <c r="AD28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8" s="77">
        <f>IF(テーブル2[[#This Row],[体重]]="",0,(テーブル2[[#This Row],[体重]]-テーブル2[[#This Row],[標準体重]])/テーブル2[[#This Row],[標準体重]]*100)</f>
        <v>0</v>
      </c>
      <c r="AF288" s="26">
        <f>COUNTA(テーブル2[[#This Row],[握力]:[ボール投げ]])</f>
        <v>0</v>
      </c>
      <c r="AG288" s="1" t="str">
        <f>IF(テーブル2[[#This Row],[判定]]=$BE$10,"○","")</f>
        <v/>
      </c>
      <c r="AH288" s="1" t="str">
        <f>IF(AG288="","",COUNTIF($AG$6:AG288,"○"))</f>
        <v/>
      </c>
    </row>
    <row r="289" spans="1:34" ht="14.25" customHeight="1" x14ac:dyDescent="0.15">
      <c r="A289" s="44">
        <v>284</v>
      </c>
      <c r="B289" s="148"/>
      <c r="C289" s="151"/>
      <c r="D289" s="148"/>
      <c r="E289" s="152"/>
      <c r="F289" s="148"/>
      <c r="G289" s="148"/>
      <c r="H289" s="150"/>
      <c r="I289" s="150"/>
      <c r="J289" s="151"/>
      <c r="K289" s="148"/>
      <c r="L289" s="196"/>
      <c r="M289" s="151"/>
      <c r="N289" s="197"/>
      <c r="O289" s="151"/>
      <c r="P289" s="153"/>
      <c r="Q28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9" s="144" t="str">
        <f>IF(テーブル2[[#This Row],[得点]]=0,"",IF(テーブル2[[#This Row],[年齢]]=17,LOOKUP(Q289,$BH$6:$BH$10,$BE$6:$BE$10),IF(テーブル2[[#This Row],[年齢]]=16,LOOKUP(Q289,$BG$6:$BG$10,$BE$6:$BE$10),IF(テーブル2[[#This Row],[年齢]]=15,LOOKUP(Q289,$BF$6:$BF$10,$BE$6:$BE$10),IF(テーブル2[[#This Row],[年齢]]=14,LOOKUP(Q289,$BD$6:$BD$10,$BE$6:$BE$10),IF(テーブル2[[#This Row],[年齢]]=13,LOOKUP(Q289,$BC$6:$BC$10,$BE$6:$BE$10),LOOKUP(Q289,$BB$6:$BB$10,$BE$6:$BE$10)))))))</f>
        <v/>
      </c>
      <c r="S289" s="145">
        <f>IF(H289="",0,(IF(テーブル2[[#This Row],[性別]]="男",LOOKUP(テーブル2[[#This Row],[握力]],$AI$6:$AJ$15),LOOKUP(テーブル2[[#This Row],[握力]],$AI$20:$AJ$29))))</f>
        <v>0</v>
      </c>
      <c r="T289" s="145">
        <f>IF(テーブル2[[#This Row],[上体]]="",0,(IF(テーブル2[[#This Row],[性別]]="男",LOOKUP(テーブル2[[#This Row],[上体]],$AK$6:$AL$15),LOOKUP(テーブル2[[#This Row],[上体]],$AK$20:$AL$29))))</f>
        <v>0</v>
      </c>
      <c r="U289" s="145">
        <f>IF(テーブル2[[#This Row],[長座]]="",0,(IF(テーブル2[[#This Row],[性別]]="男",LOOKUP(テーブル2[[#This Row],[長座]],$AM$6:$AN$15),LOOKUP(テーブル2[[#This Row],[長座]],$AM$20:$AN$29))))</f>
        <v>0</v>
      </c>
      <c r="V289" s="145">
        <f>IF(テーブル2[[#This Row],[反復]]="",0,(IF(テーブル2[[#This Row],[性別]]="男",LOOKUP(テーブル2[[#This Row],[反復]],$AO$6:$AP$15),LOOKUP(テーブル2[[#This Row],[反復]],$AO$20:$AP$29))))</f>
        <v>0</v>
      </c>
      <c r="W289" s="145">
        <f>IF(テーブル2[[#This Row],[持久走]]="",0,(IF(テーブル2[[#This Row],[性別]]="男",LOOKUP(テーブル2[[#This Row],[持久走]],$AQ$6:$AR$15),LOOKUP(テーブル2[[#This Row],[持久走]],$AQ$20:$AR$29))))</f>
        <v>0</v>
      </c>
      <c r="X289" s="145">
        <f>IF(テーブル2[[#This Row],[ｼｬﾄﾙﾗﾝ]]="",0,(IF(テーブル2[[#This Row],[性別]]="男",LOOKUP(テーブル2[[#This Row],[ｼｬﾄﾙﾗﾝ]],$AS$6:$AT$15),LOOKUP(テーブル2[[#This Row],[ｼｬﾄﾙﾗﾝ]],$AS$20:$AT$29))))</f>
        <v>0</v>
      </c>
      <c r="Y289" s="145">
        <f>IF(テーブル2[[#This Row],[50m走]]="",0,(IF(テーブル2[[#This Row],[性別]]="男",LOOKUP(テーブル2[[#This Row],[50m走]],$AU$6:$AV$15),LOOKUP(テーブル2[[#This Row],[50m走]],$AU$20:$AV$29))))</f>
        <v>0</v>
      </c>
      <c r="Z289" s="145">
        <f>IF(テーブル2[[#This Row],[立幅とび]]="",0,(IF(テーブル2[[#This Row],[性別]]="男",LOOKUP(テーブル2[[#This Row],[立幅とび]],$AW$6:$AX$15),LOOKUP(テーブル2[[#This Row],[立幅とび]],$AW$20:$AX$29))))</f>
        <v>0</v>
      </c>
      <c r="AA289" s="145">
        <f>IF(テーブル2[[#This Row],[ボール投げ]]="",0,(IF(テーブル2[[#This Row],[性別]]="男",LOOKUP(テーブル2[[#This Row],[ボール投げ]],$AY$6:$AZ$15),LOOKUP(テーブル2[[#This Row],[ボール投げ]],$AY$20:$AZ$29))))</f>
        <v>0</v>
      </c>
      <c r="AB289" s="146" t="str">
        <f>IF(テーブル2[[#This Row],[学年]]=1,12,IF(テーブル2[[#This Row],[学年]]=2,13,IF(テーブル2[[#This Row],[学年]]=3,14,"")))</f>
        <v/>
      </c>
      <c r="AC289" s="192" t="str">
        <f>IF(テーブル2[[#This Row],[肥満度数値]]=0,"",LOOKUP(AE289,$AW$39:$AW$44,$AX$39:$AX$44))</f>
        <v/>
      </c>
      <c r="AD28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89" s="77">
        <f>IF(テーブル2[[#This Row],[体重]]="",0,(テーブル2[[#This Row],[体重]]-テーブル2[[#This Row],[標準体重]])/テーブル2[[#This Row],[標準体重]]*100)</f>
        <v>0</v>
      </c>
      <c r="AF289" s="26">
        <f>COUNTA(テーブル2[[#This Row],[握力]:[ボール投げ]])</f>
        <v>0</v>
      </c>
      <c r="AG289" s="1" t="str">
        <f>IF(テーブル2[[#This Row],[判定]]=$BE$10,"○","")</f>
        <v/>
      </c>
      <c r="AH289" s="1" t="str">
        <f>IF(AG289="","",COUNTIF($AG$6:AG289,"○"))</f>
        <v/>
      </c>
    </row>
    <row r="290" spans="1:34" ht="14.25" customHeight="1" x14ac:dyDescent="0.15">
      <c r="A290" s="44">
        <v>285</v>
      </c>
      <c r="B290" s="148"/>
      <c r="C290" s="151"/>
      <c r="D290" s="148"/>
      <c r="E290" s="152"/>
      <c r="F290" s="148"/>
      <c r="G290" s="148"/>
      <c r="H290" s="150"/>
      <c r="I290" s="150"/>
      <c r="J290" s="151"/>
      <c r="K290" s="148"/>
      <c r="L290" s="196"/>
      <c r="M290" s="151"/>
      <c r="N290" s="197"/>
      <c r="O290" s="151"/>
      <c r="P290" s="153"/>
      <c r="Q29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0" s="144" t="str">
        <f>IF(テーブル2[[#This Row],[得点]]=0,"",IF(テーブル2[[#This Row],[年齢]]=17,LOOKUP(Q290,$BH$6:$BH$10,$BE$6:$BE$10),IF(テーブル2[[#This Row],[年齢]]=16,LOOKUP(Q290,$BG$6:$BG$10,$BE$6:$BE$10),IF(テーブル2[[#This Row],[年齢]]=15,LOOKUP(Q290,$BF$6:$BF$10,$BE$6:$BE$10),IF(テーブル2[[#This Row],[年齢]]=14,LOOKUP(Q290,$BD$6:$BD$10,$BE$6:$BE$10),IF(テーブル2[[#This Row],[年齢]]=13,LOOKUP(Q290,$BC$6:$BC$10,$BE$6:$BE$10),LOOKUP(Q290,$BB$6:$BB$10,$BE$6:$BE$10)))))))</f>
        <v/>
      </c>
      <c r="S290" s="145">
        <f>IF(H290="",0,(IF(テーブル2[[#This Row],[性別]]="男",LOOKUP(テーブル2[[#This Row],[握力]],$AI$6:$AJ$15),LOOKUP(テーブル2[[#This Row],[握力]],$AI$20:$AJ$29))))</f>
        <v>0</v>
      </c>
      <c r="T290" s="145">
        <f>IF(テーブル2[[#This Row],[上体]]="",0,(IF(テーブル2[[#This Row],[性別]]="男",LOOKUP(テーブル2[[#This Row],[上体]],$AK$6:$AL$15),LOOKUP(テーブル2[[#This Row],[上体]],$AK$20:$AL$29))))</f>
        <v>0</v>
      </c>
      <c r="U290" s="145">
        <f>IF(テーブル2[[#This Row],[長座]]="",0,(IF(テーブル2[[#This Row],[性別]]="男",LOOKUP(テーブル2[[#This Row],[長座]],$AM$6:$AN$15),LOOKUP(テーブル2[[#This Row],[長座]],$AM$20:$AN$29))))</f>
        <v>0</v>
      </c>
      <c r="V290" s="145">
        <f>IF(テーブル2[[#This Row],[反復]]="",0,(IF(テーブル2[[#This Row],[性別]]="男",LOOKUP(テーブル2[[#This Row],[反復]],$AO$6:$AP$15),LOOKUP(テーブル2[[#This Row],[反復]],$AO$20:$AP$29))))</f>
        <v>0</v>
      </c>
      <c r="W290" s="145">
        <f>IF(テーブル2[[#This Row],[持久走]]="",0,(IF(テーブル2[[#This Row],[性別]]="男",LOOKUP(テーブル2[[#This Row],[持久走]],$AQ$6:$AR$15),LOOKUP(テーブル2[[#This Row],[持久走]],$AQ$20:$AR$29))))</f>
        <v>0</v>
      </c>
      <c r="X290" s="145">
        <f>IF(テーブル2[[#This Row],[ｼｬﾄﾙﾗﾝ]]="",0,(IF(テーブル2[[#This Row],[性別]]="男",LOOKUP(テーブル2[[#This Row],[ｼｬﾄﾙﾗﾝ]],$AS$6:$AT$15),LOOKUP(テーブル2[[#This Row],[ｼｬﾄﾙﾗﾝ]],$AS$20:$AT$29))))</f>
        <v>0</v>
      </c>
      <c r="Y290" s="145">
        <f>IF(テーブル2[[#This Row],[50m走]]="",0,(IF(テーブル2[[#This Row],[性別]]="男",LOOKUP(テーブル2[[#This Row],[50m走]],$AU$6:$AV$15),LOOKUP(テーブル2[[#This Row],[50m走]],$AU$20:$AV$29))))</f>
        <v>0</v>
      </c>
      <c r="Z290" s="145">
        <f>IF(テーブル2[[#This Row],[立幅とび]]="",0,(IF(テーブル2[[#This Row],[性別]]="男",LOOKUP(テーブル2[[#This Row],[立幅とび]],$AW$6:$AX$15),LOOKUP(テーブル2[[#This Row],[立幅とび]],$AW$20:$AX$29))))</f>
        <v>0</v>
      </c>
      <c r="AA290" s="145">
        <f>IF(テーブル2[[#This Row],[ボール投げ]]="",0,(IF(テーブル2[[#This Row],[性別]]="男",LOOKUP(テーブル2[[#This Row],[ボール投げ]],$AY$6:$AZ$15),LOOKUP(テーブル2[[#This Row],[ボール投げ]],$AY$20:$AZ$29))))</f>
        <v>0</v>
      </c>
      <c r="AB290" s="146" t="str">
        <f>IF(テーブル2[[#This Row],[学年]]=1,12,IF(テーブル2[[#This Row],[学年]]=2,13,IF(テーブル2[[#This Row],[学年]]=3,14,"")))</f>
        <v/>
      </c>
      <c r="AC290" s="192" t="str">
        <f>IF(テーブル2[[#This Row],[肥満度数値]]=0,"",LOOKUP(AE290,$AW$39:$AW$44,$AX$39:$AX$44))</f>
        <v/>
      </c>
      <c r="AD29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0" s="77">
        <f>IF(テーブル2[[#This Row],[体重]]="",0,(テーブル2[[#This Row],[体重]]-テーブル2[[#This Row],[標準体重]])/テーブル2[[#This Row],[標準体重]]*100)</f>
        <v>0</v>
      </c>
      <c r="AF290" s="26">
        <f>COUNTA(テーブル2[[#This Row],[握力]:[ボール投げ]])</f>
        <v>0</v>
      </c>
      <c r="AG290" s="1" t="str">
        <f>IF(テーブル2[[#This Row],[判定]]=$BE$10,"○","")</f>
        <v/>
      </c>
      <c r="AH290" s="1" t="str">
        <f>IF(AG290="","",COUNTIF($AG$6:AG290,"○"))</f>
        <v/>
      </c>
    </row>
    <row r="291" spans="1:34" ht="14.25" customHeight="1" x14ac:dyDescent="0.15">
      <c r="A291" s="44">
        <v>286</v>
      </c>
      <c r="B291" s="148"/>
      <c r="C291" s="151"/>
      <c r="D291" s="148"/>
      <c r="E291" s="152"/>
      <c r="F291" s="148"/>
      <c r="G291" s="148"/>
      <c r="H291" s="150"/>
      <c r="I291" s="150"/>
      <c r="J291" s="151"/>
      <c r="K291" s="148"/>
      <c r="L291" s="196"/>
      <c r="M291" s="151"/>
      <c r="N291" s="197"/>
      <c r="O291" s="151"/>
      <c r="P291" s="153"/>
      <c r="Q29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1" s="144" t="str">
        <f>IF(テーブル2[[#This Row],[得点]]=0,"",IF(テーブル2[[#This Row],[年齢]]=17,LOOKUP(Q291,$BH$6:$BH$10,$BE$6:$BE$10),IF(テーブル2[[#This Row],[年齢]]=16,LOOKUP(Q291,$BG$6:$BG$10,$BE$6:$BE$10),IF(テーブル2[[#This Row],[年齢]]=15,LOOKUP(Q291,$BF$6:$BF$10,$BE$6:$BE$10),IF(テーブル2[[#This Row],[年齢]]=14,LOOKUP(Q291,$BD$6:$BD$10,$BE$6:$BE$10),IF(テーブル2[[#This Row],[年齢]]=13,LOOKUP(Q291,$BC$6:$BC$10,$BE$6:$BE$10),LOOKUP(Q291,$BB$6:$BB$10,$BE$6:$BE$10)))))))</f>
        <v/>
      </c>
      <c r="S291" s="145">
        <f>IF(H291="",0,(IF(テーブル2[[#This Row],[性別]]="男",LOOKUP(テーブル2[[#This Row],[握力]],$AI$6:$AJ$15),LOOKUP(テーブル2[[#This Row],[握力]],$AI$20:$AJ$29))))</f>
        <v>0</v>
      </c>
      <c r="T291" s="145">
        <f>IF(テーブル2[[#This Row],[上体]]="",0,(IF(テーブル2[[#This Row],[性別]]="男",LOOKUP(テーブル2[[#This Row],[上体]],$AK$6:$AL$15),LOOKUP(テーブル2[[#This Row],[上体]],$AK$20:$AL$29))))</f>
        <v>0</v>
      </c>
      <c r="U291" s="145">
        <f>IF(テーブル2[[#This Row],[長座]]="",0,(IF(テーブル2[[#This Row],[性別]]="男",LOOKUP(テーブル2[[#This Row],[長座]],$AM$6:$AN$15),LOOKUP(テーブル2[[#This Row],[長座]],$AM$20:$AN$29))))</f>
        <v>0</v>
      </c>
      <c r="V291" s="145">
        <f>IF(テーブル2[[#This Row],[反復]]="",0,(IF(テーブル2[[#This Row],[性別]]="男",LOOKUP(テーブル2[[#This Row],[反復]],$AO$6:$AP$15),LOOKUP(テーブル2[[#This Row],[反復]],$AO$20:$AP$29))))</f>
        <v>0</v>
      </c>
      <c r="W291" s="145">
        <f>IF(テーブル2[[#This Row],[持久走]]="",0,(IF(テーブル2[[#This Row],[性別]]="男",LOOKUP(テーブル2[[#This Row],[持久走]],$AQ$6:$AR$15),LOOKUP(テーブル2[[#This Row],[持久走]],$AQ$20:$AR$29))))</f>
        <v>0</v>
      </c>
      <c r="X291" s="145">
        <f>IF(テーブル2[[#This Row],[ｼｬﾄﾙﾗﾝ]]="",0,(IF(テーブル2[[#This Row],[性別]]="男",LOOKUP(テーブル2[[#This Row],[ｼｬﾄﾙﾗﾝ]],$AS$6:$AT$15),LOOKUP(テーブル2[[#This Row],[ｼｬﾄﾙﾗﾝ]],$AS$20:$AT$29))))</f>
        <v>0</v>
      </c>
      <c r="Y291" s="145">
        <f>IF(テーブル2[[#This Row],[50m走]]="",0,(IF(テーブル2[[#This Row],[性別]]="男",LOOKUP(テーブル2[[#This Row],[50m走]],$AU$6:$AV$15),LOOKUP(テーブル2[[#This Row],[50m走]],$AU$20:$AV$29))))</f>
        <v>0</v>
      </c>
      <c r="Z291" s="145">
        <f>IF(テーブル2[[#This Row],[立幅とび]]="",0,(IF(テーブル2[[#This Row],[性別]]="男",LOOKUP(テーブル2[[#This Row],[立幅とび]],$AW$6:$AX$15),LOOKUP(テーブル2[[#This Row],[立幅とび]],$AW$20:$AX$29))))</f>
        <v>0</v>
      </c>
      <c r="AA291" s="145">
        <f>IF(テーブル2[[#This Row],[ボール投げ]]="",0,(IF(テーブル2[[#This Row],[性別]]="男",LOOKUP(テーブル2[[#This Row],[ボール投げ]],$AY$6:$AZ$15),LOOKUP(テーブル2[[#This Row],[ボール投げ]],$AY$20:$AZ$29))))</f>
        <v>0</v>
      </c>
      <c r="AB291" s="146" t="str">
        <f>IF(テーブル2[[#This Row],[学年]]=1,12,IF(テーブル2[[#This Row],[学年]]=2,13,IF(テーブル2[[#This Row],[学年]]=3,14,"")))</f>
        <v/>
      </c>
      <c r="AC291" s="192" t="str">
        <f>IF(テーブル2[[#This Row],[肥満度数値]]=0,"",LOOKUP(AE291,$AW$39:$AW$44,$AX$39:$AX$44))</f>
        <v/>
      </c>
      <c r="AD29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1" s="77">
        <f>IF(テーブル2[[#This Row],[体重]]="",0,(テーブル2[[#This Row],[体重]]-テーブル2[[#This Row],[標準体重]])/テーブル2[[#This Row],[標準体重]]*100)</f>
        <v>0</v>
      </c>
      <c r="AF291" s="26">
        <f>COUNTA(テーブル2[[#This Row],[握力]:[ボール投げ]])</f>
        <v>0</v>
      </c>
      <c r="AG291" s="1" t="str">
        <f>IF(テーブル2[[#This Row],[判定]]=$BE$10,"○","")</f>
        <v/>
      </c>
      <c r="AH291" s="1" t="str">
        <f>IF(AG291="","",COUNTIF($AG$6:AG291,"○"))</f>
        <v/>
      </c>
    </row>
    <row r="292" spans="1:34" ht="14.25" customHeight="1" x14ac:dyDescent="0.15">
      <c r="A292" s="44">
        <v>287</v>
      </c>
      <c r="B292" s="148"/>
      <c r="C292" s="151"/>
      <c r="D292" s="148"/>
      <c r="E292" s="152"/>
      <c r="F292" s="148"/>
      <c r="G292" s="148"/>
      <c r="H292" s="150"/>
      <c r="I292" s="150"/>
      <c r="J292" s="151"/>
      <c r="K292" s="148"/>
      <c r="L292" s="196"/>
      <c r="M292" s="151"/>
      <c r="N292" s="197"/>
      <c r="O292" s="151"/>
      <c r="P292" s="153"/>
      <c r="Q29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2" s="144" t="str">
        <f>IF(テーブル2[[#This Row],[得点]]=0,"",IF(テーブル2[[#This Row],[年齢]]=17,LOOKUP(Q292,$BH$6:$BH$10,$BE$6:$BE$10),IF(テーブル2[[#This Row],[年齢]]=16,LOOKUP(Q292,$BG$6:$BG$10,$BE$6:$BE$10),IF(テーブル2[[#This Row],[年齢]]=15,LOOKUP(Q292,$BF$6:$BF$10,$BE$6:$BE$10),IF(テーブル2[[#This Row],[年齢]]=14,LOOKUP(Q292,$BD$6:$BD$10,$BE$6:$BE$10),IF(テーブル2[[#This Row],[年齢]]=13,LOOKUP(Q292,$BC$6:$BC$10,$BE$6:$BE$10),LOOKUP(Q292,$BB$6:$BB$10,$BE$6:$BE$10)))))))</f>
        <v/>
      </c>
      <c r="S292" s="145">
        <f>IF(H292="",0,(IF(テーブル2[[#This Row],[性別]]="男",LOOKUP(テーブル2[[#This Row],[握力]],$AI$6:$AJ$15),LOOKUP(テーブル2[[#This Row],[握力]],$AI$20:$AJ$29))))</f>
        <v>0</v>
      </c>
      <c r="T292" s="145">
        <f>IF(テーブル2[[#This Row],[上体]]="",0,(IF(テーブル2[[#This Row],[性別]]="男",LOOKUP(テーブル2[[#This Row],[上体]],$AK$6:$AL$15),LOOKUP(テーブル2[[#This Row],[上体]],$AK$20:$AL$29))))</f>
        <v>0</v>
      </c>
      <c r="U292" s="145">
        <f>IF(テーブル2[[#This Row],[長座]]="",0,(IF(テーブル2[[#This Row],[性別]]="男",LOOKUP(テーブル2[[#This Row],[長座]],$AM$6:$AN$15),LOOKUP(テーブル2[[#This Row],[長座]],$AM$20:$AN$29))))</f>
        <v>0</v>
      </c>
      <c r="V292" s="145">
        <f>IF(テーブル2[[#This Row],[反復]]="",0,(IF(テーブル2[[#This Row],[性別]]="男",LOOKUP(テーブル2[[#This Row],[反復]],$AO$6:$AP$15),LOOKUP(テーブル2[[#This Row],[反復]],$AO$20:$AP$29))))</f>
        <v>0</v>
      </c>
      <c r="W292" s="145">
        <f>IF(テーブル2[[#This Row],[持久走]]="",0,(IF(テーブル2[[#This Row],[性別]]="男",LOOKUP(テーブル2[[#This Row],[持久走]],$AQ$6:$AR$15),LOOKUP(テーブル2[[#This Row],[持久走]],$AQ$20:$AR$29))))</f>
        <v>0</v>
      </c>
      <c r="X292" s="145">
        <f>IF(テーブル2[[#This Row],[ｼｬﾄﾙﾗﾝ]]="",0,(IF(テーブル2[[#This Row],[性別]]="男",LOOKUP(テーブル2[[#This Row],[ｼｬﾄﾙﾗﾝ]],$AS$6:$AT$15),LOOKUP(テーブル2[[#This Row],[ｼｬﾄﾙﾗﾝ]],$AS$20:$AT$29))))</f>
        <v>0</v>
      </c>
      <c r="Y292" s="145">
        <f>IF(テーブル2[[#This Row],[50m走]]="",0,(IF(テーブル2[[#This Row],[性別]]="男",LOOKUP(テーブル2[[#This Row],[50m走]],$AU$6:$AV$15),LOOKUP(テーブル2[[#This Row],[50m走]],$AU$20:$AV$29))))</f>
        <v>0</v>
      </c>
      <c r="Z292" s="145">
        <f>IF(テーブル2[[#This Row],[立幅とび]]="",0,(IF(テーブル2[[#This Row],[性別]]="男",LOOKUP(テーブル2[[#This Row],[立幅とび]],$AW$6:$AX$15),LOOKUP(テーブル2[[#This Row],[立幅とび]],$AW$20:$AX$29))))</f>
        <v>0</v>
      </c>
      <c r="AA292" s="145">
        <f>IF(テーブル2[[#This Row],[ボール投げ]]="",0,(IF(テーブル2[[#This Row],[性別]]="男",LOOKUP(テーブル2[[#This Row],[ボール投げ]],$AY$6:$AZ$15),LOOKUP(テーブル2[[#This Row],[ボール投げ]],$AY$20:$AZ$29))))</f>
        <v>0</v>
      </c>
      <c r="AB292" s="146" t="str">
        <f>IF(テーブル2[[#This Row],[学年]]=1,12,IF(テーブル2[[#This Row],[学年]]=2,13,IF(テーブル2[[#This Row],[学年]]=3,14,"")))</f>
        <v/>
      </c>
      <c r="AC292" s="192" t="str">
        <f>IF(テーブル2[[#This Row],[肥満度数値]]=0,"",LOOKUP(AE292,$AW$39:$AW$44,$AX$39:$AX$44))</f>
        <v/>
      </c>
      <c r="AD29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2" s="77">
        <f>IF(テーブル2[[#This Row],[体重]]="",0,(テーブル2[[#This Row],[体重]]-テーブル2[[#This Row],[標準体重]])/テーブル2[[#This Row],[標準体重]]*100)</f>
        <v>0</v>
      </c>
      <c r="AF292" s="26">
        <f>COUNTA(テーブル2[[#This Row],[握力]:[ボール投げ]])</f>
        <v>0</v>
      </c>
      <c r="AG292" s="1" t="str">
        <f>IF(テーブル2[[#This Row],[判定]]=$BE$10,"○","")</f>
        <v/>
      </c>
      <c r="AH292" s="1" t="str">
        <f>IF(AG292="","",COUNTIF($AG$6:AG292,"○"))</f>
        <v/>
      </c>
    </row>
    <row r="293" spans="1:34" ht="14.25" customHeight="1" x14ac:dyDescent="0.15">
      <c r="A293" s="44">
        <v>288</v>
      </c>
      <c r="B293" s="148"/>
      <c r="C293" s="151"/>
      <c r="D293" s="148"/>
      <c r="E293" s="152"/>
      <c r="F293" s="148"/>
      <c r="G293" s="148"/>
      <c r="H293" s="150"/>
      <c r="I293" s="150"/>
      <c r="J293" s="151"/>
      <c r="K293" s="148"/>
      <c r="L293" s="196"/>
      <c r="M293" s="151"/>
      <c r="N293" s="197"/>
      <c r="O293" s="151"/>
      <c r="P293" s="153"/>
      <c r="Q29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3" s="144" t="str">
        <f>IF(テーブル2[[#This Row],[得点]]=0,"",IF(テーブル2[[#This Row],[年齢]]=17,LOOKUP(Q293,$BH$6:$BH$10,$BE$6:$BE$10),IF(テーブル2[[#This Row],[年齢]]=16,LOOKUP(Q293,$BG$6:$BG$10,$BE$6:$BE$10),IF(テーブル2[[#This Row],[年齢]]=15,LOOKUP(Q293,$BF$6:$BF$10,$BE$6:$BE$10),IF(テーブル2[[#This Row],[年齢]]=14,LOOKUP(Q293,$BD$6:$BD$10,$BE$6:$BE$10),IF(テーブル2[[#This Row],[年齢]]=13,LOOKUP(Q293,$BC$6:$BC$10,$BE$6:$BE$10),LOOKUP(Q293,$BB$6:$BB$10,$BE$6:$BE$10)))))))</f>
        <v/>
      </c>
      <c r="S293" s="145">
        <f>IF(H293="",0,(IF(テーブル2[[#This Row],[性別]]="男",LOOKUP(テーブル2[[#This Row],[握力]],$AI$6:$AJ$15),LOOKUP(テーブル2[[#This Row],[握力]],$AI$20:$AJ$29))))</f>
        <v>0</v>
      </c>
      <c r="T293" s="145">
        <f>IF(テーブル2[[#This Row],[上体]]="",0,(IF(テーブル2[[#This Row],[性別]]="男",LOOKUP(テーブル2[[#This Row],[上体]],$AK$6:$AL$15),LOOKUP(テーブル2[[#This Row],[上体]],$AK$20:$AL$29))))</f>
        <v>0</v>
      </c>
      <c r="U293" s="145">
        <f>IF(テーブル2[[#This Row],[長座]]="",0,(IF(テーブル2[[#This Row],[性別]]="男",LOOKUP(テーブル2[[#This Row],[長座]],$AM$6:$AN$15),LOOKUP(テーブル2[[#This Row],[長座]],$AM$20:$AN$29))))</f>
        <v>0</v>
      </c>
      <c r="V293" s="145">
        <f>IF(テーブル2[[#This Row],[反復]]="",0,(IF(テーブル2[[#This Row],[性別]]="男",LOOKUP(テーブル2[[#This Row],[反復]],$AO$6:$AP$15),LOOKUP(テーブル2[[#This Row],[反復]],$AO$20:$AP$29))))</f>
        <v>0</v>
      </c>
      <c r="W293" s="145">
        <f>IF(テーブル2[[#This Row],[持久走]]="",0,(IF(テーブル2[[#This Row],[性別]]="男",LOOKUP(テーブル2[[#This Row],[持久走]],$AQ$6:$AR$15),LOOKUP(テーブル2[[#This Row],[持久走]],$AQ$20:$AR$29))))</f>
        <v>0</v>
      </c>
      <c r="X293" s="145">
        <f>IF(テーブル2[[#This Row],[ｼｬﾄﾙﾗﾝ]]="",0,(IF(テーブル2[[#This Row],[性別]]="男",LOOKUP(テーブル2[[#This Row],[ｼｬﾄﾙﾗﾝ]],$AS$6:$AT$15),LOOKUP(テーブル2[[#This Row],[ｼｬﾄﾙﾗﾝ]],$AS$20:$AT$29))))</f>
        <v>0</v>
      </c>
      <c r="Y293" s="145">
        <f>IF(テーブル2[[#This Row],[50m走]]="",0,(IF(テーブル2[[#This Row],[性別]]="男",LOOKUP(テーブル2[[#This Row],[50m走]],$AU$6:$AV$15),LOOKUP(テーブル2[[#This Row],[50m走]],$AU$20:$AV$29))))</f>
        <v>0</v>
      </c>
      <c r="Z293" s="145">
        <f>IF(テーブル2[[#This Row],[立幅とび]]="",0,(IF(テーブル2[[#This Row],[性別]]="男",LOOKUP(テーブル2[[#This Row],[立幅とび]],$AW$6:$AX$15),LOOKUP(テーブル2[[#This Row],[立幅とび]],$AW$20:$AX$29))))</f>
        <v>0</v>
      </c>
      <c r="AA293" s="145">
        <f>IF(テーブル2[[#This Row],[ボール投げ]]="",0,(IF(テーブル2[[#This Row],[性別]]="男",LOOKUP(テーブル2[[#This Row],[ボール投げ]],$AY$6:$AZ$15),LOOKUP(テーブル2[[#This Row],[ボール投げ]],$AY$20:$AZ$29))))</f>
        <v>0</v>
      </c>
      <c r="AB293" s="146" t="str">
        <f>IF(テーブル2[[#This Row],[学年]]=1,12,IF(テーブル2[[#This Row],[学年]]=2,13,IF(テーブル2[[#This Row],[学年]]=3,14,"")))</f>
        <v/>
      </c>
      <c r="AC293" s="192" t="str">
        <f>IF(テーブル2[[#This Row],[肥満度数値]]=0,"",LOOKUP(AE293,$AW$39:$AW$44,$AX$39:$AX$44))</f>
        <v/>
      </c>
      <c r="AD29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3" s="77">
        <f>IF(テーブル2[[#This Row],[体重]]="",0,(テーブル2[[#This Row],[体重]]-テーブル2[[#This Row],[標準体重]])/テーブル2[[#This Row],[標準体重]]*100)</f>
        <v>0</v>
      </c>
      <c r="AF293" s="26">
        <f>COUNTA(テーブル2[[#This Row],[握力]:[ボール投げ]])</f>
        <v>0</v>
      </c>
      <c r="AG293" s="1" t="str">
        <f>IF(テーブル2[[#This Row],[判定]]=$BE$10,"○","")</f>
        <v/>
      </c>
      <c r="AH293" s="1" t="str">
        <f>IF(AG293="","",COUNTIF($AG$6:AG293,"○"))</f>
        <v/>
      </c>
    </row>
    <row r="294" spans="1:34" ht="14.25" customHeight="1" x14ac:dyDescent="0.15">
      <c r="A294" s="44">
        <v>289</v>
      </c>
      <c r="B294" s="148"/>
      <c r="C294" s="151"/>
      <c r="D294" s="148"/>
      <c r="E294" s="152"/>
      <c r="F294" s="148"/>
      <c r="G294" s="148"/>
      <c r="H294" s="150"/>
      <c r="I294" s="150"/>
      <c r="J294" s="151"/>
      <c r="K294" s="148"/>
      <c r="L294" s="196"/>
      <c r="M294" s="151"/>
      <c r="N294" s="197"/>
      <c r="O294" s="151"/>
      <c r="P294" s="153"/>
      <c r="Q29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4" s="144" t="str">
        <f>IF(テーブル2[[#This Row],[得点]]=0,"",IF(テーブル2[[#This Row],[年齢]]=17,LOOKUP(Q294,$BH$6:$BH$10,$BE$6:$BE$10),IF(テーブル2[[#This Row],[年齢]]=16,LOOKUP(Q294,$BG$6:$BG$10,$BE$6:$BE$10),IF(テーブル2[[#This Row],[年齢]]=15,LOOKUP(Q294,$BF$6:$BF$10,$BE$6:$BE$10),IF(テーブル2[[#This Row],[年齢]]=14,LOOKUP(Q294,$BD$6:$BD$10,$BE$6:$BE$10),IF(テーブル2[[#This Row],[年齢]]=13,LOOKUP(Q294,$BC$6:$BC$10,$BE$6:$BE$10),LOOKUP(Q294,$BB$6:$BB$10,$BE$6:$BE$10)))))))</f>
        <v/>
      </c>
      <c r="S294" s="145">
        <f>IF(H294="",0,(IF(テーブル2[[#This Row],[性別]]="男",LOOKUP(テーブル2[[#This Row],[握力]],$AI$6:$AJ$15),LOOKUP(テーブル2[[#This Row],[握力]],$AI$20:$AJ$29))))</f>
        <v>0</v>
      </c>
      <c r="T294" s="145">
        <f>IF(テーブル2[[#This Row],[上体]]="",0,(IF(テーブル2[[#This Row],[性別]]="男",LOOKUP(テーブル2[[#This Row],[上体]],$AK$6:$AL$15),LOOKUP(テーブル2[[#This Row],[上体]],$AK$20:$AL$29))))</f>
        <v>0</v>
      </c>
      <c r="U294" s="145">
        <f>IF(テーブル2[[#This Row],[長座]]="",0,(IF(テーブル2[[#This Row],[性別]]="男",LOOKUP(テーブル2[[#This Row],[長座]],$AM$6:$AN$15),LOOKUP(テーブル2[[#This Row],[長座]],$AM$20:$AN$29))))</f>
        <v>0</v>
      </c>
      <c r="V294" s="145">
        <f>IF(テーブル2[[#This Row],[反復]]="",0,(IF(テーブル2[[#This Row],[性別]]="男",LOOKUP(テーブル2[[#This Row],[反復]],$AO$6:$AP$15),LOOKUP(テーブル2[[#This Row],[反復]],$AO$20:$AP$29))))</f>
        <v>0</v>
      </c>
      <c r="W294" s="145">
        <f>IF(テーブル2[[#This Row],[持久走]]="",0,(IF(テーブル2[[#This Row],[性別]]="男",LOOKUP(テーブル2[[#This Row],[持久走]],$AQ$6:$AR$15),LOOKUP(テーブル2[[#This Row],[持久走]],$AQ$20:$AR$29))))</f>
        <v>0</v>
      </c>
      <c r="X294" s="145">
        <f>IF(テーブル2[[#This Row],[ｼｬﾄﾙﾗﾝ]]="",0,(IF(テーブル2[[#This Row],[性別]]="男",LOOKUP(テーブル2[[#This Row],[ｼｬﾄﾙﾗﾝ]],$AS$6:$AT$15),LOOKUP(テーブル2[[#This Row],[ｼｬﾄﾙﾗﾝ]],$AS$20:$AT$29))))</f>
        <v>0</v>
      </c>
      <c r="Y294" s="145">
        <f>IF(テーブル2[[#This Row],[50m走]]="",0,(IF(テーブル2[[#This Row],[性別]]="男",LOOKUP(テーブル2[[#This Row],[50m走]],$AU$6:$AV$15),LOOKUP(テーブル2[[#This Row],[50m走]],$AU$20:$AV$29))))</f>
        <v>0</v>
      </c>
      <c r="Z294" s="145">
        <f>IF(テーブル2[[#This Row],[立幅とび]]="",0,(IF(テーブル2[[#This Row],[性別]]="男",LOOKUP(テーブル2[[#This Row],[立幅とび]],$AW$6:$AX$15),LOOKUP(テーブル2[[#This Row],[立幅とび]],$AW$20:$AX$29))))</f>
        <v>0</v>
      </c>
      <c r="AA294" s="145">
        <f>IF(テーブル2[[#This Row],[ボール投げ]]="",0,(IF(テーブル2[[#This Row],[性別]]="男",LOOKUP(テーブル2[[#This Row],[ボール投げ]],$AY$6:$AZ$15),LOOKUP(テーブル2[[#This Row],[ボール投げ]],$AY$20:$AZ$29))))</f>
        <v>0</v>
      </c>
      <c r="AB294" s="146" t="str">
        <f>IF(テーブル2[[#This Row],[学年]]=1,12,IF(テーブル2[[#This Row],[学年]]=2,13,IF(テーブル2[[#This Row],[学年]]=3,14,"")))</f>
        <v/>
      </c>
      <c r="AC294" s="192" t="str">
        <f>IF(テーブル2[[#This Row],[肥満度数値]]=0,"",LOOKUP(AE294,$AW$39:$AW$44,$AX$39:$AX$44))</f>
        <v/>
      </c>
      <c r="AD29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4" s="77">
        <f>IF(テーブル2[[#This Row],[体重]]="",0,(テーブル2[[#This Row],[体重]]-テーブル2[[#This Row],[標準体重]])/テーブル2[[#This Row],[標準体重]]*100)</f>
        <v>0</v>
      </c>
      <c r="AF294" s="26">
        <f>COUNTA(テーブル2[[#This Row],[握力]:[ボール投げ]])</f>
        <v>0</v>
      </c>
      <c r="AG294" s="1" t="str">
        <f>IF(テーブル2[[#This Row],[判定]]=$BE$10,"○","")</f>
        <v/>
      </c>
      <c r="AH294" s="1" t="str">
        <f>IF(AG294="","",COUNTIF($AG$6:AG294,"○"))</f>
        <v/>
      </c>
    </row>
    <row r="295" spans="1:34" ht="14.25" customHeight="1" x14ac:dyDescent="0.15">
      <c r="A295" s="44">
        <v>290</v>
      </c>
      <c r="B295" s="148"/>
      <c r="C295" s="151"/>
      <c r="D295" s="148"/>
      <c r="E295" s="152"/>
      <c r="F295" s="148"/>
      <c r="G295" s="148"/>
      <c r="H295" s="150"/>
      <c r="I295" s="150"/>
      <c r="J295" s="151"/>
      <c r="K295" s="148"/>
      <c r="L295" s="196"/>
      <c r="M295" s="151"/>
      <c r="N295" s="197"/>
      <c r="O295" s="151"/>
      <c r="P295" s="153"/>
      <c r="Q29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5" s="144" t="str">
        <f>IF(テーブル2[[#This Row],[得点]]=0,"",IF(テーブル2[[#This Row],[年齢]]=17,LOOKUP(Q295,$BH$6:$BH$10,$BE$6:$BE$10),IF(テーブル2[[#This Row],[年齢]]=16,LOOKUP(Q295,$BG$6:$BG$10,$BE$6:$BE$10),IF(テーブル2[[#This Row],[年齢]]=15,LOOKUP(Q295,$BF$6:$BF$10,$BE$6:$BE$10),IF(テーブル2[[#This Row],[年齢]]=14,LOOKUP(Q295,$BD$6:$BD$10,$BE$6:$BE$10),IF(テーブル2[[#This Row],[年齢]]=13,LOOKUP(Q295,$BC$6:$BC$10,$BE$6:$BE$10),LOOKUP(Q295,$BB$6:$BB$10,$BE$6:$BE$10)))))))</f>
        <v/>
      </c>
      <c r="S295" s="145">
        <f>IF(H295="",0,(IF(テーブル2[[#This Row],[性別]]="男",LOOKUP(テーブル2[[#This Row],[握力]],$AI$6:$AJ$15),LOOKUP(テーブル2[[#This Row],[握力]],$AI$20:$AJ$29))))</f>
        <v>0</v>
      </c>
      <c r="T295" s="145">
        <f>IF(テーブル2[[#This Row],[上体]]="",0,(IF(テーブル2[[#This Row],[性別]]="男",LOOKUP(テーブル2[[#This Row],[上体]],$AK$6:$AL$15),LOOKUP(テーブル2[[#This Row],[上体]],$AK$20:$AL$29))))</f>
        <v>0</v>
      </c>
      <c r="U295" s="145">
        <f>IF(テーブル2[[#This Row],[長座]]="",0,(IF(テーブル2[[#This Row],[性別]]="男",LOOKUP(テーブル2[[#This Row],[長座]],$AM$6:$AN$15),LOOKUP(テーブル2[[#This Row],[長座]],$AM$20:$AN$29))))</f>
        <v>0</v>
      </c>
      <c r="V295" s="145">
        <f>IF(テーブル2[[#This Row],[反復]]="",0,(IF(テーブル2[[#This Row],[性別]]="男",LOOKUP(テーブル2[[#This Row],[反復]],$AO$6:$AP$15),LOOKUP(テーブル2[[#This Row],[反復]],$AO$20:$AP$29))))</f>
        <v>0</v>
      </c>
      <c r="W295" s="145">
        <f>IF(テーブル2[[#This Row],[持久走]]="",0,(IF(テーブル2[[#This Row],[性別]]="男",LOOKUP(テーブル2[[#This Row],[持久走]],$AQ$6:$AR$15),LOOKUP(テーブル2[[#This Row],[持久走]],$AQ$20:$AR$29))))</f>
        <v>0</v>
      </c>
      <c r="X295" s="145">
        <f>IF(テーブル2[[#This Row],[ｼｬﾄﾙﾗﾝ]]="",0,(IF(テーブル2[[#This Row],[性別]]="男",LOOKUP(テーブル2[[#This Row],[ｼｬﾄﾙﾗﾝ]],$AS$6:$AT$15),LOOKUP(テーブル2[[#This Row],[ｼｬﾄﾙﾗﾝ]],$AS$20:$AT$29))))</f>
        <v>0</v>
      </c>
      <c r="Y295" s="145">
        <f>IF(テーブル2[[#This Row],[50m走]]="",0,(IF(テーブル2[[#This Row],[性別]]="男",LOOKUP(テーブル2[[#This Row],[50m走]],$AU$6:$AV$15),LOOKUP(テーブル2[[#This Row],[50m走]],$AU$20:$AV$29))))</f>
        <v>0</v>
      </c>
      <c r="Z295" s="145">
        <f>IF(テーブル2[[#This Row],[立幅とび]]="",0,(IF(テーブル2[[#This Row],[性別]]="男",LOOKUP(テーブル2[[#This Row],[立幅とび]],$AW$6:$AX$15),LOOKUP(テーブル2[[#This Row],[立幅とび]],$AW$20:$AX$29))))</f>
        <v>0</v>
      </c>
      <c r="AA295" s="145">
        <f>IF(テーブル2[[#This Row],[ボール投げ]]="",0,(IF(テーブル2[[#This Row],[性別]]="男",LOOKUP(テーブル2[[#This Row],[ボール投げ]],$AY$6:$AZ$15),LOOKUP(テーブル2[[#This Row],[ボール投げ]],$AY$20:$AZ$29))))</f>
        <v>0</v>
      </c>
      <c r="AB295" s="146" t="str">
        <f>IF(テーブル2[[#This Row],[学年]]=1,12,IF(テーブル2[[#This Row],[学年]]=2,13,IF(テーブル2[[#This Row],[学年]]=3,14,"")))</f>
        <v/>
      </c>
      <c r="AC295" s="192" t="str">
        <f>IF(テーブル2[[#This Row],[肥満度数値]]=0,"",LOOKUP(AE295,$AW$39:$AW$44,$AX$39:$AX$44))</f>
        <v/>
      </c>
      <c r="AD29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5" s="77">
        <f>IF(テーブル2[[#This Row],[体重]]="",0,(テーブル2[[#This Row],[体重]]-テーブル2[[#This Row],[標準体重]])/テーブル2[[#This Row],[標準体重]]*100)</f>
        <v>0</v>
      </c>
      <c r="AF295" s="26">
        <f>COUNTA(テーブル2[[#This Row],[握力]:[ボール投げ]])</f>
        <v>0</v>
      </c>
      <c r="AG295" s="1" t="str">
        <f>IF(テーブル2[[#This Row],[判定]]=$BE$10,"○","")</f>
        <v/>
      </c>
      <c r="AH295" s="1" t="str">
        <f>IF(AG295="","",COUNTIF($AG$6:AG295,"○"))</f>
        <v/>
      </c>
    </row>
    <row r="296" spans="1:34" ht="14.25" customHeight="1" x14ac:dyDescent="0.15">
      <c r="A296" s="44">
        <v>291</v>
      </c>
      <c r="B296" s="148"/>
      <c r="C296" s="151"/>
      <c r="D296" s="148"/>
      <c r="E296" s="152"/>
      <c r="F296" s="148"/>
      <c r="G296" s="148"/>
      <c r="H296" s="150"/>
      <c r="I296" s="150"/>
      <c r="J296" s="151"/>
      <c r="K296" s="148"/>
      <c r="L296" s="196"/>
      <c r="M296" s="151"/>
      <c r="N296" s="197"/>
      <c r="O296" s="151"/>
      <c r="P296" s="153"/>
      <c r="Q29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6" s="144" t="str">
        <f>IF(テーブル2[[#This Row],[得点]]=0,"",IF(テーブル2[[#This Row],[年齢]]=17,LOOKUP(Q296,$BH$6:$BH$10,$BE$6:$BE$10),IF(テーブル2[[#This Row],[年齢]]=16,LOOKUP(Q296,$BG$6:$BG$10,$BE$6:$BE$10),IF(テーブル2[[#This Row],[年齢]]=15,LOOKUP(Q296,$BF$6:$BF$10,$BE$6:$BE$10),IF(テーブル2[[#This Row],[年齢]]=14,LOOKUP(Q296,$BD$6:$BD$10,$BE$6:$BE$10),IF(テーブル2[[#This Row],[年齢]]=13,LOOKUP(Q296,$BC$6:$BC$10,$BE$6:$BE$10),LOOKUP(Q296,$BB$6:$BB$10,$BE$6:$BE$10)))))))</f>
        <v/>
      </c>
      <c r="S296" s="145">
        <f>IF(H296="",0,(IF(テーブル2[[#This Row],[性別]]="男",LOOKUP(テーブル2[[#This Row],[握力]],$AI$6:$AJ$15),LOOKUP(テーブル2[[#This Row],[握力]],$AI$20:$AJ$29))))</f>
        <v>0</v>
      </c>
      <c r="T296" s="145">
        <f>IF(テーブル2[[#This Row],[上体]]="",0,(IF(テーブル2[[#This Row],[性別]]="男",LOOKUP(テーブル2[[#This Row],[上体]],$AK$6:$AL$15),LOOKUP(テーブル2[[#This Row],[上体]],$AK$20:$AL$29))))</f>
        <v>0</v>
      </c>
      <c r="U296" s="145">
        <f>IF(テーブル2[[#This Row],[長座]]="",0,(IF(テーブル2[[#This Row],[性別]]="男",LOOKUP(テーブル2[[#This Row],[長座]],$AM$6:$AN$15),LOOKUP(テーブル2[[#This Row],[長座]],$AM$20:$AN$29))))</f>
        <v>0</v>
      </c>
      <c r="V296" s="145">
        <f>IF(テーブル2[[#This Row],[反復]]="",0,(IF(テーブル2[[#This Row],[性別]]="男",LOOKUP(テーブル2[[#This Row],[反復]],$AO$6:$AP$15),LOOKUP(テーブル2[[#This Row],[反復]],$AO$20:$AP$29))))</f>
        <v>0</v>
      </c>
      <c r="W296" s="145">
        <f>IF(テーブル2[[#This Row],[持久走]]="",0,(IF(テーブル2[[#This Row],[性別]]="男",LOOKUP(テーブル2[[#This Row],[持久走]],$AQ$6:$AR$15),LOOKUP(テーブル2[[#This Row],[持久走]],$AQ$20:$AR$29))))</f>
        <v>0</v>
      </c>
      <c r="X296" s="145">
        <f>IF(テーブル2[[#This Row],[ｼｬﾄﾙﾗﾝ]]="",0,(IF(テーブル2[[#This Row],[性別]]="男",LOOKUP(テーブル2[[#This Row],[ｼｬﾄﾙﾗﾝ]],$AS$6:$AT$15),LOOKUP(テーブル2[[#This Row],[ｼｬﾄﾙﾗﾝ]],$AS$20:$AT$29))))</f>
        <v>0</v>
      </c>
      <c r="Y296" s="145">
        <f>IF(テーブル2[[#This Row],[50m走]]="",0,(IF(テーブル2[[#This Row],[性別]]="男",LOOKUP(テーブル2[[#This Row],[50m走]],$AU$6:$AV$15),LOOKUP(テーブル2[[#This Row],[50m走]],$AU$20:$AV$29))))</f>
        <v>0</v>
      </c>
      <c r="Z296" s="145">
        <f>IF(テーブル2[[#This Row],[立幅とび]]="",0,(IF(テーブル2[[#This Row],[性別]]="男",LOOKUP(テーブル2[[#This Row],[立幅とび]],$AW$6:$AX$15),LOOKUP(テーブル2[[#This Row],[立幅とび]],$AW$20:$AX$29))))</f>
        <v>0</v>
      </c>
      <c r="AA296" s="145">
        <f>IF(テーブル2[[#This Row],[ボール投げ]]="",0,(IF(テーブル2[[#This Row],[性別]]="男",LOOKUP(テーブル2[[#This Row],[ボール投げ]],$AY$6:$AZ$15),LOOKUP(テーブル2[[#This Row],[ボール投げ]],$AY$20:$AZ$29))))</f>
        <v>0</v>
      </c>
      <c r="AB296" s="146" t="str">
        <f>IF(テーブル2[[#This Row],[学年]]=1,12,IF(テーブル2[[#This Row],[学年]]=2,13,IF(テーブル2[[#This Row],[学年]]=3,14,"")))</f>
        <v/>
      </c>
      <c r="AC296" s="192" t="str">
        <f>IF(テーブル2[[#This Row],[肥満度数値]]=0,"",LOOKUP(AE296,$AW$39:$AW$44,$AX$39:$AX$44))</f>
        <v/>
      </c>
      <c r="AD29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6" s="77">
        <f>IF(テーブル2[[#This Row],[体重]]="",0,(テーブル2[[#This Row],[体重]]-テーブル2[[#This Row],[標準体重]])/テーブル2[[#This Row],[標準体重]]*100)</f>
        <v>0</v>
      </c>
      <c r="AF296" s="26">
        <f>COUNTA(テーブル2[[#This Row],[握力]:[ボール投げ]])</f>
        <v>0</v>
      </c>
      <c r="AG296" s="1" t="str">
        <f>IF(テーブル2[[#This Row],[判定]]=$BE$10,"○","")</f>
        <v/>
      </c>
      <c r="AH296" s="1" t="str">
        <f>IF(AG296="","",COUNTIF($AG$6:AG296,"○"))</f>
        <v/>
      </c>
    </row>
    <row r="297" spans="1:34" ht="14.25" customHeight="1" x14ac:dyDescent="0.15">
      <c r="A297" s="44">
        <v>292</v>
      </c>
      <c r="B297" s="148"/>
      <c r="C297" s="151"/>
      <c r="D297" s="148"/>
      <c r="E297" s="152"/>
      <c r="F297" s="148"/>
      <c r="G297" s="148"/>
      <c r="H297" s="150"/>
      <c r="I297" s="150"/>
      <c r="J297" s="151"/>
      <c r="K297" s="148"/>
      <c r="L297" s="196"/>
      <c r="M297" s="151"/>
      <c r="N297" s="197"/>
      <c r="O297" s="151"/>
      <c r="P297" s="153"/>
      <c r="Q29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7" s="144" t="str">
        <f>IF(テーブル2[[#This Row],[得点]]=0,"",IF(テーブル2[[#This Row],[年齢]]=17,LOOKUP(Q297,$BH$6:$BH$10,$BE$6:$BE$10),IF(テーブル2[[#This Row],[年齢]]=16,LOOKUP(Q297,$BG$6:$BG$10,$BE$6:$BE$10),IF(テーブル2[[#This Row],[年齢]]=15,LOOKUP(Q297,$BF$6:$BF$10,$BE$6:$BE$10),IF(テーブル2[[#This Row],[年齢]]=14,LOOKUP(Q297,$BD$6:$BD$10,$BE$6:$BE$10),IF(テーブル2[[#This Row],[年齢]]=13,LOOKUP(Q297,$BC$6:$BC$10,$BE$6:$BE$10),LOOKUP(Q297,$BB$6:$BB$10,$BE$6:$BE$10)))))))</f>
        <v/>
      </c>
      <c r="S297" s="145">
        <f>IF(H297="",0,(IF(テーブル2[[#This Row],[性別]]="男",LOOKUP(テーブル2[[#This Row],[握力]],$AI$6:$AJ$15),LOOKUP(テーブル2[[#This Row],[握力]],$AI$20:$AJ$29))))</f>
        <v>0</v>
      </c>
      <c r="T297" s="145">
        <f>IF(テーブル2[[#This Row],[上体]]="",0,(IF(テーブル2[[#This Row],[性別]]="男",LOOKUP(テーブル2[[#This Row],[上体]],$AK$6:$AL$15),LOOKUP(テーブル2[[#This Row],[上体]],$AK$20:$AL$29))))</f>
        <v>0</v>
      </c>
      <c r="U297" s="145">
        <f>IF(テーブル2[[#This Row],[長座]]="",0,(IF(テーブル2[[#This Row],[性別]]="男",LOOKUP(テーブル2[[#This Row],[長座]],$AM$6:$AN$15),LOOKUP(テーブル2[[#This Row],[長座]],$AM$20:$AN$29))))</f>
        <v>0</v>
      </c>
      <c r="V297" s="145">
        <f>IF(テーブル2[[#This Row],[反復]]="",0,(IF(テーブル2[[#This Row],[性別]]="男",LOOKUP(テーブル2[[#This Row],[反復]],$AO$6:$AP$15),LOOKUP(テーブル2[[#This Row],[反復]],$AO$20:$AP$29))))</f>
        <v>0</v>
      </c>
      <c r="W297" s="145">
        <f>IF(テーブル2[[#This Row],[持久走]]="",0,(IF(テーブル2[[#This Row],[性別]]="男",LOOKUP(テーブル2[[#This Row],[持久走]],$AQ$6:$AR$15),LOOKUP(テーブル2[[#This Row],[持久走]],$AQ$20:$AR$29))))</f>
        <v>0</v>
      </c>
      <c r="X297" s="145">
        <f>IF(テーブル2[[#This Row],[ｼｬﾄﾙﾗﾝ]]="",0,(IF(テーブル2[[#This Row],[性別]]="男",LOOKUP(テーブル2[[#This Row],[ｼｬﾄﾙﾗﾝ]],$AS$6:$AT$15),LOOKUP(テーブル2[[#This Row],[ｼｬﾄﾙﾗﾝ]],$AS$20:$AT$29))))</f>
        <v>0</v>
      </c>
      <c r="Y297" s="145">
        <f>IF(テーブル2[[#This Row],[50m走]]="",0,(IF(テーブル2[[#This Row],[性別]]="男",LOOKUP(テーブル2[[#This Row],[50m走]],$AU$6:$AV$15),LOOKUP(テーブル2[[#This Row],[50m走]],$AU$20:$AV$29))))</f>
        <v>0</v>
      </c>
      <c r="Z297" s="145">
        <f>IF(テーブル2[[#This Row],[立幅とび]]="",0,(IF(テーブル2[[#This Row],[性別]]="男",LOOKUP(テーブル2[[#This Row],[立幅とび]],$AW$6:$AX$15),LOOKUP(テーブル2[[#This Row],[立幅とび]],$AW$20:$AX$29))))</f>
        <v>0</v>
      </c>
      <c r="AA297" s="145">
        <f>IF(テーブル2[[#This Row],[ボール投げ]]="",0,(IF(テーブル2[[#This Row],[性別]]="男",LOOKUP(テーブル2[[#This Row],[ボール投げ]],$AY$6:$AZ$15),LOOKUP(テーブル2[[#This Row],[ボール投げ]],$AY$20:$AZ$29))))</f>
        <v>0</v>
      </c>
      <c r="AB297" s="146" t="str">
        <f>IF(テーブル2[[#This Row],[学年]]=1,12,IF(テーブル2[[#This Row],[学年]]=2,13,IF(テーブル2[[#This Row],[学年]]=3,14,"")))</f>
        <v/>
      </c>
      <c r="AC297" s="192" t="str">
        <f>IF(テーブル2[[#This Row],[肥満度数値]]=0,"",LOOKUP(AE297,$AW$39:$AW$44,$AX$39:$AX$44))</f>
        <v/>
      </c>
      <c r="AD29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7" s="77">
        <f>IF(テーブル2[[#This Row],[体重]]="",0,(テーブル2[[#This Row],[体重]]-テーブル2[[#This Row],[標準体重]])/テーブル2[[#This Row],[標準体重]]*100)</f>
        <v>0</v>
      </c>
      <c r="AF297" s="26">
        <f>COUNTA(テーブル2[[#This Row],[握力]:[ボール投げ]])</f>
        <v>0</v>
      </c>
      <c r="AG297" s="1" t="str">
        <f>IF(テーブル2[[#This Row],[判定]]=$BE$10,"○","")</f>
        <v/>
      </c>
      <c r="AH297" s="1" t="str">
        <f>IF(AG297="","",COUNTIF($AG$6:AG297,"○"))</f>
        <v/>
      </c>
    </row>
    <row r="298" spans="1:34" ht="14.25" customHeight="1" x14ac:dyDescent="0.15">
      <c r="A298" s="44">
        <v>293</v>
      </c>
      <c r="B298" s="148"/>
      <c r="C298" s="151"/>
      <c r="D298" s="148"/>
      <c r="E298" s="152"/>
      <c r="F298" s="148"/>
      <c r="G298" s="148"/>
      <c r="H298" s="150"/>
      <c r="I298" s="150"/>
      <c r="J298" s="151"/>
      <c r="K298" s="148"/>
      <c r="L298" s="196"/>
      <c r="M298" s="151"/>
      <c r="N298" s="197"/>
      <c r="O298" s="151"/>
      <c r="P298" s="153"/>
      <c r="Q29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8" s="144" t="str">
        <f>IF(テーブル2[[#This Row],[得点]]=0,"",IF(テーブル2[[#This Row],[年齢]]=17,LOOKUP(Q298,$BH$6:$BH$10,$BE$6:$BE$10),IF(テーブル2[[#This Row],[年齢]]=16,LOOKUP(Q298,$BG$6:$BG$10,$BE$6:$BE$10),IF(テーブル2[[#This Row],[年齢]]=15,LOOKUP(Q298,$BF$6:$BF$10,$BE$6:$BE$10),IF(テーブル2[[#This Row],[年齢]]=14,LOOKUP(Q298,$BD$6:$BD$10,$BE$6:$BE$10),IF(テーブル2[[#This Row],[年齢]]=13,LOOKUP(Q298,$BC$6:$BC$10,$BE$6:$BE$10),LOOKUP(Q298,$BB$6:$BB$10,$BE$6:$BE$10)))))))</f>
        <v/>
      </c>
      <c r="S298" s="145">
        <f>IF(H298="",0,(IF(テーブル2[[#This Row],[性別]]="男",LOOKUP(テーブル2[[#This Row],[握力]],$AI$6:$AJ$15),LOOKUP(テーブル2[[#This Row],[握力]],$AI$20:$AJ$29))))</f>
        <v>0</v>
      </c>
      <c r="T298" s="145">
        <f>IF(テーブル2[[#This Row],[上体]]="",0,(IF(テーブル2[[#This Row],[性別]]="男",LOOKUP(テーブル2[[#This Row],[上体]],$AK$6:$AL$15),LOOKUP(テーブル2[[#This Row],[上体]],$AK$20:$AL$29))))</f>
        <v>0</v>
      </c>
      <c r="U298" s="145">
        <f>IF(テーブル2[[#This Row],[長座]]="",0,(IF(テーブル2[[#This Row],[性別]]="男",LOOKUP(テーブル2[[#This Row],[長座]],$AM$6:$AN$15),LOOKUP(テーブル2[[#This Row],[長座]],$AM$20:$AN$29))))</f>
        <v>0</v>
      </c>
      <c r="V298" s="145">
        <f>IF(テーブル2[[#This Row],[反復]]="",0,(IF(テーブル2[[#This Row],[性別]]="男",LOOKUP(テーブル2[[#This Row],[反復]],$AO$6:$AP$15),LOOKUP(テーブル2[[#This Row],[反復]],$AO$20:$AP$29))))</f>
        <v>0</v>
      </c>
      <c r="W298" s="145">
        <f>IF(テーブル2[[#This Row],[持久走]]="",0,(IF(テーブル2[[#This Row],[性別]]="男",LOOKUP(テーブル2[[#This Row],[持久走]],$AQ$6:$AR$15),LOOKUP(テーブル2[[#This Row],[持久走]],$AQ$20:$AR$29))))</f>
        <v>0</v>
      </c>
      <c r="X298" s="145">
        <f>IF(テーブル2[[#This Row],[ｼｬﾄﾙﾗﾝ]]="",0,(IF(テーブル2[[#This Row],[性別]]="男",LOOKUP(テーブル2[[#This Row],[ｼｬﾄﾙﾗﾝ]],$AS$6:$AT$15),LOOKUP(テーブル2[[#This Row],[ｼｬﾄﾙﾗﾝ]],$AS$20:$AT$29))))</f>
        <v>0</v>
      </c>
      <c r="Y298" s="145">
        <f>IF(テーブル2[[#This Row],[50m走]]="",0,(IF(テーブル2[[#This Row],[性別]]="男",LOOKUP(テーブル2[[#This Row],[50m走]],$AU$6:$AV$15),LOOKUP(テーブル2[[#This Row],[50m走]],$AU$20:$AV$29))))</f>
        <v>0</v>
      </c>
      <c r="Z298" s="145">
        <f>IF(テーブル2[[#This Row],[立幅とび]]="",0,(IF(テーブル2[[#This Row],[性別]]="男",LOOKUP(テーブル2[[#This Row],[立幅とび]],$AW$6:$AX$15),LOOKUP(テーブル2[[#This Row],[立幅とび]],$AW$20:$AX$29))))</f>
        <v>0</v>
      </c>
      <c r="AA298" s="145">
        <f>IF(テーブル2[[#This Row],[ボール投げ]]="",0,(IF(テーブル2[[#This Row],[性別]]="男",LOOKUP(テーブル2[[#This Row],[ボール投げ]],$AY$6:$AZ$15),LOOKUP(テーブル2[[#This Row],[ボール投げ]],$AY$20:$AZ$29))))</f>
        <v>0</v>
      </c>
      <c r="AB298" s="146" t="str">
        <f>IF(テーブル2[[#This Row],[学年]]=1,12,IF(テーブル2[[#This Row],[学年]]=2,13,IF(テーブル2[[#This Row],[学年]]=3,14,"")))</f>
        <v/>
      </c>
      <c r="AC298" s="192" t="str">
        <f>IF(テーブル2[[#This Row],[肥満度数値]]=0,"",LOOKUP(AE298,$AW$39:$AW$44,$AX$39:$AX$44))</f>
        <v/>
      </c>
      <c r="AD29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8" s="77">
        <f>IF(テーブル2[[#This Row],[体重]]="",0,(テーブル2[[#This Row],[体重]]-テーブル2[[#This Row],[標準体重]])/テーブル2[[#This Row],[標準体重]]*100)</f>
        <v>0</v>
      </c>
      <c r="AF298" s="26">
        <f>COUNTA(テーブル2[[#This Row],[握力]:[ボール投げ]])</f>
        <v>0</v>
      </c>
      <c r="AG298" s="1" t="str">
        <f>IF(テーブル2[[#This Row],[判定]]=$BE$10,"○","")</f>
        <v/>
      </c>
      <c r="AH298" s="1" t="str">
        <f>IF(AG298="","",COUNTIF($AG$6:AG298,"○"))</f>
        <v/>
      </c>
    </row>
    <row r="299" spans="1:34" ht="14.25" customHeight="1" x14ac:dyDescent="0.15">
      <c r="A299" s="44">
        <v>294</v>
      </c>
      <c r="B299" s="148"/>
      <c r="C299" s="151"/>
      <c r="D299" s="148"/>
      <c r="E299" s="152"/>
      <c r="F299" s="148"/>
      <c r="G299" s="148"/>
      <c r="H299" s="150"/>
      <c r="I299" s="150"/>
      <c r="J299" s="151"/>
      <c r="K299" s="148"/>
      <c r="L299" s="196"/>
      <c r="M299" s="151"/>
      <c r="N299" s="197"/>
      <c r="O299" s="151"/>
      <c r="P299" s="153"/>
      <c r="Q29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9" s="144" t="str">
        <f>IF(テーブル2[[#This Row],[得点]]=0,"",IF(テーブル2[[#This Row],[年齢]]=17,LOOKUP(Q299,$BH$6:$BH$10,$BE$6:$BE$10),IF(テーブル2[[#This Row],[年齢]]=16,LOOKUP(Q299,$BG$6:$BG$10,$BE$6:$BE$10),IF(テーブル2[[#This Row],[年齢]]=15,LOOKUP(Q299,$BF$6:$BF$10,$BE$6:$BE$10),IF(テーブル2[[#This Row],[年齢]]=14,LOOKUP(Q299,$BD$6:$BD$10,$BE$6:$BE$10),IF(テーブル2[[#This Row],[年齢]]=13,LOOKUP(Q299,$BC$6:$BC$10,$BE$6:$BE$10),LOOKUP(Q299,$BB$6:$BB$10,$BE$6:$BE$10)))))))</f>
        <v/>
      </c>
      <c r="S299" s="145">
        <f>IF(H299="",0,(IF(テーブル2[[#This Row],[性別]]="男",LOOKUP(テーブル2[[#This Row],[握力]],$AI$6:$AJ$15),LOOKUP(テーブル2[[#This Row],[握力]],$AI$20:$AJ$29))))</f>
        <v>0</v>
      </c>
      <c r="T299" s="145">
        <f>IF(テーブル2[[#This Row],[上体]]="",0,(IF(テーブル2[[#This Row],[性別]]="男",LOOKUP(テーブル2[[#This Row],[上体]],$AK$6:$AL$15),LOOKUP(テーブル2[[#This Row],[上体]],$AK$20:$AL$29))))</f>
        <v>0</v>
      </c>
      <c r="U299" s="145">
        <f>IF(テーブル2[[#This Row],[長座]]="",0,(IF(テーブル2[[#This Row],[性別]]="男",LOOKUP(テーブル2[[#This Row],[長座]],$AM$6:$AN$15),LOOKUP(テーブル2[[#This Row],[長座]],$AM$20:$AN$29))))</f>
        <v>0</v>
      </c>
      <c r="V299" s="145">
        <f>IF(テーブル2[[#This Row],[反復]]="",0,(IF(テーブル2[[#This Row],[性別]]="男",LOOKUP(テーブル2[[#This Row],[反復]],$AO$6:$AP$15),LOOKUP(テーブル2[[#This Row],[反復]],$AO$20:$AP$29))))</f>
        <v>0</v>
      </c>
      <c r="W299" s="145">
        <f>IF(テーブル2[[#This Row],[持久走]]="",0,(IF(テーブル2[[#This Row],[性別]]="男",LOOKUP(テーブル2[[#This Row],[持久走]],$AQ$6:$AR$15),LOOKUP(テーブル2[[#This Row],[持久走]],$AQ$20:$AR$29))))</f>
        <v>0</v>
      </c>
      <c r="X299" s="145">
        <f>IF(テーブル2[[#This Row],[ｼｬﾄﾙﾗﾝ]]="",0,(IF(テーブル2[[#This Row],[性別]]="男",LOOKUP(テーブル2[[#This Row],[ｼｬﾄﾙﾗﾝ]],$AS$6:$AT$15),LOOKUP(テーブル2[[#This Row],[ｼｬﾄﾙﾗﾝ]],$AS$20:$AT$29))))</f>
        <v>0</v>
      </c>
      <c r="Y299" s="145">
        <f>IF(テーブル2[[#This Row],[50m走]]="",0,(IF(テーブル2[[#This Row],[性別]]="男",LOOKUP(テーブル2[[#This Row],[50m走]],$AU$6:$AV$15),LOOKUP(テーブル2[[#This Row],[50m走]],$AU$20:$AV$29))))</f>
        <v>0</v>
      </c>
      <c r="Z299" s="145">
        <f>IF(テーブル2[[#This Row],[立幅とび]]="",0,(IF(テーブル2[[#This Row],[性別]]="男",LOOKUP(テーブル2[[#This Row],[立幅とび]],$AW$6:$AX$15),LOOKUP(テーブル2[[#This Row],[立幅とび]],$AW$20:$AX$29))))</f>
        <v>0</v>
      </c>
      <c r="AA299" s="145">
        <f>IF(テーブル2[[#This Row],[ボール投げ]]="",0,(IF(テーブル2[[#This Row],[性別]]="男",LOOKUP(テーブル2[[#This Row],[ボール投げ]],$AY$6:$AZ$15),LOOKUP(テーブル2[[#This Row],[ボール投げ]],$AY$20:$AZ$29))))</f>
        <v>0</v>
      </c>
      <c r="AB299" s="146" t="str">
        <f>IF(テーブル2[[#This Row],[学年]]=1,12,IF(テーブル2[[#This Row],[学年]]=2,13,IF(テーブル2[[#This Row],[学年]]=3,14,"")))</f>
        <v/>
      </c>
      <c r="AC299" s="192" t="str">
        <f>IF(テーブル2[[#This Row],[肥満度数値]]=0,"",LOOKUP(AE299,$AW$39:$AW$44,$AX$39:$AX$44))</f>
        <v/>
      </c>
      <c r="AD29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299" s="77">
        <f>IF(テーブル2[[#This Row],[体重]]="",0,(テーブル2[[#This Row],[体重]]-テーブル2[[#This Row],[標準体重]])/テーブル2[[#This Row],[標準体重]]*100)</f>
        <v>0</v>
      </c>
      <c r="AF299" s="26">
        <f>COUNTA(テーブル2[[#This Row],[握力]:[ボール投げ]])</f>
        <v>0</v>
      </c>
      <c r="AG299" s="1" t="str">
        <f>IF(テーブル2[[#This Row],[判定]]=$BE$10,"○","")</f>
        <v/>
      </c>
      <c r="AH299" s="1" t="str">
        <f>IF(AG299="","",COUNTIF($AG$6:AG299,"○"))</f>
        <v/>
      </c>
    </row>
    <row r="300" spans="1:34" ht="14.25" customHeight="1" x14ac:dyDescent="0.15">
      <c r="A300" s="44">
        <v>295</v>
      </c>
      <c r="B300" s="148"/>
      <c r="C300" s="151"/>
      <c r="D300" s="148"/>
      <c r="E300" s="152"/>
      <c r="F300" s="148"/>
      <c r="G300" s="148"/>
      <c r="H300" s="150"/>
      <c r="I300" s="150"/>
      <c r="J300" s="151"/>
      <c r="K300" s="148"/>
      <c r="L300" s="196"/>
      <c r="M300" s="151"/>
      <c r="N300" s="197"/>
      <c r="O300" s="151"/>
      <c r="P300" s="153"/>
      <c r="Q30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0" s="144" t="str">
        <f>IF(テーブル2[[#This Row],[得点]]=0,"",IF(テーブル2[[#This Row],[年齢]]=17,LOOKUP(Q300,$BH$6:$BH$10,$BE$6:$BE$10),IF(テーブル2[[#This Row],[年齢]]=16,LOOKUP(Q300,$BG$6:$BG$10,$BE$6:$BE$10),IF(テーブル2[[#This Row],[年齢]]=15,LOOKUP(Q300,$BF$6:$BF$10,$BE$6:$BE$10),IF(テーブル2[[#This Row],[年齢]]=14,LOOKUP(Q300,$BD$6:$BD$10,$BE$6:$BE$10),IF(テーブル2[[#This Row],[年齢]]=13,LOOKUP(Q300,$BC$6:$BC$10,$BE$6:$BE$10),LOOKUP(Q300,$BB$6:$BB$10,$BE$6:$BE$10)))))))</f>
        <v/>
      </c>
      <c r="S300" s="145">
        <f>IF(H300="",0,(IF(テーブル2[[#This Row],[性別]]="男",LOOKUP(テーブル2[[#This Row],[握力]],$AI$6:$AJ$15),LOOKUP(テーブル2[[#This Row],[握力]],$AI$20:$AJ$29))))</f>
        <v>0</v>
      </c>
      <c r="T300" s="145">
        <f>IF(テーブル2[[#This Row],[上体]]="",0,(IF(テーブル2[[#This Row],[性別]]="男",LOOKUP(テーブル2[[#This Row],[上体]],$AK$6:$AL$15),LOOKUP(テーブル2[[#This Row],[上体]],$AK$20:$AL$29))))</f>
        <v>0</v>
      </c>
      <c r="U300" s="145">
        <f>IF(テーブル2[[#This Row],[長座]]="",0,(IF(テーブル2[[#This Row],[性別]]="男",LOOKUP(テーブル2[[#This Row],[長座]],$AM$6:$AN$15),LOOKUP(テーブル2[[#This Row],[長座]],$AM$20:$AN$29))))</f>
        <v>0</v>
      </c>
      <c r="V300" s="145">
        <f>IF(テーブル2[[#This Row],[反復]]="",0,(IF(テーブル2[[#This Row],[性別]]="男",LOOKUP(テーブル2[[#This Row],[反復]],$AO$6:$AP$15),LOOKUP(テーブル2[[#This Row],[反復]],$AO$20:$AP$29))))</f>
        <v>0</v>
      </c>
      <c r="W300" s="145">
        <f>IF(テーブル2[[#This Row],[持久走]]="",0,(IF(テーブル2[[#This Row],[性別]]="男",LOOKUP(テーブル2[[#This Row],[持久走]],$AQ$6:$AR$15),LOOKUP(テーブル2[[#This Row],[持久走]],$AQ$20:$AR$29))))</f>
        <v>0</v>
      </c>
      <c r="X300" s="145">
        <f>IF(テーブル2[[#This Row],[ｼｬﾄﾙﾗﾝ]]="",0,(IF(テーブル2[[#This Row],[性別]]="男",LOOKUP(テーブル2[[#This Row],[ｼｬﾄﾙﾗﾝ]],$AS$6:$AT$15),LOOKUP(テーブル2[[#This Row],[ｼｬﾄﾙﾗﾝ]],$AS$20:$AT$29))))</f>
        <v>0</v>
      </c>
      <c r="Y300" s="145">
        <f>IF(テーブル2[[#This Row],[50m走]]="",0,(IF(テーブル2[[#This Row],[性別]]="男",LOOKUP(テーブル2[[#This Row],[50m走]],$AU$6:$AV$15),LOOKUP(テーブル2[[#This Row],[50m走]],$AU$20:$AV$29))))</f>
        <v>0</v>
      </c>
      <c r="Z300" s="145">
        <f>IF(テーブル2[[#This Row],[立幅とび]]="",0,(IF(テーブル2[[#This Row],[性別]]="男",LOOKUP(テーブル2[[#This Row],[立幅とび]],$AW$6:$AX$15),LOOKUP(テーブル2[[#This Row],[立幅とび]],$AW$20:$AX$29))))</f>
        <v>0</v>
      </c>
      <c r="AA300" s="145">
        <f>IF(テーブル2[[#This Row],[ボール投げ]]="",0,(IF(テーブル2[[#This Row],[性別]]="男",LOOKUP(テーブル2[[#This Row],[ボール投げ]],$AY$6:$AZ$15),LOOKUP(テーブル2[[#This Row],[ボール投げ]],$AY$20:$AZ$29))))</f>
        <v>0</v>
      </c>
      <c r="AB300" s="146" t="str">
        <f>IF(テーブル2[[#This Row],[学年]]=1,12,IF(テーブル2[[#This Row],[学年]]=2,13,IF(テーブル2[[#This Row],[学年]]=3,14,"")))</f>
        <v/>
      </c>
      <c r="AC300" s="192" t="str">
        <f>IF(テーブル2[[#This Row],[肥満度数値]]=0,"",LOOKUP(AE300,$AW$39:$AW$44,$AX$39:$AX$44))</f>
        <v/>
      </c>
      <c r="AD30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0" s="77">
        <f>IF(テーブル2[[#This Row],[体重]]="",0,(テーブル2[[#This Row],[体重]]-テーブル2[[#This Row],[標準体重]])/テーブル2[[#This Row],[標準体重]]*100)</f>
        <v>0</v>
      </c>
      <c r="AF300" s="26">
        <f>COUNTA(テーブル2[[#This Row],[握力]:[ボール投げ]])</f>
        <v>0</v>
      </c>
      <c r="AG300" s="1" t="str">
        <f>IF(テーブル2[[#This Row],[判定]]=$BE$10,"○","")</f>
        <v/>
      </c>
      <c r="AH300" s="1" t="str">
        <f>IF(AG300="","",COUNTIF($AG$6:AG300,"○"))</f>
        <v/>
      </c>
    </row>
    <row r="301" spans="1:34" ht="14.25" customHeight="1" x14ac:dyDescent="0.15">
      <c r="A301" s="44">
        <v>296</v>
      </c>
      <c r="B301" s="148"/>
      <c r="C301" s="151"/>
      <c r="D301" s="148"/>
      <c r="E301" s="152"/>
      <c r="F301" s="148"/>
      <c r="G301" s="148"/>
      <c r="H301" s="150"/>
      <c r="I301" s="150"/>
      <c r="J301" s="151"/>
      <c r="K301" s="148"/>
      <c r="L301" s="196"/>
      <c r="M301" s="151"/>
      <c r="N301" s="197"/>
      <c r="O301" s="151"/>
      <c r="P301" s="153"/>
      <c r="Q30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1" s="144" t="str">
        <f>IF(テーブル2[[#This Row],[得点]]=0,"",IF(テーブル2[[#This Row],[年齢]]=17,LOOKUP(Q301,$BH$6:$BH$10,$BE$6:$BE$10),IF(テーブル2[[#This Row],[年齢]]=16,LOOKUP(Q301,$BG$6:$BG$10,$BE$6:$BE$10),IF(テーブル2[[#This Row],[年齢]]=15,LOOKUP(Q301,$BF$6:$BF$10,$BE$6:$BE$10),IF(テーブル2[[#This Row],[年齢]]=14,LOOKUP(Q301,$BD$6:$BD$10,$BE$6:$BE$10),IF(テーブル2[[#This Row],[年齢]]=13,LOOKUP(Q301,$BC$6:$BC$10,$BE$6:$BE$10),LOOKUP(Q301,$BB$6:$BB$10,$BE$6:$BE$10)))))))</f>
        <v/>
      </c>
      <c r="S301" s="145">
        <f>IF(H301="",0,(IF(テーブル2[[#This Row],[性別]]="男",LOOKUP(テーブル2[[#This Row],[握力]],$AI$6:$AJ$15),LOOKUP(テーブル2[[#This Row],[握力]],$AI$20:$AJ$29))))</f>
        <v>0</v>
      </c>
      <c r="T301" s="145">
        <f>IF(テーブル2[[#This Row],[上体]]="",0,(IF(テーブル2[[#This Row],[性別]]="男",LOOKUP(テーブル2[[#This Row],[上体]],$AK$6:$AL$15),LOOKUP(テーブル2[[#This Row],[上体]],$AK$20:$AL$29))))</f>
        <v>0</v>
      </c>
      <c r="U301" s="145">
        <f>IF(テーブル2[[#This Row],[長座]]="",0,(IF(テーブル2[[#This Row],[性別]]="男",LOOKUP(テーブル2[[#This Row],[長座]],$AM$6:$AN$15),LOOKUP(テーブル2[[#This Row],[長座]],$AM$20:$AN$29))))</f>
        <v>0</v>
      </c>
      <c r="V301" s="145">
        <f>IF(テーブル2[[#This Row],[反復]]="",0,(IF(テーブル2[[#This Row],[性別]]="男",LOOKUP(テーブル2[[#This Row],[反復]],$AO$6:$AP$15),LOOKUP(テーブル2[[#This Row],[反復]],$AO$20:$AP$29))))</f>
        <v>0</v>
      </c>
      <c r="W301" s="145">
        <f>IF(テーブル2[[#This Row],[持久走]]="",0,(IF(テーブル2[[#This Row],[性別]]="男",LOOKUP(テーブル2[[#This Row],[持久走]],$AQ$6:$AR$15),LOOKUP(テーブル2[[#This Row],[持久走]],$AQ$20:$AR$29))))</f>
        <v>0</v>
      </c>
      <c r="X301" s="145">
        <f>IF(テーブル2[[#This Row],[ｼｬﾄﾙﾗﾝ]]="",0,(IF(テーブル2[[#This Row],[性別]]="男",LOOKUP(テーブル2[[#This Row],[ｼｬﾄﾙﾗﾝ]],$AS$6:$AT$15),LOOKUP(テーブル2[[#This Row],[ｼｬﾄﾙﾗﾝ]],$AS$20:$AT$29))))</f>
        <v>0</v>
      </c>
      <c r="Y301" s="145">
        <f>IF(テーブル2[[#This Row],[50m走]]="",0,(IF(テーブル2[[#This Row],[性別]]="男",LOOKUP(テーブル2[[#This Row],[50m走]],$AU$6:$AV$15),LOOKUP(テーブル2[[#This Row],[50m走]],$AU$20:$AV$29))))</f>
        <v>0</v>
      </c>
      <c r="Z301" s="145">
        <f>IF(テーブル2[[#This Row],[立幅とび]]="",0,(IF(テーブル2[[#This Row],[性別]]="男",LOOKUP(テーブル2[[#This Row],[立幅とび]],$AW$6:$AX$15),LOOKUP(テーブル2[[#This Row],[立幅とび]],$AW$20:$AX$29))))</f>
        <v>0</v>
      </c>
      <c r="AA301" s="145">
        <f>IF(テーブル2[[#This Row],[ボール投げ]]="",0,(IF(テーブル2[[#This Row],[性別]]="男",LOOKUP(テーブル2[[#This Row],[ボール投げ]],$AY$6:$AZ$15),LOOKUP(テーブル2[[#This Row],[ボール投げ]],$AY$20:$AZ$29))))</f>
        <v>0</v>
      </c>
      <c r="AB301" s="146" t="str">
        <f>IF(テーブル2[[#This Row],[学年]]=1,12,IF(テーブル2[[#This Row],[学年]]=2,13,IF(テーブル2[[#This Row],[学年]]=3,14,"")))</f>
        <v/>
      </c>
      <c r="AC301" s="192" t="str">
        <f>IF(テーブル2[[#This Row],[肥満度数値]]=0,"",LOOKUP(AE301,$AW$39:$AW$44,$AX$39:$AX$44))</f>
        <v/>
      </c>
      <c r="AD30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1" s="77">
        <f>IF(テーブル2[[#This Row],[体重]]="",0,(テーブル2[[#This Row],[体重]]-テーブル2[[#This Row],[標準体重]])/テーブル2[[#This Row],[標準体重]]*100)</f>
        <v>0</v>
      </c>
      <c r="AF301" s="26">
        <f>COUNTA(テーブル2[[#This Row],[握力]:[ボール投げ]])</f>
        <v>0</v>
      </c>
      <c r="AG301" s="1" t="str">
        <f>IF(テーブル2[[#This Row],[判定]]=$BE$10,"○","")</f>
        <v/>
      </c>
      <c r="AH301" s="1" t="str">
        <f>IF(AG301="","",COUNTIF($AG$6:AG301,"○"))</f>
        <v/>
      </c>
    </row>
    <row r="302" spans="1:34" ht="14.25" customHeight="1" x14ac:dyDescent="0.15">
      <c r="A302" s="44">
        <v>297</v>
      </c>
      <c r="B302" s="148"/>
      <c r="C302" s="151"/>
      <c r="D302" s="148"/>
      <c r="E302" s="152"/>
      <c r="F302" s="148"/>
      <c r="G302" s="148"/>
      <c r="H302" s="150"/>
      <c r="I302" s="150"/>
      <c r="J302" s="151"/>
      <c r="K302" s="148"/>
      <c r="L302" s="196"/>
      <c r="M302" s="151"/>
      <c r="N302" s="197"/>
      <c r="O302" s="151"/>
      <c r="P302" s="153"/>
      <c r="Q30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2" s="144" t="str">
        <f>IF(テーブル2[[#This Row],[得点]]=0,"",IF(テーブル2[[#This Row],[年齢]]=17,LOOKUP(Q302,$BH$6:$BH$10,$BE$6:$BE$10),IF(テーブル2[[#This Row],[年齢]]=16,LOOKUP(Q302,$BG$6:$BG$10,$BE$6:$BE$10),IF(テーブル2[[#This Row],[年齢]]=15,LOOKUP(Q302,$BF$6:$BF$10,$BE$6:$BE$10),IF(テーブル2[[#This Row],[年齢]]=14,LOOKUP(Q302,$BD$6:$BD$10,$BE$6:$BE$10),IF(テーブル2[[#This Row],[年齢]]=13,LOOKUP(Q302,$BC$6:$BC$10,$BE$6:$BE$10),LOOKUP(Q302,$BB$6:$BB$10,$BE$6:$BE$10)))))))</f>
        <v/>
      </c>
      <c r="S302" s="145">
        <f>IF(H302="",0,(IF(テーブル2[[#This Row],[性別]]="男",LOOKUP(テーブル2[[#This Row],[握力]],$AI$6:$AJ$15),LOOKUP(テーブル2[[#This Row],[握力]],$AI$20:$AJ$29))))</f>
        <v>0</v>
      </c>
      <c r="T302" s="145">
        <f>IF(テーブル2[[#This Row],[上体]]="",0,(IF(テーブル2[[#This Row],[性別]]="男",LOOKUP(テーブル2[[#This Row],[上体]],$AK$6:$AL$15),LOOKUP(テーブル2[[#This Row],[上体]],$AK$20:$AL$29))))</f>
        <v>0</v>
      </c>
      <c r="U302" s="145">
        <f>IF(テーブル2[[#This Row],[長座]]="",0,(IF(テーブル2[[#This Row],[性別]]="男",LOOKUP(テーブル2[[#This Row],[長座]],$AM$6:$AN$15),LOOKUP(テーブル2[[#This Row],[長座]],$AM$20:$AN$29))))</f>
        <v>0</v>
      </c>
      <c r="V302" s="145">
        <f>IF(テーブル2[[#This Row],[反復]]="",0,(IF(テーブル2[[#This Row],[性別]]="男",LOOKUP(テーブル2[[#This Row],[反復]],$AO$6:$AP$15),LOOKUP(テーブル2[[#This Row],[反復]],$AO$20:$AP$29))))</f>
        <v>0</v>
      </c>
      <c r="W302" s="145">
        <f>IF(テーブル2[[#This Row],[持久走]]="",0,(IF(テーブル2[[#This Row],[性別]]="男",LOOKUP(テーブル2[[#This Row],[持久走]],$AQ$6:$AR$15),LOOKUP(テーブル2[[#This Row],[持久走]],$AQ$20:$AR$29))))</f>
        <v>0</v>
      </c>
      <c r="X302" s="145">
        <f>IF(テーブル2[[#This Row],[ｼｬﾄﾙﾗﾝ]]="",0,(IF(テーブル2[[#This Row],[性別]]="男",LOOKUP(テーブル2[[#This Row],[ｼｬﾄﾙﾗﾝ]],$AS$6:$AT$15),LOOKUP(テーブル2[[#This Row],[ｼｬﾄﾙﾗﾝ]],$AS$20:$AT$29))))</f>
        <v>0</v>
      </c>
      <c r="Y302" s="145">
        <f>IF(テーブル2[[#This Row],[50m走]]="",0,(IF(テーブル2[[#This Row],[性別]]="男",LOOKUP(テーブル2[[#This Row],[50m走]],$AU$6:$AV$15),LOOKUP(テーブル2[[#This Row],[50m走]],$AU$20:$AV$29))))</f>
        <v>0</v>
      </c>
      <c r="Z302" s="145">
        <f>IF(テーブル2[[#This Row],[立幅とび]]="",0,(IF(テーブル2[[#This Row],[性別]]="男",LOOKUP(テーブル2[[#This Row],[立幅とび]],$AW$6:$AX$15),LOOKUP(テーブル2[[#This Row],[立幅とび]],$AW$20:$AX$29))))</f>
        <v>0</v>
      </c>
      <c r="AA302" s="145">
        <f>IF(テーブル2[[#This Row],[ボール投げ]]="",0,(IF(テーブル2[[#This Row],[性別]]="男",LOOKUP(テーブル2[[#This Row],[ボール投げ]],$AY$6:$AZ$15),LOOKUP(テーブル2[[#This Row],[ボール投げ]],$AY$20:$AZ$29))))</f>
        <v>0</v>
      </c>
      <c r="AB302" s="146" t="str">
        <f>IF(テーブル2[[#This Row],[学年]]=1,12,IF(テーブル2[[#This Row],[学年]]=2,13,IF(テーブル2[[#This Row],[学年]]=3,14,"")))</f>
        <v/>
      </c>
      <c r="AC302" s="192" t="str">
        <f>IF(テーブル2[[#This Row],[肥満度数値]]=0,"",LOOKUP(AE302,$AW$39:$AW$44,$AX$39:$AX$44))</f>
        <v/>
      </c>
      <c r="AD30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2" s="77">
        <f>IF(テーブル2[[#This Row],[体重]]="",0,(テーブル2[[#This Row],[体重]]-テーブル2[[#This Row],[標準体重]])/テーブル2[[#This Row],[標準体重]]*100)</f>
        <v>0</v>
      </c>
      <c r="AF302" s="26">
        <f>COUNTA(テーブル2[[#This Row],[握力]:[ボール投げ]])</f>
        <v>0</v>
      </c>
      <c r="AG302" s="1" t="str">
        <f>IF(テーブル2[[#This Row],[判定]]=$BE$10,"○","")</f>
        <v/>
      </c>
      <c r="AH302" s="1" t="str">
        <f>IF(AG302="","",COUNTIF($AG$6:AG302,"○"))</f>
        <v/>
      </c>
    </row>
    <row r="303" spans="1:34" ht="14.25" customHeight="1" x14ac:dyDescent="0.15">
      <c r="A303" s="44">
        <v>298</v>
      </c>
      <c r="B303" s="148"/>
      <c r="C303" s="151"/>
      <c r="D303" s="148"/>
      <c r="E303" s="152"/>
      <c r="F303" s="148"/>
      <c r="G303" s="148"/>
      <c r="H303" s="150"/>
      <c r="I303" s="150"/>
      <c r="J303" s="151"/>
      <c r="K303" s="148"/>
      <c r="L303" s="196"/>
      <c r="M303" s="151"/>
      <c r="N303" s="197"/>
      <c r="O303" s="151"/>
      <c r="P303" s="153"/>
      <c r="Q30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3" s="144" t="str">
        <f>IF(テーブル2[[#This Row],[得点]]=0,"",IF(テーブル2[[#This Row],[年齢]]=17,LOOKUP(Q303,$BH$6:$BH$10,$BE$6:$BE$10),IF(テーブル2[[#This Row],[年齢]]=16,LOOKUP(Q303,$BG$6:$BG$10,$BE$6:$BE$10),IF(テーブル2[[#This Row],[年齢]]=15,LOOKUP(Q303,$BF$6:$BF$10,$BE$6:$BE$10),IF(テーブル2[[#This Row],[年齢]]=14,LOOKUP(Q303,$BD$6:$BD$10,$BE$6:$BE$10),IF(テーブル2[[#This Row],[年齢]]=13,LOOKUP(Q303,$BC$6:$BC$10,$BE$6:$BE$10),LOOKUP(Q303,$BB$6:$BB$10,$BE$6:$BE$10)))))))</f>
        <v/>
      </c>
      <c r="S303" s="145">
        <f>IF(H303="",0,(IF(テーブル2[[#This Row],[性別]]="男",LOOKUP(テーブル2[[#This Row],[握力]],$AI$6:$AJ$15),LOOKUP(テーブル2[[#This Row],[握力]],$AI$20:$AJ$29))))</f>
        <v>0</v>
      </c>
      <c r="T303" s="145">
        <f>IF(テーブル2[[#This Row],[上体]]="",0,(IF(テーブル2[[#This Row],[性別]]="男",LOOKUP(テーブル2[[#This Row],[上体]],$AK$6:$AL$15),LOOKUP(テーブル2[[#This Row],[上体]],$AK$20:$AL$29))))</f>
        <v>0</v>
      </c>
      <c r="U303" s="145">
        <f>IF(テーブル2[[#This Row],[長座]]="",0,(IF(テーブル2[[#This Row],[性別]]="男",LOOKUP(テーブル2[[#This Row],[長座]],$AM$6:$AN$15),LOOKUP(テーブル2[[#This Row],[長座]],$AM$20:$AN$29))))</f>
        <v>0</v>
      </c>
      <c r="V303" s="145">
        <f>IF(テーブル2[[#This Row],[反復]]="",0,(IF(テーブル2[[#This Row],[性別]]="男",LOOKUP(テーブル2[[#This Row],[反復]],$AO$6:$AP$15),LOOKUP(テーブル2[[#This Row],[反復]],$AO$20:$AP$29))))</f>
        <v>0</v>
      </c>
      <c r="W303" s="145">
        <f>IF(テーブル2[[#This Row],[持久走]]="",0,(IF(テーブル2[[#This Row],[性別]]="男",LOOKUP(テーブル2[[#This Row],[持久走]],$AQ$6:$AR$15),LOOKUP(テーブル2[[#This Row],[持久走]],$AQ$20:$AR$29))))</f>
        <v>0</v>
      </c>
      <c r="X303" s="145">
        <f>IF(テーブル2[[#This Row],[ｼｬﾄﾙﾗﾝ]]="",0,(IF(テーブル2[[#This Row],[性別]]="男",LOOKUP(テーブル2[[#This Row],[ｼｬﾄﾙﾗﾝ]],$AS$6:$AT$15),LOOKUP(テーブル2[[#This Row],[ｼｬﾄﾙﾗﾝ]],$AS$20:$AT$29))))</f>
        <v>0</v>
      </c>
      <c r="Y303" s="145">
        <f>IF(テーブル2[[#This Row],[50m走]]="",0,(IF(テーブル2[[#This Row],[性別]]="男",LOOKUP(テーブル2[[#This Row],[50m走]],$AU$6:$AV$15),LOOKUP(テーブル2[[#This Row],[50m走]],$AU$20:$AV$29))))</f>
        <v>0</v>
      </c>
      <c r="Z303" s="145">
        <f>IF(テーブル2[[#This Row],[立幅とび]]="",0,(IF(テーブル2[[#This Row],[性別]]="男",LOOKUP(テーブル2[[#This Row],[立幅とび]],$AW$6:$AX$15),LOOKUP(テーブル2[[#This Row],[立幅とび]],$AW$20:$AX$29))))</f>
        <v>0</v>
      </c>
      <c r="AA303" s="145">
        <f>IF(テーブル2[[#This Row],[ボール投げ]]="",0,(IF(テーブル2[[#This Row],[性別]]="男",LOOKUP(テーブル2[[#This Row],[ボール投げ]],$AY$6:$AZ$15),LOOKUP(テーブル2[[#This Row],[ボール投げ]],$AY$20:$AZ$29))))</f>
        <v>0</v>
      </c>
      <c r="AB303" s="146" t="str">
        <f>IF(テーブル2[[#This Row],[学年]]=1,12,IF(テーブル2[[#This Row],[学年]]=2,13,IF(テーブル2[[#This Row],[学年]]=3,14,"")))</f>
        <v/>
      </c>
      <c r="AC303" s="192" t="str">
        <f>IF(テーブル2[[#This Row],[肥満度数値]]=0,"",LOOKUP(AE303,$AW$39:$AW$44,$AX$39:$AX$44))</f>
        <v/>
      </c>
      <c r="AD30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3" s="77">
        <f>IF(テーブル2[[#This Row],[体重]]="",0,(テーブル2[[#This Row],[体重]]-テーブル2[[#This Row],[標準体重]])/テーブル2[[#This Row],[標準体重]]*100)</f>
        <v>0</v>
      </c>
      <c r="AF303" s="26">
        <f>COUNTA(テーブル2[[#This Row],[握力]:[ボール投げ]])</f>
        <v>0</v>
      </c>
      <c r="AG303" s="1" t="str">
        <f>IF(テーブル2[[#This Row],[判定]]=$BE$10,"○","")</f>
        <v/>
      </c>
      <c r="AH303" s="1" t="str">
        <f>IF(AG303="","",COUNTIF($AG$6:AG303,"○"))</f>
        <v/>
      </c>
    </row>
    <row r="304" spans="1:34" ht="14.25" customHeight="1" x14ac:dyDescent="0.15">
      <c r="A304" s="44">
        <v>299</v>
      </c>
      <c r="B304" s="148"/>
      <c r="C304" s="151"/>
      <c r="D304" s="148"/>
      <c r="E304" s="152"/>
      <c r="F304" s="148"/>
      <c r="G304" s="148"/>
      <c r="H304" s="150"/>
      <c r="I304" s="150"/>
      <c r="J304" s="151"/>
      <c r="K304" s="148"/>
      <c r="L304" s="196"/>
      <c r="M304" s="151"/>
      <c r="N304" s="197"/>
      <c r="O304" s="151"/>
      <c r="P304" s="153"/>
      <c r="Q30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4" s="144" t="str">
        <f>IF(テーブル2[[#This Row],[得点]]=0,"",IF(テーブル2[[#This Row],[年齢]]=17,LOOKUP(Q304,$BH$6:$BH$10,$BE$6:$BE$10),IF(テーブル2[[#This Row],[年齢]]=16,LOOKUP(Q304,$BG$6:$BG$10,$BE$6:$BE$10),IF(テーブル2[[#This Row],[年齢]]=15,LOOKUP(Q304,$BF$6:$BF$10,$BE$6:$BE$10),IF(テーブル2[[#This Row],[年齢]]=14,LOOKUP(Q304,$BD$6:$BD$10,$BE$6:$BE$10),IF(テーブル2[[#This Row],[年齢]]=13,LOOKUP(Q304,$BC$6:$BC$10,$BE$6:$BE$10),LOOKUP(Q304,$BB$6:$BB$10,$BE$6:$BE$10)))))))</f>
        <v/>
      </c>
      <c r="S304" s="145">
        <f>IF(H304="",0,(IF(テーブル2[[#This Row],[性別]]="男",LOOKUP(テーブル2[[#This Row],[握力]],$AI$6:$AJ$15),LOOKUP(テーブル2[[#This Row],[握力]],$AI$20:$AJ$29))))</f>
        <v>0</v>
      </c>
      <c r="T304" s="145">
        <f>IF(テーブル2[[#This Row],[上体]]="",0,(IF(テーブル2[[#This Row],[性別]]="男",LOOKUP(テーブル2[[#This Row],[上体]],$AK$6:$AL$15),LOOKUP(テーブル2[[#This Row],[上体]],$AK$20:$AL$29))))</f>
        <v>0</v>
      </c>
      <c r="U304" s="145">
        <f>IF(テーブル2[[#This Row],[長座]]="",0,(IF(テーブル2[[#This Row],[性別]]="男",LOOKUP(テーブル2[[#This Row],[長座]],$AM$6:$AN$15),LOOKUP(テーブル2[[#This Row],[長座]],$AM$20:$AN$29))))</f>
        <v>0</v>
      </c>
      <c r="V304" s="145">
        <f>IF(テーブル2[[#This Row],[反復]]="",0,(IF(テーブル2[[#This Row],[性別]]="男",LOOKUP(テーブル2[[#This Row],[反復]],$AO$6:$AP$15),LOOKUP(テーブル2[[#This Row],[反復]],$AO$20:$AP$29))))</f>
        <v>0</v>
      </c>
      <c r="W304" s="145">
        <f>IF(テーブル2[[#This Row],[持久走]]="",0,(IF(テーブル2[[#This Row],[性別]]="男",LOOKUP(テーブル2[[#This Row],[持久走]],$AQ$6:$AR$15),LOOKUP(テーブル2[[#This Row],[持久走]],$AQ$20:$AR$29))))</f>
        <v>0</v>
      </c>
      <c r="X304" s="145">
        <f>IF(テーブル2[[#This Row],[ｼｬﾄﾙﾗﾝ]]="",0,(IF(テーブル2[[#This Row],[性別]]="男",LOOKUP(テーブル2[[#This Row],[ｼｬﾄﾙﾗﾝ]],$AS$6:$AT$15),LOOKUP(テーブル2[[#This Row],[ｼｬﾄﾙﾗﾝ]],$AS$20:$AT$29))))</f>
        <v>0</v>
      </c>
      <c r="Y304" s="145">
        <f>IF(テーブル2[[#This Row],[50m走]]="",0,(IF(テーブル2[[#This Row],[性別]]="男",LOOKUP(テーブル2[[#This Row],[50m走]],$AU$6:$AV$15),LOOKUP(テーブル2[[#This Row],[50m走]],$AU$20:$AV$29))))</f>
        <v>0</v>
      </c>
      <c r="Z304" s="145">
        <f>IF(テーブル2[[#This Row],[立幅とび]]="",0,(IF(テーブル2[[#This Row],[性別]]="男",LOOKUP(テーブル2[[#This Row],[立幅とび]],$AW$6:$AX$15),LOOKUP(テーブル2[[#This Row],[立幅とび]],$AW$20:$AX$29))))</f>
        <v>0</v>
      </c>
      <c r="AA304" s="145">
        <f>IF(テーブル2[[#This Row],[ボール投げ]]="",0,(IF(テーブル2[[#This Row],[性別]]="男",LOOKUP(テーブル2[[#This Row],[ボール投げ]],$AY$6:$AZ$15),LOOKUP(テーブル2[[#This Row],[ボール投げ]],$AY$20:$AZ$29))))</f>
        <v>0</v>
      </c>
      <c r="AB304" s="146" t="str">
        <f>IF(テーブル2[[#This Row],[学年]]=1,12,IF(テーブル2[[#This Row],[学年]]=2,13,IF(テーブル2[[#This Row],[学年]]=3,14,"")))</f>
        <v/>
      </c>
      <c r="AC304" s="192" t="str">
        <f>IF(テーブル2[[#This Row],[肥満度数値]]=0,"",LOOKUP(AE304,$AW$39:$AW$44,$AX$39:$AX$44))</f>
        <v/>
      </c>
      <c r="AD30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4" s="77">
        <f>IF(テーブル2[[#This Row],[体重]]="",0,(テーブル2[[#This Row],[体重]]-テーブル2[[#This Row],[標準体重]])/テーブル2[[#This Row],[標準体重]]*100)</f>
        <v>0</v>
      </c>
      <c r="AF304" s="26">
        <f>COUNTA(テーブル2[[#This Row],[握力]:[ボール投げ]])</f>
        <v>0</v>
      </c>
      <c r="AG304" s="1" t="str">
        <f>IF(テーブル2[[#This Row],[判定]]=$BE$10,"○","")</f>
        <v/>
      </c>
      <c r="AH304" s="1" t="str">
        <f>IF(AG304="","",COUNTIF($AG$6:AG304,"○"))</f>
        <v/>
      </c>
    </row>
    <row r="305" spans="1:34" ht="14.25" customHeight="1" x14ac:dyDescent="0.15">
      <c r="A305" s="44">
        <v>300</v>
      </c>
      <c r="B305" s="148"/>
      <c r="C305" s="151"/>
      <c r="D305" s="148"/>
      <c r="E305" s="152"/>
      <c r="F305" s="148"/>
      <c r="G305" s="148"/>
      <c r="H305" s="150"/>
      <c r="I305" s="150"/>
      <c r="J305" s="151"/>
      <c r="K305" s="148"/>
      <c r="L305" s="196"/>
      <c r="M305" s="151"/>
      <c r="N305" s="197"/>
      <c r="O305" s="151"/>
      <c r="P305" s="153"/>
      <c r="Q30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5" s="144" t="str">
        <f>IF(テーブル2[[#This Row],[得点]]=0,"",IF(テーブル2[[#This Row],[年齢]]=17,LOOKUP(Q305,$BH$6:$BH$10,$BE$6:$BE$10),IF(テーブル2[[#This Row],[年齢]]=16,LOOKUP(Q305,$BG$6:$BG$10,$BE$6:$BE$10),IF(テーブル2[[#This Row],[年齢]]=15,LOOKUP(Q305,$BF$6:$BF$10,$BE$6:$BE$10),IF(テーブル2[[#This Row],[年齢]]=14,LOOKUP(Q305,$BD$6:$BD$10,$BE$6:$BE$10),IF(テーブル2[[#This Row],[年齢]]=13,LOOKUP(Q305,$BC$6:$BC$10,$BE$6:$BE$10),LOOKUP(Q305,$BB$6:$BB$10,$BE$6:$BE$10)))))))</f>
        <v/>
      </c>
      <c r="S305" s="145">
        <f>IF(H305="",0,(IF(テーブル2[[#This Row],[性別]]="男",LOOKUP(テーブル2[[#This Row],[握力]],$AI$6:$AJ$15),LOOKUP(テーブル2[[#This Row],[握力]],$AI$20:$AJ$29))))</f>
        <v>0</v>
      </c>
      <c r="T305" s="145">
        <f>IF(テーブル2[[#This Row],[上体]]="",0,(IF(テーブル2[[#This Row],[性別]]="男",LOOKUP(テーブル2[[#This Row],[上体]],$AK$6:$AL$15),LOOKUP(テーブル2[[#This Row],[上体]],$AK$20:$AL$29))))</f>
        <v>0</v>
      </c>
      <c r="U305" s="145">
        <f>IF(テーブル2[[#This Row],[長座]]="",0,(IF(テーブル2[[#This Row],[性別]]="男",LOOKUP(テーブル2[[#This Row],[長座]],$AM$6:$AN$15),LOOKUP(テーブル2[[#This Row],[長座]],$AM$20:$AN$29))))</f>
        <v>0</v>
      </c>
      <c r="V305" s="145">
        <f>IF(テーブル2[[#This Row],[反復]]="",0,(IF(テーブル2[[#This Row],[性別]]="男",LOOKUP(テーブル2[[#This Row],[反復]],$AO$6:$AP$15),LOOKUP(テーブル2[[#This Row],[反復]],$AO$20:$AP$29))))</f>
        <v>0</v>
      </c>
      <c r="W305" s="145">
        <f>IF(テーブル2[[#This Row],[持久走]]="",0,(IF(テーブル2[[#This Row],[性別]]="男",LOOKUP(テーブル2[[#This Row],[持久走]],$AQ$6:$AR$15),LOOKUP(テーブル2[[#This Row],[持久走]],$AQ$20:$AR$29))))</f>
        <v>0</v>
      </c>
      <c r="X305" s="145">
        <f>IF(テーブル2[[#This Row],[ｼｬﾄﾙﾗﾝ]]="",0,(IF(テーブル2[[#This Row],[性別]]="男",LOOKUP(テーブル2[[#This Row],[ｼｬﾄﾙﾗﾝ]],$AS$6:$AT$15),LOOKUP(テーブル2[[#This Row],[ｼｬﾄﾙﾗﾝ]],$AS$20:$AT$29))))</f>
        <v>0</v>
      </c>
      <c r="Y305" s="145">
        <f>IF(テーブル2[[#This Row],[50m走]]="",0,(IF(テーブル2[[#This Row],[性別]]="男",LOOKUP(テーブル2[[#This Row],[50m走]],$AU$6:$AV$15),LOOKUP(テーブル2[[#This Row],[50m走]],$AU$20:$AV$29))))</f>
        <v>0</v>
      </c>
      <c r="Z305" s="145">
        <f>IF(テーブル2[[#This Row],[立幅とび]]="",0,(IF(テーブル2[[#This Row],[性別]]="男",LOOKUP(テーブル2[[#This Row],[立幅とび]],$AW$6:$AX$15),LOOKUP(テーブル2[[#This Row],[立幅とび]],$AW$20:$AX$29))))</f>
        <v>0</v>
      </c>
      <c r="AA305" s="145">
        <f>IF(テーブル2[[#This Row],[ボール投げ]]="",0,(IF(テーブル2[[#This Row],[性別]]="男",LOOKUP(テーブル2[[#This Row],[ボール投げ]],$AY$6:$AZ$15),LOOKUP(テーブル2[[#This Row],[ボール投げ]],$AY$20:$AZ$29))))</f>
        <v>0</v>
      </c>
      <c r="AB305" s="146" t="str">
        <f>IF(テーブル2[[#This Row],[学年]]=1,12,IF(テーブル2[[#This Row],[学年]]=2,13,IF(テーブル2[[#This Row],[学年]]=3,14,"")))</f>
        <v/>
      </c>
      <c r="AC305" s="192" t="str">
        <f>IF(テーブル2[[#This Row],[肥満度数値]]=0,"",LOOKUP(AE305,$AW$39:$AW$44,$AX$39:$AX$44))</f>
        <v/>
      </c>
      <c r="AD30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5" s="77">
        <f>IF(テーブル2[[#This Row],[体重]]="",0,(テーブル2[[#This Row],[体重]]-テーブル2[[#This Row],[標準体重]])/テーブル2[[#This Row],[標準体重]]*100)</f>
        <v>0</v>
      </c>
      <c r="AF305" s="26">
        <f>COUNTA(テーブル2[[#This Row],[握力]:[ボール投げ]])</f>
        <v>0</v>
      </c>
      <c r="AG305" s="1" t="str">
        <f>IF(テーブル2[[#This Row],[判定]]=$BE$10,"○","")</f>
        <v/>
      </c>
      <c r="AH305" s="1" t="str">
        <f>IF(AG305="","",COUNTIF($AG$6:AG305,"○"))</f>
        <v/>
      </c>
    </row>
    <row r="306" spans="1:34" ht="14.25" customHeight="1" x14ac:dyDescent="0.15">
      <c r="A306" s="44">
        <v>301</v>
      </c>
      <c r="B306" s="148"/>
      <c r="C306" s="151"/>
      <c r="D306" s="148"/>
      <c r="E306" s="152"/>
      <c r="F306" s="148"/>
      <c r="G306" s="148"/>
      <c r="H306" s="150"/>
      <c r="I306" s="150"/>
      <c r="J306" s="151"/>
      <c r="K306" s="148"/>
      <c r="L306" s="196"/>
      <c r="M306" s="151"/>
      <c r="N306" s="197"/>
      <c r="O306" s="151"/>
      <c r="P306" s="153"/>
      <c r="Q30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6" s="144" t="str">
        <f>IF(テーブル2[[#This Row],[得点]]=0,"",IF(テーブル2[[#This Row],[年齢]]=17,LOOKUP(Q306,$BH$6:$BH$10,$BE$6:$BE$10),IF(テーブル2[[#This Row],[年齢]]=16,LOOKUP(Q306,$BG$6:$BG$10,$BE$6:$BE$10),IF(テーブル2[[#This Row],[年齢]]=15,LOOKUP(Q306,$BF$6:$BF$10,$BE$6:$BE$10),IF(テーブル2[[#This Row],[年齢]]=14,LOOKUP(Q306,$BD$6:$BD$10,$BE$6:$BE$10),IF(テーブル2[[#This Row],[年齢]]=13,LOOKUP(Q306,$BC$6:$BC$10,$BE$6:$BE$10),LOOKUP(Q306,$BB$6:$BB$10,$BE$6:$BE$10)))))))</f>
        <v/>
      </c>
      <c r="S306" s="145">
        <f>IF(H306="",0,(IF(テーブル2[[#This Row],[性別]]="男",LOOKUP(テーブル2[[#This Row],[握力]],$AI$6:$AJ$15),LOOKUP(テーブル2[[#This Row],[握力]],$AI$20:$AJ$29))))</f>
        <v>0</v>
      </c>
      <c r="T306" s="145">
        <f>IF(テーブル2[[#This Row],[上体]]="",0,(IF(テーブル2[[#This Row],[性別]]="男",LOOKUP(テーブル2[[#This Row],[上体]],$AK$6:$AL$15),LOOKUP(テーブル2[[#This Row],[上体]],$AK$20:$AL$29))))</f>
        <v>0</v>
      </c>
      <c r="U306" s="145">
        <f>IF(テーブル2[[#This Row],[長座]]="",0,(IF(テーブル2[[#This Row],[性別]]="男",LOOKUP(テーブル2[[#This Row],[長座]],$AM$6:$AN$15),LOOKUP(テーブル2[[#This Row],[長座]],$AM$20:$AN$29))))</f>
        <v>0</v>
      </c>
      <c r="V306" s="145">
        <f>IF(テーブル2[[#This Row],[反復]]="",0,(IF(テーブル2[[#This Row],[性別]]="男",LOOKUP(テーブル2[[#This Row],[反復]],$AO$6:$AP$15),LOOKUP(テーブル2[[#This Row],[反復]],$AO$20:$AP$29))))</f>
        <v>0</v>
      </c>
      <c r="W306" s="145">
        <f>IF(テーブル2[[#This Row],[持久走]]="",0,(IF(テーブル2[[#This Row],[性別]]="男",LOOKUP(テーブル2[[#This Row],[持久走]],$AQ$6:$AR$15),LOOKUP(テーブル2[[#This Row],[持久走]],$AQ$20:$AR$29))))</f>
        <v>0</v>
      </c>
      <c r="X306" s="145">
        <f>IF(テーブル2[[#This Row],[ｼｬﾄﾙﾗﾝ]]="",0,(IF(テーブル2[[#This Row],[性別]]="男",LOOKUP(テーブル2[[#This Row],[ｼｬﾄﾙﾗﾝ]],$AS$6:$AT$15),LOOKUP(テーブル2[[#This Row],[ｼｬﾄﾙﾗﾝ]],$AS$20:$AT$29))))</f>
        <v>0</v>
      </c>
      <c r="Y306" s="145">
        <f>IF(テーブル2[[#This Row],[50m走]]="",0,(IF(テーブル2[[#This Row],[性別]]="男",LOOKUP(テーブル2[[#This Row],[50m走]],$AU$6:$AV$15),LOOKUP(テーブル2[[#This Row],[50m走]],$AU$20:$AV$29))))</f>
        <v>0</v>
      </c>
      <c r="Z306" s="145">
        <f>IF(テーブル2[[#This Row],[立幅とび]]="",0,(IF(テーブル2[[#This Row],[性別]]="男",LOOKUP(テーブル2[[#This Row],[立幅とび]],$AW$6:$AX$15),LOOKUP(テーブル2[[#This Row],[立幅とび]],$AW$20:$AX$29))))</f>
        <v>0</v>
      </c>
      <c r="AA306" s="145">
        <f>IF(テーブル2[[#This Row],[ボール投げ]]="",0,(IF(テーブル2[[#This Row],[性別]]="男",LOOKUP(テーブル2[[#This Row],[ボール投げ]],$AY$6:$AZ$15),LOOKUP(テーブル2[[#This Row],[ボール投げ]],$AY$20:$AZ$29))))</f>
        <v>0</v>
      </c>
      <c r="AB306" s="146" t="str">
        <f>IF(テーブル2[[#This Row],[学年]]=1,12,IF(テーブル2[[#This Row],[学年]]=2,13,IF(テーブル2[[#This Row],[学年]]=3,14,"")))</f>
        <v/>
      </c>
      <c r="AC306" s="192" t="str">
        <f>IF(テーブル2[[#This Row],[肥満度数値]]=0,"",LOOKUP(AE306,$AW$39:$AW$44,$AX$39:$AX$44))</f>
        <v/>
      </c>
      <c r="AD30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6" s="77">
        <f>IF(テーブル2[[#This Row],[体重]]="",0,(テーブル2[[#This Row],[体重]]-テーブル2[[#This Row],[標準体重]])/テーブル2[[#This Row],[標準体重]]*100)</f>
        <v>0</v>
      </c>
      <c r="AF306" s="26">
        <f>COUNTA(テーブル2[[#This Row],[握力]:[ボール投げ]])</f>
        <v>0</v>
      </c>
      <c r="AG306" s="1" t="str">
        <f>IF(テーブル2[[#This Row],[判定]]=$BE$10,"○","")</f>
        <v/>
      </c>
      <c r="AH306" s="1" t="str">
        <f>IF(AG306="","",COUNTIF($AG$6:AG306,"○"))</f>
        <v/>
      </c>
    </row>
    <row r="307" spans="1:34" ht="14.25" customHeight="1" x14ac:dyDescent="0.15">
      <c r="A307" s="44">
        <v>302</v>
      </c>
      <c r="B307" s="148"/>
      <c r="C307" s="151"/>
      <c r="D307" s="148"/>
      <c r="E307" s="152"/>
      <c r="F307" s="148"/>
      <c r="G307" s="148"/>
      <c r="H307" s="150"/>
      <c r="I307" s="150"/>
      <c r="J307" s="151"/>
      <c r="K307" s="148"/>
      <c r="L307" s="196"/>
      <c r="M307" s="151"/>
      <c r="N307" s="197"/>
      <c r="O307" s="151"/>
      <c r="P307" s="153"/>
      <c r="Q30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7" s="144" t="str">
        <f>IF(テーブル2[[#This Row],[得点]]=0,"",IF(テーブル2[[#This Row],[年齢]]=17,LOOKUP(Q307,$BH$6:$BH$10,$BE$6:$BE$10),IF(テーブル2[[#This Row],[年齢]]=16,LOOKUP(Q307,$BG$6:$BG$10,$BE$6:$BE$10),IF(テーブル2[[#This Row],[年齢]]=15,LOOKUP(Q307,$BF$6:$BF$10,$BE$6:$BE$10),IF(テーブル2[[#This Row],[年齢]]=14,LOOKUP(Q307,$BD$6:$BD$10,$BE$6:$BE$10),IF(テーブル2[[#This Row],[年齢]]=13,LOOKUP(Q307,$BC$6:$BC$10,$BE$6:$BE$10),LOOKUP(Q307,$BB$6:$BB$10,$BE$6:$BE$10)))))))</f>
        <v/>
      </c>
      <c r="S307" s="145">
        <f>IF(H307="",0,(IF(テーブル2[[#This Row],[性別]]="男",LOOKUP(テーブル2[[#This Row],[握力]],$AI$6:$AJ$15),LOOKUP(テーブル2[[#This Row],[握力]],$AI$20:$AJ$29))))</f>
        <v>0</v>
      </c>
      <c r="T307" s="145">
        <f>IF(テーブル2[[#This Row],[上体]]="",0,(IF(テーブル2[[#This Row],[性別]]="男",LOOKUP(テーブル2[[#This Row],[上体]],$AK$6:$AL$15),LOOKUP(テーブル2[[#This Row],[上体]],$AK$20:$AL$29))))</f>
        <v>0</v>
      </c>
      <c r="U307" s="145">
        <f>IF(テーブル2[[#This Row],[長座]]="",0,(IF(テーブル2[[#This Row],[性別]]="男",LOOKUP(テーブル2[[#This Row],[長座]],$AM$6:$AN$15),LOOKUP(テーブル2[[#This Row],[長座]],$AM$20:$AN$29))))</f>
        <v>0</v>
      </c>
      <c r="V307" s="145">
        <f>IF(テーブル2[[#This Row],[反復]]="",0,(IF(テーブル2[[#This Row],[性別]]="男",LOOKUP(テーブル2[[#This Row],[反復]],$AO$6:$AP$15),LOOKUP(テーブル2[[#This Row],[反復]],$AO$20:$AP$29))))</f>
        <v>0</v>
      </c>
      <c r="W307" s="145">
        <f>IF(テーブル2[[#This Row],[持久走]]="",0,(IF(テーブル2[[#This Row],[性別]]="男",LOOKUP(テーブル2[[#This Row],[持久走]],$AQ$6:$AR$15),LOOKUP(テーブル2[[#This Row],[持久走]],$AQ$20:$AR$29))))</f>
        <v>0</v>
      </c>
      <c r="X307" s="145">
        <f>IF(テーブル2[[#This Row],[ｼｬﾄﾙﾗﾝ]]="",0,(IF(テーブル2[[#This Row],[性別]]="男",LOOKUP(テーブル2[[#This Row],[ｼｬﾄﾙﾗﾝ]],$AS$6:$AT$15),LOOKUP(テーブル2[[#This Row],[ｼｬﾄﾙﾗﾝ]],$AS$20:$AT$29))))</f>
        <v>0</v>
      </c>
      <c r="Y307" s="145">
        <f>IF(テーブル2[[#This Row],[50m走]]="",0,(IF(テーブル2[[#This Row],[性別]]="男",LOOKUP(テーブル2[[#This Row],[50m走]],$AU$6:$AV$15),LOOKUP(テーブル2[[#This Row],[50m走]],$AU$20:$AV$29))))</f>
        <v>0</v>
      </c>
      <c r="Z307" s="145">
        <f>IF(テーブル2[[#This Row],[立幅とび]]="",0,(IF(テーブル2[[#This Row],[性別]]="男",LOOKUP(テーブル2[[#This Row],[立幅とび]],$AW$6:$AX$15),LOOKUP(テーブル2[[#This Row],[立幅とび]],$AW$20:$AX$29))))</f>
        <v>0</v>
      </c>
      <c r="AA307" s="145">
        <f>IF(テーブル2[[#This Row],[ボール投げ]]="",0,(IF(テーブル2[[#This Row],[性別]]="男",LOOKUP(テーブル2[[#This Row],[ボール投げ]],$AY$6:$AZ$15),LOOKUP(テーブル2[[#This Row],[ボール投げ]],$AY$20:$AZ$29))))</f>
        <v>0</v>
      </c>
      <c r="AB307" s="146" t="str">
        <f>IF(テーブル2[[#This Row],[学年]]=1,12,IF(テーブル2[[#This Row],[学年]]=2,13,IF(テーブル2[[#This Row],[学年]]=3,14,"")))</f>
        <v/>
      </c>
      <c r="AC307" s="192" t="str">
        <f>IF(テーブル2[[#This Row],[肥満度数値]]=0,"",LOOKUP(AE307,$AW$39:$AW$44,$AX$39:$AX$44))</f>
        <v/>
      </c>
      <c r="AD30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7" s="77">
        <f>IF(テーブル2[[#This Row],[体重]]="",0,(テーブル2[[#This Row],[体重]]-テーブル2[[#This Row],[標準体重]])/テーブル2[[#This Row],[標準体重]]*100)</f>
        <v>0</v>
      </c>
      <c r="AF307" s="26">
        <f>COUNTA(テーブル2[[#This Row],[握力]:[ボール投げ]])</f>
        <v>0</v>
      </c>
      <c r="AG307" s="1" t="str">
        <f>IF(テーブル2[[#This Row],[判定]]=$BE$10,"○","")</f>
        <v/>
      </c>
      <c r="AH307" s="1" t="str">
        <f>IF(AG307="","",COUNTIF($AG$6:AG307,"○"))</f>
        <v/>
      </c>
    </row>
    <row r="308" spans="1:34" ht="14.25" customHeight="1" x14ac:dyDescent="0.15">
      <c r="A308" s="44">
        <v>303</v>
      </c>
      <c r="B308" s="148"/>
      <c r="C308" s="151"/>
      <c r="D308" s="148"/>
      <c r="E308" s="152"/>
      <c r="F308" s="148"/>
      <c r="G308" s="148"/>
      <c r="H308" s="150"/>
      <c r="I308" s="150"/>
      <c r="J308" s="151"/>
      <c r="K308" s="148"/>
      <c r="L308" s="196"/>
      <c r="M308" s="151"/>
      <c r="N308" s="197"/>
      <c r="O308" s="151"/>
      <c r="P308" s="153"/>
      <c r="Q30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8" s="144" t="str">
        <f>IF(テーブル2[[#This Row],[得点]]=0,"",IF(テーブル2[[#This Row],[年齢]]=17,LOOKUP(Q308,$BH$6:$BH$10,$BE$6:$BE$10),IF(テーブル2[[#This Row],[年齢]]=16,LOOKUP(Q308,$BG$6:$BG$10,$BE$6:$BE$10),IF(テーブル2[[#This Row],[年齢]]=15,LOOKUP(Q308,$BF$6:$BF$10,$BE$6:$BE$10),IF(テーブル2[[#This Row],[年齢]]=14,LOOKUP(Q308,$BD$6:$BD$10,$BE$6:$BE$10),IF(テーブル2[[#This Row],[年齢]]=13,LOOKUP(Q308,$BC$6:$BC$10,$BE$6:$BE$10),LOOKUP(Q308,$BB$6:$BB$10,$BE$6:$BE$10)))))))</f>
        <v/>
      </c>
      <c r="S308" s="145">
        <f>IF(H308="",0,(IF(テーブル2[[#This Row],[性別]]="男",LOOKUP(テーブル2[[#This Row],[握力]],$AI$6:$AJ$15),LOOKUP(テーブル2[[#This Row],[握力]],$AI$20:$AJ$29))))</f>
        <v>0</v>
      </c>
      <c r="T308" s="145">
        <f>IF(テーブル2[[#This Row],[上体]]="",0,(IF(テーブル2[[#This Row],[性別]]="男",LOOKUP(テーブル2[[#This Row],[上体]],$AK$6:$AL$15),LOOKUP(テーブル2[[#This Row],[上体]],$AK$20:$AL$29))))</f>
        <v>0</v>
      </c>
      <c r="U308" s="145">
        <f>IF(テーブル2[[#This Row],[長座]]="",0,(IF(テーブル2[[#This Row],[性別]]="男",LOOKUP(テーブル2[[#This Row],[長座]],$AM$6:$AN$15),LOOKUP(テーブル2[[#This Row],[長座]],$AM$20:$AN$29))))</f>
        <v>0</v>
      </c>
      <c r="V308" s="145">
        <f>IF(テーブル2[[#This Row],[反復]]="",0,(IF(テーブル2[[#This Row],[性別]]="男",LOOKUP(テーブル2[[#This Row],[反復]],$AO$6:$AP$15),LOOKUP(テーブル2[[#This Row],[反復]],$AO$20:$AP$29))))</f>
        <v>0</v>
      </c>
      <c r="W308" s="145">
        <f>IF(テーブル2[[#This Row],[持久走]]="",0,(IF(テーブル2[[#This Row],[性別]]="男",LOOKUP(テーブル2[[#This Row],[持久走]],$AQ$6:$AR$15),LOOKUP(テーブル2[[#This Row],[持久走]],$AQ$20:$AR$29))))</f>
        <v>0</v>
      </c>
      <c r="X308" s="145">
        <f>IF(テーブル2[[#This Row],[ｼｬﾄﾙﾗﾝ]]="",0,(IF(テーブル2[[#This Row],[性別]]="男",LOOKUP(テーブル2[[#This Row],[ｼｬﾄﾙﾗﾝ]],$AS$6:$AT$15),LOOKUP(テーブル2[[#This Row],[ｼｬﾄﾙﾗﾝ]],$AS$20:$AT$29))))</f>
        <v>0</v>
      </c>
      <c r="Y308" s="145">
        <f>IF(テーブル2[[#This Row],[50m走]]="",0,(IF(テーブル2[[#This Row],[性別]]="男",LOOKUP(テーブル2[[#This Row],[50m走]],$AU$6:$AV$15),LOOKUP(テーブル2[[#This Row],[50m走]],$AU$20:$AV$29))))</f>
        <v>0</v>
      </c>
      <c r="Z308" s="145">
        <f>IF(テーブル2[[#This Row],[立幅とび]]="",0,(IF(テーブル2[[#This Row],[性別]]="男",LOOKUP(テーブル2[[#This Row],[立幅とび]],$AW$6:$AX$15),LOOKUP(テーブル2[[#This Row],[立幅とび]],$AW$20:$AX$29))))</f>
        <v>0</v>
      </c>
      <c r="AA308" s="145">
        <f>IF(テーブル2[[#This Row],[ボール投げ]]="",0,(IF(テーブル2[[#This Row],[性別]]="男",LOOKUP(テーブル2[[#This Row],[ボール投げ]],$AY$6:$AZ$15),LOOKUP(テーブル2[[#This Row],[ボール投げ]],$AY$20:$AZ$29))))</f>
        <v>0</v>
      </c>
      <c r="AB308" s="146" t="str">
        <f>IF(テーブル2[[#This Row],[学年]]=1,12,IF(テーブル2[[#This Row],[学年]]=2,13,IF(テーブル2[[#This Row],[学年]]=3,14,"")))</f>
        <v/>
      </c>
      <c r="AC308" s="192" t="str">
        <f>IF(テーブル2[[#This Row],[肥満度数値]]=0,"",LOOKUP(AE308,$AW$39:$AW$44,$AX$39:$AX$44))</f>
        <v/>
      </c>
      <c r="AD30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8" s="77">
        <f>IF(テーブル2[[#This Row],[体重]]="",0,(テーブル2[[#This Row],[体重]]-テーブル2[[#This Row],[標準体重]])/テーブル2[[#This Row],[標準体重]]*100)</f>
        <v>0</v>
      </c>
      <c r="AF308" s="26">
        <f>COUNTA(テーブル2[[#This Row],[握力]:[ボール投げ]])</f>
        <v>0</v>
      </c>
      <c r="AG308" s="1" t="str">
        <f>IF(テーブル2[[#This Row],[判定]]=$BE$10,"○","")</f>
        <v/>
      </c>
      <c r="AH308" s="1" t="str">
        <f>IF(AG308="","",COUNTIF($AG$6:AG308,"○"))</f>
        <v/>
      </c>
    </row>
    <row r="309" spans="1:34" ht="14.25" customHeight="1" x14ac:dyDescent="0.15">
      <c r="A309" s="44">
        <v>304</v>
      </c>
      <c r="B309" s="148"/>
      <c r="C309" s="151"/>
      <c r="D309" s="148"/>
      <c r="E309" s="152"/>
      <c r="F309" s="148"/>
      <c r="G309" s="148"/>
      <c r="H309" s="150"/>
      <c r="I309" s="150"/>
      <c r="J309" s="151"/>
      <c r="K309" s="148"/>
      <c r="L309" s="196"/>
      <c r="M309" s="151"/>
      <c r="N309" s="197"/>
      <c r="O309" s="151"/>
      <c r="P309" s="153"/>
      <c r="Q30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9" s="144" t="str">
        <f>IF(テーブル2[[#This Row],[得点]]=0,"",IF(テーブル2[[#This Row],[年齢]]=17,LOOKUP(Q309,$BH$6:$BH$10,$BE$6:$BE$10),IF(テーブル2[[#This Row],[年齢]]=16,LOOKUP(Q309,$BG$6:$BG$10,$BE$6:$BE$10),IF(テーブル2[[#This Row],[年齢]]=15,LOOKUP(Q309,$BF$6:$BF$10,$BE$6:$BE$10),IF(テーブル2[[#This Row],[年齢]]=14,LOOKUP(Q309,$BD$6:$BD$10,$BE$6:$BE$10),IF(テーブル2[[#This Row],[年齢]]=13,LOOKUP(Q309,$BC$6:$BC$10,$BE$6:$BE$10),LOOKUP(Q309,$BB$6:$BB$10,$BE$6:$BE$10)))))))</f>
        <v/>
      </c>
      <c r="S309" s="145">
        <f>IF(H309="",0,(IF(テーブル2[[#This Row],[性別]]="男",LOOKUP(テーブル2[[#This Row],[握力]],$AI$6:$AJ$15),LOOKUP(テーブル2[[#This Row],[握力]],$AI$20:$AJ$29))))</f>
        <v>0</v>
      </c>
      <c r="T309" s="145">
        <f>IF(テーブル2[[#This Row],[上体]]="",0,(IF(テーブル2[[#This Row],[性別]]="男",LOOKUP(テーブル2[[#This Row],[上体]],$AK$6:$AL$15),LOOKUP(テーブル2[[#This Row],[上体]],$AK$20:$AL$29))))</f>
        <v>0</v>
      </c>
      <c r="U309" s="145">
        <f>IF(テーブル2[[#This Row],[長座]]="",0,(IF(テーブル2[[#This Row],[性別]]="男",LOOKUP(テーブル2[[#This Row],[長座]],$AM$6:$AN$15),LOOKUP(テーブル2[[#This Row],[長座]],$AM$20:$AN$29))))</f>
        <v>0</v>
      </c>
      <c r="V309" s="145">
        <f>IF(テーブル2[[#This Row],[反復]]="",0,(IF(テーブル2[[#This Row],[性別]]="男",LOOKUP(テーブル2[[#This Row],[反復]],$AO$6:$AP$15),LOOKUP(テーブル2[[#This Row],[反復]],$AO$20:$AP$29))))</f>
        <v>0</v>
      </c>
      <c r="W309" s="145">
        <f>IF(テーブル2[[#This Row],[持久走]]="",0,(IF(テーブル2[[#This Row],[性別]]="男",LOOKUP(テーブル2[[#This Row],[持久走]],$AQ$6:$AR$15),LOOKUP(テーブル2[[#This Row],[持久走]],$AQ$20:$AR$29))))</f>
        <v>0</v>
      </c>
      <c r="X309" s="145">
        <f>IF(テーブル2[[#This Row],[ｼｬﾄﾙﾗﾝ]]="",0,(IF(テーブル2[[#This Row],[性別]]="男",LOOKUP(テーブル2[[#This Row],[ｼｬﾄﾙﾗﾝ]],$AS$6:$AT$15),LOOKUP(テーブル2[[#This Row],[ｼｬﾄﾙﾗﾝ]],$AS$20:$AT$29))))</f>
        <v>0</v>
      </c>
      <c r="Y309" s="145">
        <f>IF(テーブル2[[#This Row],[50m走]]="",0,(IF(テーブル2[[#This Row],[性別]]="男",LOOKUP(テーブル2[[#This Row],[50m走]],$AU$6:$AV$15),LOOKUP(テーブル2[[#This Row],[50m走]],$AU$20:$AV$29))))</f>
        <v>0</v>
      </c>
      <c r="Z309" s="145">
        <f>IF(テーブル2[[#This Row],[立幅とび]]="",0,(IF(テーブル2[[#This Row],[性別]]="男",LOOKUP(テーブル2[[#This Row],[立幅とび]],$AW$6:$AX$15),LOOKUP(テーブル2[[#This Row],[立幅とび]],$AW$20:$AX$29))))</f>
        <v>0</v>
      </c>
      <c r="AA309" s="145">
        <f>IF(テーブル2[[#This Row],[ボール投げ]]="",0,(IF(テーブル2[[#This Row],[性別]]="男",LOOKUP(テーブル2[[#This Row],[ボール投げ]],$AY$6:$AZ$15),LOOKUP(テーブル2[[#This Row],[ボール投げ]],$AY$20:$AZ$29))))</f>
        <v>0</v>
      </c>
      <c r="AB309" s="146" t="str">
        <f>IF(テーブル2[[#This Row],[学年]]=1,12,IF(テーブル2[[#This Row],[学年]]=2,13,IF(テーブル2[[#This Row],[学年]]=3,14,"")))</f>
        <v/>
      </c>
      <c r="AC309" s="192" t="str">
        <f>IF(テーブル2[[#This Row],[肥満度数値]]=0,"",LOOKUP(AE309,$AW$39:$AW$44,$AX$39:$AX$44))</f>
        <v/>
      </c>
      <c r="AD30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09" s="77">
        <f>IF(テーブル2[[#This Row],[体重]]="",0,(テーブル2[[#This Row],[体重]]-テーブル2[[#This Row],[標準体重]])/テーブル2[[#This Row],[標準体重]]*100)</f>
        <v>0</v>
      </c>
      <c r="AF309" s="26">
        <f>COUNTA(テーブル2[[#This Row],[握力]:[ボール投げ]])</f>
        <v>0</v>
      </c>
      <c r="AG309" s="1" t="str">
        <f>IF(テーブル2[[#This Row],[判定]]=$BE$10,"○","")</f>
        <v/>
      </c>
      <c r="AH309" s="1" t="str">
        <f>IF(AG309="","",COUNTIF($AG$6:AG309,"○"))</f>
        <v/>
      </c>
    </row>
    <row r="310" spans="1:34" ht="14.25" customHeight="1" x14ac:dyDescent="0.15">
      <c r="A310" s="44">
        <v>305</v>
      </c>
      <c r="B310" s="148"/>
      <c r="C310" s="151"/>
      <c r="D310" s="148"/>
      <c r="E310" s="152"/>
      <c r="F310" s="148"/>
      <c r="G310" s="148"/>
      <c r="H310" s="150"/>
      <c r="I310" s="150"/>
      <c r="J310" s="151"/>
      <c r="K310" s="148"/>
      <c r="L310" s="196"/>
      <c r="M310" s="151"/>
      <c r="N310" s="197"/>
      <c r="O310" s="151"/>
      <c r="P310" s="153"/>
      <c r="Q31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0" s="144" t="str">
        <f>IF(テーブル2[[#This Row],[得点]]=0,"",IF(テーブル2[[#This Row],[年齢]]=17,LOOKUP(Q310,$BH$6:$BH$10,$BE$6:$BE$10),IF(テーブル2[[#This Row],[年齢]]=16,LOOKUP(Q310,$BG$6:$BG$10,$BE$6:$BE$10),IF(テーブル2[[#This Row],[年齢]]=15,LOOKUP(Q310,$BF$6:$BF$10,$BE$6:$BE$10),IF(テーブル2[[#This Row],[年齢]]=14,LOOKUP(Q310,$BD$6:$BD$10,$BE$6:$BE$10),IF(テーブル2[[#This Row],[年齢]]=13,LOOKUP(Q310,$BC$6:$BC$10,$BE$6:$BE$10),LOOKUP(Q310,$BB$6:$BB$10,$BE$6:$BE$10)))))))</f>
        <v/>
      </c>
      <c r="S310" s="145">
        <f>IF(H310="",0,(IF(テーブル2[[#This Row],[性別]]="男",LOOKUP(テーブル2[[#This Row],[握力]],$AI$6:$AJ$15),LOOKUP(テーブル2[[#This Row],[握力]],$AI$20:$AJ$29))))</f>
        <v>0</v>
      </c>
      <c r="T310" s="145">
        <f>IF(テーブル2[[#This Row],[上体]]="",0,(IF(テーブル2[[#This Row],[性別]]="男",LOOKUP(テーブル2[[#This Row],[上体]],$AK$6:$AL$15),LOOKUP(テーブル2[[#This Row],[上体]],$AK$20:$AL$29))))</f>
        <v>0</v>
      </c>
      <c r="U310" s="145">
        <f>IF(テーブル2[[#This Row],[長座]]="",0,(IF(テーブル2[[#This Row],[性別]]="男",LOOKUP(テーブル2[[#This Row],[長座]],$AM$6:$AN$15),LOOKUP(テーブル2[[#This Row],[長座]],$AM$20:$AN$29))))</f>
        <v>0</v>
      </c>
      <c r="V310" s="145">
        <f>IF(テーブル2[[#This Row],[反復]]="",0,(IF(テーブル2[[#This Row],[性別]]="男",LOOKUP(テーブル2[[#This Row],[反復]],$AO$6:$AP$15),LOOKUP(テーブル2[[#This Row],[反復]],$AO$20:$AP$29))))</f>
        <v>0</v>
      </c>
      <c r="W310" s="145">
        <f>IF(テーブル2[[#This Row],[持久走]]="",0,(IF(テーブル2[[#This Row],[性別]]="男",LOOKUP(テーブル2[[#This Row],[持久走]],$AQ$6:$AR$15),LOOKUP(テーブル2[[#This Row],[持久走]],$AQ$20:$AR$29))))</f>
        <v>0</v>
      </c>
      <c r="X310" s="145">
        <f>IF(テーブル2[[#This Row],[ｼｬﾄﾙﾗﾝ]]="",0,(IF(テーブル2[[#This Row],[性別]]="男",LOOKUP(テーブル2[[#This Row],[ｼｬﾄﾙﾗﾝ]],$AS$6:$AT$15),LOOKUP(テーブル2[[#This Row],[ｼｬﾄﾙﾗﾝ]],$AS$20:$AT$29))))</f>
        <v>0</v>
      </c>
      <c r="Y310" s="145">
        <f>IF(テーブル2[[#This Row],[50m走]]="",0,(IF(テーブル2[[#This Row],[性別]]="男",LOOKUP(テーブル2[[#This Row],[50m走]],$AU$6:$AV$15),LOOKUP(テーブル2[[#This Row],[50m走]],$AU$20:$AV$29))))</f>
        <v>0</v>
      </c>
      <c r="Z310" s="145">
        <f>IF(テーブル2[[#This Row],[立幅とび]]="",0,(IF(テーブル2[[#This Row],[性別]]="男",LOOKUP(テーブル2[[#This Row],[立幅とび]],$AW$6:$AX$15),LOOKUP(テーブル2[[#This Row],[立幅とび]],$AW$20:$AX$29))))</f>
        <v>0</v>
      </c>
      <c r="AA310" s="145">
        <f>IF(テーブル2[[#This Row],[ボール投げ]]="",0,(IF(テーブル2[[#This Row],[性別]]="男",LOOKUP(テーブル2[[#This Row],[ボール投げ]],$AY$6:$AZ$15),LOOKUP(テーブル2[[#This Row],[ボール投げ]],$AY$20:$AZ$29))))</f>
        <v>0</v>
      </c>
      <c r="AB310" s="146" t="str">
        <f>IF(テーブル2[[#This Row],[学年]]=1,12,IF(テーブル2[[#This Row],[学年]]=2,13,IF(テーブル2[[#This Row],[学年]]=3,14,"")))</f>
        <v/>
      </c>
      <c r="AC310" s="192" t="str">
        <f>IF(テーブル2[[#This Row],[肥満度数値]]=0,"",LOOKUP(AE310,$AW$39:$AW$44,$AX$39:$AX$44))</f>
        <v/>
      </c>
      <c r="AD31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0" s="77">
        <f>IF(テーブル2[[#This Row],[体重]]="",0,(テーブル2[[#This Row],[体重]]-テーブル2[[#This Row],[標準体重]])/テーブル2[[#This Row],[標準体重]]*100)</f>
        <v>0</v>
      </c>
      <c r="AF310" s="26">
        <f>COUNTA(テーブル2[[#This Row],[握力]:[ボール投げ]])</f>
        <v>0</v>
      </c>
      <c r="AG310" s="1" t="str">
        <f>IF(テーブル2[[#This Row],[判定]]=$BE$10,"○","")</f>
        <v/>
      </c>
      <c r="AH310" s="1" t="str">
        <f>IF(AG310="","",COUNTIF($AG$6:AG310,"○"))</f>
        <v/>
      </c>
    </row>
    <row r="311" spans="1:34" ht="14.25" customHeight="1" x14ac:dyDescent="0.15">
      <c r="A311" s="44">
        <v>306</v>
      </c>
      <c r="B311" s="148"/>
      <c r="C311" s="151"/>
      <c r="D311" s="148"/>
      <c r="E311" s="152"/>
      <c r="F311" s="148"/>
      <c r="G311" s="148"/>
      <c r="H311" s="150"/>
      <c r="I311" s="150"/>
      <c r="J311" s="151"/>
      <c r="K311" s="148"/>
      <c r="L311" s="196"/>
      <c r="M311" s="151"/>
      <c r="N311" s="197"/>
      <c r="O311" s="151"/>
      <c r="P311" s="153"/>
      <c r="Q31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1" s="144" t="str">
        <f>IF(テーブル2[[#This Row],[得点]]=0,"",IF(テーブル2[[#This Row],[年齢]]=17,LOOKUP(Q311,$BH$6:$BH$10,$BE$6:$BE$10),IF(テーブル2[[#This Row],[年齢]]=16,LOOKUP(Q311,$BG$6:$BG$10,$BE$6:$BE$10),IF(テーブル2[[#This Row],[年齢]]=15,LOOKUP(Q311,$BF$6:$BF$10,$BE$6:$BE$10),IF(テーブル2[[#This Row],[年齢]]=14,LOOKUP(Q311,$BD$6:$BD$10,$BE$6:$BE$10),IF(テーブル2[[#This Row],[年齢]]=13,LOOKUP(Q311,$BC$6:$BC$10,$BE$6:$BE$10),LOOKUP(Q311,$BB$6:$BB$10,$BE$6:$BE$10)))))))</f>
        <v/>
      </c>
      <c r="S311" s="145">
        <f>IF(H311="",0,(IF(テーブル2[[#This Row],[性別]]="男",LOOKUP(テーブル2[[#This Row],[握力]],$AI$6:$AJ$15),LOOKUP(テーブル2[[#This Row],[握力]],$AI$20:$AJ$29))))</f>
        <v>0</v>
      </c>
      <c r="T311" s="145">
        <f>IF(テーブル2[[#This Row],[上体]]="",0,(IF(テーブル2[[#This Row],[性別]]="男",LOOKUP(テーブル2[[#This Row],[上体]],$AK$6:$AL$15),LOOKUP(テーブル2[[#This Row],[上体]],$AK$20:$AL$29))))</f>
        <v>0</v>
      </c>
      <c r="U311" s="145">
        <f>IF(テーブル2[[#This Row],[長座]]="",0,(IF(テーブル2[[#This Row],[性別]]="男",LOOKUP(テーブル2[[#This Row],[長座]],$AM$6:$AN$15),LOOKUP(テーブル2[[#This Row],[長座]],$AM$20:$AN$29))))</f>
        <v>0</v>
      </c>
      <c r="V311" s="145">
        <f>IF(テーブル2[[#This Row],[反復]]="",0,(IF(テーブル2[[#This Row],[性別]]="男",LOOKUP(テーブル2[[#This Row],[反復]],$AO$6:$AP$15),LOOKUP(テーブル2[[#This Row],[反復]],$AO$20:$AP$29))))</f>
        <v>0</v>
      </c>
      <c r="W311" s="145">
        <f>IF(テーブル2[[#This Row],[持久走]]="",0,(IF(テーブル2[[#This Row],[性別]]="男",LOOKUP(テーブル2[[#This Row],[持久走]],$AQ$6:$AR$15),LOOKUP(テーブル2[[#This Row],[持久走]],$AQ$20:$AR$29))))</f>
        <v>0</v>
      </c>
      <c r="X311" s="145">
        <f>IF(テーブル2[[#This Row],[ｼｬﾄﾙﾗﾝ]]="",0,(IF(テーブル2[[#This Row],[性別]]="男",LOOKUP(テーブル2[[#This Row],[ｼｬﾄﾙﾗﾝ]],$AS$6:$AT$15),LOOKUP(テーブル2[[#This Row],[ｼｬﾄﾙﾗﾝ]],$AS$20:$AT$29))))</f>
        <v>0</v>
      </c>
      <c r="Y311" s="145">
        <f>IF(テーブル2[[#This Row],[50m走]]="",0,(IF(テーブル2[[#This Row],[性別]]="男",LOOKUP(テーブル2[[#This Row],[50m走]],$AU$6:$AV$15),LOOKUP(テーブル2[[#This Row],[50m走]],$AU$20:$AV$29))))</f>
        <v>0</v>
      </c>
      <c r="Z311" s="145">
        <f>IF(テーブル2[[#This Row],[立幅とび]]="",0,(IF(テーブル2[[#This Row],[性別]]="男",LOOKUP(テーブル2[[#This Row],[立幅とび]],$AW$6:$AX$15),LOOKUP(テーブル2[[#This Row],[立幅とび]],$AW$20:$AX$29))))</f>
        <v>0</v>
      </c>
      <c r="AA311" s="145">
        <f>IF(テーブル2[[#This Row],[ボール投げ]]="",0,(IF(テーブル2[[#This Row],[性別]]="男",LOOKUP(テーブル2[[#This Row],[ボール投げ]],$AY$6:$AZ$15),LOOKUP(テーブル2[[#This Row],[ボール投げ]],$AY$20:$AZ$29))))</f>
        <v>0</v>
      </c>
      <c r="AB311" s="146" t="str">
        <f>IF(テーブル2[[#This Row],[学年]]=1,12,IF(テーブル2[[#This Row],[学年]]=2,13,IF(テーブル2[[#This Row],[学年]]=3,14,"")))</f>
        <v/>
      </c>
      <c r="AC311" s="192" t="str">
        <f>IF(テーブル2[[#This Row],[肥満度数値]]=0,"",LOOKUP(AE311,$AW$39:$AW$44,$AX$39:$AX$44))</f>
        <v/>
      </c>
      <c r="AD31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1" s="77">
        <f>IF(テーブル2[[#This Row],[体重]]="",0,(テーブル2[[#This Row],[体重]]-テーブル2[[#This Row],[標準体重]])/テーブル2[[#This Row],[標準体重]]*100)</f>
        <v>0</v>
      </c>
      <c r="AF311" s="26">
        <f>COUNTA(テーブル2[[#This Row],[握力]:[ボール投げ]])</f>
        <v>0</v>
      </c>
      <c r="AG311" s="1" t="str">
        <f>IF(テーブル2[[#This Row],[判定]]=$BE$10,"○","")</f>
        <v/>
      </c>
      <c r="AH311" s="1" t="str">
        <f>IF(AG311="","",COUNTIF($AG$6:AG311,"○"))</f>
        <v/>
      </c>
    </row>
    <row r="312" spans="1:34" ht="14.25" customHeight="1" x14ac:dyDescent="0.15">
      <c r="A312" s="44">
        <v>307</v>
      </c>
      <c r="B312" s="148"/>
      <c r="C312" s="151"/>
      <c r="D312" s="148"/>
      <c r="E312" s="152"/>
      <c r="F312" s="148"/>
      <c r="G312" s="148"/>
      <c r="H312" s="150"/>
      <c r="I312" s="150"/>
      <c r="J312" s="151"/>
      <c r="K312" s="148"/>
      <c r="L312" s="196"/>
      <c r="M312" s="151"/>
      <c r="N312" s="197"/>
      <c r="O312" s="151"/>
      <c r="P312" s="153"/>
      <c r="Q31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2" s="144" t="str">
        <f>IF(テーブル2[[#This Row],[得点]]=0,"",IF(テーブル2[[#This Row],[年齢]]=17,LOOKUP(Q312,$BH$6:$BH$10,$BE$6:$BE$10),IF(テーブル2[[#This Row],[年齢]]=16,LOOKUP(Q312,$BG$6:$BG$10,$BE$6:$BE$10),IF(テーブル2[[#This Row],[年齢]]=15,LOOKUP(Q312,$BF$6:$BF$10,$BE$6:$BE$10),IF(テーブル2[[#This Row],[年齢]]=14,LOOKUP(Q312,$BD$6:$BD$10,$BE$6:$BE$10),IF(テーブル2[[#This Row],[年齢]]=13,LOOKUP(Q312,$BC$6:$BC$10,$BE$6:$BE$10),LOOKUP(Q312,$BB$6:$BB$10,$BE$6:$BE$10)))))))</f>
        <v/>
      </c>
      <c r="S312" s="145">
        <f>IF(H312="",0,(IF(テーブル2[[#This Row],[性別]]="男",LOOKUP(テーブル2[[#This Row],[握力]],$AI$6:$AJ$15),LOOKUP(テーブル2[[#This Row],[握力]],$AI$20:$AJ$29))))</f>
        <v>0</v>
      </c>
      <c r="T312" s="145">
        <f>IF(テーブル2[[#This Row],[上体]]="",0,(IF(テーブル2[[#This Row],[性別]]="男",LOOKUP(テーブル2[[#This Row],[上体]],$AK$6:$AL$15),LOOKUP(テーブル2[[#This Row],[上体]],$AK$20:$AL$29))))</f>
        <v>0</v>
      </c>
      <c r="U312" s="145">
        <f>IF(テーブル2[[#This Row],[長座]]="",0,(IF(テーブル2[[#This Row],[性別]]="男",LOOKUP(テーブル2[[#This Row],[長座]],$AM$6:$AN$15),LOOKUP(テーブル2[[#This Row],[長座]],$AM$20:$AN$29))))</f>
        <v>0</v>
      </c>
      <c r="V312" s="145">
        <f>IF(テーブル2[[#This Row],[反復]]="",0,(IF(テーブル2[[#This Row],[性別]]="男",LOOKUP(テーブル2[[#This Row],[反復]],$AO$6:$AP$15),LOOKUP(テーブル2[[#This Row],[反復]],$AO$20:$AP$29))))</f>
        <v>0</v>
      </c>
      <c r="W312" s="145">
        <f>IF(テーブル2[[#This Row],[持久走]]="",0,(IF(テーブル2[[#This Row],[性別]]="男",LOOKUP(テーブル2[[#This Row],[持久走]],$AQ$6:$AR$15),LOOKUP(テーブル2[[#This Row],[持久走]],$AQ$20:$AR$29))))</f>
        <v>0</v>
      </c>
      <c r="X312" s="145">
        <f>IF(テーブル2[[#This Row],[ｼｬﾄﾙﾗﾝ]]="",0,(IF(テーブル2[[#This Row],[性別]]="男",LOOKUP(テーブル2[[#This Row],[ｼｬﾄﾙﾗﾝ]],$AS$6:$AT$15),LOOKUP(テーブル2[[#This Row],[ｼｬﾄﾙﾗﾝ]],$AS$20:$AT$29))))</f>
        <v>0</v>
      </c>
      <c r="Y312" s="145">
        <f>IF(テーブル2[[#This Row],[50m走]]="",0,(IF(テーブル2[[#This Row],[性別]]="男",LOOKUP(テーブル2[[#This Row],[50m走]],$AU$6:$AV$15),LOOKUP(テーブル2[[#This Row],[50m走]],$AU$20:$AV$29))))</f>
        <v>0</v>
      </c>
      <c r="Z312" s="145">
        <f>IF(テーブル2[[#This Row],[立幅とび]]="",0,(IF(テーブル2[[#This Row],[性別]]="男",LOOKUP(テーブル2[[#This Row],[立幅とび]],$AW$6:$AX$15),LOOKUP(テーブル2[[#This Row],[立幅とび]],$AW$20:$AX$29))))</f>
        <v>0</v>
      </c>
      <c r="AA312" s="145">
        <f>IF(テーブル2[[#This Row],[ボール投げ]]="",0,(IF(テーブル2[[#This Row],[性別]]="男",LOOKUP(テーブル2[[#This Row],[ボール投げ]],$AY$6:$AZ$15),LOOKUP(テーブル2[[#This Row],[ボール投げ]],$AY$20:$AZ$29))))</f>
        <v>0</v>
      </c>
      <c r="AB312" s="146" t="str">
        <f>IF(テーブル2[[#This Row],[学年]]=1,12,IF(テーブル2[[#This Row],[学年]]=2,13,IF(テーブル2[[#This Row],[学年]]=3,14,"")))</f>
        <v/>
      </c>
      <c r="AC312" s="192" t="str">
        <f>IF(テーブル2[[#This Row],[肥満度数値]]=0,"",LOOKUP(AE312,$AW$39:$AW$44,$AX$39:$AX$44))</f>
        <v/>
      </c>
      <c r="AD31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2" s="77">
        <f>IF(テーブル2[[#This Row],[体重]]="",0,(テーブル2[[#This Row],[体重]]-テーブル2[[#This Row],[標準体重]])/テーブル2[[#This Row],[標準体重]]*100)</f>
        <v>0</v>
      </c>
      <c r="AF312" s="26">
        <f>COUNTA(テーブル2[[#This Row],[握力]:[ボール投げ]])</f>
        <v>0</v>
      </c>
      <c r="AG312" s="1" t="str">
        <f>IF(テーブル2[[#This Row],[判定]]=$BE$10,"○","")</f>
        <v/>
      </c>
      <c r="AH312" s="1" t="str">
        <f>IF(AG312="","",COUNTIF($AG$6:AG312,"○"))</f>
        <v/>
      </c>
    </row>
    <row r="313" spans="1:34" ht="14.25" customHeight="1" x14ac:dyDescent="0.15">
      <c r="A313" s="44">
        <v>308</v>
      </c>
      <c r="B313" s="148"/>
      <c r="C313" s="151"/>
      <c r="D313" s="148"/>
      <c r="E313" s="152"/>
      <c r="F313" s="148"/>
      <c r="G313" s="148"/>
      <c r="H313" s="150"/>
      <c r="I313" s="150"/>
      <c r="J313" s="151"/>
      <c r="K313" s="148"/>
      <c r="L313" s="196"/>
      <c r="M313" s="151"/>
      <c r="N313" s="197"/>
      <c r="O313" s="151"/>
      <c r="P313" s="153"/>
      <c r="Q31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3" s="144" t="str">
        <f>IF(テーブル2[[#This Row],[得点]]=0,"",IF(テーブル2[[#This Row],[年齢]]=17,LOOKUP(Q313,$BH$6:$BH$10,$BE$6:$BE$10),IF(テーブル2[[#This Row],[年齢]]=16,LOOKUP(Q313,$BG$6:$BG$10,$BE$6:$BE$10),IF(テーブル2[[#This Row],[年齢]]=15,LOOKUP(Q313,$BF$6:$BF$10,$BE$6:$BE$10),IF(テーブル2[[#This Row],[年齢]]=14,LOOKUP(Q313,$BD$6:$BD$10,$BE$6:$BE$10),IF(テーブル2[[#This Row],[年齢]]=13,LOOKUP(Q313,$BC$6:$BC$10,$BE$6:$BE$10),LOOKUP(Q313,$BB$6:$BB$10,$BE$6:$BE$10)))))))</f>
        <v/>
      </c>
      <c r="S313" s="145">
        <f>IF(H313="",0,(IF(テーブル2[[#This Row],[性別]]="男",LOOKUP(テーブル2[[#This Row],[握力]],$AI$6:$AJ$15),LOOKUP(テーブル2[[#This Row],[握力]],$AI$20:$AJ$29))))</f>
        <v>0</v>
      </c>
      <c r="T313" s="145">
        <f>IF(テーブル2[[#This Row],[上体]]="",0,(IF(テーブル2[[#This Row],[性別]]="男",LOOKUP(テーブル2[[#This Row],[上体]],$AK$6:$AL$15),LOOKUP(テーブル2[[#This Row],[上体]],$AK$20:$AL$29))))</f>
        <v>0</v>
      </c>
      <c r="U313" s="145">
        <f>IF(テーブル2[[#This Row],[長座]]="",0,(IF(テーブル2[[#This Row],[性別]]="男",LOOKUP(テーブル2[[#This Row],[長座]],$AM$6:$AN$15),LOOKUP(テーブル2[[#This Row],[長座]],$AM$20:$AN$29))))</f>
        <v>0</v>
      </c>
      <c r="V313" s="145">
        <f>IF(テーブル2[[#This Row],[反復]]="",0,(IF(テーブル2[[#This Row],[性別]]="男",LOOKUP(テーブル2[[#This Row],[反復]],$AO$6:$AP$15),LOOKUP(テーブル2[[#This Row],[反復]],$AO$20:$AP$29))))</f>
        <v>0</v>
      </c>
      <c r="W313" s="145">
        <f>IF(テーブル2[[#This Row],[持久走]]="",0,(IF(テーブル2[[#This Row],[性別]]="男",LOOKUP(テーブル2[[#This Row],[持久走]],$AQ$6:$AR$15),LOOKUP(テーブル2[[#This Row],[持久走]],$AQ$20:$AR$29))))</f>
        <v>0</v>
      </c>
      <c r="X313" s="145">
        <f>IF(テーブル2[[#This Row],[ｼｬﾄﾙﾗﾝ]]="",0,(IF(テーブル2[[#This Row],[性別]]="男",LOOKUP(テーブル2[[#This Row],[ｼｬﾄﾙﾗﾝ]],$AS$6:$AT$15),LOOKUP(テーブル2[[#This Row],[ｼｬﾄﾙﾗﾝ]],$AS$20:$AT$29))))</f>
        <v>0</v>
      </c>
      <c r="Y313" s="145">
        <f>IF(テーブル2[[#This Row],[50m走]]="",0,(IF(テーブル2[[#This Row],[性別]]="男",LOOKUP(テーブル2[[#This Row],[50m走]],$AU$6:$AV$15),LOOKUP(テーブル2[[#This Row],[50m走]],$AU$20:$AV$29))))</f>
        <v>0</v>
      </c>
      <c r="Z313" s="145">
        <f>IF(テーブル2[[#This Row],[立幅とび]]="",0,(IF(テーブル2[[#This Row],[性別]]="男",LOOKUP(テーブル2[[#This Row],[立幅とび]],$AW$6:$AX$15),LOOKUP(テーブル2[[#This Row],[立幅とび]],$AW$20:$AX$29))))</f>
        <v>0</v>
      </c>
      <c r="AA313" s="145">
        <f>IF(テーブル2[[#This Row],[ボール投げ]]="",0,(IF(テーブル2[[#This Row],[性別]]="男",LOOKUP(テーブル2[[#This Row],[ボール投げ]],$AY$6:$AZ$15),LOOKUP(テーブル2[[#This Row],[ボール投げ]],$AY$20:$AZ$29))))</f>
        <v>0</v>
      </c>
      <c r="AB313" s="146" t="str">
        <f>IF(テーブル2[[#This Row],[学年]]=1,12,IF(テーブル2[[#This Row],[学年]]=2,13,IF(テーブル2[[#This Row],[学年]]=3,14,"")))</f>
        <v/>
      </c>
      <c r="AC313" s="192" t="str">
        <f>IF(テーブル2[[#This Row],[肥満度数値]]=0,"",LOOKUP(AE313,$AW$39:$AW$44,$AX$39:$AX$44))</f>
        <v/>
      </c>
      <c r="AD31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3" s="77">
        <f>IF(テーブル2[[#This Row],[体重]]="",0,(テーブル2[[#This Row],[体重]]-テーブル2[[#This Row],[標準体重]])/テーブル2[[#This Row],[標準体重]]*100)</f>
        <v>0</v>
      </c>
      <c r="AF313" s="26">
        <f>COUNTA(テーブル2[[#This Row],[握力]:[ボール投げ]])</f>
        <v>0</v>
      </c>
      <c r="AG313" s="1" t="str">
        <f>IF(テーブル2[[#This Row],[判定]]=$BE$10,"○","")</f>
        <v/>
      </c>
      <c r="AH313" s="1" t="str">
        <f>IF(AG313="","",COUNTIF($AG$6:AG313,"○"))</f>
        <v/>
      </c>
    </row>
    <row r="314" spans="1:34" ht="14.25" customHeight="1" x14ac:dyDescent="0.15">
      <c r="A314" s="44">
        <v>309</v>
      </c>
      <c r="B314" s="148"/>
      <c r="C314" s="151"/>
      <c r="D314" s="148"/>
      <c r="E314" s="152"/>
      <c r="F314" s="148"/>
      <c r="G314" s="148"/>
      <c r="H314" s="150"/>
      <c r="I314" s="150"/>
      <c r="J314" s="151"/>
      <c r="K314" s="148"/>
      <c r="L314" s="196"/>
      <c r="M314" s="151"/>
      <c r="N314" s="197"/>
      <c r="O314" s="151"/>
      <c r="P314" s="153"/>
      <c r="Q31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4" s="144" t="str">
        <f>IF(テーブル2[[#This Row],[得点]]=0,"",IF(テーブル2[[#This Row],[年齢]]=17,LOOKUP(Q314,$BH$6:$BH$10,$BE$6:$BE$10),IF(テーブル2[[#This Row],[年齢]]=16,LOOKUP(Q314,$BG$6:$BG$10,$BE$6:$BE$10),IF(テーブル2[[#This Row],[年齢]]=15,LOOKUP(Q314,$BF$6:$BF$10,$BE$6:$BE$10),IF(テーブル2[[#This Row],[年齢]]=14,LOOKUP(Q314,$BD$6:$BD$10,$BE$6:$BE$10),IF(テーブル2[[#This Row],[年齢]]=13,LOOKUP(Q314,$BC$6:$BC$10,$BE$6:$BE$10),LOOKUP(Q314,$BB$6:$BB$10,$BE$6:$BE$10)))))))</f>
        <v/>
      </c>
      <c r="S314" s="145">
        <f>IF(H314="",0,(IF(テーブル2[[#This Row],[性別]]="男",LOOKUP(テーブル2[[#This Row],[握力]],$AI$6:$AJ$15),LOOKUP(テーブル2[[#This Row],[握力]],$AI$20:$AJ$29))))</f>
        <v>0</v>
      </c>
      <c r="T314" s="145">
        <f>IF(テーブル2[[#This Row],[上体]]="",0,(IF(テーブル2[[#This Row],[性別]]="男",LOOKUP(テーブル2[[#This Row],[上体]],$AK$6:$AL$15),LOOKUP(テーブル2[[#This Row],[上体]],$AK$20:$AL$29))))</f>
        <v>0</v>
      </c>
      <c r="U314" s="145">
        <f>IF(テーブル2[[#This Row],[長座]]="",0,(IF(テーブル2[[#This Row],[性別]]="男",LOOKUP(テーブル2[[#This Row],[長座]],$AM$6:$AN$15),LOOKUP(テーブル2[[#This Row],[長座]],$AM$20:$AN$29))))</f>
        <v>0</v>
      </c>
      <c r="V314" s="145">
        <f>IF(テーブル2[[#This Row],[反復]]="",0,(IF(テーブル2[[#This Row],[性別]]="男",LOOKUP(テーブル2[[#This Row],[反復]],$AO$6:$AP$15),LOOKUP(テーブル2[[#This Row],[反復]],$AO$20:$AP$29))))</f>
        <v>0</v>
      </c>
      <c r="W314" s="145">
        <f>IF(テーブル2[[#This Row],[持久走]]="",0,(IF(テーブル2[[#This Row],[性別]]="男",LOOKUP(テーブル2[[#This Row],[持久走]],$AQ$6:$AR$15),LOOKUP(テーブル2[[#This Row],[持久走]],$AQ$20:$AR$29))))</f>
        <v>0</v>
      </c>
      <c r="X314" s="145">
        <f>IF(テーブル2[[#This Row],[ｼｬﾄﾙﾗﾝ]]="",0,(IF(テーブル2[[#This Row],[性別]]="男",LOOKUP(テーブル2[[#This Row],[ｼｬﾄﾙﾗﾝ]],$AS$6:$AT$15),LOOKUP(テーブル2[[#This Row],[ｼｬﾄﾙﾗﾝ]],$AS$20:$AT$29))))</f>
        <v>0</v>
      </c>
      <c r="Y314" s="145">
        <f>IF(テーブル2[[#This Row],[50m走]]="",0,(IF(テーブル2[[#This Row],[性別]]="男",LOOKUP(テーブル2[[#This Row],[50m走]],$AU$6:$AV$15),LOOKUP(テーブル2[[#This Row],[50m走]],$AU$20:$AV$29))))</f>
        <v>0</v>
      </c>
      <c r="Z314" s="145">
        <f>IF(テーブル2[[#This Row],[立幅とび]]="",0,(IF(テーブル2[[#This Row],[性別]]="男",LOOKUP(テーブル2[[#This Row],[立幅とび]],$AW$6:$AX$15),LOOKUP(テーブル2[[#This Row],[立幅とび]],$AW$20:$AX$29))))</f>
        <v>0</v>
      </c>
      <c r="AA314" s="145">
        <f>IF(テーブル2[[#This Row],[ボール投げ]]="",0,(IF(テーブル2[[#This Row],[性別]]="男",LOOKUP(テーブル2[[#This Row],[ボール投げ]],$AY$6:$AZ$15),LOOKUP(テーブル2[[#This Row],[ボール投げ]],$AY$20:$AZ$29))))</f>
        <v>0</v>
      </c>
      <c r="AB314" s="146" t="str">
        <f>IF(テーブル2[[#This Row],[学年]]=1,12,IF(テーブル2[[#This Row],[学年]]=2,13,IF(テーブル2[[#This Row],[学年]]=3,14,"")))</f>
        <v/>
      </c>
      <c r="AC314" s="192" t="str">
        <f>IF(テーブル2[[#This Row],[肥満度数値]]=0,"",LOOKUP(AE314,$AW$39:$AW$44,$AX$39:$AX$44))</f>
        <v/>
      </c>
      <c r="AD31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4" s="77">
        <f>IF(テーブル2[[#This Row],[体重]]="",0,(テーブル2[[#This Row],[体重]]-テーブル2[[#This Row],[標準体重]])/テーブル2[[#This Row],[標準体重]]*100)</f>
        <v>0</v>
      </c>
      <c r="AF314" s="26">
        <f>COUNTA(テーブル2[[#This Row],[握力]:[ボール投げ]])</f>
        <v>0</v>
      </c>
      <c r="AG314" s="1" t="str">
        <f>IF(テーブル2[[#This Row],[判定]]=$BE$10,"○","")</f>
        <v/>
      </c>
      <c r="AH314" s="1" t="str">
        <f>IF(AG314="","",COUNTIF($AG$6:AG314,"○"))</f>
        <v/>
      </c>
    </row>
    <row r="315" spans="1:34" ht="14.25" customHeight="1" x14ac:dyDescent="0.15">
      <c r="A315" s="44">
        <v>310</v>
      </c>
      <c r="B315" s="148"/>
      <c r="C315" s="151"/>
      <c r="D315" s="148"/>
      <c r="E315" s="152"/>
      <c r="F315" s="148"/>
      <c r="G315" s="148"/>
      <c r="H315" s="150"/>
      <c r="I315" s="150"/>
      <c r="J315" s="151"/>
      <c r="K315" s="148"/>
      <c r="L315" s="196"/>
      <c r="M315" s="151"/>
      <c r="N315" s="197"/>
      <c r="O315" s="151"/>
      <c r="P315" s="153"/>
      <c r="Q31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5" s="144" t="str">
        <f>IF(テーブル2[[#This Row],[得点]]=0,"",IF(テーブル2[[#This Row],[年齢]]=17,LOOKUP(Q315,$BH$6:$BH$10,$BE$6:$BE$10),IF(テーブル2[[#This Row],[年齢]]=16,LOOKUP(Q315,$BG$6:$BG$10,$BE$6:$BE$10),IF(テーブル2[[#This Row],[年齢]]=15,LOOKUP(Q315,$BF$6:$BF$10,$BE$6:$BE$10),IF(テーブル2[[#This Row],[年齢]]=14,LOOKUP(Q315,$BD$6:$BD$10,$BE$6:$BE$10),IF(テーブル2[[#This Row],[年齢]]=13,LOOKUP(Q315,$BC$6:$BC$10,$BE$6:$BE$10),LOOKUP(Q315,$BB$6:$BB$10,$BE$6:$BE$10)))))))</f>
        <v/>
      </c>
      <c r="S315" s="145">
        <f>IF(H315="",0,(IF(テーブル2[[#This Row],[性別]]="男",LOOKUP(テーブル2[[#This Row],[握力]],$AI$6:$AJ$15),LOOKUP(テーブル2[[#This Row],[握力]],$AI$20:$AJ$29))))</f>
        <v>0</v>
      </c>
      <c r="T315" s="145">
        <f>IF(テーブル2[[#This Row],[上体]]="",0,(IF(テーブル2[[#This Row],[性別]]="男",LOOKUP(テーブル2[[#This Row],[上体]],$AK$6:$AL$15),LOOKUP(テーブル2[[#This Row],[上体]],$AK$20:$AL$29))))</f>
        <v>0</v>
      </c>
      <c r="U315" s="145">
        <f>IF(テーブル2[[#This Row],[長座]]="",0,(IF(テーブル2[[#This Row],[性別]]="男",LOOKUP(テーブル2[[#This Row],[長座]],$AM$6:$AN$15),LOOKUP(テーブル2[[#This Row],[長座]],$AM$20:$AN$29))))</f>
        <v>0</v>
      </c>
      <c r="V315" s="145">
        <f>IF(テーブル2[[#This Row],[反復]]="",0,(IF(テーブル2[[#This Row],[性別]]="男",LOOKUP(テーブル2[[#This Row],[反復]],$AO$6:$AP$15),LOOKUP(テーブル2[[#This Row],[反復]],$AO$20:$AP$29))))</f>
        <v>0</v>
      </c>
      <c r="W315" s="145">
        <f>IF(テーブル2[[#This Row],[持久走]]="",0,(IF(テーブル2[[#This Row],[性別]]="男",LOOKUP(テーブル2[[#This Row],[持久走]],$AQ$6:$AR$15),LOOKUP(テーブル2[[#This Row],[持久走]],$AQ$20:$AR$29))))</f>
        <v>0</v>
      </c>
      <c r="X315" s="145">
        <f>IF(テーブル2[[#This Row],[ｼｬﾄﾙﾗﾝ]]="",0,(IF(テーブル2[[#This Row],[性別]]="男",LOOKUP(テーブル2[[#This Row],[ｼｬﾄﾙﾗﾝ]],$AS$6:$AT$15),LOOKUP(テーブル2[[#This Row],[ｼｬﾄﾙﾗﾝ]],$AS$20:$AT$29))))</f>
        <v>0</v>
      </c>
      <c r="Y315" s="145">
        <f>IF(テーブル2[[#This Row],[50m走]]="",0,(IF(テーブル2[[#This Row],[性別]]="男",LOOKUP(テーブル2[[#This Row],[50m走]],$AU$6:$AV$15),LOOKUP(テーブル2[[#This Row],[50m走]],$AU$20:$AV$29))))</f>
        <v>0</v>
      </c>
      <c r="Z315" s="145">
        <f>IF(テーブル2[[#This Row],[立幅とび]]="",0,(IF(テーブル2[[#This Row],[性別]]="男",LOOKUP(テーブル2[[#This Row],[立幅とび]],$AW$6:$AX$15),LOOKUP(テーブル2[[#This Row],[立幅とび]],$AW$20:$AX$29))))</f>
        <v>0</v>
      </c>
      <c r="AA315" s="145">
        <f>IF(テーブル2[[#This Row],[ボール投げ]]="",0,(IF(テーブル2[[#This Row],[性別]]="男",LOOKUP(テーブル2[[#This Row],[ボール投げ]],$AY$6:$AZ$15),LOOKUP(テーブル2[[#This Row],[ボール投げ]],$AY$20:$AZ$29))))</f>
        <v>0</v>
      </c>
      <c r="AB315" s="146" t="str">
        <f>IF(テーブル2[[#This Row],[学年]]=1,12,IF(テーブル2[[#This Row],[学年]]=2,13,IF(テーブル2[[#This Row],[学年]]=3,14,"")))</f>
        <v/>
      </c>
      <c r="AC315" s="192" t="str">
        <f>IF(テーブル2[[#This Row],[肥満度数値]]=0,"",LOOKUP(AE315,$AW$39:$AW$44,$AX$39:$AX$44))</f>
        <v/>
      </c>
      <c r="AD31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5" s="77">
        <f>IF(テーブル2[[#This Row],[体重]]="",0,(テーブル2[[#This Row],[体重]]-テーブル2[[#This Row],[標準体重]])/テーブル2[[#This Row],[標準体重]]*100)</f>
        <v>0</v>
      </c>
      <c r="AF315" s="26">
        <f>COUNTA(テーブル2[[#This Row],[握力]:[ボール投げ]])</f>
        <v>0</v>
      </c>
      <c r="AG315" s="1" t="str">
        <f>IF(テーブル2[[#This Row],[判定]]=$BE$10,"○","")</f>
        <v/>
      </c>
      <c r="AH315" s="1" t="str">
        <f>IF(AG315="","",COUNTIF($AG$6:AG315,"○"))</f>
        <v/>
      </c>
    </row>
    <row r="316" spans="1:34" ht="14.25" customHeight="1" x14ac:dyDescent="0.15">
      <c r="A316" s="44">
        <v>311</v>
      </c>
      <c r="B316" s="148"/>
      <c r="C316" s="151"/>
      <c r="D316" s="148"/>
      <c r="E316" s="152"/>
      <c r="F316" s="148"/>
      <c r="G316" s="148"/>
      <c r="H316" s="150"/>
      <c r="I316" s="150"/>
      <c r="J316" s="151"/>
      <c r="K316" s="148"/>
      <c r="L316" s="196"/>
      <c r="M316" s="151"/>
      <c r="N316" s="197"/>
      <c r="O316" s="151"/>
      <c r="P316" s="153"/>
      <c r="Q31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6" s="144" t="str">
        <f>IF(テーブル2[[#This Row],[得点]]=0,"",IF(テーブル2[[#This Row],[年齢]]=17,LOOKUP(Q316,$BH$6:$BH$10,$BE$6:$BE$10),IF(テーブル2[[#This Row],[年齢]]=16,LOOKUP(Q316,$BG$6:$BG$10,$BE$6:$BE$10),IF(テーブル2[[#This Row],[年齢]]=15,LOOKUP(Q316,$BF$6:$BF$10,$BE$6:$BE$10),IF(テーブル2[[#This Row],[年齢]]=14,LOOKUP(Q316,$BD$6:$BD$10,$BE$6:$BE$10),IF(テーブル2[[#This Row],[年齢]]=13,LOOKUP(Q316,$BC$6:$BC$10,$BE$6:$BE$10),LOOKUP(Q316,$BB$6:$BB$10,$BE$6:$BE$10)))))))</f>
        <v/>
      </c>
      <c r="S316" s="145">
        <f>IF(H316="",0,(IF(テーブル2[[#This Row],[性別]]="男",LOOKUP(テーブル2[[#This Row],[握力]],$AI$6:$AJ$15),LOOKUP(テーブル2[[#This Row],[握力]],$AI$20:$AJ$29))))</f>
        <v>0</v>
      </c>
      <c r="T316" s="145">
        <f>IF(テーブル2[[#This Row],[上体]]="",0,(IF(テーブル2[[#This Row],[性別]]="男",LOOKUP(テーブル2[[#This Row],[上体]],$AK$6:$AL$15),LOOKUP(テーブル2[[#This Row],[上体]],$AK$20:$AL$29))))</f>
        <v>0</v>
      </c>
      <c r="U316" s="145">
        <f>IF(テーブル2[[#This Row],[長座]]="",0,(IF(テーブル2[[#This Row],[性別]]="男",LOOKUP(テーブル2[[#This Row],[長座]],$AM$6:$AN$15),LOOKUP(テーブル2[[#This Row],[長座]],$AM$20:$AN$29))))</f>
        <v>0</v>
      </c>
      <c r="V316" s="145">
        <f>IF(テーブル2[[#This Row],[反復]]="",0,(IF(テーブル2[[#This Row],[性別]]="男",LOOKUP(テーブル2[[#This Row],[反復]],$AO$6:$AP$15),LOOKUP(テーブル2[[#This Row],[反復]],$AO$20:$AP$29))))</f>
        <v>0</v>
      </c>
      <c r="W316" s="145">
        <f>IF(テーブル2[[#This Row],[持久走]]="",0,(IF(テーブル2[[#This Row],[性別]]="男",LOOKUP(テーブル2[[#This Row],[持久走]],$AQ$6:$AR$15),LOOKUP(テーブル2[[#This Row],[持久走]],$AQ$20:$AR$29))))</f>
        <v>0</v>
      </c>
      <c r="X316" s="145">
        <f>IF(テーブル2[[#This Row],[ｼｬﾄﾙﾗﾝ]]="",0,(IF(テーブル2[[#This Row],[性別]]="男",LOOKUP(テーブル2[[#This Row],[ｼｬﾄﾙﾗﾝ]],$AS$6:$AT$15),LOOKUP(テーブル2[[#This Row],[ｼｬﾄﾙﾗﾝ]],$AS$20:$AT$29))))</f>
        <v>0</v>
      </c>
      <c r="Y316" s="145">
        <f>IF(テーブル2[[#This Row],[50m走]]="",0,(IF(テーブル2[[#This Row],[性別]]="男",LOOKUP(テーブル2[[#This Row],[50m走]],$AU$6:$AV$15),LOOKUP(テーブル2[[#This Row],[50m走]],$AU$20:$AV$29))))</f>
        <v>0</v>
      </c>
      <c r="Z316" s="145">
        <f>IF(テーブル2[[#This Row],[立幅とび]]="",0,(IF(テーブル2[[#This Row],[性別]]="男",LOOKUP(テーブル2[[#This Row],[立幅とび]],$AW$6:$AX$15),LOOKUP(テーブル2[[#This Row],[立幅とび]],$AW$20:$AX$29))))</f>
        <v>0</v>
      </c>
      <c r="AA316" s="145">
        <f>IF(テーブル2[[#This Row],[ボール投げ]]="",0,(IF(テーブル2[[#This Row],[性別]]="男",LOOKUP(テーブル2[[#This Row],[ボール投げ]],$AY$6:$AZ$15),LOOKUP(テーブル2[[#This Row],[ボール投げ]],$AY$20:$AZ$29))))</f>
        <v>0</v>
      </c>
      <c r="AB316" s="146" t="str">
        <f>IF(テーブル2[[#This Row],[学年]]=1,12,IF(テーブル2[[#This Row],[学年]]=2,13,IF(テーブル2[[#This Row],[学年]]=3,14,"")))</f>
        <v/>
      </c>
      <c r="AC316" s="192" t="str">
        <f>IF(テーブル2[[#This Row],[肥満度数値]]=0,"",LOOKUP(AE316,$AW$39:$AW$44,$AX$39:$AX$44))</f>
        <v/>
      </c>
      <c r="AD31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6" s="77">
        <f>IF(テーブル2[[#This Row],[体重]]="",0,(テーブル2[[#This Row],[体重]]-テーブル2[[#This Row],[標準体重]])/テーブル2[[#This Row],[標準体重]]*100)</f>
        <v>0</v>
      </c>
      <c r="AF316" s="26">
        <f>COUNTA(テーブル2[[#This Row],[握力]:[ボール投げ]])</f>
        <v>0</v>
      </c>
      <c r="AG316" s="1" t="str">
        <f>IF(テーブル2[[#This Row],[判定]]=$BE$10,"○","")</f>
        <v/>
      </c>
      <c r="AH316" s="1" t="str">
        <f>IF(AG316="","",COUNTIF($AG$6:AG316,"○"))</f>
        <v/>
      </c>
    </row>
    <row r="317" spans="1:34" ht="14.25" customHeight="1" x14ac:dyDescent="0.15">
      <c r="A317" s="44">
        <v>312</v>
      </c>
      <c r="B317" s="148"/>
      <c r="C317" s="151"/>
      <c r="D317" s="148"/>
      <c r="E317" s="152"/>
      <c r="F317" s="148"/>
      <c r="G317" s="148"/>
      <c r="H317" s="150"/>
      <c r="I317" s="150"/>
      <c r="J317" s="151"/>
      <c r="K317" s="148"/>
      <c r="L317" s="196"/>
      <c r="M317" s="151"/>
      <c r="N317" s="197"/>
      <c r="O317" s="151"/>
      <c r="P317" s="153"/>
      <c r="Q31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7" s="144" t="str">
        <f>IF(テーブル2[[#This Row],[得点]]=0,"",IF(テーブル2[[#This Row],[年齢]]=17,LOOKUP(Q317,$BH$6:$BH$10,$BE$6:$BE$10),IF(テーブル2[[#This Row],[年齢]]=16,LOOKUP(Q317,$BG$6:$BG$10,$BE$6:$BE$10),IF(テーブル2[[#This Row],[年齢]]=15,LOOKUP(Q317,$BF$6:$BF$10,$BE$6:$BE$10),IF(テーブル2[[#This Row],[年齢]]=14,LOOKUP(Q317,$BD$6:$BD$10,$BE$6:$BE$10),IF(テーブル2[[#This Row],[年齢]]=13,LOOKUP(Q317,$BC$6:$BC$10,$BE$6:$BE$10),LOOKUP(Q317,$BB$6:$BB$10,$BE$6:$BE$10)))))))</f>
        <v/>
      </c>
      <c r="S317" s="145">
        <f>IF(H317="",0,(IF(テーブル2[[#This Row],[性別]]="男",LOOKUP(テーブル2[[#This Row],[握力]],$AI$6:$AJ$15),LOOKUP(テーブル2[[#This Row],[握力]],$AI$20:$AJ$29))))</f>
        <v>0</v>
      </c>
      <c r="T317" s="145">
        <f>IF(テーブル2[[#This Row],[上体]]="",0,(IF(テーブル2[[#This Row],[性別]]="男",LOOKUP(テーブル2[[#This Row],[上体]],$AK$6:$AL$15),LOOKUP(テーブル2[[#This Row],[上体]],$AK$20:$AL$29))))</f>
        <v>0</v>
      </c>
      <c r="U317" s="145">
        <f>IF(テーブル2[[#This Row],[長座]]="",0,(IF(テーブル2[[#This Row],[性別]]="男",LOOKUP(テーブル2[[#This Row],[長座]],$AM$6:$AN$15),LOOKUP(テーブル2[[#This Row],[長座]],$AM$20:$AN$29))))</f>
        <v>0</v>
      </c>
      <c r="V317" s="145">
        <f>IF(テーブル2[[#This Row],[反復]]="",0,(IF(テーブル2[[#This Row],[性別]]="男",LOOKUP(テーブル2[[#This Row],[反復]],$AO$6:$AP$15),LOOKUP(テーブル2[[#This Row],[反復]],$AO$20:$AP$29))))</f>
        <v>0</v>
      </c>
      <c r="W317" s="145">
        <f>IF(テーブル2[[#This Row],[持久走]]="",0,(IF(テーブル2[[#This Row],[性別]]="男",LOOKUP(テーブル2[[#This Row],[持久走]],$AQ$6:$AR$15),LOOKUP(テーブル2[[#This Row],[持久走]],$AQ$20:$AR$29))))</f>
        <v>0</v>
      </c>
      <c r="X317" s="145">
        <f>IF(テーブル2[[#This Row],[ｼｬﾄﾙﾗﾝ]]="",0,(IF(テーブル2[[#This Row],[性別]]="男",LOOKUP(テーブル2[[#This Row],[ｼｬﾄﾙﾗﾝ]],$AS$6:$AT$15),LOOKUP(テーブル2[[#This Row],[ｼｬﾄﾙﾗﾝ]],$AS$20:$AT$29))))</f>
        <v>0</v>
      </c>
      <c r="Y317" s="145">
        <f>IF(テーブル2[[#This Row],[50m走]]="",0,(IF(テーブル2[[#This Row],[性別]]="男",LOOKUP(テーブル2[[#This Row],[50m走]],$AU$6:$AV$15),LOOKUP(テーブル2[[#This Row],[50m走]],$AU$20:$AV$29))))</f>
        <v>0</v>
      </c>
      <c r="Z317" s="145">
        <f>IF(テーブル2[[#This Row],[立幅とび]]="",0,(IF(テーブル2[[#This Row],[性別]]="男",LOOKUP(テーブル2[[#This Row],[立幅とび]],$AW$6:$AX$15),LOOKUP(テーブル2[[#This Row],[立幅とび]],$AW$20:$AX$29))))</f>
        <v>0</v>
      </c>
      <c r="AA317" s="145">
        <f>IF(テーブル2[[#This Row],[ボール投げ]]="",0,(IF(テーブル2[[#This Row],[性別]]="男",LOOKUP(テーブル2[[#This Row],[ボール投げ]],$AY$6:$AZ$15),LOOKUP(テーブル2[[#This Row],[ボール投げ]],$AY$20:$AZ$29))))</f>
        <v>0</v>
      </c>
      <c r="AB317" s="146" t="str">
        <f>IF(テーブル2[[#This Row],[学年]]=1,12,IF(テーブル2[[#This Row],[学年]]=2,13,IF(テーブル2[[#This Row],[学年]]=3,14,"")))</f>
        <v/>
      </c>
      <c r="AC317" s="192" t="str">
        <f>IF(テーブル2[[#This Row],[肥満度数値]]=0,"",LOOKUP(AE317,$AW$39:$AW$44,$AX$39:$AX$44))</f>
        <v/>
      </c>
      <c r="AD31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7" s="77">
        <f>IF(テーブル2[[#This Row],[体重]]="",0,(テーブル2[[#This Row],[体重]]-テーブル2[[#This Row],[標準体重]])/テーブル2[[#This Row],[標準体重]]*100)</f>
        <v>0</v>
      </c>
      <c r="AF317" s="26">
        <f>COUNTA(テーブル2[[#This Row],[握力]:[ボール投げ]])</f>
        <v>0</v>
      </c>
      <c r="AG317" s="1" t="str">
        <f>IF(テーブル2[[#This Row],[判定]]=$BE$10,"○","")</f>
        <v/>
      </c>
      <c r="AH317" s="1" t="str">
        <f>IF(AG317="","",COUNTIF($AG$6:AG317,"○"))</f>
        <v/>
      </c>
    </row>
    <row r="318" spans="1:34" ht="14.25" customHeight="1" x14ac:dyDescent="0.15">
      <c r="A318" s="44">
        <v>313</v>
      </c>
      <c r="B318" s="148"/>
      <c r="C318" s="151"/>
      <c r="D318" s="148"/>
      <c r="E318" s="152"/>
      <c r="F318" s="148"/>
      <c r="G318" s="148"/>
      <c r="H318" s="150"/>
      <c r="I318" s="150"/>
      <c r="J318" s="151"/>
      <c r="K318" s="148"/>
      <c r="L318" s="196"/>
      <c r="M318" s="151"/>
      <c r="N318" s="197"/>
      <c r="O318" s="151"/>
      <c r="P318" s="153"/>
      <c r="Q31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8" s="144" t="str">
        <f>IF(テーブル2[[#This Row],[得点]]=0,"",IF(テーブル2[[#This Row],[年齢]]=17,LOOKUP(Q318,$BH$6:$BH$10,$BE$6:$BE$10),IF(テーブル2[[#This Row],[年齢]]=16,LOOKUP(Q318,$BG$6:$BG$10,$BE$6:$BE$10),IF(テーブル2[[#This Row],[年齢]]=15,LOOKUP(Q318,$BF$6:$BF$10,$BE$6:$BE$10),IF(テーブル2[[#This Row],[年齢]]=14,LOOKUP(Q318,$BD$6:$BD$10,$BE$6:$BE$10),IF(テーブル2[[#This Row],[年齢]]=13,LOOKUP(Q318,$BC$6:$BC$10,$BE$6:$BE$10),LOOKUP(Q318,$BB$6:$BB$10,$BE$6:$BE$10)))))))</f>
        <v/>
      </c>
      <c r="S318" s="145">
        <f>IF(H318="",0,(IF(テーブル2[[#This Row],[性別]]="男",LOOKUP(テーブル2[[#This Row],[握力]],$AI$6:$AJ$15),LOOKUP(テーブル2[[#This Row],[握力]],$AI$20:$AJ$29))))</f>
        <v>0</v>
      </c>
      <c r="T318" s="145">
        <f>IF(テーブル2[[#This Row],[上体]]="",0,(IF(テーブル2[[#This Row],[性別]]="男",LOOKUP(テーブル2[[#This Row],[上体]],$AK$6:$AL$15),LOOKUP(テーブル2[[#This Row],[上体]],$AK$20:$AL$29))))</f>
        <v>0</v>
      </c>
      <c r="U318" s="145">
        <f>IF(テーブル2[[#This Row],[長座]]="",0,(IF(テーブル2[[#This Row],[性別]]="男",LOOKUP(テーブル2[[#This Row],[長座]],$AM$6:$AN$15),LOOKUP(テーブル2[[#This Row],[長座]],$AM$20:$AN$29))))</f>
        <v>0</v>
      </c>
      <c r="V318" s="145">
        <f>IF(テーブル2[[#This Row],[反復]]="",0,(IF(テーブル2[[#This Row],[性別]]="男",LOOKUP(テーブル2[[#This Row],[反復]],$AO$6:$AP$15),LOOKUP(テーブル2[[#This Row],[反復]],$AO$20:$AP$29))))</f>
        <v>0</v>
      </c>
      <c r="W318" s="145">
        <f>IF(テーブル2[[#This Row],[持久走]]="",0,(IF(テーブル2[[#This Row],[性別]]="男",LOOKUP(テーブル2[[#This Row],[持久走]],$AQ$6:$AR$15),LOOKUP(テーブル2[[#This Row],[持久走]],$AQ$20:$AR$29))))</f>
        <v>0</v>
      </c>
      <c r="X318" s="145">
        <f>IF(テーブル2[[#This Row],[ｼｬﾄﾙﾗﾝ]]="",0,(IF(テーブル2[[#This Row],[性別]]="男",LOOKUP(テーブル2[[#This Row],[ｼｬﾄﾙﾗﾝ]],$AS$6:$AT$15),LOOKUP(テーブル2[[#This Row],[ｼｬﾄﾙﾗﾝ]],$AS$20:$AT$29))))</f>
        <v>0</v>
      </c>
      <c r="Y318" s="145">
        <f>IF(テーブル2[[#This Row],[50m走]]="",0,(IF(テーブル2[[#This Row],[性別]]="男",LOOKUP(テーブル2[[#This Row],[50m走]],$AU$6:$AV$15),LOOKUP(テーブル2[[#This Row],[50m走]],$AU$20:$AV$29))))</f>
        <v>0</v>
      </c>
      <c r="Z318" s="145">
        <f>IF(テーブル2[[#This Row],[立幅とび]]="",0,(IF(テーブル2[[#This Row],[性別]]="男",LOOKUP(テーブル2[[#This Row],[立幅とび]],$AW$6:$AX$15),LOOKUP(テーブル2[[#This Row],[立幅とび]],$AW$20:$AX$29))))</f>
        <v>0</v>
      </c>
      <c r="AA318" s="145">
        <f>IF(テーブル2[[#This Row],[ボール投げ]]="",0,(IF(テーブル2[[#This Row],[性別]]="男",LOOKUP(テーブル2[[#This Row],[ボール投げ]],$AY$6:$AZ$15),LOOKUP(テーブル2[[#This Row],[ボール投げ]],$AY$20:$AZ$29))))</f>
        <v>0</v>
      </c>
      <c r="AB318" s="146" t="str">
        <f>IF(テーブル2[[#This Row],[学年]]=1,12,IF(テーブル2[[#This Row],[学年]]=2,13,IF(テーブル2[[#This Row],[学年]]=3,14,"")))</f>
        <v/>
      </c>
      <c r="AC318" s="192" t="str">
        <f>IF(テーブル2[[#This Row],[肥満度数値]]=0,"",LOOKUP(AE318,$AW$39:$AW$44,$AX$39:$AX$44))</f>
        <v/>
      </c>
      <c r="AD31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8" s="77">
        <f>IF(テーブル2[[#This Row],[体重]]="",0,(テーブル2[[#This Row],[体重]]-テーブル2[[#This Row],[標準体重]])/テーブル2[[#This Row],[標準体重]]*100)</f>
        <v>0</v>
      </c>
      <c r="AF318" s="26">
        <f>COUNTA(テーブル2[[#This Row],[握力]:[ボール投げ]])</f>
        <v>0</v>
      </c>
      <c r="AG318" s="1" t="str">
        <f>IF(テーブル2[[#This Row],[判定]]=$BE$10,"○","")</f>
        <v/>
      </c>
      <c r="AH318" s="1" t="str">
        <f>IF(AG318="","",COUNTIF($AG$6:AG318,"○"))</f>
        <v/>
      </c>
    </row>
    <row r="319" spans="1:34" ht="14.25" customHeight="1" x14ac:dyDescent="0.15">
      <c r="A319" s="44">
        <v>314</v>
      </c>
      <c r="B319" s="148"/>
      <c r="C319" s="151"/>
      <c r="D319" s="148"/>
      <c r="E319" s="152"/>
      <c r="F319" s="148"/>
      <c r="G319" s="148"/>
      <c r="H319" s="150"/>
      <c r="I319" s="150"/>
      <c r="J319" s="151"/>
      <c r="K319" s="148"/>
      <c r="L319" s="196"/>
      <c r="M319" s="151"/>
      <c r="N319" s="197"/>
      <c r="O319" s="151"/>
      <c r="P319" s="153"/>
      <c r="Q31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9" s="144" t="str">
        <f>IF(テーブル2[[#This Row],[得点]]=0,"",IF(テーブル2[[#This Row],[年齢]]=17,LOOKUP(Q319,$BH$6:$BH$10,$BE$6:$BE$10),IF(テーブル2[[#This Row],[年齢]]=16,LOOKUP(Q319,$BG$6:$BG$10,$BE$6:$BE$10),IF(テーブル2[[#This Row],[年齢]]=15,LOOKUP(Q319,$BF$6:$BF$10,$BE$6:$BE$10),IF(テーブル2[[#This Row],[年齢]]=14,LOOKUP(Q319,$BD$6:$BD$10,$BE$6:$BE$10),IF(テーブル2[[#This Row],[年齢]]=13,LOOKUP(Q319,$BC$6:$BC$10,$BE$6:$BE$10),LOOKUP(Q319,$BB$6:$BB$10,$BE$6:$BE$10)))))))</f>
        <v/>
      </c>
      <c r="S319" s="145">
        <f>IF(H319="",0,(IF(テーブル2[[#This Row],[性別]]="男",LOOKUP(テーブル2[[#This Row],[握力]],$AI$6:$AJ$15),LOOKUP(テーブル2[[#This Row],[握力]],$AI$20:$AJ$29))))</f>
        <v>0</v>
      </c>
      <c r="T319" s="145">
        <f>IF(テーブル2[[#This Row],[上体]]="",0,(IF(テーブル2[[#This Row],[性別]]="男",LOOKUP(テーブル2[[#This Row],[上体]],$AK$6:$AL$15),LOOKUP(テーブル2[[#This Row],[上体]],$AK$20:$AL$29))))</f>
        <v>0</v>
      </c>
      <c r="U319" s="145">
        <f>IF(テーブル2[[#This Row],[長座]]="",0,(IF(テーブル2[[#This Row],[性別]]="男",LOOKUP(テーブル2[[#This Row],[長座]],$AM$6:$AN$15),LOOKUP(テーブル2[[#This Row],[長座]],$AM$20:$AN$29))))</f>
        <v>0</v>
      </c>
      <c r="V319" s="145">
        <f>IF(テーブル2[[#This Row],[反復]]="",0,(IF(テーブル2[[#This Row],[性別]]="男",LOOKUP(テーブル2[[#This Row],[反復]],$AO$6:$AP$15),LOOKUP(テーブル2[[#This Row],[反復]],$AO$20:$AP$29))))</f>
        <v>0</v>
      </c>
      <c r="W319" s="145">
        <f>IF(テーブル2[[#This Row],[持久走]]="",0,(IF(テーブル2[[#This Row],[性別]]="男",LOOKUP(テーブル2[[#This Row],[持久走]],$AQ$6:$AR$15),LOOKUP(テーブル2[[#This Row],[持久走]],$AQ$20:$AR$29))))</f>
        <v>0</v>
      </c>
      <c r="X319" s="145">
        <f>IF(テーブル2[[#This Row],[ｼｬﾄﾙﾗﾝ]]="",0,(IF(テーブル2[[#This Row],[性別]]="男",LOOKUP(テーブル2[[#This Row],[ｼｬﾄﾙﾗﾝ]],$AS$6:$AT$15),LOOKUP(テーブル2[[#This Row],[ｼｬﾄﾙﾗﾝ]],$AS$20:$AT$29))))</f>
        <v>0</v>
      </c>
      <c r="Y319" s="145">
        <f>IF(テーブル2[[#This Row],[50m走]]="",0,(IF(テーブル2[[#This Row],[性別]]="男",LOOKUP(テーブル2[[#This Row],[50m走]],$AU$6:$AV$15),LOOKUP(テーブル2[[#This Row],[50m走]],$AU$20:$AV$29))))</f>
        <v>0</v>
      </c>
      <c r="Z319" s="145">
        <f>IF(テーブル2[[#This Row],[立幅とび]]="",0,(IF(テーブル2[[#This Row],[性別]]="男",LOOKUP(テーブル2[[#This Row],[立幅とび]],$AW$6:$AX$15),LOOKUP(テーブル2[[#This Row],[立幅とび]],$AW$20:$AX$29))))</f>
        <v>0</v>
      </c>
      <c r="AA319" s="145">
        <f>IF(テーブル2[[#This Row],[ボール投げ]]="",0,(IF(テーブル2[[#This Row],[性別]]="男",LOOKUP(テーブル2[[#This Row],[ボール投げ]],$AY$6:$AZ$15),LOOKUP(テーブル2[[#This Row],[ボール投げ]],$AY$20:$AZ$29))))</f>
        <v>0</v>
      </c>
      <c r="AB319" s="146" t="str">
        <f>IF(テーブル2[[#This Row],[学年]]=1,12,IF(テーブル2[[#This Row],[学年]]=2,13,IF(テーブル2[[#This Row],[学年]]=3,14,"")))</f>
        <v/>
      </c>
      <c r="AC319" s="192" t="str">
        <f>IF(テーブル2[[#This Row],[肥満度数値]]=0,"",LOOKUP(AE319,$AW$39:$AW$44,$AX$39:$AX$44))</f>
        <v/>
      </c>
      <c r="AD31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19" s="77">
        <f>IF(テーブル2[[#This Row],[体重]]="",0,(テーブル2[[#This Row],[体重]]-テーブル2[[#This Row],[標準体重]])/テーブル2[[#This Row],[標準体重]]*100)</f>
        <v>0</v>
      </c>
      <c r="AF319" s="26">
        <f>COUNTA(テーブル2[[#This Row],[握力]:[ボール投げ]])</f>
        <v>0</v>
      </c>
      <c r="AG319" s="1" t="str">
        <f>IF(テーブル2[[#This Row],[判定]]=$BE$10,"○","")</f>
        <v/>
      </c>
      <c r="AH319" s="1" t="str">
        <f>IF(AG319="","",COUNTIF($AG$6:AG319,"○"))</f>
        <v/>
      </c>
    </row>
    <row r="320" spans="1:34" ht="14.25" customHeight="1" x14ac:dyDescent="0.15">
      <c r="A320" s="44">
        <v>315</v>
      </c>
      <c r="B320" s="148"/>
      <c r="C320" s="151"/>
      <c r="D320" s="148"/>
      <c r="E320" s="152"/>
      <c r="F320" s="148"/>
      <c r="G320" s="148"/>
      <c r="H320" s="150"/>
      <c r="I320" s="150"/>
      <c r="J320" s="151"/>
      <c r="K320" s="148"/>
      <c r="L320" s="196"/>
      <c r="M320" s="151"/>
      <c r="N320" s="197"/>
      <c r="O320" s="151"/>
      <c r="P320" s="153"/>
      <c r="Q32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0" s="144" t="str">
        <f>IF(テーブル2[[#This Row],[得点]]=0,"",IF(テーブル2[[#This Row],[年齢]]=17,LOOKUP(Q320,$BH$6:$BH$10,$BE$6:$BE$10),IF(テーブル2[[#This Row],[年齢]]=16,LOOKUP(Q320,$BG$6:$BG$10,$BE$6:$BE$10),IF(テーブル2[[#This Row],[年齢]]=15,LOOKUP(Q320,$BF$6:$BF$10,$BE$6:$BE$10),IF(テーブル2[[#This Row],[年齢]]=14,LOOKUP(Q320,$BD$6:$BD$10,$BE$6:$BE$10),IF(テーブル2[[#This Row],[年齢]]=13,LOOKUP(Q320,$BC$6:$BC$10,$BE$6:$BE$10),LOOKUP(Q320,$BB$6:$BB$10,$BE$6:$BE$10)))))))</f>
        <v/>
      </c>
      <c r="S320" s="145">
        <f>IF(H320="",0,(IF(テーブル2[[#This Row],[性別]]="男",LOOKUP(テーブル2[[#This Row],[握力]],$AI$6:$AJ$15),LOOKUP(テーブル2[[#This Row],[握力]],$AI$20:$AJ$29))))</f>
        <v>0</v>
      </c>
      <c r="T320" s="145">
        <f>IF(テーブル2[[#This Row],[上体]]="",0,(IF(テーブル2[[#This Row],[性別]]="男",LOOKUP(テーブル2[[#This Row],[上体]],$AK$6:$AL$15),LOOKUP(テーブル2[[#This Row],[上体]],$AK$20:$AL$29))))</f>
        <v>0</v>
      </c>
      <c r="U320" s="145">
        <f>IF(テーブル2[[#This Row],[長座]]="",0,(IF(テーブル2[[#This Row],[性別]]="男",LOOKUP(テーブル2[[#This Row],[長座]],$AM$6:$AN$15),LOOKUP(テーブル2[[#This Row],[長座]],$AM$20:$AN$29))))</f>
        <v>0</v>
      </c>
      <c r="V320" s="145">
        <f>IF(テーブル2[[#This Row],[反復]]="",0,(IF(テーブル2[[#This Row],[性別]]="男",LOOKUP(テーブル2[[#This Row],[反復]],$AO$6:$AP$15),LOOKUP(テーブル2[[#This Row],[反復]],$AO$20:$AP$29))))</f>
        <v>0</v>
      </c>
      <c r="W320" s="145">
        <f>IF(テーブル2[[#This Row],[持久走]]="",0,(IF(テーブル2[[#This Row],[性別]]="男",LOOKUP(テーブル2[[#This Row],[持久走]],$AQ$6:$AR$15),LOOKUP(テーブル2[[#This Row],[持久走]],$AQ$20:$AR$29))))</f>
        <v>0</v>
      </c>
      <c r="X320" s="145">
        <f>IF(テーブル2[[#This Row],[ｼｬﾄﾙﾗﾝ]]="",0,(IF(テーブル2[[#This Row],[性別]]="男",LOOKUP(テーブル2[[#This Row],[ｼｬﾄﾙﾗﾝ]],$AS$6:$AT$15),LOOKUP(テーブル2[[#This Row],[ｼｬﾄﾙﾗﾝ]],$AS$20:$AT$29))))</f>
        <v>0</v>
      </c>
      <c r="Y320" s="145">
        <f>IF(テーブル2[[#This Row],[50m走]]="",0,(IF(テーブル2[[#This Row],[性別]]="男",LOOKUP(テーブル2[[#This Row],[50m走]],$AU$6:$AV$15),LOOKUP(テーブル2[[#This Row],[50m走]],$AU$20:$AV$29))))</f>
        <v>0</v>
      </c>
      <c r="Z320" s="145">
        <f>IF(テーブル2[[#This Row],[立幅とび]]="",0,(IF(テーブル2[[#This Row],[性別]]="男",LOOKUP(テーブル2[[#This Row],[立幅とび]],$AW$6:$AX$15),LOOKUP(テーブル2[[#This Row],[立幅とび]],$AW$20:$AX$29))))</f>
        <v>0</v>
      </c>
      <c r="AA320" s="145">
        <f>IF(テーブル2[[#This Row],[ボール投げ]]="",0,(IF(テーブル2[[#This Row],[性別]]="男",LOOKUP(テーブル2[[#This Row],[ボール投げ]],$AY$6:$AZ$15),LOOKUP(テーブル2[[#This Row],[ボール投げ]],$AY$20:$AZ$29))))</f>
        <v>0</v>
      </c>
      <c r="AB320" s="146" t="str">
        <f>IF(テーブル2[[#This Row],[学年]]=1,12,IF(テーブル2[[#This Row],[学年]]=2,13,IF(テーブル2[[#This Row],[学年]]=3,14,"")))</f>
        <v/>
      </c>
      <c r="AC320" s="192" t="str">
        <f>IF(テーブル2[[#This Row],[肥満度数値]]=0,"",LOOKUP(AE320,$AW$39:$AW$44,$AX$39:$AX$44))</f>
        <v/>
      </c>
      <c r="AD32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0" s="77">
        <f>IF(テーブル2[[#This Row],[体重]]="",0,(テーブル2[[#This Row],[体重]]-テーブル2[[#This Row],[標準体重]])/テーブル2[[#This Row],[標準体重]]*100)</f>
        <v>0</v>
      </c>
      <c r="AF320" s="26">
        <f>COUNTA(テーブル2[[#This Row],[握力]:[ボール投げ]])</f>
        <v>0</v>
      </c>
      <c r="AG320" s="1" t="str">
        <f>IF(テーブル2[[#This Row],[判定]]=$BE$10,"○","")</f>
        <v/>
      </c>
      <c r="AH320" s="1" t="str">
        <f>IF(AG320="","",COUNTIF($AG$6:AG320,"○"))</f>
        <v/>
      </c>
    </row>
    <row r="321" spans="1:34" ht="14.25" customHeight="1" x14ac:dyDescent="0.15">
      <c r="A321" s="44">
        <v>316</v>
      </c>
      <c r="B321" s="148"/>
      <c r="C321" s="151"/>
      <c r="D321" s="148"/>
      <c r="E321" s="152"/>
      <c r="F321" s="148"/>
      <c r="G321" s="148"/>
      <c r="H321" s="150"/>
      <c r="I321" s="150"/>
      <c r="J321" s="151"/>
      <c r="K321" s="148"/>
      <c r="L321" s="196"/>
      <c r="M321" s="151"/>
      <c r="N321" s="197"/>
      <c r="O321" s="151"/>
      <c r="P321" s="153"/>
      <c r="Q32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1" s="144" t="str">
        <f>IF(テーブル2[[#This Row],[得点]]=0,"",IF(テーブル2[[#This Row],[年齢]]=17,LOOKUP(Q321,$BH$6:$BH$10,$BE$6:$BE$10),IF(テーブル2[[#This Row],[年齢]]=16,LOOKUP(Q321,$BG$6:$BG$10,$BE$6:$BE$10),IF(テーブル2[[#This Row],[年齢]]=15,LOOKUP(Q321,$BF$6:$BF$10,$BE$6:$BE$10),IF(テーブル2[[#This Row],[年齢]]=14,LOOKUP(Q321,$BD$6:$BD$10,$BE$6:$BE$10),IF(テーブル2[[#This Row],[年齢]]=13,LOOKUP(Q321,$BC$6:$BC$10,$BE$6:$BE$10),LOOKUP(Q321,$BB$6:$BB$10,$BE$6:$BE$10)))))))</f>
        <v/>
      </c>
      <c r="S321" s="145">
        <f>IF(H321="",0,(IF(テーブル2[[#This Row],[性別]]="男",LOOKUP(テーブル2[[#This Row],[握力]],$AI$6:$AJ$15),LOOKUP(テーブル2[[#This Row],[握力]],$AI$20:$AJ$29))))</f>
        <v>0</v>
      </c>
      <c r="T321" s="145">
        <f>IF(テーブル2[[#This Row],[上体]]="",0,(IF(テーブル2[[#This Row],[性別]]="男",LOOKUP(テーブル2[[#This Row],[上体]],$AK$6:$AL$15),LOOKUP(テーブル2[[#This Row],[上体]],$AK$20:$AL$29))))</f>
        <v>0</v>
      </c>
      <c r="U321" s="145">
        <f>IF(テーブル2[[#This Row],[長座]]="",0,(IF(テーブル2[[#This Row],[性別]]="男",LOOKUP(テーブル2[[#This Row],[長座]],$AM$6:$AN$15),LOOKUP(テーブル2[[#This Row],[長座]],$AM$20:$AN$29))))</f>
        <v>0</v>
      </c>
      <c r="V321" s="145">
        <f>IF(テーブル2[[#This Row],[反復]]="",0,(IF(テーブル2[[#This Row],[性別]]="男",LOOKUP(テーブル2[[#This Row],[反復]],$AO$6:$AP$15),LOOKUP(テーブル2[[#This Row],[反復]],$AO$20:$AP$29))))</f>
        <v>0</v>
      </c>
      <c r="W321" s="145">
        <f>IF(テーブル2[[#This Row],[持久走]]="",0,(IF(テーブル2[[#This Row],[性別]]="男",LOOKUP(テーブル2[[#This Row],[持久走]],$AQ$6:$AR$15),LOOKUP(テーブル2[[#This Row],[持久走]],$AQ$20:$AR$29))))</f>
        <v>0</v>
      </c>
      <c r="X321" s="145">
        <f>IF(テーブル2[[#This Row],[ｼｬﾄﾙﾗﾝ]]="",0,(IF(テーブル2[[#This Row],[性別]]="男",LOOKUP(テーブル2[[#This Row],[ｼｬﾄﾙﾗﾝ]],$AS$6:$AT$15),LOOKUP(テーブル2[[#This Row],[ｼｬﾄﾙﾗﾝ]],$AS$20:$AT$29))))</f>
        <v>0</v>
      </c>
      <c r="Y321" s="145">
        <f>IF(テーブル2[[#This Row],[50m走]]="",0,(IF(テーブル2[[#This Row],[性別]]="男",LOOKUP(テーブル2[[#This Row],[50m走]],$AU$6:$AV$15),LOOKUP(テーブル2[[#This Row],[50m走]],$AU$20:$AV$29))))</f>
        <v>0</v>
      </c>
      <c r="Z321" s="145">
        <f>IF(テーブル2[[#This Row],[立幅とび]]="",0,(IF(テーブル2[[#This Row],[性別]]="男",LOOKUP(テーブル2[[#This Row],[立幅とび]],$AW$6:$AX$15),LOOKUP(テーブル2[[#This Row],[立幅とび]],$AW$20:$AX$29))))</f>
        <v>0</v>
      </c>
      <c r="AA321" s="145">
        <f>IF(テーブル2[[#This Row],[ボール投げ]]="",0,(IF(テーブル2[[#This Row],[性別]]="男",LOOKUP(テーブル2[[#This Row],[ボール投げ]],$AY$6:$AZ$15),LOOKUP(テーブル2[[#This Row],[ボール投げ]],$AY$20:$AZ$29))))</f>
        <v>0</v>
      </c>
      <c r="AB321" s="146" t="str">
        <f>IF(テーブル2[[#This Row],[学年]]=1,12,IF(テーブル2[[#This Row],[学年]]=2,13,IF(テーブル2[[#This Row],[学年]]=3,14,"")))</f>
        <v/>
      </c>
      <c r="AC321" s="192" t="str">
        <f>IF(テーブル2[[#This Row],[肥満度数値]]=0,"",LOOKUP(AE321,$AW$39:$AW$44,$AX$39:$AX$44))</f>
        <v/>
      </c>
      <c r="AD32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1" s="77">
        <f>IF(テーブル2[[#This Row],[体重]]="",0,(テーブル2[[#This Row],[体重]]-テーブル2[[#This Row],[標準体重]])/テーブル2[[#This Row],[標準体重]]*100)</f>
        <v>0</v>
      </c>
      <c r="AF321" s="26">
        <f>COUNTA(テーブル2[[#This Row],[握力]:[ボール投げ]])</f>
        <v>0</v>
      </c>
      <c r="AG321" s="1" t="str">
        <f>IF(テーブル2[[#This Row],[判定]]=$BE$10,"○","")</f>
        <v/>
      </c>
      <c r="AH321" s="1" t="str">
        <f>IF(AG321="","",COUNTIF($AG$6:AG321,"○"))</f>
        <v/>
      </c>
    </row>
    <row r="322" spans="1:34" ht="14.25" customHeight="1" x14ac:dyDescent="0.15">
      <c r="A322" s="44">
        <v>317</v>
      </c>
      <c r="B322" s="148"/>
      <c r="C322" s="151"/>
      <c r="D322" s="148"/>
      <c r="E322" s="152"/>
      <c r="F322" s="148"/>
      <c r="G322" s="148"/>
      <c r="H322" s="150"/>
      <c r="I322" s="150"/>
      <c r="J322" s="151"/>
      <c r="K322" s="148"/>
      <c r="L322" s="196"/>
      <c r="M322" s="151"/>
      <c r="N322" s="197"/>
      <c r="O322" s="151"/>
      <c r="P322" s="153"/>
      <c r="Q32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2" s="144" t="str">
        <f>IF(テーブル2[[#This Row],[得点]]=0,"",IF(テーブル2[[#This Row],[年齢]]=17,LOOKUP(Q322,$BH$6:$BH$10,$BE$6:$BE$10),IF(テーブル2[[#This Row],[年齢]]=16,LOOKUP(Q322,$BG$6:$BG$10,$BE$6:$BE$10),IF(テーブル2[[#This Row],[年齢]]=15,LOOKUP(Q322,$BF$6:$BF$10,$BE$6:$BE$10),IF(テーブル2[[#This Row],[年齢]]=14,LOOKUP(Q322,$BD$6:$BD$10,$BE$6:$BE$10),IF(テーブル2[[#This Row],[年齢]]=13,LOOKUP(Q322,$BC$6:$BC$10,$BE$6:$BE$10),LOOKUP(Q322,$BB$6:$BB$10,$BE$6:$BE$10)))))))</f>
        <v/>
      </c>
      <c r="S322" s="145">
        <f>IF(H322="",0,(IF(テーブル2[[#This Row],[性別]]="男",LOOKUP(テーブル2[[#This Row],[握力]],$AI$6:$AJ$15),LOOKUP(テーブル2[[#This Row],[握力]],$AI$20:$AJ$29))))</f>
        <v>0</v>
      </c>
      <c r="T322" s="145">
        <f>IF(テーブル2[[#This Row],[上体]]="",0,(IF(テーブル2[[#This Row],[性別]]="男",LOOKUP(テーブル2[[#This Row],[上体]],$AK$6:$AL$15),LOOKUP(テーブル2[[#This Row],[上体]],$AK$20:$AL$29))))</f>
        <v>0</v>
      </c>
      <c r="U322" s="145">
        <f>IF(テーブル2[[#This Row],[長座]]="",0,(IF(テーブル2[[#This Row],[性別]]="男",LOOKUP(テーブル2[[#This Row],[長座]],$AM$6:$AN$15),LOOKUP(テーブル2[[#This Row],[長座]],$AM$20:$AN$29))))</f>
        <v>0</v>
      </c>
      <c r="V322" s="145">
        <f>IF(テーブル2[[#This Row],[反復]]="",0,(IF(テーブル2[[#This Row],[性別]]="男",LOOKUP(テーブル2[[#This Row],[反復]],$AO$6:$AP$15),LOOKUP(テーブル2[[#This Row],[反復]],$AO$20:$AP$29))))</f>
        <v>0</v>
      </c>
      <c r="W322" s="145">
        <f>IF(テーブル2[[#This Row],[持久走]]="",0,(IF(テーブル2[[#This Row],[性別]]="男",LOOKUP(テーブル2[[#This Row],[持久走]],$AQ$6:$AR$15),LOOKUP(テーブル2[[#This Row],[持久走]],$AQ$20:$AR$29))))</f>
        <v>0</v>
      </c>
      <c r="X322" s="145">
        <f>IF(テーブル2[[#This Row],[ｼｬﾄﾙﾗﾝ]]="",0,(IF(テーブル2[[#This Row],[性別]]="男",LOOKUP(テーブル2[[#This Row],[ｼｬﾄﾙﾗﾝ]],$AS$6:$AT$15),LOOKUP(テーブル2[[#This Row],[ｼｬﾄﾙﾗﾝ]],$AS$20:$AT$29))))</f>
        <v>0</v>
      </c>
      <c r="Y322" s="145">
        <f>IF(テーブル2[[#This Row],[50m走]]="",0,(IF(テーブル2[[#This Row],[性別]]="男",LOOKUP(テーブル2[[#This Row],[50m走]],$AU$6:$AV$15),LOOKUP(テーブル2[[#This Row],[50m走]],$AU$20:$AV$29))))</f>
        <v>0</v>
      </c>
      <c r="Z322" s="145">
        <f>IF(テーブル2[[#This Row],[立幅とび]]="",0,(IF(テーブル2[[#This Row],[性別]]="男",LOOKUP(テーブル2[[#This Row],[立幅とび]],$AW$6:$AX$15),LOOKUP(テーブル2[[#This Row],[立幅とび]],$AW$20:$AX$29))))</f>
        <v>0</v>
      </c>
      <c r="AA322" s="145">
        <f>IF(テーブル2[[#This Row],[ボール投げ]]="",0,(IF(テーブル2[[#This Row],[性別]]="男",LOOKUP(テーブル2[[#This Row],[ボール投げ]],$AY$6:$AZ$15),LOOKUP(テーブル2[[#This Row],[ボール投げ]],$AY$20:$AZ$29))))</f>
        <v>0</v>
      </c>
      <c r="AB322" s="146" t="str">
        <f>IF(テーブル2[[#This Row],[学年]]=1,12,IF(テーブル2[[#This Row],[学年]]=2,13,IF(テーブル2[[#This Row],[学年]]=3,14,"")))</f>
        <v/>
      </c>
      <c r="AC322" s="192" t="str">
        <f>IF(テーブル2[[#This Row],[肥満度数値]]=0,"",LOOKUP(AE322,$AW$39:$AW$44,$AX$39:$AX$44))</f>
        <v/>
      </c>
      <c r="AD32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2" s="77">
        <f>IF(テーブル2[[#This Row],[体重]]="",0,(テーブル2[[#This Row],[体重]]-テーブル2[[#This Row],[標準体重]])/テーブル2[[#This Row],[標準体重]]*100)</f>
        <v>0</v>
      </c>
      <c r="AF322" s="26">
        <f>COUNTA(テーブル2[[#This Row],[握力]:[ボール投げ]])</f>
        <v>0</v>
      </c>
      <c r="AG322" s="1" t="str">
        <f>IF(テーブル2[[#This Row],[判定]]=$BE$10,"○","")</f>
        <v/>
      </c>
      <c r="AH322" s="1" t="str">
        <f>IF(AG322="","",COUNTIF($AG$6:AG322,"○"))</f>
        <v/>
      </c>
    </row>
    <row r="323" spans="1:34" ht="14.25" customHeight="1" x14ac:dyDescent="0.15">
      <c r="A323" s="44">
        <v>318</v>
      </c>
      <c r="B323" s="148"/>
      <c r="C323" s="151"/>
      <c r="D323" s="148"/>
      <c r="E323" s="152"/>
      <c r="F323" s="148"/>
      <c r="G323" s="148"/>
      <c r="H323" s="150"/>
      <c r="I323" s="150"/>
      <c r="J323" s="151"/>
      <c r="K323" s="148"/>
      <c r="L323" s="196"/>
      <c r="M323" s="151"/>
      <c r="N323" s="197"/>
      <c r="O323" s="151"/>
      <c r="P323" s="153"/>
      <c r="Q32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3" s="144" t="str">
        <f>IF(テーブル2[[#This Row],[得点]]=0,"",IF(テーブル2[[#This Row],[年齢]]=17,LOOKUP(Q323,$BH$6:$BH$10,$BE$6:$BE$10),IF(テーブル2[[#This Row],[年齢]]=16,LOOKUP(Q323,$BG$6:$BG$10,$BE$6:$BE$10),IF(テーブル2[[#This Row],[年齢]]=15,LOOKUP(Q323,$BF$6:$BF$10,$BE$6:$BE$10),IF(テーブル2[[#This Row],[年齢]]=14,LOOKUP(Q323,$BD$6:$BD$10,$BE$6:$BE$10),IF(テーブル2[[#This Row],[年齢]]=13,LOOKUP(Q323,$BC$6:$BC$10,$BE$6:$BE$10),LOOKUP(Q323,$BB$6:$BB$10,$BE$6:$BE$10)))))))</f>
        <v/>
      </c>
      <c r="S323" s="145">
        <f>IF(H323="",0,(IF(テーブル2[[#This Row],[性別]]="男",LOOKUP(テーブル2[[#This Row],[握力]],$AI$6:$AJ$15),LOOKUP(テーブル2[[#This Row],[握力]],$AI$20:$AJ$29))))</f>
        <v>0</v>
      </c>
      <c r="T323" s="145">
        <f>IF(テーブル2[[#This Row],[上体]]="",0,(IF(テーブル2[[#This Row],[性別]]="男",LOOKUP(テーブル2[[#This Row],[上体]],$AK$6:$AL$15),LOOKUP(テーブル2[[#This Row],[上体]],$AK$20:$AL$29))))</f>
        <v>0</v>
      </c>
      <c r="U323" s="145">
        <f>IF(テーブル2[[#This Row],[長座]]="",0,(IF(テーブル2[[#This Row],[性別]]="男",LOOKUP(テーブル2[[#This Row],[長座]],$AM$6:$AN$15),LOOKUP(テーブル2[[#This Row],[長座]],$AM$20:$AN$29))))</f>
        <v>0</v>
      </c>
      <c r="V323" s="145">
        <f>IF(テーブル2[[#This Row],[反復]]="",0,(IF(テーブル2[[#This Row],[性別]]="男",LOOKUP(テーブル2[[#This Row],[反復]],$AO$6:$AP$15),LOOKUP(テーブル2[[#This Row],[反復]],$AO$20:$AP$29))))</f>
        <v>0</v>
      </c>
      <c r="W323" s="145">
        <f>IF(テーブル2[[#This Row],[持久走]]="",0,(IF(テーブル2[[#This Row],[性別]]="男",LOOKUP(テーブル2[[#This Row],[持久走]],$AQ$6:$AR$15),LOOKUP(テーブル2[[#This Row],[持久走]],$AQ$20:$AR$29))))</f>
        <v>0</v>
      </c>
      <c r="X323" s="145">
        <f>IF(テーブル2[[#This Row],[ｼｬﾄﾙﾗﾝ]]="",0,(IF(テーブル2[[#This Row],[性別]]="男",LOOKUP(テーブル2[[#This Row],[ｼｬﾄﾙﾗﾝ]],$AS$6:$AT$15),LOOKUP(テーブル2[[#This Row],[ｼｬﾄﾙﾗﾝ]],$AS$20:$AT$29))))</f>
        <v>0</v>
      </c>
      <c r="Y323" s="145">
        <f>IF(テーブル2[[#This Row],[50m走]]="",0,(IF(テーブル2[[#This Row],[性別]]="男",LOOKUP(テーブル2[[#This Row],[50m走]],$AU$6:$AV$15),LOOKUP(テーブル2[[#This Row],[50m走]],$AU$20:$AV$29))))</f>
        <v>0</v>
      </c>
      <c r="Z323" s="145">
        <f>IF(テーブル2[[#This Row],[立幅とび]]="",0,(IF(テーブル2[[#This Row],[性別]]="男",LOOKUP(テーブル2[[#This Row],[立幅とび]],$AW$6:$AX$15),LOOKUP(テーブル2[[#This Row],[立幅とび]],$AW$20:$AX$29))))</f>
        <v>0</v>
      </c>
      <c r="AA323" s="145">
        <f>IF(テーブル2[[#This Row],[ボール投げ]]="",0,(IF(テーブル2[[#This Row],[性別]]="男",LOOKUP(テーブル2[[#This Row],[ボール投げ]],$AY$6:$AZ$15),LOOKUP(テーブル2[[#This Row],[ボール投げ]],$AY$20:$AZ$29))))</f>
        <v>0</v>
      </c>
      <c r="AB323" s="146" t="str">
        <f>IF(テーブル2[[#This Row],[学年]]=1,12,IF(テーブル2[[#This Row],[学年]]=2,13,IF(テーブル2[[#This Row],[学年]]=3,14,"")))</f>
        <v/>
      </c>
      <c r="AC323" s="192" t="str">
        <f>IF(テーブル2[[#This Row],[肥満度数値]]=0,"",LOOKUP(AE323,$AW$39:$AW$44,$AX$39:$AX$44))</f>
        <v/>
      </c>
      <c r="AD32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3" s="77">
        <f>IF(テーブル2[[#This Row],[体重]]="",0,(テーブル2[[#This Row],[体重]]-テーブル2[[#This Row],[標準体重]])/テーブル2[[#This Row],[標準体重]]*100)</f>
        <v>0</v>
      </c>
      <c r="AF323" s="26">
        <f>COUNTA(テーブル2[[#This Row],[握力]:[ボール投げ]])</f>
        <v>0</v>
      </c>
      <c r="AG323" s="1" t="str">
        <f>IF(テーブル2[[#This Row],[判定]]=$BE$10,"○","")</f>
        <v/>
      </c>
      <c r="AH323" s="1" t="str">
        <f>IF(AG323="","",COUNTIF($AG$6:AG323,"○"))</f>
        <v/>
      </c>
    </row>
    <row r="324" spans="1:34" ht="14.25" customHeight="1" x14ac:dyDescent="0.15">
      <c r="A324" s="44">
        <v>319</v>
      </c>
      <c r="B324" s="148"/>
      <c r="C324" s="151"/>
      <c r="D324" s="148"/>
      <c r="E324" s="152"/>
      <c r="F324" s="148"/>
      <c r="G324" s="148"/>
      <c r="H324" s="150"/>
      <c r="I324" s="150"/>
      <c r="J324" s="151"/>
      <c r="K324" s="148"/>
      <c r="L324" s="196"/>
      <c r="M324" s="151"/>
      <c r="N324" s="197"/>
      <c r="O324" s="151"/>
      <c r="P324" s="153"/>
      <c r="Q32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4" s="144" t="str">
        <f>IF(テーブル2[[#This Row],[得点]]=0,"",IF(テーブル2[[#This Row],[年齢]]=17,LOOKUP(Q324,$BH$6:$BH$10,$BE$6:$BE$10),IF(テーブル2[[#This Row],[年齢]]=16,LOOKUP(Q324,$BG$6:$BG$10,$BE$6:$BE$10),IF(テーブル2[[#This Row],[年齢]]=15,LOOKUP(Q324,$BF$6:$BF$10,$BE$6:$BE$10),IF(テーブル2[[#This Row],[年齢]]=14,LOOKUP(Q324,$BD$6:$BD$10,$BE$6:$BE$10),IF(テーブル2[[#This Row],[年齢]]=13,LOOKUP(Q324,$BC$6:$BC$10,$BE$6:$BE$10),LOOKUP(Q324,$BB$6:$BB$10,$BE$6:$BE$10)))))))</f>
        <v/>
      </c>
      <c r="S324" s="145">
        <f>IF(H324="",0,(IF(テーブル2[[#This Row],[性別]]="男",LOOKUP(テーブル2[[#This Row],[握力]],$AI$6:$AJ$15),LOOKUP(テーブル2[[#This Row],[握力]],$AI$20:$AJ$29))))</f>
        <v>0</v>
      </c>
      <c r="T324" s="145">
        <f>IF(テーブル2[[#This Row],[上体]]="",0,(IF(テーブル2[[#This Row],[性別]]="男",LOOKUP(テーブル2[[#This Row],[上体]],$AK$6:$AL$15),LOOKUP(テーブル2[[#This Row],[上体]],$AK$20:$AL$29))))</f>
        <v>0</v>
      </c>
      <c r="U324" s="145">
        <f>IF(テーブル2[[#This Row],[長座]]="",0,(IF(テーブル2[[#This Row],[性別]]="男",LOOKUP(テーブル2[[#This Row],[長座]],$AM$6:$AN$15),LOOKUP(テーブル2[[#This Row],[長座]],$AM$20:$AN$29))))</f>
        <v>0</v>
      </c>
      <c r="V324" s="145">
        <f>IF(テーブル2[[#This Row],[反復]]="",0,(IF(テーブル2[[#This Row],[性別]]="男",LOOKUP(テーブル2[[#This Row],[反復]],$AO$6:$AP$15),LOOKUP(テーブル2[[#This Row],[反復]],$AO$20:$AP$29))))</f>
        <v>0</v>
      </c>
      <c r="W324" s="145">
        <f>IF(テーブル2[[#This Row],[持久走]]="",0,(IF(テーブル2[[#This Row],[性別]]="男",LOOKUP(テーブル2[[#This Row],[持久走]],$AQ$6:$AR$15),LOOKUP(テーブル2[[#This Row],[持久走]],$AQ$20:$AR$29))))</f>
        <v>0</v>
      </c>
      <c r="X324" s="145">
        <f>IF(テーブル2[[#This Row],[ｼｬﾄﾙﾗﾝ]]="",0,(IF(テーブル2[[#This Row],[性別]]="男",LOOKUP(テーブル2[[#This Row],[ｼｬﾄﾙﾗﾝ]],$AS$6:$AT$15),LOOKUP(テーブル2[[#This Row],[ｼｬﾄﾙﾗﾝ]],$AS$20:$AT$29))))</f>
        <v>0</v>
      </c>
      <c r="Y324" s="145">
        <f>IF(テーブル2[[#This Row],[50m走]]="",0,(IF(テーブル2[[#This Row],[性別]]="男",LOOKUP(テーブル2[[#This Row],[50m走]],$AU$6:$AV$15),LOOKUP(テーブル2[[#This Row],[50m走]],$AU$20:$AV$29))))</f>
        <v>0</v>
      </c>
      <c r="Z324" s="145">
        <f>IF(テーブル2[[#This Row],[立幅とび]]="",0,(IF(テーブル2[[#This Row],[性別]]="男",LOOKUP(テーブル2[[#This Row],[立幅とび]],$AW$6:$AX$15),LOOKUP(テーブル2[[#This Row],[立幅とび]],$AW$20:$AX$29))))</f>
        <v>0</v>
      </c>
      <c r="AA324" s="145">
        <f>IF(テーブル2[[#This Row],[ボール投げ]]="",0,(IF(テーブル2[[#This Row],[性別]]="男",LOOKUP(テーブル2[[#This Row],[ボール投げ]],$AY$6:$AZ$15),LOOKUP(テーブル2[[#This Row],[ボール投げ]],$AY$20:$AZ$29))))</f>
        <v>0</v>
      </c>
      <c r="AB324" s="146" t="str">
        <f>IF(テーブル2[[#This Row],[学年]]=1,12,IF(テーブル2[[#This Row],[学年]]=2,13,IF(テーブル2[[#This Row],[学年]]=3,14,"")))</f>
        <v/>
      </c>
      <c r="AC324" s="192" t="str">
        <f>IF(テーブル2[[#This Row],[肥満度数値]]=0,"",LOOKUP(AE324,$AW$39:$AW$44,$AX$39:$AX$44))</f>
        <v/>
      </c>
      <c r="AD32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4" s="77">
        <f>IF(テーブル2[[#This Row],[体重]]="",0,(テーブル2[[#This Row],[体重]]-テーブル2[[#This Row],[標準体重]])/テーブル2[[#This Row],[標準体重]]*100)</f>
        <v>0</v>
      </c>
      <c r="AF324" s="26">
        <f>COUNTA(テーブル2[[#This Row],[握力]:[ボール投げ]])</f>
        <v>0</v>
      </c>
      <c r="AG324" s="1" t="str">
        <f>IF(テーブル2[[#This Row],[判定]]=$BE$10,"○","")</f>
        <v/>
      </c>
      <c r="AH324" s="1" t="str">
        <f>IF(AG324="","",COUNTIF($AG$6:AG324,"○"))</f>
        <v/>
      </c>
    </row>
    <row r="325" spans="1:34" ht="14.25" customHeight="1" x14ac:dyDescent="0.15">
      <c r="A325" s="44">
        <v>320</v>
      </c>
      <c r="B325" s="148"/>
      <c r="C325" s="151"/>
      <c r="D325" s="148"/>
      <c r="E325" s="152"/>
      <c r="F325" s="148"/>
      <c r="G325" s="148"/>
      <c r="H325" s="150"/>
      <c r="I325" s="150"/>
      <c r="J325" s="151"/>
      <c r="K325" s="148"/>
      <c r="L325" s="196"/>
      <c r="M325" s="151"/>
      <c r="N325" s="197"/>
      <c r="O325" s="151"/>
      <c r="P325" s="153"/>
      <c r="Q32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5" s="144" t="str">
        <f>IF(テーブル2[[#This Row],[得点]]=0,"",IF(テーブル2[[#This Row],[年齢]]=17,LOOKUP(Q325,$BH$6:$BH$10,$BE$6:$BE$10),IF(テーブル2[[#This Row],[年齢]]=16,LOOKUP(Q325,$BG$6:$BG$10,$BE$6:$BE$10),IF(テーブル2[[#This Row],[年齢]]=15,LOOKUP(Q325,$BF$6:$BF$10,$BE$6:$BE$10),IF(テーブル2[[#This Row],[年齢]]=14,LOOKUP(Q325,$BD$6:$BD$10,$BE$6:$BE$10),IF(テーブル2[[#This Row],[年齢]]=13,LOOKUP(Q325,$BC$6:$BC$10,$BE$6:$BE$10),LOOKUP(Q325,$BB$6:$BB$10,$BE$6:$BE$10)))))))</f>
        <v/>
      </c>
      <c r="S325" s="145">
        <f>IF(H325="",0,(IF(テーブル2[[#This Row],[性別]]="男",LOOKUP(テーブル2[[#This Row],[握力]],$AI$6:$AJ$15),LOOKUP(テーブル2[[#This Row],[握力]],$AI$20:$AJ$29))))</f>
        <v>0</v>
      </c>
      <c r="T325" s="145">
        <f>IF(テーブル2[[#This Row],[上体]]="",0,(IF(テーブル2[[#This Row],[性別]]="男",LOOKUP(テーブル2[[#This Row],[上体]],$AK$6:$AL$15),LOOKUP(テーブル2[[#This Row],[上体]],$AK$20:$AL$29))))</f>
        <v>0</v>
      </c>
      <c r="U325" s="145">
        <f>IF(テーブル2[[#This Row],[長座]]="",0,(IF(テーブル2[[#This Row],[性別]]="男",LOOKUP(テーブル2[[#This Row],[長座]],$AM$6:$AN$15),LOOKUP(テーブル2[[#This Row],[長座]],$AM$20:$AN$29))))</f>
        <v>0</v>
      </c>
      <c r="V325" s="145">
        <f>IF(テーブル2[[#This Row],[反復]]="",0,(IF(テーブル2[[#This Row],[性別]]="男",LOOKUP(テーブル2[[#This Row],[反復]],$AO$6:$AP$15),LOOKUP(テーブル2[[#This Row],[反復]],$AO$20:$AP$29))))</f>
        <v>0</v>
      </c>
      <c r="W325" s="145">
        <f>IF(テーブル2[[#This Row],[持久走]]="",0,(IF(テーブル2[[#This Row],[性別]]="男",LOOKUP(テーブル2[[#This Row],[持久走]],$AQ$6:$AR$15),LOOKUP(テーブル2[[#This Row],[持久走]],$AQ$20:$AR$29))))</f>
        <v>0</v>
      </c>
      <c r="X325" s="145">
        <f>IF(テーブル2[[#This Row],[ｼｬﾄﾙﾗﾝ]]="",0,(IF(テーブル2[[#This Row],[性別]]="男",LOOKUP(テーブル2[[#This Row],[ｼｬﾄﾙﾗﾝ]],$AS$6:$AT$15),LOOKUP(テーブル2[[#This Row],[ｼｬﾄﾙﾗﾝ]],$AS$20:$AT$29))))</f>
        <v>0</v>
      </c>
      <c r="Y325" s="145">
        <f>IF(テーブル2[[#This Row],[50m走]]="",0,(IF(テーブル2[[#This Row],[性別]]="男",LOOKUP(テーブル2[[#This Row],[50m走]],$AU$6:$AV$15),LOOKUP(テーブル2[[#This Row],[50m走]],$AU$20:$AV$29))))</f>
        <v>0</v>
      </c>
      <c r="Z325" s="145">
        <f>IF(テーブル2[[#This Row],[立幅とび]]="",0,(IF(テーブル2[[#This Row],[性別]]="男",LOOKUP(テーブル2[[#This Row],[立幅とび]],$AW$6:$AX$15),LOOKUP(テーブル2[[#This Row],[立幅とび]],$AW$20:$AX$29))))</f>
        <v>0</v>
      </c>
      <c r="AA325" s="145">
        <f>IF(テーブル2[[#This Row],[ボール投げ]]="",0,(IF(テーブル2[[#This Row],[性別]]="男",LOOKUP(テーブル2[[#This Row],[ボール投げ]],$AY$6:$AZ$15),LOOKUP(テーブル2[[#This Row],[ボール投げ]],$AY$20:$AZ$29))))</f>
        <v>0</v>
      </c>
      <c r="AB325" s="146" t="str">
        <f>IF(テーブル2[[#This Row],[学年]]=1,12,IF(テーブル2[[#This Row],[学年]]=2,13,IF(テーブル2[[#This Row],[学年]]=3,14,"")))</f>
        <v/>
      </c>
      <c r="AC325" s="192" t="str">
        <f>IF(テーブル2[[#This Row],[肥満度数値]]=0,"",LOOKUP(AE325,$AW$39:$AW$44,$AX$39:$AX$44))</f>
        <v/>
      </c>
      <c r="AD32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5" s="77">
        <f>IF(テーブル2[[#This Row],[体重]]="",0,(テーブル2[[#This Row],[体重]]-テーブル2[[#This Row],[標準体重]])/テーブル2[[#This Row],[標準体重]]*100)</f>
        <v>0</v>
      </c>
      <c r="AF325" s="26">
        <f>COUNTA(テーブル2[[#This Row],[握力]:[ボール投げ]])</f>
        <v>0</v>
      </c>
      <c r="AG325" s="1" t="str">
        <f>IF(テーブル2[[#This Row],[判定]]=$BE$10,"○","")</f>
        <v/>
      </c>
      <c r="AH325" s="1" t="str">
        <f>IF(AG325="","",COUNTIF($AG$6:AG325,"○"))</f>
        <v/>
      </c>
    </row>
    <row r="326" spans="1:34" ht="14.25" customHeight="1" x14ac:dyDescent="0.15">
      <c r="A326" s="44">
        <v>321</v>
      </c>
      <c r="B326" s="148"/>
      <c r="C326" s="151"/>
      <c r="D326" s="148"/>
      <c r="E326" s="152"/>
      <c r="F326" s="148"/>
      <c r="G326" s="148"/>
      <c r="H326" s="150"/>
      <c r="I326" s="150"/>
      <c r="J326" s="151"/>
      <c r="K326" s="148"/>
      <c r="L326" s="196"/>
      <c r="M326" s="151"/>
      <c r="N326" s="197"/>
      <c r="O326" s="151"/>
      <c r="P326" s="153"/>
      <c r="Q32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6" s="144" t="str">
        <f>IF(テーブル2[[#This Row],[得点]]=0,"",IF(テーブル2[[#This Row],[年齢]]=17,LOOKUP(Q326,$BH$6:$BH$10,$BE$6:$BE$10),IF(テーブル2[[#This Row],[年齢]]=16,LOOKUP(Q326,$BG$6:$BG$10,$BE$6:$BE$10),IF(テーブル2[[#This Row],[年齢]]=15,LOOKUP(Q326,$BF$6:$BF$10,$BE$6:$BE$10),IF(テーブル2[[#This Row],[年齢]]=14,LOOKUP(Q326,$BD$6:$BD$10,$BE$6:$BE$10),IF(テーブル2[[#This Row],[年齢]]=13,LOOKUP(Q326,$BC$6:$BC$10,$BE$6:$BE$10),LOOKUP(Q326,$BB$6:$BB$10,$BE$6:$BE$10)))))))</f>
        <v/>
      </c>
      <c r="S326" s="145">
        <f>IF(H326="",0,(IF(テーブル2[[#This Row],[性別]]="男",LOOKUP(テーブル2[[#This Row],[握力]],$AI$6:$AJ$15),LOOKUP(テーブル2[[#This Row],[握力]],$AI$20:$AJ$29))))</f>
        <v>0</v>
      </c>
      <c r="T326" s="145">
        <f>IF(テーブル2[[#This Row],[上体]]="",0,(IF(テーブル2[[#This Row],[性別]]="男",LOOKUP(テーブル2[[#This Row],[上体]],$AK$6:$AL$15),LOOKUP(テーブル2[[#This Row],[上体]],$AK$20:$AL$29))))</f>
        <v>0</v>
      </c>
      <c r="U326" s="145">
        <f>IF(テーブル2[[#This Row],[長座]]="",0,(IF(テーブル2[[#This Row],[性別]]="男",LOOKUP(テーブル2[[#This Row],[長座]],$AM$6:$AN$15),LOOKUP(テーブル2[[#This Row],[長座]],$AM$20:$AN$29))))</f>
        <v>0</v>
      </c>
      <c r="V326" s="145">
        <f>IF(テーブル2[[#This Row],[反復]]="",0,(IF(テーブル2[[#This Row],[性別]]="男",LOOKUP(テーブル2[[#This Row],[反復]],$AO$6:$AP$15),LOOKUP(テーブル2[[#This Row],[反復]],$AO$20:$AP$29))))</f>
        <v>0</v>
      </c>
      <c r="W326" s="145">
        <f>IF(テーブル2[[#This Row],[持久走]]="",0,(IF(テーブル2[[#This Row],[性別]]="男",LOOKUP(テーブル2[[#This Row],[持久走]],$AQ$6:$AR$15),LOOKUP(テーブル2[[#This Row],[持久走]],$AQ$20:$AR$29))))</f>
        <v>0</v>
      </c>
      <c r="X326" s="145">
        <f>IF(テーブル2[[#This Row],[ｼｬﾄﾙﾗﾝ]]="",0,(IF(テーブル2[[#This Row],[性別]]="男",LOOKUP(テーブル2[[#This Row],[ｼｬﾄﾙﾗﾝ]],$AS$6:$AT$15),LOOKUP(テーブル2[[#This Row],[ｼｬﾄﾙﾗﾝ]],$AS$20:$AT$29))))</f>
        <v>0</v>
      </c>
      <c r="Y326" s="145">
        <f>IF(テーブル2[[#This Row],[50m走]]="",0,(IF(テーブル2[[#This Row],[性別]]="男",LOOKUP(テーブル2[[#This Row],[50m走]],$AU$6:$AV$15),LOOKUP(テーブル2[[#This Row],[50m走]],$AU$20:$AV$29))))</f>
        <v>0</v>
      </c>
      <c r="Z326" s="145">
        <f>IF(テーブル2[[#This Row],[立幅とび]]="",0,(IF(テーブル2[[#This Row],[性別]]="男",LOOKUP(テーブル2[[#This Row],[立幅とび]],$AW$6:$AX$15),LOOKUP(テーブル2[[#This Row],[立幅とび]],$AW$20:$AX$29))))</f>
        <v>0</v>
      </c>
      <c r="AA326" s="145">
        <f>IF(テーブル2[[#This Row],[ボール投げ]]="",0,(IF(テーブル2[[#This Row],[性別]]="男",LOOKUP(テーブル2[[#This Row],[ボール投げ]],$AY$6:$AZ$15),LOOKUP(テーブル2[[#This Row],[ボール投げ]],$AY$20:$AZ$29))))</f>
        <v>0</v>
      </c>
      <c r="AB326" s="146" t="str">
        <f>IF(テーブル2[[#This Row],[学年]]=1,12,IF(テーブル2[[#This Row],[学年]]=2,13,IF(テーブル2[[#This Row],[学年]]=3,14,"")))</f>
        <v/>
      </c>
      <c r="AC326" s="192" t="str">
        <f>IF(テーブル2[[#This Row],[肥満度数値]]=0,"",LOOKUP(AE326,$AW$39:$AW$44,$AX$39:$AX$44))</f>
        <v/>
      </c>
      <c r="AD32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6" s="77">
        <f>IF(テーブル2[[#This Row],[体重]]="",0,(テーブル2[[#This Row],[体重]]-テーブル2[[#This Row],[標準体重]])/テーブル2[[#This Row],[標準体重]]*100)</f>
        <v>0</v>
      </c>
      <c r="AF326" s="26">
        <f>COUNTA(テーブル2[[#This Row],[握力]:[ボール投げ]])</f>
        <v>0</v>
      </c>
      <c r="AG326" s="1" t="str">
        <f>IF(テーブル2[[#This Row],[判定]]=$BE$10,"○","")</f>
        <v/>
      </c>
      <c r="AH326" s="1" t="str">
        <f>IF(AG326="","",COUNTIF($AG$6:AG326,"○"))</f>
        <v/>
      </c>
    </row>
    <row r="327" spans="1:34" ht="14.25" customHeight="1" x14ac:dyDescent="0.15">
      <c r="A327" s="44">
        <v>322</v>
      </c>
      <c r="B327" s="148"/>
      <c r="C327" s="151"/>
      <c r="D327" s="148"/>
      <c r="E327" s="152"/>
      <c r="F327" s="148"/>
      <c r="G327" s="148"/>
      <c r="H327" s="150"/>
      <c r="I327" s="150"/>
      <c r="J327" s="151"/>
      <c r="K327" s="148"/>
      <c r="L327" s="196"/>
      <c r="M327" s="151"/>
      <c r="N327" s="197"/>
      <c r="O327" s="151"/>
      <c r="P327" s="153"/>
      <c r="Q32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7" s="144" t="str">
        <f>IF(テーブル2[[#This Row],[得点]]=0,"",IF(テーブル2[[#This Row],[年齢]]=17,LOOKUP(Q327,$BH$6:$BH$10,$BE$6:$BE$10),IF(テーブル2[[#This Row],[年齢]]=16,LOOKUP(Q327,$BG$6:$BG$10,$BE$6:$BE$10),IF(テーブル2[[#This Row],[年齢]]=15,LOOKUP(Q327,$BF$6:$BF$10,$BE$6:$BE$10),IF(テーブル2[[#This Row],[年齢]]=14,LOOKUP(Q327,$BD$6:$BD$10,$BE$6:$BE$10),IF(テーブル2[[#This Row],[年齢]]=13,LOOKUP(Q327,$BC$6:$BC$10,$BE$6:$BE$10),LOOKUP(Q327,$BB$6:$BB$10,$BE$6:$BE$10)))))))</f>
        <v/>
      </c>
      <c r="S327" s="145">
        <f>IF(H327="",0,(IF(テーブル2[[#This Row],[性別]]="男",LOOKUP(テーブル2[[#This Row],[握力]],$AI$6:$AJ$15),LOOKUP(テーブル2[[#This Row],[握力]],$AI$20:$AJ$29))))</f>
        <v>0</v>
      </c>
      <c r="T327" s="145">
        <f>IF(テーブル2[[#This Row],[上体]]="",0,(IF(テーブル2[[#This Row],[性別]]="男",LOOKUP(テーブル2[[#This Row],[上体]],$AK$6:$AL$15),LOOKUP(テーブル2[[#This Row],[上体]],$AK$20:$AL$29))))</f>
        <v>0</v>
      </c>
      <c r="U327" s="145">
        <f>IF(テーブル2[[#This Row],[長座]]="",0,(IF(テーブル2[[#This Row],[性別]]="男",LOOKUP(テーブル2[[#This Row],[長座]],$AM$6:$AN$15),LOOKUP(テーブル2[[#This Row],[長座]],$AM$20:$AN$29))))</f>
        <v>0</v>
      </c>
      <c r="V327" s="145">
        <f>IF(テーブル2[[#This Row],[反復]]="",0,(IF(テーブル2[[#This Row],[性別]]="男",LOOKUP(テーブル2[[#This Row],[反復]],$AO$6:$AP$15),LOOKUP(テーブル2[[#This Row],[反復]],$AO$20:$AP$29))))</f>
        <v>0</v>
      </c>
      <c r="W327" s="145">
        <f>IF(テーブル2[[#This Row],[持久走]]="",0,(IF(テーブル2[[#This Row],[性別]]="男",LOOKUP(テーブル2[[#This Row],[持久走]],$AQ$6:$AR$15),LOOKUP(テーブル2[[#This Row],[持久走]],$AQ$20:$AR$29))))</f>
        <v>0</v>
      </c>
      <c r="X327" s="145">
        <f>IF(テーブル2[[#This Row],[ｼｬﾄﾙﾗﾝ]]="",0,(IF(テーブル2[[#This Row],[性別]]="男",LOOKUP(テーブル2[[#This Row],[ｼｬﾄﾙﾗﾝ]],$AS$6:$AT$15),LOOKUP(テーブル2[[#This Row],[ｼｬﾄﾙﾗﾝ]],$AS$20:$AT$29))))</f>
        <v>0</v>
      </c>
      <c r="Y327" s="145">
        <f>IF(テーブル2[[#This Row],[50m走]]="",0,(IF(テーブル2[[#This Row],[性別]]="男",LOOKUP(テーブル2[[#This Row],[50m走]],$AU$6:$AV$15),LOOKUP(テーブル2[[#This Row],[50m走]],$AU$20:$AV$29))))</f>
        <v>0</v>
      </c>
      <c r="Z327" s="145">
        <f>IF(テーブル2[[#This Row],[立幅とび]]="",0,(IF(テーブル2[[#This Row],[性別]]="男",LOOKUP(テーブル2[[#This Row],[立幅とび]],$AW$6:$AX$15),LOOKUP(テーブル2[[#This Row],[立幅とび]],$AW$20:$AX$29))))</f>
        <v>0</v>
      </c>
      <c r="AA327" s="145">
        <f>IF(テーブル2[[#This Row],[ボール投げ]]="",0,(IF(テーブル2[[#This Row],[性別]]="男",LOOKUP(テーブル2[[#This Row],[ボール投げ]],$AY$6:$AZ$15),LOOKUP(テーブル2[[#This Row],[ボール投げ]],$AY$20:$AZ$29))))</f>
        <v>0</v>
      </c>
      <c r="AB327" s="146" t="str">
        <f>IF(テーブル2[[#This Row],[学年]]=1,12,IF(テーブル2[[#This Row],[学年]]=2,13,IF(テーブル2[[#This Row],[学年]]=3,14,"")))</f>
        <v/>
      </c>
      <c r="AC327" s="192" t="str">
        <f>IF(テーブル2[[#This Row],[肥満度数値]]=0,"",LOOKUP(AE327,$AW$39:$AW$44,$AX$39:$AX$44))</f>
        <v/>
      </c>
      <c r="AD32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7" s="77">
        <f>IF(テーブル2[[#This Row],[体重]]="",0,(テーブル2[[#This Row],[体重]]-テーブル2[[#This Row],[標準体重]])/テーブル2[[#This Row],[標準体重]]*100)</f>
        <v>0</v>
      </c>
      <c r="AF327" s="26">
        <f>COUNTA(テーブル2[[#This Row],[握力]:[ボール投げ]])</f>
        <v>0</v>
      </c>
      <c r="AG327" s="1" t="str">
        <f>IF(テーブル2[[#This Row],[判定]]=$BE$10,"○","")</f>
        <v/>
      </c>
      <c r="AH327" s="1" t="str">
        <f>IF(AG327="","",COUNTIF($AG$6:AG327,"○"))</f>
        <v/>
      </c>
    </row>
    <row r="328" spans="1:34" ht="14.25" customHeight="1" x14ac:dyDescent="0.15">
      <c r="A328" s="44">
        <v>323</v>
      </c>
      <c r="B328" s="148"/>
      <c r="C328" s="151"/>
      <c r="D328" s="148"/>
      <c r="E328" s="152"/>
      <c r="F328" s="148"/>
      <c r="G328" s="148"/>
      <c r="H328" s="150"/>
      <c r="I328" s="150"/>
      <c r="J328" s="151"/>
      <c r="K328" s="148"/>
      <c r="L328" s="196"/>
      <c r="M328" s="151"/>
      <c r="N328" s="197"/>
      <c r="O328" s="151"/>
      <c r="P328" s="153"/>
      <c r="Q32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8" s="144" t="str">
        <f>IF(テーブル2[[#This Row],[得点]]=0,"",IF(テーブル2[[#This Row],[年齢]]=17,LOOKUP(Q328,$BH$6:$BH$10,$BE$6:$BE$10),IF(テーブル2[[#This Row],[年齢]]=16,LOOKUP(Q328,$BG$6:$BG$10,$BE$6:$BE$10),IF(テーブル2[[#This Row],[年齢]]=15,LOOKUP(Q328,$BF$6:$BF$10,$BE$6:$BE$10),IF(テーブル2[[#This Row],[年齢]]=14,LOOKUP(Q328,$BD$6:$BD$10,$BE$6:$BE$10),IF(テーブル2[[#This Row],[年齢]]=13,LOOKUP(Q328,$BC$6:$BC$10,$BE$6:$BE$10),LOOKUP(Q328,$BB$6:$BB$10,$BE$6:$BE$10)))))))</f>
        <v/>
      </c>
      <c r="S328" s="145">
        <f>IF(H328="",0,(IF(テーブル2[[#This Row],[性別]]="男",LOOKUP(テーブル2[[#This Row],[握力]],$AI$6:$AJ$15),LOOKUP(テーブル2[[#This Row],[握力]],$AI$20:$AJ$29))))</f>
        <v>0</v>
      </c>
      <c r="T328" s="145">
        <f>IF(テーブル2[[#This Row],[上体]]="",0,(IF(テーブル2[[#This Row],[性別]]="男",LOOKUP(テーブル2[[#This Row],[上体]],$AK$6:$AL$15),LOOKUP(テーブル2[[#This Row],[上体]],$AK$20:$AL$29))))</f>
        <v>0</v>
      </c>
      <c r="U328" s="145">
        <f>IF(テーブル2[[#This Row],[長座]]="",0,(IF(テーブル2[[#This Row],[性別]]="男",LOOKUP(テーブル2[[#This Row],[長座]],$AM$6:$AN$15),LOOKUP(テーブル2[[#This Row],[長座]],$AM$20:$AN$29))))</f>
        <v>0</v>
      </c>
      <c r="V328" s="145">
        <f>IF(テーブル2[[#This Row],[反復]]="",0,(IF(テーブル2[[#This Row],[性別]]="男",LOOKUP(テーブル2[[#This Row],[反復]],$AO$6:$AP$15),LOOKUP(テーブル2[[#This Row],[反復]],$AO$20:$AP$29))))</f>
        <v>0</v>
      </c>
      <c r="W328" s="145">
        <f>IF(テーブル2[[#This Row],[持久走]]="",0,(IF(テーブル2[[#This Row],[性別]]="男",LOOKUP(テーブル2[[#This Row],[持久走]],$AQ$6:$AR$15),LOOKUP(テーブル2[[#This Row],[持久走]],$AQ$20:$AR$29))))</f>
        <v>0</v>
      </c>
      <c r="X328" s="145">
        <f>IF(テーブル2[[#This Row],[ｼｬﾄﾙﾗﾝ]]="",0,(IF(テーブル2[[#This Row],[性別]]="男",LOOKUP(テーブル2[[#This Row],[ｼｬﾄﾙﾗﾝ]],$AS$6:$AT$15),LOOKUP(テーブル2[[#This Row],[ｼｬﾄﾙﾗﾝ]],$AS$20:$AT$29))))</f>
        <v>0</v>
      </c>
      <c r="Y328" s="145">
        <f>IF(テーブル2[[#This Row],[50m走]]="",0,(IF(テーブル2[[#This Row],[性別]]="男",LOOKUP(テーブル2[[#This Row],[50m走]],$AU$6:$AV$15),LOOKUP(テーブル2[[#This Row],[50m走]],$AU$20:$AV$29))))</f>
        <v>0</v>
      </c>
      <c r="Z328" s="145">
        <f>IF(テーブル2[[#This Row],[立幅とび]]="",0,(IF(テーブル2[[#This Row],[性別]]="男",LOOKUP(テーブル2[[#This Row],[立幅とび]],$AW$6:$AX$15),LOOKUP(テーブル2[[#This Row],[立幅とび]],$AW$20:$AX$29))))</f>
        <v>0</v>
      </c>
      <c r="AA328" s="145">
        <f>IF(テーブル2[[#This Row],[ボール投げ]]="",0,(IF(テーブル2[[#This Row],[性別]]="男",LOOKUP(テーブル2[[#This Row],[ボール投げ]],$AY$6:$AZ$15),LOOKUP(テーブル2[[#This Row],[ボール投げ]],$AY$20:$AZ$29))))</f>
        <v>0</v>
      </c>
      <c r="AB328" s="146" t="str">
        <f>IF(テーブル2[[#This Row],[学年]]=1,12,IF(テーブル2[[#This Row],[学年]]=2,13,IF(テーブル2[[#This Row],[学年]]=3,14,"")))</f>
        <v/>
      </c>
      <c r="AC328" s="192" t="str">
        <f>IF(テーブル2[[#This Row],[肥満度数値]]=0,"",LOOKUP(AE328,$AW$39:$AW$44,$AX$39:$AX$44))</f>
        <v/>
      </c>
      <c r="AD32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8" s="77">
        <f>IF(テーブル2[[#This Row],[体重]]="",0,(テーブル2[[#This Row],[体重]]-テーブル2[[#This Row],[標準体重]])/テーブル2[[#This Row],[標準体重]]*100)</f>
        <v>0</v>
      </c>
      <c r="AF328" s="26">
        <f>COUNTA(テーブル2[[#This Row],[握力]:[ボール投げ]])</f>
        <v>0</v>
      </c>
      <c r="AG328" s="1" t="str">
        <f>IF(テーブル2[[#This Row],[判定]]=$BE$10,"○","")</f>
        <v/>
      </c>
      <c r="AH328" s="1" t="str">
        <f>IF(AG328="","",COUNTIF($AG$6:AG328,"○"))</f>
        <v/>
      </c>
    </row>
    <row r="329" spans="1:34" ht="14.25" customHeight="1" x14ac:dyDescent="0.15">
      <c r="A329" s="44">
        <v>324</v>
      </c>
      <c r="B329" s="148"/>
      <c r="C329" s="151"/>
      <c r="D329" s="148"/>
      <c r="E329" s="152"/>
      <c r="F329" s="148"/>
      <c r="G329" s="148"/>
      <c r="H329" s="150"/>
      <c r="I329" s="150"/>
      <c r="J329" s="151"/>
      <c r="K329" s="148"/>
      <c r="L329" s="196"/>
      <c r="M329" s="151"/>
      <c r="N329" s="197"/>
      <c r="O329" s="151"/>
      <c r="P329" s="153"/>
      <c r="Q32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9" s="144" t="str">
        <f>IF(テーブル2[[#This Row],[得点]]=0,"",IF(テーブル2[[#This Row],[年齢]]=17,LOOKUP(Q329,$BH$6:$BH$10,$BE$6:$BE$10),IF(テーブル2[[#This Row],[年齢]]=16,LOOKUP(Q329,$BG$6:$BG$10,$BE$6:$BE$10),IF(テーブル2[[#This Row],[年齢]]=15,LOOKUP(Q329,$BF$6:$BF$10,$BE$6:$BE$10),IF(テーブル2[[#This Row],[年齢]]=14,LOOKUP(Q329,$BD$6:$BD$10,$BE$6:$BE$10),IF(テーブル2[[#This Row],[年齢]]=13,LOOKUP(Q329,$BC$6:$BC$10,$BE$6:$BE$10),LOOKUP(Q329,$BB$6:$BB$10,$BE$6:$BE$10)))))))</f>
        <v/>
      </c>
      <c r="S329" s="145">
        <f>IF(H329="",0,(IF(テーブル2[[#This Row],[性別]]="男",LOOKUP(テーブル2[[#This Row],[握力]],$AI$6:$AJ$15),LOOKUP(テーブル2[[#This Row],[握力]],$AI$20:$AJ$29))))</f>
        <v>0</v>
      </c>
      <c r="T329" s="145">
        <f>IF(テーブル2[[#This Row],[上体]]="",0,(IF(テーブル2[[#This Row],[性別]]="男",LOOKUP(テーブル2[[#This Row],[上体]],$AK$6:$AL$15),LOOKUP(テーブル2[[#This Row],[上体]],$AK$20:$AL$29))))</f>
        <v>0</v>
      </c>
      <c r="U329" s="145">
        <f>IF(テーブル2[[#This Row],[長座]]="",0,(IF(テーブル2[[#This Row],[性別]]="男",LOOKUP(テーブル2[[#This Row],[長座]],$AM$6:$AN$15),LOOKUP(テーブル2[[#This Row],[長座]],$AM$20:$AN$29))))</f>
        <v>0</v>
      </c>
      <c r="V329" s="145">
        <f>IF(テーブル2[[#This Row],[反復]]="",0,(IF(テーブル2[[#This Row],[性別]]="男",LOOKUP(テーブル2[[#This Row],[反復]],$AO$6:$AP$15),LOOKUP(テーブル2[[#This Row],[反復]],$AO$20:$AP$29))))</f>
        <v>0</v>
      </c>
      <c r="W329" s="145">
        <f>IF(テーブル2[[#This Row],[持久走]]="",0,(IF(テーブル2[[#This Row],[性別]]="男",LOOKUP(テーブル2[[#This Row],[持久走]],$AQ$6:$AR$15),LOOKUP(テーブル2[[#This Row],[持久走]],$AQ$20:$AR$29))))</f>
        <v>0</v>
      </c>
      <c r="X329" s="145">
        <f>IF(テーブル2[[#This Row],[ｼｬﾄﾙﾗﾝ]]="",0,(IF(テーブル2[[#This Row],[性別]]="男",LOOKUP(テーブル2[[#This Row],[ｼｬﾄﾙﾗﾝ]],$AS$6:$AT$15),LOOKUP(テーブル2[[#This Row],[ｼｬﾄﾙﾗﾝ]],$AS$20:$AT$29))))</f>
        <v>0</v>
      </c>
      <c r="Y329" s="145">
        <f>IF(テーブル2[[#This Row],[50m走]]="",0,(IF(テーブル2[[#This Row],[性別]]="男",LOOKUP(テーブル2[[#This Row],[50m走]],$AU$6:$AV$15),LOOKUP(テーブル2[[#This Row],[50m走]],$AU$20:$AV$29))))</f>
        <v>0</v>
      </c>
      <c r="Z329" s="145">
        <f>IF(テーブル2[[#This Row],[立幅とび]]="",0,(IF(テーブル2[[#This Row],[性別]]="男",LOOKUP(テーブル2[[#This Row],[立幅とび]],$AW$6:$AX$15),LOOKUP(テーブル2[[#This Row],[立幅とび]],$AW$20:$AX$29))))</f>
        <v>0</v>
      </c>
      <c r="AA329" s="145">
        <f>IF(テーブル2[[#This Row],[ボール投げ]]="",0,(IF(テーブル2[[#This Row],[性別]]="男",LOOKUP(テーブル2[[#This Row],[ボール投げ]],$AY$6:$AZ$15),LOOKUP(テーブル2[[#This Row],[ボール投げ]],$AY$20:$AZ$29))))</f>
        <v>0</v>
      </c>
      <c r="AB329" s="146" t="str">
        <f>IF(テーブル2[[#This Row],[学年]]=1,12,IF(テーブル2[[#This Row],[学年]]=2,13,IF(テーブル2[[#This Row],[学年]]=3,14,"")))</f>
        <v/>
      </c>
      <c r="AC329" s="192" t="str">
        <f>IF(テーブル2[[#This Row],[肥満度数値]]=0,"",LOOKUP(AE329,$AW$39:$AW$44,$AX$39:$AX$44))</f>
        <v/>
      </c>
      <c r="AD32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29" s="77">
        <f>IF(テーブル2[[#This Row],[体重]]="",0,(テーブル2[[#This Row],[体重]]-テーブル2[[#This Row],[標準体重]])/テーブル2[[#This Row],[標準体重]]*100)</f>
        <v>0</v>
      </c>
      <c r="AF329" s="26">
        <f>COUNTA(テーブル2[[#This Row],[握力]:[ボール投げ]])</f>
        <v>0</v>
      </c>
      <c r="AG329" s="1" t="str">
        <f>IF(テーブル2[[#This Row],[判定]]=$BE$10,"○","")</f>
        <v/>
      </c>
      <c r="AH329" s="1" t="str">
        <f>IF(AG329="","",COUNTIF($AG$6:AG329,"○"))</f>
        <v/>
      </c>
    </row>
    <row r="330" spans="1:34" ht="14.25" customHeight="1" x14ac:dyDescent="0.15">
      <c r="A330" s="44">
        <v>325</v>
      </c>
      <c r="B330" s="148"/>
      <c r="C330" s="151"/>
      <c r="D330" s="148"/>
      <c r="E330" s="152"/>
      <c r="F330" s="148"/>
      <c r="G330" s="148"/>
      <c r="H330" s="150"/>
      <c r="I330" s="150"/>
      <c r="J330" s="151"/>
      <c r="K330" s="148"/>
      <c r="L330" s="196"/>
      <c r="M330" s="151"/>
      <c r="N330" s="197"/>
      <c r="O330" s="151"/>
      <c r="P330" s="153"/>
      <c r="Q33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0" s="144" t="str">
        <f>IF(テーブル2[[#This Row],[得点]]=0,"",IF(テーブル2[[#This Row],[年齢]]=17,LOOKUP(Q330,$BH$6:$BH$10,$BE$6:$BE$10),IF(テーブル2[[#This Row],[年齢]]=16,LOOKUP(Q330,$BG$6:$BG$10,$BE$6:$BE$10),IF(テーブル2[[#This Row],[年齢]]=15,LOOKUP(Q330,$BF$6:$BF$10,$BE$6:$BE$10),IF(テーブル2[[#This Row],[年齢]]=14,LOOKUP(Q330,$BD$6:$BD$10,$BE$6:$BE$10),IF(テーブル2[[#This Row],[年齢]]=13,LOOKUP(Q330,$BC$6:$BC$10,$BE$6:$BE$10),LOOKUP(Q330,$BB$6:$BB$10,$BE$6:$BE$10)))))))</f>
        <v/>
      </c>
      <c r="S330" s="145">
        <f>IF(H330="",0,(IF(テーブル2[[#This Row],[性別]]="男",LOOKUP(テーブル2[[#This Row],[握力]],$AI$6:$AJ$15),LOOKUP(テーブル2[[#This Row],[握力]],$AI$20:$AJ$29))))</f>
        <v>0</v>
      </c>
      <c r="T330" s="145">
        <f>IF(テーブル2[[#This Row],[上体]]="",0,(IF(テーブル2[[#This Row],[性別]]="男",LOOKUP(テーブル2[[#This Row],[上体]],$AK$6:$AL$15),LOOKUP(テーブル2[[#This Row],[上体]],$AK$20:$AL$29))))</f>
        <v>0</v>
      </c>
      <c r="U330" s="145">
        <f>IF(テーブル2[[#This Row],[長座]]="",0,(IF(テーブル2[[#This Row],[性別]]="男",LOOKUP(テーブル2[[#This Row],[長座]],$AM$6:$AN$15),LOOKUP(テーブル2[[#This Row],[長座]],$AM$20:$AN$29))))</f>
        <v>0</v>
      </c>
      <c r="V330" s="145">
        <f>IF(テーブル2[[#This Row],[反復]]="",0,(IF(テーブル2[[#This Row],[性別]]="男",LOOKUP(テーブル2[[#This Row],[反復]],$AO$6:$AP$15),LOOKUP(テーブル2[[#This Row],[反復]],$AO$20:$AP$29))))</f>
        <v>0</v>
      </c>
      <c r="W330" s="145">
        <f>IF(テーブル2[[#This Row],[持久走]]="",0,(IF(テーブル2[[#This Row],[性別]]="男",LOOKUP(テーブル2[[#This Row],[持久走]],$AQ$6:$AR$15),LOOKUP(テーブル2[[#This Row],[持久走]],$AQ$20:$AR$29))))</f>
        <v>0</v>
      </c>
      <c r="X330" s="145">
        <f>IF(テーブル2[[#This Row],[ｼｬﾄﾙﾗﾝ]]="",0,(IF(テーブル2[[#This Row],[性別]]="男",LOOKUP(テーブル2[[#This Row],[ｼｬﾄﾙﾗﾝ]],$AS$6:$AT$15),LOOKUP(テーブル2[[#This Row],[ｼｬﾄﾙﾗﾝ]],$AS$20:$AT$29))))</f>
        <v>0</v>
      </c>
      <c r="Y330" s="145">
        <f>IF(テーブル2[[#This Row],[50m走]]="",0,(IF(テーブル2[[#This Row],[性別]]="男",LOOKUP(テーブル2[[#This Row],[50m走]],$AU$6:$AV$15),LOOKUP(テーブル2[[#This Row],[50m走]],$AU$20:$AV$29))))</f>
        <v>0</v>
      </c>
      <c r="Z330" s="145">
        <f>IF(テーブル2[[#This Row],[立幅とび]]="",0,(IF(テーブル2[[#This Row],[性別]]="男",LOOKUP(テーブル2[[#This Row],[立幅とび]],$AW$6:$AX$15),LOOKUP(テーブル2[[#This Row],[立幅とび]],$AW$20:$AX$29))))</f>
        <v>0</v>
      </c>
      <c r="AA330" s="145">
        <f>IF(テーブル2[[#This Row],[ボール投げ]]="",0,(IF(テーブル2[[#This Row],[性別]]="男",LOOKUP(テーブル2[[#This Row],[ボール投げ]],$AY$6:$AZ$15),LOOKUP(テーブル2[[#This Row],[ボール投げ]],$AY$20:$AZ$29))))</f>
        <v>0</v>
      </c>
      <c r="AB330" s="146" t="str">
        <f>IF(テーブル2[[#This Row],[学年]]=1,12,IF(テーブル2[[#This Row],[学年]]=2,13,IF(テーブル2[[#This Row],[学年]]=3,14,"")))</f>
        <v/>
      </c>
      <c r="AC330" s="192" t="str">
        <f>IF(テーブル2[[#This Row],[肥満度数値]]=0,"",LOOKUP(AE330,$AW$39:$AW$44,$AX$39:$AX$44))</f>
        <v/>
      </c>
      <c r="AD33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0" s="77">
        <f>IF(テーブル2[[#This Row],[体重]]="",0,(テーブル2[[#This Row],[体重]]-テーブル2[[#This Row],[標準体重]])/テーブル2[[#This Row],[標準体重]]*100)</f>
        <v>0</v>
      </c>
      <c r="AF330" s="26">
        <f>COUNTA(テーブル2[[#This Row],[握力]:[ボール投げ]])</f>
        <v>0</v>
      </c>
      <c r="AG330" s="1" t="str">
        <f>IF(テーブル2[[#This Row],[判定]]=$BE$10,"○","")</f>
        <v/>
      </c>
      <c r="AH330" s="1" t="str">
        <f>IF(AG330="","",COUNTIF($AG$6:AG330,"○"))</f>
        <v/>
      </c>
    </row>
    <row r="331" spans="1:34" ht="14.25" customHeight="1" x14ac:dyDescent="0.15">
      <c r="A331" s="44">
        <v>326</v>
      </c>
      <c r="B331" s="148"/>
      <c r="C331" s="151"/>
      <c r="D331" s="148"/>
      <c r="E331" s="152"/>
      <c r="F331" s="148"/>
      <c r="G331" s="148"/>
      <c r="H331" s="150"/>
      <c r="I331" s="150"/>
      <c r="J331" s="151"/>
      <c r="K331" s="148"/>
      <c r="L331" s="196"/>
      <c r="M331" s="151"/>
      <c r="N331" s="197"/>
      <c r="O331" s="151"/>
      <c r="P331" s="153"/>
      <c r="Q33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1" s="144" t="str">
        <f>IF(テーブル2[[#This Row],[得点]]=0,"",IF(テーブル2[[#This Row],[年齢]]=17,LOOKUP(Q331,$BH$6:$BH$10,$BE$6:$BE$10),IF(テーブル2[[#This Row],[年齢]]=16,LOOKUP(Q331,$BG$6:$BG$10,$BE$6:$BE$10),IF(テーブル2[[#This Row],[年齢]]=15,LOOKUP(Q331,$BF$6:$BF$10,$BE$6:$BE$10),IF(テーブル2[[#This Row],[年齢]]=14,LOOKUP(Q331,$BD$6:$BD$10,$BE$6:$BE$10),IF(テーブル2[[#This Row],[年齢]]=13,LOOKUP(Q331,$BC$6:$BC$10,$BE$6:$BE$10),LOOKUP(Q331,$BB$6:$BB$10,$BE$6:$BE$10)))))))</f>
        <v/>
      </c>
      <c r="S331" s="145">
        <f>IF(H331="",0,(IF(テーブル2[[#This Row],[性別]]="男",LOOKUP(テーブル2[[#This Row],[握力]],$AI$6:$AJ$15),LOOKUP(テーブル2[[#This Row],[握力]],$AI$20:$AJ$29))))</f>
        <v>0</v>
      </c>
      <c r="T331" s="145">
        <f>IF(テーブル2[[#This Row],[上体]]="",0,(IF(テーブル2[[#This Row],[性別]]="男",LOOKUP(テーブル2[[#This Row],[上体]],$AK$6:$AL$15),LOOKUP(テーブル2[[#This Row],[上体]],$AK$20:$AL$29))))</f>
        <v>0</v>
      </c>
      <c r="U331" s="145">
        <f>IF(テーブル2[[#This Row],[長座]]="",0,(IF(テーブル2[[#This Row],[性別]]="男",LOOKUP(テーブル2[[#This Row],[長座]],$AM$6:$AN$15),LOOKUP(テーブル2[[#This Row],[長座]],$AM$20:$AN$29))))</f>
        <v>0</v>
      </c>
      <c r="V331" s="145">
        <f>IF(テーブル2[[#This Row],[反復]]="",0,(IF(テーブル2[[#This Row],[性別]]="男",LOOKUP(テーブル2[[#This Row],[反復]],$AO$6:$AP$15),LOOKUP(テーブル2[[#This Row],[反復]],$AO$20:$AP$29))))</f>
        <v>0</v>
      </c>
      <c r="W331" s="145">
        <f>IF(テーブル2[[#This Row],[持久走]]="",0,(IF(テーブル2[[#This Row],[性別]]="男",LOOKUP(テーブル2[[#This Row],[持久走]],$AQ$6:$AR$15),LOOKUP(テーブル2[[#This Row],[持久走]],$AQ$20:$AR$29))))</f>
        <v>0</v>
      </c>
      <c r="X331" s="145">
        <f>IF(テーブル2[[#This Row],[ｼｬﾄﾙﾗﾝ]]="",0,(IF(テーブル2[[#This Row],[性別]]="男",LOOKUP(テーブル2[[#This Row],[ｼｬﾄﾙﾗﾝ]],$AS$6:$AT$15),LOOKUP(テーブル2[[#This Row],[ｼｬﾄﾙﾗﾝ]],$AS$20:$AT$29))))</f>
        <v>0</v>
      </c>
      <c r="Y331" s="145">
        <f>IF(テーブル2[[#This Row],[50m走]]="",0,(IF(テーブル2[[#This Row],[性別]]="男",LOOKUP(テーブル2[[#This Row],[50m走]],$AU$6:$AV$15),LOOKUP(テーブル2[[#This Row],[50m走]],$AU$20:$AV$29))))</f>
        <v>0</v>
      </c>
      <c r="Z331" s="145">
        <f>IF(テーブル2[[#This Row],[立幅とび]]="",0,(IF(テーブル2[[#This Row],[性別]]="男",LOOKUP(テーブル2[[#This Row],[立幅とび]],$AW$6:$AX$15),LOOKUP(テーブル2[[#This Row],[立幅とび]],$AW$20:$AX$29))))</f>
        <v>0</v>
      </c>
      <c r="AA331" s="145">
        <f>IF(テーブル2[[#This Row],[ボール投げ]]="",0,(IF(テーブル2[[#This Row],[性別]]="男",LOOKUP(テーブル2[[#This Row],[ボール投げ]],$AY$6:$AZ$15),LOOKUP(テーブル2[[#This Row],[ボール投げ]],$AY$20:$AZ$29))))</f>
        <v>0</v>
      </c>
      <c r="AB331" s="146" t="str">
        <f>IF(テーブル2[[#This Row],[学年]]=1,12,IF(テーブル2[[#This Row],[学年]]=2,13,IF(テーブル2[[#This Row],[学年]]=3,14,"")))</f>
        <v/>
      </c>
      <c r="AC331" s="192" t="str">
        <f>IF(テーブル2[[#This Row],[肥満度数値]]=0,"",LOOKUP(AE331,$AW$39:$AW$44,$AX$39:$AX$44))</f>
        <v/>
      </c>
      <c r="AD33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1" s="77">
        <f>IF(テーブル2[[#This Row],[体重]]="",0,(テーブル2[[#This Row],[体重]]-テーブル2[[#This Row],[標準体重]])/テーブル2[[#This Row],[標準体重]]*100)</f>
        <v>0</v>
      </c>
      <c r="AF331" s="26">
        <f>COUNTA(テーブル2[[#This Row],[握力]:[ボール投げ]])</f>
        <v>0</v>
      </c>
      <c r="AG331" s="1" t="str">
        <f>IF(テーブル2[[#This Row],[判定]]=$BE$10,"○","")</f>
        <v/>
      </c>
      <c r="AH331" s="1" t="str">
        <f>IF(AG331="","",COUNTIF($AG$6:AG331,"○"))</f>
        <v/>
      </c>
    </row>
    <row r="332" spans="1:34" ht="14.25" customHeight="1" x14ac:dyDescent="0.15">
      <c r="A332" s="44">
        <v>327</v>
      </c>
      <c r="B332" s="148"/>
      <c r="C332" s="151"/>
      <c r="D332" s="148"/>
      <c r="E332" s="152"/>
      <c r="F332" s="148"/>
      <c r="G332" s="148"/>
      <c r="H332" s="150"/>
      <c r="I332" s="150"/>
      <c r="J332" s="151"/>
      <c r="K332" s="148"/>
      <c r="L332" s="196"/>
      <c r="M332" s="151"/>
      <c r="N332" s="197"/>
      <c r="O332" s="151"/>
      <c r="P332" s="153"/>
      <c r="Q33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2" s="144" t="str">
        <f>IF(テーブル2[[#This Row],[得点]]=0,"",IF(テーブル2[[#This Row],[年齢]]=17,LOOKUP(Q332,$BH$6:$BH$10,$BE$6:$BE$10),IF(テーブル2[[#This Row],[年齢]]=16,LOOKUP(Q332,$BG$6:$BG$10,$BE$6:$BE$10),IF(テーブル2[[#This Row],[年齢]]=15,LOOKUP(Q332,$BF$6:$BF$10,$BE$6:$BE$10),IF(テーブル2[[#This Row],[年齢]]=14,LOOKUP(Q332,$BD$6:$BD$10,$BE$6:$BE$10),IF(テーブル2[[#This Row],[年齢]]=13,LOOKUP(Q332,$BC$6:$BC$10,$BE$6:$BE$10),LOOKUP(Q332,$BB$6:$BB$10,$BE$6:$BE$10)))))))</f>
        <v/>
      </c>
      <c r="S332" s="145">
        <f>IF(H332="",0,(IF(テーブル2[[#This Row],[性別]]="男",LOOKUP(テーブル2[[#This Row],[握力]],$AI$6:$AJ$15),LOOKUP(テーブル2[[#This Row],[握力]],$AI$20:$AJ$29))))</f>
        <v>0</v>
      </c>
      <c r="T332" s="145">
        <f>IF(テーブル2[[#This Row],[上体]]="",0,(IF(テーブル2[[#This Row],[性別]]="男",LOOKUP(テーブル2[[#This Row],[上体]],$AK$6:$AL$15),LOOKUP(テーブル2[[#This Row],[上体]],$AK$20:$AL$29))))</f>
        <v>0</v>
      </c>
      <c r="U332" s="145">
        <f>IF(テーブル2[[#This Row],[長座]]="",0,(IF(テーブル2[[#This Row],[性別]]="男",LOOKUP(テーブル2[[#This Row],[長座]],$AM$6:$AN$15),LOOKUP(テーブル2[[#This Row],[長座]],$AM$20:$AN$29))))</f>
        <v>0</v>
      </c>
      <c r="V332" s="145">
        <f>IF(テーブル2[[#This Row],[反復]]="",0,(IF(テーブル2[[#This Row],[性別]]="男",LOOKUP(テーブル2[[#This Row],[反復]],$AO$6:$AP$15),LOOKUP(テーブル2[[#This Row],[反復]],$AO$20:$AP$29))))</f>
        <v>0</v>
      </c>
      <c r="W332" s="145">
        <f>IF(テーブル2[[#This Row],[持久走]]="",0,(IF(テーブル2[[#This Row],[性別]]="男",LOOKUP(テーブル2[[#This Row],[持久走]],$AQ$6:$AR$15),LOOKUP(テーブル2[[#This Row],[持久走]],$AQ$20:$AR$29))))</f>
        <v>0</v>
      </c>
      <c r="X332" s="145">
        <f>IF(テーブル2[[#This Row],[ｼｬﾄﾙﾗﾝ]]="",0,(IF(テーブル2[[#This Row],[性別]]="男",LOOKUP(テーブル2[[#This Row],[ｼｬﾄﾙﾗﾝ]],$AS$6:$AT$15),LOOKUP(テーブル2[[#This Row],[ｼｬﾄﾙﾗﾝ]],$AS$20:$AT$29))))</f>
        <v>0</v>
      </c>
      <c r="Y332" s="145">
        <f>IF(テーブル2[[#This Row],[50m走]]="",0,(IF(テーブル2[[#This Row],[性別]]="男",LOOKUP(テーブル2[[#This Row],[50m走]],$AU$6:$AV$15),LOOKUP(テーブル2[[#This Row],[50m走]],$AU$20:$AV$29))))</f>
        <v>0</v>
      </c>
      <c r="Z332" s="145">
        <f>IF(テーブル2[[#This Row],[立幅とび]]="",0,(IF(テーブル2[[#This Row],[性別]]="男",LOOKUP(テーブル2[[#This Row],[立幅とび]],$AW$6:$AX$15),LOOKUP(テーブル2[[#This Row],[立幅とび]],$AW$20:$AX$29))))</f>
        <v>0</v>
      </c>
      <c r="AA332" s="145">
        <f>IF(テーブル2[[#This Row],[ボール投げ]]="",0,(IF(テーブル2[[#This Row],[性別]]="男",LOOKUP(テーブル2[[#This Row],[ボール投げ]],$AY$6:$AZ$15),LOOKUP(テーブル2[[#This Row],[ボール投げ]],$AY$20:$AZ$29))))</f>
        <v>0</v>
      </c>
      <c r="AB332" s="146" t="str">
        <f>IF(テーブル2[[#This Row],[学年]]=1,12,IF(テーブル2[[#This Row],[学年]]=2,13,IF(テーブル2[[#This Row],[学年]]=3,14,"")))</f>
        <v/>
      </c>
      <c r="AC332" s="192" t="str">
        <f>IF(テーブル2[[#This Row],[肥満度数値]]=0,"",LOOKUP(AE332,$AW$39:$AW$44,$AX$39:$AX$44))</f>
        <v/>
      </c>
      <c r="AD33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2" s="77">
        <f>IF(テーブル2[[#This Row],[体重]]="",0,(テーブル2[[#This Row],[体重]]-テーブル2[[#This Row],[標準体重]])/テーブル2[[#This Row],[標準体重]]*100)</f>
        <v>0</v>
      </c>
      <c r="AF332" s="26">
        <f>COUNTA(テーブル2[[#This Row],[握力]:[ボール投げ]])</f>
        <v>0</v>
      </c>
      <c r="AG332" s="1" t="str">
        <f>IF(テーブル2[[#This Row],[判定]]=$BE$10,"○","")</f>
        <v/>
      </c>
      <c r="AH332" s="1" t="str">
        <f>IF(AG332="","",COUNTIF($AG$6:AG332,"○"))</f>
        <v/>
      </c>
    </row>
    <row r="333" spans="1:34" ht="14.25" customHeight="1" x14ac:dyDescent="0.15">
      <c r="A333" s="44">
        <v>328</v>
      </c>
      <c r="B333" s="148"/>
      <c r="C333" s="151"/>
      <c r="D333" s="148"/>
      <c r="E333" s="152"/>
      <c r="F333" s="148"/>
      <c r="G333" s="148"/>
      <c r="H333" s="150"/>
      <c r="I333" s="150"/>
      <c r="J333" s="151"/>
      <c r="K333" s="148"/>
      <c r="L333" s="196"/>
      <c r="M333" s="151"/>
      <c r="N333" s="197"/>
      <c r="O333" s="151"/>
      <c r="P333" s="153"/>
      <c r="Q33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3" s="144" t="str">
        <f>IF(テーブル2[[#This Row],[得点]]=0,"",IF(テーブル2[[#This Row],[年齢]]=17,LOOKUP(Q333,$BH$6:$BH$10,$BE$6:$BE$10),IF(テーブル2[[#This Row],[年齢]]=16,LOOKUP(Q333,$BG$6:$BG$10,$BE$6:$BE$10),IF(テーブル2[[#This Row],[年齢]]=15,LOOKUP(Q333,$BF$6:$BF$10,$BE$6:$BE$10),IF(テーブル2[[#This Row],[年齢]]=14,LOOKUP(Q333,$BD$6:$BD$10,$BE$6:$BE$10),IF(テーブル2[[#This Row],[年齢]]=13,LOOKUP(Q333,$BC$6:$BC$10,$BE$6:$BE$10),LOOKUP(Q333,$BB$6:$BB$10,$BE$6:$BE$10)))))))</f>
        <v/>
      </c>
      <c r="S333" s="145">
        <f>IF(H333="",0,(IF(テーブル2[[#This Row],[性別]]="男",LOOKUP(テーブル2[[#This Row],[握力]],$AI$6:$AJ$15),LOOKUP(テーブル2[[#This Row],[握力]],$AI$20:$AJ$29))))</f>
        <v>0</v>
      </c>
      <c r="T333" s="145">
        <f>IF(テーブル2[[#This Row],[上体]]="",0,(IF(テーブル2[[#This Row],[性別]]="男",LOOKUP(テーブル2[[#This Row],[上体]],$AK$6:$AL$15),LOOKUP(テーブル2[[#This Row],[上体]],$AK$20:$AL$29))))</f>
        <v>0</v>
      </c>
      <c r="U333" s="145">
        <f>IF(テーブル2[[#This Row],[長座]]="",0,(IF(テーブル2[[#This Row],[性別]]="男",LOOKUP(テーブル2[[#This Row],[長座]],$AM$6:$AN$15),LOOKUP(テーブル2[[#This Row],[長座]],$AM$20:$AN$29))))</f>
        <v>0</v>
      </c>
      <c r="V333" s="145">
        <f>IF(テーブル2[[#This Row],[反復]]="",0,(IF(テーブル2[[#This Row],[性別]]="男",LOOKUP(テーブル2[[#This Row],[反復]],$AO$6:$AP$15),LOOKUP(テーブル2[[#This Row],[反復]],$AO$20:$AP$29))))</f>
        <v>0</v>
      </c>
      <c r="W333" s="145">
        <f>IF(テーブル2[[#This Row],[持久走]]="",0,(IF(テーブル2[[#This Row],[性別]]="男",LOOKUP(テーブル2[[#This Row],[持久走]],$AQ$6:$AR$15),LOOKUP(テーブル2[[#This Row],[持久走]],$AQ$20:$AR$29))))</f>
        <v>0</v>
      </c>
      <c r="X333" s="145">
        <f>IF(テーブル2[[#This Row],[ｼｬﾄﾙﾗﾝ]]="",0,(IF(テーブル2[[#This Row],[性別]]="男",LOOKUP(テーブル2[[#This Row],[ｼｬﾄﾙﾗﾝ]],$AS$6:$AT$15),LOOKUP(テーブル2[[#This Row],[ｼｬﾄﾙﾗﾝ]],$AS$20:$AT$29))))</f>
        <v>0</v>
      </c>
      <c r="Y333" s="145">
        <f>IF(テーブル2[[#This Row],[50m走]]="",0,(IF(テーブル2[[#This Row],[性別]]="男",LOOKUP(テーブル2[[#This Row],[50m走]],$AU$6:$AV$15),LOOKUP(テーブル2[[#This Row],[50m走]],$AU$20:$AV$29))))</f>
        <v>0</v>
      </c>
      <c r="Z333" s="145">
        <f>IF(テーブル2[[#This Row],[立幅とび]]="",0,(IF(テーブル2[[#This Row],[性別]]="男",LOOKUP(テーブル2[[#This Row],[立幅とび]],$AW$6:$AX$15),LOOKUP(テーブル2[[#This Row],[立幅とび]],$AW$20:$AX$29))))</f>
        <v>0</v>
      </c>
      <c r="AA333" s="145">
        <f>IF(テーブル2[[#This Row],[ボール投げ]]="",0,(IF(テーブル2[[#This Row],[性別]]="男",LOOKUP(テーブル2[[#This Row],[ボール投げ]],$AY$6:$AZ$15),LOOKUP(テーブル2[[#This Row],[ボール投げ]],$AY$20:$AZ$29))))</f>
        <v>0</v>
      </c>
      <c r="AB333" s="146" t="str">
        <f>IF(テーブル2[[#This Row],[学年]]=1,12,IF(テーブル2[[#This Row],[学年]]=2,13,IF(テーブル2[[#This Row],[学年]]=3,14,"")))</f>
        <v/>
      </c>
      <c r="AC333" s="192" t="str">
        <f>IF(テーブル2[[#This Row],[肥満度数値]]=0,"",LOOKUP(AE333,$AW$39:$AW$44,$AX$39:$AX$44))</f>
        <v/>
      </c>
      <c r="AD33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3" s="77">
        <f>IF(テーブル2[[#This Row],[体重]]="",0,(テーブル2[[#This Row],[体重]]-テーブル2[[#This Row],[標準体重]])/テーブル2[[#This Row],[標準体重]]*100)</f>
        <v>0</v>
      </c>
      <c r="AF333" s="26">
        <f>COUNTA(テーブル2[[#This Row],[握力]:[ボール投げ]])</f>
        <v>0</v>
      </c>
      <c r="AG333" s="1" t="str">
        <f>IF(テーブル2[[#This Row],[判定]]=$BE$10,"○","")</f>
        <v/>
      </c>
      <c r="AH333" s="1" t="str">
        <f>IF(AG333="","",COUNTIF($AG$6:AG333,"○"))</f>
        <v/>
      </c>
    </row>
    <row r="334" spans="1:34" ht="14.25" customHeight="1" x14ac:dyDescent="0.15">
      <c r="A334" s="44">
        <v>329</v>
      </c>
      <c r="B334" s="148"/>
      <c r="C334" s="151"/>
      <c r="D334" s="148"/>
      <c r="E334" s="152"/>
      <c r="F334" s="148"/>
      <c r="G334" s="148"/>
      <c r="H334" s="150"/>
      <c r="I334" s="150"/>
      <c r="J334" s="151"/>
      <c r="K334" s="148"/>
      <c r="L334" s="196"/>
      <c r="M334" s="151"/>
      <c r="N334" s="197"/>
      <c r="O334" s="151"/>
      <c r="P334" s="153"/>
      <c r="Q33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4" s="144" t="str">
        <f>IF(テーブル2[[#This Row],[得点]]=0,"",IF(テーブル2[[#This Row],[年齢]]=17,LOOKUP(Q334,$BH$6:$BH$10,$BE$6:$BE$10),IF(テーブル2[[#This Row],[年齢]]=16,LOOKUP(Q334,$BG$6:$BG$10,$BE$6:$BE$10),IF(テーブル2[[#This Row],[年齢]]=15,LOOKUP(Q334,$BF$6:$BF$10,$BE$6:$BE$10),IF(テーブル2[[#This Row],[年齢]]=14,LOOKUP(Q334,$BD$6:$BD$10,$BE$6:$BE$10),IF(テーブル2[[#This Row],[年齢]]=13,LOOKUP(Q334,$BC$6:$BC$10,$BE$6:$BE$10),LOOKUP(Q334,$BB$6:$BB$10,$BE$6:$BE$10)))))))</f>
        <v/>
      </c>
      <c r="S334" s="145">
        <f>IF(H334="",0,(IF(テーブル2[[#This Row],[性別]]="男",LOOKUP(テーブル2[[#This Row],[握力]],$AI$6:$AJ$15),LOOKUP(テーブル2[[#This Row],[握力]],$AI$20:$AJ$29))))</f>
        <v>0</v>
      </c>
      <c r="T334" s="145">
        <f>IF(テーブル2[[#This Row],[上体]]="",0,(IF(テーブル2[[#This Row],[性別]]="男",LOOKUP(テーブル2[[#This Row],[上体]],$AK$6:$AL$15),LOOKUP(テーブル2[[#This Row],[上体]],$AK$20:$AL$29))))</f>
        <v>0</v>
      </c>
      <c r="U334" s="145">
        <f>IF(テーブル2[[#This Row],[長座]]="",0,(IF(テーブル2[[#This Row],[性別]]="男",LOOKUP(テーブル2[[#This Row],[長座]],$AM$6:$AN$15),LOOKUP(テーブル2[[#This Row],[長座]],$AM$20:$AN$29))))</f>
        <v>0</v>
      </c>
      <c r="V334" s="145">
        <f>IF(テーブル2[[#This Row],[反復]]="",0,(IF(テーブル2[[#This Row],[性別]]="男",LOOKUP(テーブル2[[#This Row],[反復]],$AO$6:$AP$15),LOOKUP(テーブル2[[#This Row],[反復]],$AO$20:$AP$29))))</f>
        <v>0</v>
      </c>
      <c r="W334" s="145">
        <f>IF(テーブル2[[#This Row],[持久走]]="",0,(IF(テーブル2[[#This Row],[性別]]="男",LOOKUP(テーブル2[[#This Row],[持久走]],$AQ$6:$AR$15),LOOKUP(テーブル2[[#This Row],[持久走]],$AQ$20:$AR$29))))</f>
        <v>0</v>
      </c>
      <c r="X334" s="145">
        <f>IF(テーブル2[[#This Row],[ｼｬﾄﾙﾗﾝ]]="",0,(IF(テーブル2[[#This Row],[性別]]="男",LOOKUP(テーブル2[[#This Row],[ｼｬﾄﾙﾗﾝ]],$AS$6:$AT$15),LOOKUP(テーブル2[[#This Row],[ｼｬﾄﾙﾗﾝ]],$AS$20:$AT$29))))</f>
        <v>0</v>
      </c>
      <c r="Y334" s="145">
        <f>IF(テーブル2[[#This Row],[50m走]]="",0,(IF(テーブル2[[#This Row],[性別]]="男",LOOKUP(テーブル2[[#This Row],[50m走]],$AU$6:$AV$15),LOOKUP(テーブル2[[#This Row],[50m走]],$AU$20:$AV$29))))</f>
        <v>0</v>
      </c>
      <c r="Z334" s="145">
        <f>IF(テーブル2[[#This Row],[立幅とび]]="",0,(IF(テーブル2[[#This Row],[性別]]="男",LOOKUP(テーブル2[[#This Row],[立幅とび]],$AW$6:$AX$15),LOOKUP(テーブル2[[#This Row],[立幅とび]],$AW$20:$AX$29))))</f>
        <v>0</v>
      </c>
      <c r="AA334" s="145">
        <f>IF(テーブル2[[#This Row],[ボール投げ]]="",0,(IF(テーブル2[[#This Row],[性別]]="男",LOOKUP(テーブル2[[#This Row],[ボール投げ]],$AY$6:$AZ$15),LOOKUP(テーブル2[[#This Row],[ボール投げ]],$AY$20:$AZ$29))))</f>
        <v>0</v>
      </c>
      <c r="AB334" s="146" t="str">
        <f>IF(テーブル2[[#This Row],[学年]]=1,12,IF(テーブル2[[#This Row],[学年]]=2,13,IF(テーブル2[[#This Row],[学年]]=3,14,"")))</f>
        <v/>
      </c>
      <c r="AC334" s="192" t="str">
        <f>IF(テーブル2[[#This Row],[肥満度数値]]=0,"",LOOKUP(AE334,$AW$39:$AW$44,$AX$39:$AX$44))</f>
        <v/>
      </c>
      <c r="AD33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4" s="77">
        <f>IF(テーブル2[[#This Row],[体重]]="",0,(テーブル2[[#This Row],[体重]]-テーブル2[[#This Row],[標準体重]])/テーブル2[[#This Row],[標準体重]]*100)</f>
        <v>0</v>
      </c>
      <c r="AF334" s="26">
        <f>COUNTA(テーブル2[[#This Row],[握力]:[ボール投げ]])</f>
        <v>0</v>
      </c>
      <c r="AG334" s="1" t="str">
        <f>IF(テーブル2[[#This Row],[判定]]=$BE$10,"○","")</f>
        <v/>
      </c>
      <c r="AH334" s="1" t="str">
        <f>IF(AG334="","",COUNTIF($AG$6:AG334,"○"))</f>
        <v/>
      </c>
    </row>
    <row r="335" spans="1:34" ht="14.25" customHeight="1" x14ac:dyDescent="0.15">
      <c r="A335" s="44">
        <v>330</v>
      </c>
      <c r="B335" s="148"/>
      <c r="C335" s="151"/>
      <c r="D335" s="148"/>
      <c r="E335" s="152"/>
      <c r="F335" s="148"/>
      <c r="G335" s="148"/>
      <c r="H335" s="150"/>
      <c r="I335" s="150"/>
      <c r="J335" s="151"/>
      <c r="K335" s="148"/>
      <c r="L335" s="196"/>
      <c r="M335" s="151"/>
      <c r="N335" s="197"/>
      <c r="O335" s="151"/>
      <c r="P335" s="153"/>
      <c r="Q33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5" s="144" t="str">
        <f>IF(テーブル2[[#This Row],[得点]]=0,"",IF(テーブル2[[#This Row],[年齢]]=17,LOOKUP(Q335,$BH$6:$BH$10,$BE$6:$BE$10),IF(テーブル2[[#This Row],[年齢]]=16,LOOKUP(Q335,$BG$6:$BG$10,$BE$6:$BE$10),IF(テーブル2[[#This Row],[年齢]]=15,LOOKUP(Q335,$BF$6:$BF$10,$BE$6:$BE$10),IF(テーブル2[[#This Row],[年齢]]=14,LOOKUP(Q335,$BD$6:$BD$10,$BE$6:$BE$10),IF(テーブル2[[#This Row],[年齢]]=13,LOOKUP(Q335,$BC$6:$BC$10,$BE$6:$BE$10),LOOKUP(Q335,$BB$6:$BB$10,$BE$6:$BE$10)))))))</f>
        <v/>
      </c>
      <c r="S335" s="145">
        <f>IF(H335="",0,(IF(テーブル2[[#This Row],[性別]]="男",LOOKUP(テーブル2[[#This Row],[握力]],$AI$6:$AJ$15),LOOKUP(テーブル2[[#This Row],[握力]],$AI$20:$AJ$29))))</f>
        <v>0</v>
      </c>
      <c r="T335" s="145">
        <f>IF(テーブル2[[#This Row],[上体]]="",0,(IF(テーブル2[[#This Row],[性別]]="男",LOOKUP(テーブル2[[#This Row],[上体]],$AK$6:$AL$15),LOOKUP(テーブル2[[#This Row],[上体]],$AK$20:$AL$29))))</f>
        <v>0</v>
      </c>
      <c r="U335" s="145">
        <f>IF(テーブル2[[#This Row],[長座]]="",0,(IF(テーブル2[[#This Row],[性別]]="男",LOOKUP(テーブル2[[#This Row],[長座]],$AM$6:$AN$15),LOOKUP(テーブル2[[#This Row],[長座]],$AM$20:$AN$29))))</f>
        <v>0</v>
      </c>
      <c r="V335" s="145">
        <f>IF(テーブル2[[#This Row],[反復]]="",0,(IF(テーブル2[[#This Row],[性別]]="男",LOOKUP(テーブル2[[#This Row],[反復]],$AO$6:$AP$15),LOOKUP(テーブル2[[#This Row],[反復]],$AO$20:$AP$29))))</f>
        <v>0</v>
      </c>
      <c r="W335" s="145">
        <f>IF(テーブル2[[#This Row],[持久走]]="",0,(IF(テーブル2[[#This Row],[性別]]="男",LOOKUP(テーブル2[[#This Row],[持久走]],$AQ$6:$AR$15),LOOKUP(テーブル2[[#This Row],[持久走]],$AQ$20:$AR$29))))</f>
        <v>0</v>
      </c>
      <c r="X335" s="145">
        <f>IF(テーブル2[[#This Row],[ｼｬﾄﾙﾗﾝ]]="",0,(IF(テーブル2[[#This Row],[性別]]="男",LOOKUP(テーブル2[[#This Row],[ｼｬﾄﾙﾗﾝ]],$AS$6:$AT$15),LOOKUP(テーブル2[[#This Row],[ｼｬﾄﾙﾗﾝ]],$AS$20:$AT$29))))</f>
        <v>0</v>
      </c>
      <c r="Y335" s="145">
        <f>IF(テーブル2[[#This Row],[50m走]]="",0,(IF(テーブル2[[#This Row],[性別]]="男",LOOKUP(テーブル2[[#This Row],[50m走]],$AU$6:$AV$15),LOOKUP(テーブル2[[#This Row],[50m走]],$AU$20:$AV$29))))</f>
        <v>0</v>
      </c>
      <c r="Z335" s="145">
        <f>IF(テーブル2[[#This Row],[立幅とび]]="",0,(IF(テーブル2[[#This Row],[性別]]="男",LOOKUP(テーブル2[[#This Row],[立幅とび]],$AW$6:$AX$15),LOOKUP(テーブル2[[#This Row],[立幅とび]],$AW$20:$AX$29))))</f>
        <v>0</v>
      </c>
      <c r="AA335" s="145">
        <f>IF(テーブル2[[#This Row],[ボール投げ]]="",0,(IF(テーブル2[[#This Row],[性別]]="男",LOOKUP(テーブル2[[#This Row],[ボール投げ]],$AY$6:$AZ$15),LOOKUP(テーブル2[[#This Row],[ボール投げ]],$AY$20:$AZ$29))))</f>
        <v>0</v>
      </c>
      <c r="AB335" s="146" t="str">
        <f>IF(テーブル2[[#This Row],[学年]]=1,12,IF(テーブル2[[#This Row],[学年]]=2,13,IF(テーブル2[[#This Row],[学年]]=3,14,"")))</f>
        <v/>
      </c>
      <c r="AC335" s="192" t="str">
        <f>IF(テーブル2[[#This Row],[肥満度数値]]=0,"",LOOKUP(AE335,$AW$39:$AW$44,$AX$39:$AX$44))</f>
        <v/>
      </c>
      <c r="AD33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5" s="77">
        <f>IF(テーブル2[[#This Row],[体重]]="",0,(テーブル2[[#This Row],[体重]]-テーブル2[[#This Row],[標準体重]])/テーブル2[[#This Row],[標準体重]]*100)</f>
        <v>0</v>
      </c>
      <c r="AF335" s="26">
        <f>COUNTA(テーブル2[[#This Row],[握力]:[ボール投げ]])</f>
        <v>0</v>
      </c>
      <c r="AG335" s="1" t="str">
        <f>IF(テーブル2[[#This Row],[判定]]=$BE$10,"○","")</f>
        <v/>
      </c>
      <c r="AH335" s="1" t="str">
        <f>IF(AG335="","",COUNTIF($AG$6:AG335,"○"))</f>
        <v/>
      </c>
    </row>
    <row r="336" spans="1:34" ht="14.25" customHeight="1" x14ac:dyDescent="0.15">
      <c r="A336" s="44">
        <v>331</v>
      </c>
      <c r="B336" s="148"/>
      <c r="C336" s="151"/>
      <c r="D336" s="148"/>
      <c r="E336" s="152"/>
      <c r="F336" s="148"/>
      <c r="G336" s="148"/>
      <c r="H336" s="150"/>
      <c r="I336" s="150"/>
      <c r="J336" s="151"/>
      <c r="K336" s="148"/>
      <c r="L336" s="196"/>
      <c r="M336" s="151"/>
      <c r="N336" s="197"/>
      <c r="O336" s="151"/>
      <c r="P336" s="153"/>
      <c r="Q33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6" s="144" t="str">
        <f>IF(テーブル2[[#This Row],[得点]]=0,"",IF(テーブル2[[#This Row],[年齢]]=17,LOOKUP(Q336,$BH$6:$BH$10,$BE$6:$BE$10),IF(テーブル2[[#This Row],[年齢]]=16,LOOKUP(Q336,$BG$6:$BG$10,$BE$6:$BE$10),IF(テーブル2[[#This Row],[年齢]]=15,LOOKUP(Q336,$BF$6:$BF$10,$BE$6:$BE$10),IF(テーブル2[[#This Row],[年齢]]=14,LOOKUP(Q336,$BD$6:$BD$10,$BE$6:$BE$10),IF(テーブル2[[#This Row],[年齢]]=13,LOOKUP(Q336,$BC$6:$BC$10,$BE$6:$BE$10),LOOKUP(Q336,$BB$6:$BB$10,$BE$6:$BE$10)))))))</f>
        <v/>
      </c>
      <c r="S336" s="145">
        <f>IF(H336="",0,(IF(テーブル2[[#This Row],[性別]]="男",LOOKUP(テーブル2[[#This Row],[握力]],$AI$6:$AJ$15),LOOKUP(テーブル2[[#This Row],[握力]],$AI$20:$AJ$29))))</f>
        <v>0</v>
      </c>
      <c r="T336" s="145">
        <f>IF(テーブル2[[#This Row],[上体]]="",0,(IF(テーブル2[[#This Row],[性別]]="男",LOOKUP(テーブル2[[#This Row],[上体]],$AK$6:$AL$15),LOOKUP(テーブル2[[#This Row],[上体]],$AK$20:$AL$29))))</f>
        <v>0</v>
      </c>
      <c r="U336" s="145">
        <f>IF(テーブル2[[#This Row],[長座]]="",0,(IF(テーブル2[[#This Row],[性別]]="男",LOOKUP(テーブル2[[#This Row],[長座]],$AM$6:$AN$15),LOOKUP(テーブル2[[#This Row],[長座]],$AM$20:$AN$29))))</f>
        <v>0</v>
      </c>
      <c r="V336" s="145">
        <f>IF(テーブル2[[#This Row],[反復]]="",0,(IF(テーブル2[[#This Row],[性別]]="男",LOOKUP(テーブル2[[#This Row],[反復]],$AO$6:$AP$15),LOOKUP(テーブル2[[#This Row],[反復]],$AO$20:$AP$29))))</f>
        <v>0</v>
      </c>
      <c r="W336" s="145">
        <f>IF(テーブル2[[#This Row],[持久走]]="",0,(IF(テーブル2[[#This Row],[性別]]="男",LOOKUP(テーブル2[[#This Row],[持久走]],$AQ$6:$AR$15),LOOKUP(テーブル2[[#This Row],[持久走]],$AQ$20:$AR$29))))</f>
        <v>0</v>
      </c>
      <c r="X336" s="145">
        <f>IF(テーブル2[[#This Row],[ｼｬﾄﾙﾗﾝ]]="",0,(IF(テーブル2[[#This Row],[性別]]="男",LOOKUP(テーブル2[[#This Row],[ｼｬﾄﾙﾗﾝ]],$AS$6:$AT$15),LOOKUP(テーブル2[[#This Row],[ｼｬﾄﾙﾗﾝ]],$AS$20:$AT$29))))</f>
        <v>0</v>
      </c>
      <c r="Y336" s="145">
        <f>IF(テーブル2[[#This Row],[50m走]]="",0,(IF(テーブル2[[#This Row],[性別]]="男",LOOKUP(テーブル2[[#This Row],[50m走]],$AU$6:$AV$15),LOOKUP(テーブル2[[#This Row],[50m走]],$AU$20:$AV$29))))</f>
        <v>0</v>
      </c>
      <c r="Z336" s="145">
        <f>IF(テーブル2[[#This Row],[立幅とび]]="",0,(IF(テーブル2[[#This Row],[性別]]="男",LOOKUP(テーブル2[[#This Row],[立幅とび]],$AW$6:$AX$15),LOOKUP(テーブル2[[#This Row],[立幅とび]],$AW$20:$AX$29))))</f>
        <v>0</v>
      </c>
      <c r="AA336" s="145">
        <f>IF(テーブル2[[#This Row],[ボール投げ]]="",0,(IF(テーブル2[[#This Row],[性別]]="男",LOOKUP(テーブル2[[#This Row],[ボール投げ]],$AY$6:$AZ$15),LOOKUP(テーブル2[[#This Row],[ボール投げ]],$AY$20:$AZ$29))))</f>
        <v>0</v>
      </c>
      <c r="AB336" s="146" t="str">
        <f>IF(テーブル2[[#This Row],[学年]]=1,12,IF(テーブル2[[#This Row],[学年]]=2,13,IF(テーブル2[[#This Row],[学年]]=3,14,"")))</f>
        <v/>
      </c>
      <c r="AC336" s="192" t="str">
        <f>IF(テーブル2[[#This Row],[肥満度数値]]=0,"",LOOKUP(AE336,$AW$39:$AW$44,$AX$39:$AX$44))</f>
        <v/>
      </c>
      <c r="AD33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6" s="77">
        <f>IF(テーブル2[[#This Row],[体重]]="",0,(テーブル2[[#This Row],[体重]]-テーブル2[[#This Row],[標準体重]])/テーブル2[[#This Row],[標準体重]]*100)</f>
        <v>0</v>
      </c>
      <c r="AF336" s="26">
        <f>COUNTA(テーブル2[[#This Row],[握力]:[ボール投げ]])</f>
        <v>0</v>
      </c>
      <c r="AG336" s="1" t="str">
        <f>IF(テーブル2[[#This Row],[判定]]=$BE$10,"○","")</f>
        <v/>
      </c>
      <c r="AH336" s="1" t="str">
        <f>IF(AG336="","",COUNTIF($AG$6:AG336,"○"))</f>
        <v/>
      </c>
    </row>
    <row r="337" spans="1:34" ht="14.25" customHeight="1" x14ac:dyDescent="0.15">
      <c r="A337" s="44">
        <v>332</v>
      </c>
      <c r="B337" s="148"/>
      <c r="C337" s="151"/>
      <c r="D337" s="148"/>
      <c r="E337" s="152"/>
      <c r="F337" s="148"/>
      <c r="G337" s="148"/>
      <c r="H337" s="150"/>
      <c r="I337" s="150"/>
      <c r="J337" s="151"/>
      <c r="K337" s="148"/>
      <c r="L337" s="196"/>
      <c r="M337" s="151"/>
      <c r="N337" s="197"/>
      <c r="O337" s="151"/>
      <c r="P337" s="153"/>
      <c r="Q33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7" s="144" t="str">
        <f>IF(テーブル2[[#This Row],[得点]]=0,"",IF(テーブル2[[#This Row],[年齢]]=17,LOOKUP(Q337,$BH$6:$BH$10,$BE$6:$BE$10),IF(テーブル2[[#This Row],[年齢]]=16,LOOKUP(Q337,$BG$6:$BG$10,$BE$6:$BE$10),IF(テーブル2[[#This Row],[年齢]]=15,LOOKUP(Q337,$BF$6:$BF$10,$BE$6:$BE$10),IF(テーブル2[[#This Row],[年齢]]=14,LOOKUP(Q337,$BD$6:$BD$10,$BE$6:$BE$10),IF(テーブル2[[#This Row],[年齢]]=13,LOOKUP(Q337,$BC$6:$BC$10,$BE$6:$BE$10),LOOKUP(Q337,$BB$6:$BB$10,$BE$6:$BE$10)))))))</f>
        <v/>
      </c>
      <c r="S337" s="145">
        <f>IF(H337="",0,(IF(テーブル2[[#This Row],[性別]]="男",LOOKUP(テーブル2[[#This Row],[握力]],$AI$6:$AJ$15),LOOKUP(テーブル2[[#This Row],[握力]],$AI$20:$AJ$29))))</f>
        <v>0</v>
      </c>
      <c r="T337" s="145">
        <f>IF(テーブル2[[#This Row],[上体]]="",0,(IF(テーブル2[[#This Row],[性別]]="男",LOOKUP(テーブル2[[#This Row],[上体]],$AK$6:$AL$15),LOOKUP(テーブル2[[#This Row],[上体]],$AK$20:$AL$29))))</f>
        <v>0</v>
      </c>
      <c r="U337" s="145">
        <f>IF(テーブル2[[#This Row],[長座]]="",0,(IF(テーブル2[[#This Row],[性別]]="男",LOOKUP(テーブル2[[#This Row],[長座]],$AM$6:$AN$15),LOOKUP(テーブル2[[#This Row],[長座]],$AM$20:$AN$29))))</f>
        <v>0</v>
      </c>
      <c r="V337" s="145">
        <f>IF(テーブル2[[#This Row],[反復]]="",0,(IF(テーブル2[[#This Row],[性別]]="男",LOOKUP(テーブル2[[#This Row],[反復]],$AO$6:$AP$15),LOOKUP(テーブル2[[#This Row],[反復]],$AO$20:$AP$29))))</f>
        <v>0</v>
      </c>
      <c r="W337" s="145">
        <f>IF(テーブル2[[#This Row],[持久走]]="",0,(IF(テーブル2[[#This Row],[性別]]="男",LOOKUP(テーブル2[[#This Row],[持久走]],$AQ$6:$AR$15),LOOKUP(テーブル2[[#This Row],[持久走]],$AQ$20:$AR$29))))</f>
        <v>0</v>
      </c>
      <c r="X337" s="145">
        <f>IF(テーブル2[[#This Row],[ｼｬﾄﾙﾗﾝ]]="",0,(IF(テーブル2[[#This Row],[性別]]="男",LOOKUP(テーブル2[[#This Row],[ｼｬﾄﾙﾗﾝ]],$AS$6:$AT$15),LOOKUP(テーブル2[[#This Row],[ｼｬﾄﾙﾗﾝ]],$AS$20:$AT$29))))</f>
        <v>0</v>
      </c>
      <c r="Y337" s="145">
        <f>IF(テーブル2[[#This Row],[50m走]]="",0,(IF(テーブル2[[#This Row],[性別]]="男",LOOKUP(テーブル2[[#This Row],[50m走]],$AU$6:$AV$15),LOOKUP(テーブル2[[#This Row],[50m走]],$AU$20:$AV$29))))</f>
        <v>0</v>
      </c>
      <c r="Z337" s="145">
        <f>IF(テーブル2[[#This Row],[立幅とび]]="",0,(IF(テーブル2[[#This Row],[性別]]="男",LOOKUP(テーブル2[[#This Row],[立幅とび]],$AW$6:$AX$15),LOOKUP(テーブル2[[#This Row],[立幅とび]],$AW$20:$AX$29))))</f>
        <v>0</v>
      </c>
      <c r="AA337" s="145">
        <f>IF(テーブル2[[#This Row],[ボール投げ]]="",0,(IF(テーブル2[[#This Row],[性別]]="男",LOOKUP(テーブル2[[#This Row],[ボール投げ]],$AY$6:$AZ$15),LOOKUP(テーブル2[[#This Row],[ボール投げ]],$AY$20:$AZ$29))))</f>
        <v>0</v>
      </c>
      <c r="AB337" s="146" t="str">
        <f>IF(テーブル2[[#This Row],[学年]]=1,12,IF(テーブル2[[#This Row],[学年]]=2,13,IF(テーブル2[[#This Row],[学年]]=3,14,"")))</f>
        <v/>
      </c>
      <c r="AC337" s="192" t="str">
        <f>IF(テーブル2[[#This Row],[肥満度数値]]=0,"",LOOKUP(AE337,$AW$39:$AW$44,$AX$39:$AX$44))</f>
        <v/>
      </c>
      <c r="AD33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7" s="77">
        <f>IF(テーブル2[[#This Row],[体重]]="",0,(テーブル2[[#This Row],[体重]]-テーブル2[[#This Row],[標準体重]])/テーブル2[[#This Row],[標準体重]]*100)</f>
        <v>0</v>
      </c>
      <c r="AF337" s="26">
        <f>COUNTA(テーブル2[[#This Row],[握力]:[ボール投げ]])</f>
        <v>0</v>
      </c>
      <c r="AG337" s="1" t="str">
        <f>IF(テーブル2[[#This Row],[判定]]=$BE$10,"○","")</f>
        <v/>
      </c>
      <c r="AH337" s="1" t="str">
        <f>IF(AG337="","",COUNTIF($AG$6:AG337,"○"))</f>
        <v/>
      </c>
    </row>
    <row r="338" spans="1:34" ht="14.25" customHeight="1" x14ac:dyDescent="0.15">
      <c r="A338" s="44">
        <v>333</v>
      </c>
      <c r="B338" s="148"/>
      <c r="C338" s="151"/>
      <c r="D338" s="148"/>
      <c r="E338" s="152"/>
      <c r="F338" s="148"/>
      <c r="G338" s="148"/>
      <c r="H338" s="150"/>
      <c r="I338" s="150"/>
      <c r="J338" s="151"/>
      <c r="K338" s="148"/>
      <c r="L338" s="196"/>
      <c r="M338" s="151"/>
      <c r="N338" s="197"/>
      <c r="O338" s="151"/>
      <c r="P338" s="153"/>
      <c r="Q33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8" s="144" t="str">
        <f>IF(テーブル2[[#This Row],[得点]]=0,"",IF(テーブル2[[#This Row],[年齢]]=17,LOOKUP(Q338,$BH$6:$BH$10,$BE$6:$BE$10),IF(テーブル2[[#This Row],[年齢]]=16,LOOKUP(Q338,$BG$6:$BG$10,$BE$6:$BE$10),IF(テーブル2[[#This Row],[年齢]]=15,LOOKUP(Q338,$BF$6:$BF$10,$BE$6:$BE$10),IF(テーブル2[[#This Row],[年齢]]=14,LOOKUP(Q338,$BD$6:$BD$10,$BE$6:$BE$10),IF(テーブル2[[#This Row],[年齢]]=13,LOOKUP(Q338,$BC$6:$BC$10,$BE$6:$BE$10),LOOKUP(Q338,$BB$6:$BB$10,$BE$6:$BE$10)))))))</f>
        <v/>
      </c>
      <c r="S338" s="145">
        <f>IF(H338="",0,(IF(テーブル2[[#This Row],[性別]]="男",LOOKUP(テーブル2[[#This Row],[握力]],$AI$6:$AJ$15),LOOKUP(テーブル2[[#This Row],[握力]],$AI$20:$AJ$29))))</f>
        <v>0</v>
      </c>
      <c r="T338" s="145">
        <f>IF(テーブル2[[#This Row],[上体]]="",0,(IF(テーブル2[[#This Row],[性別]]="男",LOOKUP(テーブル2[[#This Row],[上体]],$AK$6:$AL$15),LOOKUP(テーブル2[[#This Row],[上体]],$AK$20:$AL$29))))</f>
        <v>0</v>
      </c>
      <c r="U338" s="145">
        <f>IF(テーブル2[[#This Row],[長座]]="",0,(IF(テーブル2[[#This Row],[性別]]="男",LOOKUP(テーブル2[[#This Row],[長座]],$AM$6:$AN$15),LOOKUP(テーブル2[[#This Row],[長座]],$AM$20:$AN$29))))</f>
        <v>0</v>
      </c>
      <c r="V338" s="145">
        <f>IF(テーブル2[[#This Row],[反復]]="",0,(IF(テーブル2[[#This Row],[性別]]="男",LOOKUP(テーブル2[[#This Row],[反復]],$AO$6:$AP$15),LOOKUP(テーブル2[[#This Row],[反復]],$AO$20:$AP$29))))</f>
        <v>0</v>
      </c>
      <c r="W338" s="145">
        <f>IF(テーブル2[[#This Row],[持久走]]="",0,(IF(テーブル2[[#This Row],[性別]]="男",LOOKUP(テーブル2[[#This Row],[持久走]],$AQ$6:$AR$15),LOOKUP(テーブル2[[#This Row],[持久走]],$AQ$20:$AR$29))))</f>
        <v>0</v>
      </c>
      <c r="X338" s="145">
        <f>IF(テーブル2[[#This Row],[ｼｬﾄﾙﾗﾝ]]="",0,(IF(テーブル2[[#This Row],[性別]]="男",LOOKUP(テーブル2[[#This Row],[ｼｬﾄﾙﾗﾝ]],$AS$6:$AT$15),LOOKUP(テーブル2[[#This Row],[ｼｬﾄﾙﾗﾝ]],$AS$20:$AT$29))))</f>
        <v>0</v>
      </c>
      <c r="Y338" s="145">
        <f>IF(テーブル2[[#This Row],[50m走]]="",0,(IF(テーブル2[[#This Row],[性別]]="男",LOOKUP(テーブル2[[#This Row],[50m走]],$AU$6:$AV$15),LOOKUP(テーブル2[[#This Row],[50m走]],$AU$20:$AV$29))))</f>
        <v>0</v>
      </c>
      <c r="Z338" s="145">
        <f>IF(テーブル2[[#This Row],[立幅とび]]="",0,(IF(テーブル2[[#This Row],[性別]]="男",LOOKUP(テーブル2[[#This Row],[立幅とび]],$AW$6:$AX$15),LOOKUP(テーブル2[[#This Row],[立幅とび]],$AW$20:$AX$29))))</f>
        <v>0</v>
      </c>
      <c r="AA338" s="145">
        <f>IF(テーブル2[[#This Row],[ボール投げ]]="",0,(IF(テーブル2[[#This Row],[性別]]="男",LOOKUP(テーブル2[[#This Row],[ボール投げ]],$AY$6:$AZ$15),LOOKUP(テーブル2[[#This Row],[ボール投げ]],$AY$20:$AZ$29))))</f>
        <v>0</v>
      </c>
      <c r="AB338" s="146" t="str">
        <f>IF(テーブル2[[#This Row],[学年]]=1,12,IF(テーブル2[[#This Row],[学年]]=2,13,IF(テーブル2[[#This Row],[学年]]=3,14,"")))</f>
        <v/>
      </c>
      <c r="AC338" s="192" t="str">
        <f>IF(テーブル2[[#This Row],[肥満度数値]]=0,"",LOOKUP(AE338,$AW$39:$AW$44,$AX$39:$AX$44))</f>
        <v/>
      </c>
      <c r="AD33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8" s="77">
        <f>IF(テーブル2[[#This Row],[体重]]="",0,(テーブル2[[#This Row],[体重]]-テーブル2[[#This Row],[標準体重]])/テーブル2[[#This Row],[標準体重]]*100)</f>
        <v>0</v>
      </c>
      <c r="AF338" s="26">
        <f>COUNTA(テーブル2[[#This Row],[握力]:[ボール投げ]])</f>
        <v>0</v>
      </c>
      <c r="AG338" s="1" t="str">
        <f>IF(テーブル2[[#This Row],[判定]]=$BE$10,"○","")</f>
        <v/>
      </c>
      <c r="AH338" s="1" t="str">
        <f>IF(AG338="","",COUNTIF($AG$6:AG338,"○"))</f>
        <v/>
      </c>
    </row>
    <row r="339" spans="1:34" ht="14.25" customHeight="1" x14ac:dyDescent="0.15">
      <c r="A339" s="44">
        <v>334</v>
      </c>
      <c r="B339" s="148"/>
      <c r="C339" s="151"/>
      <c r="D339" s="148"/>
      <c r="E339" s="152"/>
      <c r="F339" s="148"/>
      <c r="G339" s="148"/>
      <c r="H339" s="150"/>
      <c r="I339" s="150"/>
      <c r="J339" s="151"/>
      <c r="K339" s="148"/>
      <c r="L339" s="196"/>
      <c r="M339" s="151"/>
      <c r="N339" s="197"/>
      <c r="O339" s="151"/>
      <c r="P339" s="153"/>
      <c r="Q33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9" s="144" t="str">
        <f>IF(テーブル2[[#This Row],[得点]]=0,"",IF(テーブル2[[#This Row],[年齢]]=17,LOOKUP(Q339,$BH$6:$BH$10,$BE$6:$BE$10),IF(テーブル2[[#This Row],[年齢]]=16,LOOKUP(Q339,$BG$6:$BG$10,$BE$6:$BE$10),IF(テーブル2[[#This Row],[年齢]]=15,LOOKUP(Q339,$BF$6:$BF$10,$BE$6:$BE$10),IF(テーブル2[[#This Row],[年齢]]=14,LOOKUP(Q339,$BD$6:$BD$10,$BE$6:$BE$10),IF(テーブル2[[#This Row],[年齢]]=13,LOOKUP(Q339,$BC$6:$BC$10,$BE$6:$BE$10),LOOKUP(Q339,$BB$6:$BB$10,$BE$6:$BE$10)))))))</f>
        <v/>
      </c>
      <c r="S339" s="145">
        <f>IF(H339="",0,(IF(テーブル2[[#This Row],[性別]]="男",LOOKUP(テーブル2[[#This Row],[握力]],$AI$6:$AJ$15),LOOKUP(テーブル2[[#This Row],[握力]],$AI$20:$AJ$29))))</f>
        <v>0</v>
      </c>
      <c r="T339" s="145">
        <f>IF(テーブル2[[#This Row],[上体]]="",0,(IF(テーブル2[[#This Row],[性別]]="男",LOOKUP(テーブル2[[#This Row],[上体]],$AK$6:$AL$15),LOOKUP(テーブル2[[#This Row],[上体]],$AK$20:$AL$29))))</f>
        <v>0</v>
      </c>
      <c r="U339" s="145">
        <f>IF(テーブル2[[#This Row],[長座]]="",0,(IF(テーブル2[[#This Row],[性別]]="男",LOOKUP(テーブル2[[#This Row],[長座]],$AM$6:$AN$15),LOOKUP(テーブル2[[#This Row],[長座]],$AM$20:$AN$29))))</f>
        <v>0</v>
      </c>
      <c r="V339" s="145">
        <f>IF(テーブル2[[#This Row],[反復]]="",0,(IF(テーブル2[[#This Row],[性別]]="男",LOOKUP(テーブル2[[#This Row],[反復]],$AO$6:$AP$15),LOOKUP(テーブル2[[#This Row],[反復]],$AO$20:$AP$29))))</f>
        <v>0</v>
      </c>
      <c r="W339" s="145">
        <f>IF(テーブル2[[#This Row],[持久走]]="",0,(IF(テーブル2[[#This Row],[性別]]="男",LOOKUP(テーブル2[[#This Row],[持久走]],$AQ$6:$AR$15),LOOKUP(テーブル2[[#This Row],[持久走]],$AQ$20:$AR$29))))</f>
        <v>0</v>
      </c>
      <c r="X339" s="145">
        <f>IF(テーブル2[[#This Row],[ｼｬﾄﾙﾗﾝ]]="",0,(IF(テーブル2[[#This Row],[性別]]="男",LOOKUP(テーブル2[[#This Row],[ｼｬﾄﾙﾗﾝ]],$AS$6:$AT$15),LOOKUP(テーブル2[[#This Row],[ｼｬﾄﾙﾗﾝ]],$AS$20:$AT$29))))</f>
        <v>0</v>
      </c>
      <c r="Y339" s="145">
        <f>IF(テーブル2[[#This Row],[50m走]]="",0,(IF(テーブル2[[#This Row],[性別]]="男",LOOKUP(テーブル2[[#This Row],[50m走]],$AU$6:$AV$15),LOOKUP(テーブル2[[#This Row],[50m走]],$AU$20:$AV$29))))</f>
        <v>0</v>
      </c>
      <c r="Z339" s="145">
        <f>IF(テーブル2[[#This Row],[立幅とび]]="",0,(IF(テーブル2[[#This Row],[性別]]="男",LOOKUP(テーブル2[[#This Row],[立幅とび]],$AW$6:$AX$15),LOOKUP(テーブル2[[#This Row],[立幅とび]],$AW$20:$AX$29))))</f>
        <v>0</v>
      </c>
      <c r="AA339" s="145">
        <f>IF(テーブル2[[#This Row],[ボール投げ]]="",0,(IF(テーブル2[[#This Row],[性別]]="男",LOOKUP(テーブル2[[#This Row],[ボール投げ]],$AY$6:$AZ$15),LOOKUP(テーブル2[[#This Row],[ボール投げ]],$AY$20:$AZ$29))))</f>
        <v>0</v>
      </c>
      <c r="AB339" s="146" t="str">
        <f>IF(テーブル2[[#This Row],[学年]]=1,12,IF(テーブル2[[#This Row],[学年]]=2,13,IF(テーブル2[[#This Row],[学年]]=3,14,"")))</f>
        <v/>
      </c>
      <c r="AC339" s="192" t="str">
        <f>IF(テーブル2[[#This Row],[肥満度数値]]=0,"",LOOKUP(AE339,$AW$39:$AW$44,$AX$39:$AX$44))</f>
        <v/>
      </c>
      <c r="AD33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39" s="77">
        <f>IF(テーブル2[[#This Row],[体重]]="",0,(テーブル2[[#This Row],[体重]]-テーブル2[[#This Row],[標準体重]])/テーブル2[[#This Row],[標準体重]]*100)</f>
        <v>0</v>
      </c>
      <c r="AF339" s="26">
        <f>COUNTA(テーブル2[[#This Row],[握力]:[ボール投げ]])</f>
        <v>0</v>
      </c>
      <c r="AG339" s="1" t="str">
        <f>IF(テーブル2[[#This Row],[判定]]=$BE$10,"○","")</f>
        <v/>
      </c>
      <c r="AH339" s="1" t="str">
        <f>IF(AG339="","",COUNTIF($AG$6:AG339,"○"))</f>
        <v/>
      </c>
    </row>
    <row r="340" spans="1:34" ht="14.25" customHeight="1" x14ac:dyDescent="0.15">
      <c r="A340" s="44">
        <v>335</v>
      </c>
      <c r="B340" s="148"/>
      <c r="C340" s="151"/>
      <c r="D340" s="148"/>
      <c r="E340" s="152"/>
      <c r="F340" s="148"/>
      <c r="G340" s="148"/>
      <c r="H340" s="150"/>
      <c r="I340" s="150"/>
      <c r="J340" s="151"/>
      <c r="K340" s="148"/>
      <c r="L340" s="196"/>
      <c r="M340" s="151"/>
      <c r="N340" s="197"/>
      <c r="O340" s="151"/>
      <c r="P340" s="153"/>
      <c r="Q34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0" s="144" t="str">
        <f>IF(テーブル2[[#This Row],[得点]]=0,"",IF(テーブル2[[#This Row],[年齢]]=17,LOOKUP(Q340,$BH$6:$BH$10,$BE$6:$BE$10),IF(テーブル2[[#This Row],[年齢]]=16,LOOKUP(Q340,$BG$6:$BG$10,$BE$6:$BE$10),IF(テーブル2[[#This Row],[年齢]]=15,LOOKUP(Q340,$BF$6:$BF$10,$BE$6:$BE$10),IF(テーブル2[[#This Row],[年齢]]=14,LOOKUP(Q340,$BD$6:$BD$10,$BE$6:$BE$10),IF(テーブル2[[#This Row],[年齢]]=13,LOOKUP(Q340,$BC$6:$BC$10,$BE$6:$BE$10),LOOKUP(Q340,$BB$6:$BB$10,$BE$6:$BE$10)))))))</f>
        <v/>
      </c>
      <c r="S340" s="145">
        <f>IF(H340="",0,(IF(テーブル2[[#This Row],[性別]]="男",LOOKUP(テーブル2[[#This Row],[握力]],$AI$6:$AJ$15),LOOKUP(テーブル2[[#This Row],[握力]],$AI$20:$AJ$29))))</f>
        <v>0</v>
      </c>
      <c r="T340" s="145">
        <f>IF(テーブル2[[#This Row],[上体]]="",0,(IF(テーブル2[[#This Row],[性別]]="男",LOOKUP(テーブル2[[#This Row],[上体]],$AK$6:$AL$15),LOOKUP(テーブル2[[#This Row],[上体]],$AK$20:$AL$29))))</f>
        <v>0</v>
      </c>
      <c r="U340" s="145">
        <f>IF(テーブル2[[#This Row],[長座]]="",0,(IF(テーブル2[[#This Row],[性別]]="男",LOOKUP(テーブル2[[#This Row],[長座]],$AM$6:$AN$15),LOOKUP(テーブル2[[#This Row],[長座]],$AM$20:$AN$29))))</f>
        <v>0</v>
      </c>
      <c r="V340" s="145">
        <f>IF(テーブル2[[#This Row],[反復]]="",0,(IF(テーブル2[[#This Row],[性別]]="男",LOOKUP(テーブル2[[#This Row],[反復]],$AO$6:$AP$15),LOOKUP(テーブル2[[#This Row],[反復]],$AO$20:$AP$29))))</f>
        <v>0</v>
      </c>
      <c r="W340" s="145">
        <f>IF(テーブル2[[#This Row],[持久走]]="",0,(IF(テーブル2[[#This Row],[性別]]="男",LOOKUP(テーブル2[[#This Row],[持久走]],$AQ$6:$AR$15),LOOKUP(テーブル2[[#This Row],[持久走]],$AQ$20:$AR$29))))</f>
        <v>0</v>
      </c>
      <c r="X340" s="145">
        <f>IF(テーブル2[[#This Row],[ｼｬﾄﾙﾗﾝ]]="",0,(IF(テーブル2[[#This Row],[性別]]="男",LOOKUP(テーブル2[[#This Row],[ｼｬﾄﾙﾗﾝ]],$AS$6:$AT$15),LOOKUP(テーブル2[[#This Row],[ｼｬﾄﾙﾗﾝ]],$AS$20:$AT$29))))</f>
        <v>0</v>
      </c>
      <c r="Y340" s="145">
        <f>IF(テーブル2[[#This Row],[50m走]]="",0,(IF(テーブル2[[#This Row],[性別]]="男",LOOKUP(テーブル2[[#This Row],[50m走]],$AU$6:$AV$15),LOOKUP(テーブル2[[#This Row],[50m走]],$AU$20:$AV$29))))</f>
        <v>0</v>
      </c>
      <c r="Z340" s="145">
        <f>IF(テーブル2[[#This Row],[立幅とび]]="",0,(IF(テーブル2[[#This Row],[性別]]="男",LOOKUP(テーブル2[[#This Row],[立幅とび]],$AW$6:$AX$15),LOOKUP(テーブル2[[#This Row],[立幅とび]],$AW$20:$AX$29))))</f>
        <v>0</v>
      </c>
      <c r="AA340" s="145">
        <f>IF(テーブル2[[#This Row],[ボール投げ]]="",0,(IF(テーブル2[[#This Row],[性別]]="男",LOOKUP(テーブル2[[#This Row],[ボール投げ]],$AY$6:$AZ$15),LOOKUP(テーブル2[[#This Row],[ボール投げ]],$AY$20:$AZ$29))))</f>
        <v>0</v>
      </c>
      <c r="AB340" s="146" t="str">
        <f>IF(テーブル2[[#This Row],[学年]]=1,12,IF(テーブル2[[#This Row],[学年]]=2,13,IF(テーブル2[[#This Row],[学年]]=3,14,"")))</f>
        <v/>
      </c>
      <c r="AC340" s="192" t="str">
        <f>IF(テーブル2[[#This Row],[肥満度数値]]=0,"",LOOKUP(AE340,$AW$39:$AW$44,$AX$39:$AX$44))</f>
        <v/>
      </c>
      <c r="AD34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0" s="77">
        <f>IF(テーブル2[[#This Row],[体重]]="",0,(テーブル2[[#This Row],[体重]]-テーブル2[[#This Row],[標準体重]])/テーブル2[[#This Row],[標準体重]]*100)</f>
        <v>0</v>
      </c>
      <c r="AF340" s="26">
        <f>COUNTA(テーブル2[[#This Row],[握力]:[ボール投げ]])</f>
        <v>0</v>
      </c>
      <c r="AG340" s="1" t="str">
        <f>IF(テーブル2[[#This Row],[判定]]=$BE$10,"○","")</f>
        <v/>
      </c>
      <c r="AH340" s="1" t="str">
        <f>IF(AG340="","",COUNTIF($AG$6:AG340,"○"))</f>
        <v/>
      </c>
    </row>
    <row r="341" spans="1:34" ht="14.25" customHeight="1" x14ac:dyDescent="0.15">
      <c r="A341" s="44">
        <v>336</v>
      </c>
      <c r="B341" s="148"/>
      <c r="C341" s="151"/>
      <c r="D341" s="148"/>
      <c r="E341" s="152"/>
      <c r="F341" s="148"/>
      <c r="G341" s="148"/>
      <c r="H341" s="150"/>
      <c r="I341" s="150"/>
      <c r="J341" s="151"/>
      <c r="K341" s="148"/>
      <c r="L341" s="196"/>
      <c r="M341" s="151"/>
      <c r="N341" s="197"/>
      <c r="O341" s="151"/>
      <c r="P341" s="153"/>
      <c r="Q34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1" s="144" t="str">
        <f>IF(テーブル2[[#This Row],[得点]]=0,"",IF(テーブル2[[#This Row],[年齢]]=17,LOOKUP(Q341,$BH$6:$BH$10,$BE$6:$BE$10),IF(テーブル2[[#This Row],[年齢]]=16,LOOKUP(Q341,$BG$6:$BG$10,$BE$6:$BE$10),IF(テーブル2[[#This Row],[年齢]]=15,LOOKUP(Q341,$BF$6:$BF$10,$BE$6:$BE$10),IF(テーブル2[[#This Row],[年齢]]=14,LOOKUP(Q341,$BD$6:$BD$10,$BE$6:$BE$10),IF(テーブル2[[#This Row],[年齢]]=13,LOOKUP(Q341,$BC$6:$BC$10,$BE$6:$BE$10),LOOKUP(Q341,$BB$6:$BB$10,$BE$6:$BE$10)))))))</f>
        <v/>
      </c>
      <c r="S341" s="145">
        <f>IF(H341="",0,(IF(テーブル2[[#This Row],[性別]]="男",LOOKUP(テーブル2[[#This Row],[握力]],$AI$6:$AJ$15),LOOKUP(テーブル2[[#This Row],[握力]],$AI$20:$AJ$29))))</f>
        <v>0</v>
      </c>
      <c r="T341" s="145">
        <f>IF(テーブル2[[#This Row],[上体]]="",0,(IF(テーブル2[[#This Row],[性別]]="男",LOOKUP(テーブル2[[#This Row],[上体]],$AK$6:$AL$15),LOOKUP(テーブル2[[#This Row],[上体]],$AK$20:$AL$29))))</f>
        <v>0</v>
      </c>
      <c r="U341" s="145">
        <f>IF(テーブル2[[#This Row],[長座]]="",0,(IF(テーブル2[[#This Row],[性別]]="男",LOOKUP(テーブル2[[#This Row],[長座]],$AM$6:$AN$15),LOOKUP(テーブル2[[#This Row],[長座]],$AM$20:$AN$29))))</f>
        <v>0</v>
      </c>
      <c r="V341" s="145">
        <f>IF(テーブル2[[#This Row],[反復]]="",0,(IF(テーブル2[[#This Row],[性別]]="男",LOOKUP(テーブル2[[#This Row],[反復]],$AO$6:$AP$15),LOOKUP(テーブル2[[#This Row],[反復]],$AO$20:$AP$29))))</f>
        <v>0</v>
      </c>
      <c r="W341" s="145">
        <f>IF(テーブル2[[#This Row],[持久走]]="",0,(IF(テーブル2[[#This Row],[性別]]="男",LOOKUP(テーブル2[[#This Row],[持久走]],$AQ$6:$AR$15),LOOKUP(テーブル2[[#This Row],[持久走]],$AQ$20:$AR$29))))</f>
        <v>0</v>
      </c>
      <c r="X341" s="145">
        <f>IF(テーブル2[[#This Row],[ｼｬﾄﾙﾗﾝ]]="",0,(IF(テーブル2[[#This Row],[性別]]="男",LOOKUP(テーブル2[[#This Row],[ｼｬﾄﾙﾗﾝ]],$AS$6:$AT$15),LOOKUP(テーブル2[[#This Row],[ｼｬﾄﾙﾗﾝ]],$AS$20:$AT$29))))</f>
        <v>0</v>
      </c>
      <c r="Y341" s="145">
        <f>IF(テーブル2[[#This Row],[50m走]]="",0,(IF(テーブル2[[#This Row],[性別]]="男",LOOKUP(テーブル2[[#This Row],[50m走]],$AU$6:$AV$15),LOOKUP(テーブル2[[#This Row],[50m走]],$AU$20:$AV$29))))</f>
        <v>0</v>
      </c>
      <c r="Z341" s="145">
        <f>IF(テーブル2[[#This Row],[立幅とび]]="",0,(IF(テーブル2[[#This Row],[性別]]="男",LOOKUP(テーブル2[[#This Row],[立幅とび]],$AW$6:$AX$15),LOOKUP(テーブル2[[#This Row],[立幅とび]],$AW$20:$AX$29))))</f>
        <v>0</v>
      </c>
      <c r="AA341" s="145">
        <f>IF(テーブル2[[#This Row],[ボール投げ]]="",0,(IF(テーブル2[[#This Row],[性別]]="男",LOOKUP(テーブル2[[#This Row],[ボール投げ]],$AY$6:$AZ$15),LOOKUP(テーブル2[[#This Row],[ボール投げ]],$AY$20:$AZ$29))))</f>
        <v>0</v>
      </c>
      <c r="AB341" s="146" t="str">
        <f>IF(テーブル2[[#This Row],[学年]]=1,12,IF(テーブル2[[#This Row],[学年]]=2,13,IF(テーブル2[[#This Row],[学年]]=3,14,"")))</f>
        <v/>
      </c>
      <c r="AC341" s="192" t="str">
        <f>IF(テーブル2[[#This Row],[肥満度数値]]=0,"",LOOKUP(AE341,$AW$39:$AW$44,$AX$39:$AX$44))</f>
        <v/>
      </c>
      <c r="AD34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1" s="77">
        <f>IF(テーブル2[[#This Row],[体重]]="",0,(テーブル2[[#This Row],[体重]]-テーブル2[[#This Row],[標準体重]])/テーブル2[[#This Row],[標準体重]]*100)</f>
        <v>0</v>
      </c>
      <c r="AF341" s="26">
        <f>COUNTA(テーブル2[[#This Row],[握力]:[ボール投げ]])</f>
        <v>0</v>
      </c>
      <c r="AG341" s="1" t="str">
        <f>IF(テーブル2[[#This Row],[判定]]=$BE$10,"○","")</f>
        <v/>
      </c>
      <c r="AH341" s="1" t="str">
        <f>IF(AG341="","",COUNTIF($AG$6:AG341,"○"))</f>
        <v/>
      </c>
    </row>
    <row r="342" spans="1:34" ht="14.25" customHeight="1" x14ac:dyDescent="0.15">
      <c r="A342" s="44">
        <v>337</v>
      </c>
      <c r="B342" s="148"/>
      <c r="C342" s="151"/>
      <c r="D342" s="148"/>
      <c r="E342" s="152"/>
      <c r="F342" s="148"/>
      <c r="G342" s="148"/>
      <c r="H342" s="150"/>
      <c r="I342" s="150"/>
      <c r="J342" s="151"/>
      <c r="K342" s="148"/>
      <c r="L342" s="196"/>
      <c r="M342" s="151"/>
      <c r="N342" s="197"/>
      <c r="O342" s="151"/>
      <c r="P342" s="153"/>
      <c r="Q34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2" s="144" t="str">
        <f>IF(テーブル2[[#This Row],[得点]]=0,"",IF(テーブル2[[#This Row],[年齢]]=17,LOOKUP(Q342,$BH$6:$BH$10,$BE$6:$BE$10),IF(テーブル2[[#This Row],[年齢]]=16,LOOKUP(Q342,$BG$6:$BG$10,$BE$6:$BE$10),IF(テーブル2[[#This Row],[年齢]]=15,LOOKUP(Q342,$BF$6:$BF$10,$BE$6:$BE$10),IF(テーブル2[[#This Row],[年齢]]=14,LOOKUP(Q342,$BD$6:$BD$10,$BE$6:$BE$10),IF(テーブル2[[#This Row],[年齢]]=13,LOOKUP(Q342,$BC$6:$BC$10,$BE$6:$BE$10),LOOKUP(Q342,$BB$6:$BB$10,$BE$6:$BE$10)))))))</f>
        <v/>
      </c>
      <c r="S342" s="145">
        <f>IF(H342="",0,(IF(テーブル2[[#This Row],[性別]]="男",LOOKUP(テーブル2[[#This Row],[握力]],$AI$6:$AJ$15),LOOKUP(テーブル2[[#This Row],[握力]],$AI$20:$AJ$29))))</f>
        <v>0</v>
      </c>
      <c r="T342" s="145">
        <f>IF(テーブル2[[#This Row],[上体]]="",0,(IF(テーブル2[[#This Row],[性別]]="男",LOOKUP(テーブル2[[#This Row],[上体]],$AK$6:$AL$15),LOOKUP(テーブル2[[#This Row],[上体]],$AK$20:$AL$29))))</f>
        <v>0</v>
      </c>
      <c r="U342" s="145">
        <f>IF(テーブル2[[#This Row],[長座]]="",0,(IF(テーブル2[[#This Row],[性別]]="男",LOOKUP(テーブル2[[#This Row],[長座]],$AM$6:$AN$15),LOOKUP(テーブル2[[#This Row],[長座]],$AM$20:$AN$29))))</f>
        <v>0</v>
      </c>
      <c r="V342" s="145">
        <f>IF(テーブル2[[#This Row],[反復]]="",0,(IF(テーブル2[[#This Row],[性別]]="男",LOOKUP(テーブル2[[#This Row],[反復]],$AO$6:$AP$15),LOOKUP(テーブル2[[#This Row],[反復]],$AO$20:$AP$29))))</f>
        <v>0</v>
      </c>
      <c r="W342" s="145">
        <f>IF(テーブル2[[#This Row],[持久走]]="",0,(IF(テーブル2[[#This Row],[性別]]="男",LOOKUP(テーブル2[[#This Row],[持久走]],$AQ$6:$AR$15),LOOKUP(テーブル2[[#This Row],[持久走]],$AQ$20:$AR$29))))</f>
        <v>0</v>
      </c>
      <c r="X342" s="145">
        <f>IF(テーブル2[[#This Row],[ｼｬﾄﾙﾗﾝ]]="",0,(IF(テーブル2[[#This Row],[性別]]="男",LOOKUP(テーブル2[[#This Row],[ｼｬﾄﾙﾗﾝ]],$AS$6:$AT$15),LOOKUP(テーブル2[[#This Row],[ｼｬﾄﾙﾗﾝ]],$AS$20:$AT$29))))</f>
        <v>0</v>
      </c>
      <c r="Y342" s="145">
        <f>IF(テーブル2[[#This Row],[50m走]]="",0,(IF(テーブル2[[#This Row],[性別]]="男",LOOKUP(テーブル2[[#This Row],[50m走]],$AU$6:$AV$15),LOOKUP(テーブル2[[#This Row],[50m走]],$AU$20:$AV$29))))</f>
        <v>0</v>
      </c>
      <c r="Z342" s="145">
        <f>IF(テーブル2[[#This Row],[立幅とび]]="",0,(IF(テーブル2[[#This Row],[性別]]="男",LOOKUP(テーブル2[[#This Row],[立幅とび]],$AW$6:$AX$15),LOOKUP(テーブル2[[#This Row],[立幅とび]],$AW$20:$AX$29))))</f>
        <v>0</v>
      </c>
      <c r="AA342" s="145">
        <f>IF(テーブル2[[#This Row],[ボール投げ]]="",0,(IF(テーブル2[[#This Row],[性別]]="男",LOOKUP(テーブル2[[#This Row],[ボール投げ]],$AY$6:$AZ$15),LOOKUP(テーブル2[[#This Row],[ボール投げ]],$AY$20:$AZ$29))))</f>
        <v>0</v>
      </c>
      <c r="AB342" s="146" t="str">
        <f>IF(テーブル2[[#This Row],[学年]]=1,12,IF(テーブル2[[#This Row],[学年]]=2,13,IF(テーブル2[[#This Row],[学年]]=3,14,"")))</f>
        <v/>
      </c>
      <c r="AC342" s="192" t="str">
        <f>IF(テーブル2[[#This Row],[肥満度数値]]=0,"",LOOKUP(AE342,$AW$39:$AW$44,$AX$39:$AX$44))</f>
        <v/>
      </c>
      <c r="AD34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2" s="77">
        <f>IF(テーブル2[[#This Row],[体重]]="",0,(テーブル2[[#This Row],[体重]]-テーブル2[[#This Row],[標準体重]])/テーブル2[[#This Row],[標準体重]]*100)</f>
        <v>0</v>
      </c>
      <c r="AF342" s="26">
        <f>COUNTA(テーブル2[[#This Row],[握力]:[ボール投げ]])</f>
        <v>0</v>
      </c>
      <c r="AG342" s="1" t="str">
        <f>IF(テーブル2[[#This Row],[判定]]=$BE$10,"○","")</f>
        <v/>
      </c>
      <c r="AH342" s="1" t="str">
        <f>IF(AG342="","",COUNTIF($AG$6:AG342,"○"))</f>
        <v/>
      </c>
    </row>
    <row r="343" spans="1:34" ht="14.25" customHeight="1" x14ac:dyDescent="0.15">
      <c r="A343" s="44">
        <v>338</v>
      </c>
      <c r="B343" s="148"/>
      <c r="C343" s="151"/>
      <c r="D343" s="148"/>
      <c r="E343" s="152"/>
      <c r="F343" s="148"/>
      <c r="G343" s="148"/>
      <c r="H343" s="150"/>
      <c r="I343" s="150"/>
      <c r="J343" s="151"/>
      <c r="K343" s="148"/>
      <c r="L343" s="196"/>
      <c r="M343" s="151"/>
      <c r="N343" s="197"/>
      <c r="O343" s="151"/>
      <c r="P343" s="153"/>
      <c r="Q34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3" s="144" t="str">
        <f>IF(テーブル2[[#This Row],[得点]]=0,"",IF(テーブル2[[#This Row],[年齢]]=17,LOOKUP(Q343,$BH$6:$BH$10,$BE$6:$BE$10),IF(テーブル2[[#This Row],[年齢]]=16,LOOKUP(Q343,$BG$6:$BG$10,$BE$6:$BE$10),IF(テーブル2[[#This Row],[年齢]]=15,LOOKUP(Q343,$BF$6:$BF$10,$BE$6:$BE$10),IF(テーブル2[[#This Row],[年齢]]=14,LOOKUP(Q343,$BD$6:$BD$10,$BE$6:$BE$10),IF(テーブル2[[#This Row],[年齢]]=13,LOOKUP(Q343,$BC$6:$BC$10,$BE$6:$BE$10),LOOKUP(Q343,$BB$6:$BB$10,$BE$6:$BE$10)))))))</f>
        <v/>
      </c>
      <c r="S343" s="145">
        <f>IF(H343="",0,(IF(テーブル2[[#This Row],[性別]]="男",LOOKUP(テーブル2[[#This Row],[握力]],$AI$6:$AJ$15),LOOKUP(テーブル2[[#This Row],[握力]],$AI$20:$AJ$29))))</f>
        <v>0</v>
      </c>
      <c r="T343" s="145">
        <f>IF(テーブル2[[#This Row],[上体]]="",0,(IF(テーブル2[[#This Row],[性別]]="男",LOOKUP(テーブル2[[#This Row],[上体]],$AK$6:$AL$15),LOOKUP(テーブル2[[#This Row],[上体]],$AK$20:$AL$29))))</f>
        <v>0</v>
      </c>
      <c r="U343" s="145">
        <f>IF(テーブル2[[#This Row],[長座]]="",0,(IF(テーブル2[[#This Row],[性別]]="男",LOOKUP(テーブル2[[#This Row],[長座]],$AM$6:$AN$15),LOOKUP(テーブル2[[#This Row],[長座]],$AM$20:$AN$29))))</f>
        <v>0</v>
      </c>
      <c r="V343" s="145">
        <f>IF(テーブル2[[#This Row],[反復]]="",0,(IF(テーブル2[[#This Row],[性別]]="男",LOOKUP(テーブル2[[#This Row],[反復]],$AO$6:$AP$15),LOOKUP(テーブル2[[#This Row],[反復]],$AO$20:$AP$29))))</f>
        <v>0</v>
      </c>
      <c r="W343" s="145">
        <f>IF(テーブル2[[#This Row],[持久走]]="",0,(IF(テーブル2[[#This Row],[性別]]="男",LOOKUP(テーブル2[[#This Row],[持久走]],$AQ$6:$AR$15),LOOKUP(テーブル2[[#This Row],[持久走]],$AQ$20:$AR$29))))</f>
        <v>0</v>
      </c>
      <c r="X343" s="145">
        <f>IF(テーブル2[[#This Row],[ｼｬﾄﾙﾗﾝ]]="",0,(IF(テーブル2[[#This Row],[性別]]="男",LOOKUP(テーブル2[[#This Row],[ｼｬﾄﾙﾗﾝ]],$AS$6:$AT$15),LOOKUP(テーブル2[[#This Row],[ｼｬﾄﾙﾗﾝ]],$AS$20:$AT$29))))</f>
        <v>0</v>
      </c>
      <c r="Y343" s="145">
        <f>IF(テーブル2[[#This Row],[50m走]]="",0,(IF(テーブル2[[#This Row],[性別]]="男",LOOKUP(テーブル2[[#This Row],[50m走]],$AU$6:$AV$15),LOOKUP(テーブル2[[#This Row],[50m走]],$AU$20:$AV$29))))</f>
        <v>0</v>
      </c>
      <c r="Z343" s="145">
        <f>IF(テーブル2[[#This Row],[立幅とび]]="",0,(IF(テーブル2[[#This Row],[性別]]="男",LOOKUP(テーブル2[[#This Row],[立幅とび]],$AW$6:$AX$15),LOOKUP(テーブル2[[#This Row],[立幅とび]],$AW$20:$AX$29))))</f>
        <v>0</v>
      </c>
      <c r="AA343" s="145">
        <f>IF(テーブル2[[#This Row],[ボール投げ]]="",0,(IF(テーブル2[[#This Row],[性別]]="男",LOOKUP(テーブル2[[#This Row],[ボール投げ]],$AY$6:$AZ$15),LOOKUP(テーブル2[[#This Row],[ボール投げ]],$AY$20:$AZ$29))))</f>
        <v>0</v>
      </c>
      <c r="AB343" s="146" t="str">
        <f>IF(テーブル2[[#This Row],[学年]]=1,12,IF(テーブル2[[#This Row],[学年]]=2,13,IF(テーブル2[[#This Row],[学年]]=3,14,"")))</f>
        <v/>
      </c>
      <c r="AC343" s="192" t="str">
        <f>IF(テーブル2[[#This Row],[肥満度数値]]=0,"",LOOKUP(AE343,$AW$39:$AW$44,$AX$39:$AX$44))</f>
        <v/>
      </c>
      <c r="AD34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3" s="77">
        <f>IF(テーブル2[[#This Row],[体重]]="",0,(テーブル2[[#This Row],[体重]]-テーブル2[[#This Row],[標準体重]])/テーブル2[[#This Row],[標準体重]]*100)</f>
        <v>0</v>
      </c>
      <c r="AF343" s="26">
        <f>COUNTA(テーブル2[[#This Row],[握力]:[ボール投げ]])</f>
        <v>0</v>
      </c>
      <c r="AG343" s="1" t="str">
        <f>IF(テーブル2[[#This Row],[判定]]=$BE$10,"○","")</f>
        <v/>
      </c>
      <c r="AH343" s="1" t="str">
        <f>IF(AG343="","",COUNTIF($AG$6:AG343,"○"))</f>
        <v/>
      </c>
    </row>
    <row r="344" spans="1:34" ht="14.25" customHeight="1" x14ac:dyDescent="0.15">
      <c r="A344" s="44">
        <v>339</v>
      </c>
      <c r="B344" s="148"/>
      <c r="C344" s="151"/>
      <c r="D344" s="148"/>
      <c r="E344" s="152"/>
      <c r="F344" s="148"/>
      <c r="G344" s="148"/>
      <c r="H344" s="150"/>
      <c r="I344" s="150"/>
      <c r="J344" s="151"/>
      <c r="K344" s="148"/>
      <c r="L344" s="196"/>
      <c r="M344" s="151"/>
      <c r="N344" s="197"/>
      <c r="O344" s="151"/>
      <c r="P344" s="153"/>
      <c r="Q34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4" s="144" t="str">
        <f>IF(テーブル2[[#This Row],[得点]]=0,"",IF(テーブル2[[#This Row],[年齢]]=17,LOOKUP(Q344,$BH$6:$BH$10,$BE$6:$BE$10),IF(テーブル2[[#This Row],[年齢]]=16,LOOKUP(Q344,$BG$6:$BG$10,$BE$6:$BE$10),IF(テーブル2[[#This Row],[年齢]]=15,LOOKUP(Q344,$BF$6:$BF$10,$BE$6:$BE$10),IF(テーブル2[[#This Row],[年齢]]=14,LOOKUP(Q344,$BD$6:$BD$10,$BE$6:$BE$10),IF(テーブル2[[#This Row],[年齢]]=13,LOOKUP(Q344,$BC$6:$BC$10,$BE$6:$BE$10),LOOKUP(Q344,$BB$6:$BB$10,$BE$6:$BE$10)))))))</f>
        <v/>
      </c>
      <c r="S344" s="145">
        <f>IF(H344="",0,(IF(テーブル2[[#This Row],[性別]]="男",LOOKUP(テーブル2[[#This Row],[握力]],$AI$6:$AJ$15),LOOKUP(テーブル2[[#This Row],[握力]],$AI$20:$AJ$29))))</f>
        <v>0</v>
      </c>
      <c r="T344" s="145">
        <f>IF(テーブル2[[#This Row],[上体]]="",0,(IF(テーブル2[[#This Row],[性別]]="男",LOOKUP(テーブル2[[#This Row],[上体]],$AK$6:$AL$15),LOOKUP(テーブル2[[#This Row],[上体]],$AK$20:$AL$29))))</f>
        <v>0</v>
      </c>
      <c r="U344" s="145">
        <f>IF(テーブル2[[#This Row],[長座]]="",0,(IF(テーブル2[[#This Row],[性別]]="男",LOOKUP(テーブル2[[#This Row],[長座]],$AM$6:$AN$15),LOOKUP(テーブル2[[#This Row],[長座]],$AM$20:$AN$29))))</f>
        <v>0</v>
      </c>
      <c r="V344" s="145">
        <f>IF(テーブル2[[#This Row],[反復]]="",0,(IF(テーブル2[[#This Row],[性別]]="男",LOOKUP(テーブル2[[#This Row],[反復]],$AO$6:$AP$15),LOOKUP(テーブル2[[#This Row],[反復]],$AO$20:$AP$29))))</f>
        <v>0</v>
      </c>
      <c r="W344" s="145">
        <f>IF(テーブル2[[#This Row],[持久走]]="",0,(IF(テーブル2[[#This Row],[性別]]="男",LOOKUP(テーブル2[[#This Row],[持久走]],$AQ$6:$AR$15),LOOKUP(テーブル2[[#This Row],[持久走]],$AQ$20:$AR$29))))</f>
        <v>0</v>
      </c>
      <c r="X344" s="145">
        <f>IF(テーブル2[[#This Row],[ｼｬﾄﾙﾗﾝ]]="",0,(IF(テーブル2[[#This Row],[性別]]="男",LOOKUP(テーブル2[[#This Row],[ｼｬﾄﾙﾗﾝ]],$AS$6:$AT$15),LOOKUP(テーブル2[[#This Row],[ｼｬﾄﾙﾗﾝ]],$AS$20:$AT$29))))</f>
        <v>0</v>
      </c>
      <c r="Y344" s="145">
        <f>IF(テーブル2[[#This Row],[50m走]]="",0,(IF(テーブル2[[#This Row],[性別]]="男",LOOKUP(テーブル2[[#This Row],[50m走]],$AU$6:$AV$15),LOOKUP(テーブル2[[#This Row],[50m走]],$AU$20:$AV$29))))</f>
        <v>0</v>
      </c>
      <c r="Z344" s="145">
        <f>IF(テーブル2[[#This Row],[立幅とび]]="",0,(IF(テーブル2[[#This Row],[性別]]="男",LOOKUP(テーブル2[[#This Row],[立幅とび]],$AW$6:$AX$15),LOOKUP(テーブル2[[#This Row],[立幅とび]],$AW$20:$AX$29))))</f>
        <v>0</v>
      </c>
      <c r="AA344" s="145">
        <f>IF(テーブル2[[#This Row],[ボール投げ]]="",0,(IF(テーブル2[[#This Row],[性別]]="男",LOOKUP(テーブル2[[#This Row],[ボール投げ]],$AY$6:$AZ$15),LOOKUP(テーブル2[[#This Row],[ボール投げ]],$AY$20:$AZ$29))))</f>
        <v>0</v>
      </c>
      <c r="AB344" s="146" t="str">
        <f>IF(テーブル2[[#This Row],[学年]]=1,12,IF(テーブル2[[#This Row],[学年]]=2,13,IF(テーブル2[[#This Row],[学年]]=3,14,"")))</f>
        <v/>
      </c>
      <c r="AC344" s="192" t="str">
        <f>IF(テーブル2[[#This Row],[肥満度数値]]=0,"",LOOKUP(AE344,$AW$39:$AW$44,$AX$39:$AX$44))</f>
        <v/>
      </c>
      <c r="AD34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4" s="77">
        <f>IF(テーブル2[[#This Row],[体重]]="",0,(テーブル2[[#This Row],[体重]]-テーブル2[[#This Row],[標準体重]])/テーブル2[[#This Row],[標準体重]]*100)</f>
        <v>0</v>
      </c>
      <c r="AF344" s="26">
        <f>COUNTA(テーブル2[[#This Row],[握力]:[ボール投げ]])</f>
        <v>0</v>
      </c>
      <c r="AG344" s="1" t="str">
        <f>IF(テーブル2[[#This Row],[判定]]=$BE$10,"○","")</f>
        <v/>
      </c>
      <c r="AH344" s="1" t="str">
        <f>IF(AG344="","",COUNTIF($AG$6:AG344,"○"))</f>
        <v/>
      </c>
    </row>
    <row r="345" spans="1:34" ht="14.25" customHeight="1" x14ac:dyDescent="0.15">
      <c r="A345" s="44">
        <v>340</v>
      </c>
      <c r="B345" s="148"/>
      <c r="C345" s="151"/>
      <c r="D345" s="148"/>
      <c r="E345" s="152"/>
      <c r="F345" s="148"/>
      <c r="G345" s="148"/>
      <c r="H345" s="150"/>
      <c r="I345" s="150"/>
      <c r="J345" s="151"/>
      <c r="K345" s="148"/>
      <c r="L345" s="196"/>
      <c r="M345" s="151"/>
      <c r="N345" s="197"/>
      <c r="O345" s="151"/>
      <c r="P345" s="153"/>
      <c r="Q34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5" s="144" t="str">
        <f>IF(テーブル2[[#This Row],[得点]]=0,"",IF(テーブル2[[#This Row],[年齢]]=17,LOOKUP(Q345,$BH$6:$BH$10,$BE$6:$BE$10),IF(テーブル2[[#This Row],[年齢]]=16,LOOKUP(Q345,$BG$6:$BG$10,$BE$6:$BE$10),IF(テーブル2[[#This Row],[年齢]]=15,LOOKUP(Q345,$BF$6:$BF$10,$BE$6:$BE$10),IF(テーブル2[[#This Row],[年齢]]=14,LOOKUP(Q345,$BD$6:$BD$10,$BE$6:$BE$10),IF(テーブル2[[#This Row],[年齢]]=13,LOOKUP(Q345,$BC$6:$BC$10,$BE$6:$BE$10),LOOKUP(Q345,$BB$6:$BB$10,$BE$6:$BE$10)))))))</f>
        <v/>
      </c>
      <c r="S345" s="145">
        <f>IF(H345="",0,(IF(テーブル2[[#This Row],[性別]]="男",LOOKUP(テーブル2[[#This Row],[握力]],$AI$6:$AJ$15),LOOKUP(テーブル2[[#This Row],[握力]],$AI$20:$AJ$29))))</f>
        <v>0</v>
      </c>
      <c r="T345" s="145">
        <f>IF(テーブル2[[#This Row],[上体]]="",0,(IF(テーブル2[[#This Row],[性別]]="男",LOOKUP(テーブル2[[#This Row],[上体]],$AK$6:$AL$15),LOOKUP(テーブル2[[#This Row],[上体]],$AK$20:$AL$29))))</f>
        <v>0</v>
      </c>
      <c r="U345" s="145">
        <f>IF(テーブル2[[#This Row],[長座]]="",0,(IF(テーブル2[[#This Row],[性別]]="男",LOOKUP(テーブル2[[#This Row],[長座]],$AM$6:$AN$15),LOOKUP(テーブル2[[#This Row],[長座]],$AM$20:$AN$29))))</f>
        <v>0</v>
      </c>
      <c r="V345" s="145">
        <f>IF(テーブル2[[#This Row],[反復]]="",0,(IF(テーブル2[[#This Row],[性別]]="男",LOOKUP(テーブル2[[#This Row],[反復]],$AO$6:$AP$15),LOOKUP(テーブル2[[#This Row],[反復]],$AO$20:$AP$29))))</f>
        <v>0</v>
      </c>
      <c r="W345" s="145">
        <f>IF(テーブル2[[#This Row],[持久走]]="",0,(IF(テーブル2[[#This Row],[性別]]="男",LOOKUP(テーブル2[[#This Row],[持久走]],$AQ$6:$AR$15),LOOKUP(テーブル2[[#This Row],[持久走]],$AQ$20:$AR$29))))</f>
        <v>0</v>
      </c>
      <c r="X345" s="145">
        <f>IF(テーブル2[[#This Row],[ｼｬﾄﾙﾗﾝ]]="",0,(IF(テーブル2[[#This Row],[性別]]="男",LOOKUP(テーブル2[[#This Row],[ｼｬﾄﾙﾗﾝ]],$AS$6:$AT$15),LOOKUP(テーブル2[[#This Row],[ｼｬﾄﾙﾗﾝ]],$AS$20:$AT$29))))</f>
        <v>0</v>
      </c>
      <c r="Y345" s="145">
        <f>IF(テーブル2[[#This Row],[50m走]]="",0,(IF(テーブル2[[#This Row],[性別]]="男",LOOKUP(テーブル2[[#This Row],[50m走]],$AU$6:$AV$15),LOOKUP(テーブル2[[#This Row],[50m走]],$AU$20:$AV$29))))</f>
        <v>0</v>
      </c>
      <c r="Z345" s="145">
        <f>IF(テーブル2[[#This Row],[立幅とび]]="",0,(IF(テーブル2[[#This Row],[性別]]="男",LOOKUP(テーブル2[[#This Row],[立幅とび]],$AW$6:$AX$15),LOOKUP(テーブル2[[#This Row],[立幅とび]],$AW$20:$AX$29))))</f>
        <v>0</v>
      </c>
      <c r="AA345" s="145">
        <f>IF(テーブル2[[#This Row],[ボール投げ]]="",0,(IF(テーブル2[[#This Row],[性別]]="男",LOOKUP(テーブル2[[#This Row],[ボール投げ]],$AY$6:$AZ$15),LOOKUP(テーブル2[[#This Row],[ボール投げ]],$AY$20:$AZ$29))))</f>
        <v>0</v>
      </c>
      <c r="AB345" s="146" t="str">
        <f>IF(テーブル2[[#This Row],[学年]]=1,12,IF(テーブル2[[#This Row],[学年]]=2,13,IF(テーブル2[[#This Row],[学年]]=3,14,"")))</f>
        <v/>
      </c>
      <c r="AC345" s="192" t="str">
        <f>IF(テーブル2[[#This Row],[肥満度数値]]=0,"",LOOKUP(AE345,$AW$39:$AW$44,$AX$39:$AX$44))</f>
        <v/>
      </c>
      <c r="AD34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5" s="77">
        <f>IF(テーブル2[[#This Row],[体重]]="",0,(テーブル2[[#This Row],[体重]]-テーブル2[[#This Row],[標準体重]])/テーブル2[[#This Row],[標準体重]]*100)</f>
        <v>0</v>
      </c>
      <c r="AF345" s="26">
        <f>COUNTA(テーブル2[[#This Row],[握力]:[ボール投げ]])</f>
        <v>0</v>
      </c>
      <c r="AG345" s="1" t="str">
        <f>IF(テーブル2[[#This Row],[判定]]=$BE$10,"○","")</f>
        <v/>
      </c>
      <c r="AH345" s="1" t="str">
        <f>IF(AG345="","",COUNTIF($AG$6:AG345,"○"))</f>
        <v/>
      </c>
    </row>
    <row r="346" spans="1:34" ht="14.25" customHeight="1" x14ac:dyDescent="0.15">
      <c r="A346" s="44">
        <v>341</v>
      </c>
      <c r="B346" s="148"/>
      <c r="C346" s="151"/>
      <c r="D346" s="148"/>
      <c r="E346" s="152"/>
      <c r="F346" s="148"/>
      <c r="G346" s="148"/>
      <c r="H346" s="150"/>
      <c r="I346" s="150"/>
      <c r="J346" s="151"/>
      <c r="K346" s="148"/>
      <c r="L346" s="196"/>
      <c r="M346" s="151"/>
      <c r="N346" s="197"/>
      <c r="O346" s="151"/>
      <c r="P346" s="153"/>
      <c r="Q34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6" s="144" t="str">
        <f>IF(テーブル2[[#This Row],[得点]]=0,"",IF(テーブル2[[#This Row],[年齢]]=17,LOOKUP(Q346,$BH$6:$BH$10,$BE$6:$BE$10),IF(テーブル2[[#This Row],[年齢]]=16,LOOKUP(Q346,$BG$6:$BG$10,$BE$6:$BE$10),IF(テーブル2[[#This Row],[年齢]]=15,LOOKUP(Q346,$BF$6:$BF$10,$BE$6:$BE$10),IF(テーブル2[[#This Row],[年齢]]=14,LOOKUP(Q346,$BD$6:$BD$10,$BE$6:$BE$10),IF(テーブル2[[#This Row],[年齢]]=13,LOOKUP(Q346,$BC$6:$BC$10,$BE$6:$BE$10),LOOKUP(Q346,$BB$6:$BB$10,$BE$6:$BE$10)))))))</f>
        <v/>
      </c>
      <c r="S346" s="145">
        <f>IF(H346="",0,(IF(テーブル2[[#This Row],[性別]]="男",LOOKUP(テーブル2[[#This Row],[握力]],$AI$6:$AJ$15),LOOKUP(テーブル2[[#This Row],[握力]],$AI$20:$AJ$29))))</f>
        <v>0</v>
      </c>
      <c r="T346" s="145">
        <f>IF(テーブル2[[#This Row],[上体]]="",0,(IF(テーブル2[[#This Row],[性別]]="男",LOOKUP(テーブル2[[#This Row],[上体]],$AK$6:$AL$15),LOOKUP(テーブル2[[#This Row],[上体]],$AK$20:$AL$29))))</f>
        <v>0</v>
      </c>
      <c r="U346" s="145">
        <f>IF(テーブル2[[#This Row],[長座]]="",0,(IF(テーブル2[[#This Row],[性別]]="男",LOOKUP(テーブル2[[#This Row],[長座]],$AM$6:$AN$15),LOOKUP(テーブル2[[#This Row],[長座]],$AM$20:$AN$29))))</f>
        <v>0</v>
      </c>
      <c r="V346" s="145">
        <f>IF(テーブル2[[#This Row],[反復]]="",0,(IF(テーブル2[[#This Row],[性別]]="男",LOOKUP(テーブル2[[#This Row],[反復]],$AO$6:$AP$15),LOOKUP(テーブル2[[#This Row],[反復]],$AO$20:$AP$29))))</f>
        <v>0</v>
      </c>
      <c r="W346" s="145">
        <f>IF(テーブル2[[#This Row],[持久走]]="",0,(IF(テーブル2[[#This Row],[性別]]="男",LOOKUP(テーブル2[[#This Row],[持久走]],$AQ$6:$AR$15),LOOKUP(テーブル2[[#This Row],[持久走]],$AQ$20:$AR$29))))</f>
        <v>0</v>
      </c>
      <c r="X346" s="145">
        <f>IF(テーブル2[[#This Row],[ｼｬﾄﾙﾗﾝ]]="",0,(IF(テーブル2[[#This Row],[性別]]="男",LOOKUP(テーブル2[[#This Row],[ｼｬﾄﾙﾗﾝ]],$AS$6:$AT$15),LOOKUP(テーブル2[[#This Row],[ｼｬﾄﾙﾗﾝ]],$AS$20:$AT$29))))</f>
        <v>0</v>
      </c>
      <c r="Y346" s="145">
        <f>IF(テーブル2[[#This Row],[50m走]]="",0,(IF(テーブル2[[#This Row],[性別]]="男",LOOKUP(テーブル2[[#This Row],[50m走]],$AU$6:$AV$15),LOOKUP(テーブル2[[#This Row],[50m走]],$AU$20:$AV$29))))</f>
        <v>0</v>
      </c>
      <c r="Z346" s="145">
        <f>IF(テーブル2[[#This Row],[立幅とび]]="",0,(IF(テーブル2[[#This Row],[性別]]="男",LOOKUP(テーブル2[[#This Row],[立幅とび]],$AW$6:$AX$15),LOOKUP(テーブル2[[#This Row],[立幅とび]],$AW$20:$AX$29))))</f>
        <v>0</v>
      </c>
      <c r="AA346" s="145">
        <f>IF(テーブル2[[#This Row],[ボール投げ]]="",0,(IF(テーブル2[[#This Row],[性別]]="男",LOOKUP(テーブル2[[#This Row],[ボール投げ]],$AY$6:$AZ$15),LOOKUP(テーブル2[[#This Row],[ボール投げ]],$AY$20:$AZ$29))))</f>
        <v>0</v>
      </c>
      <c r="AB346" s="146" t="str">
        <f>IF(テーブル2[[#This Row],[学年]]=1,12,IF(テーブル2[[#This Row],[学年]]=2,13,IF(テーブル2[[#This Row],[学年]]=3,14,"")))</f>
        <v/>
      </c>
      <c r="AC346" s="192" t="str">
        <f>IF(テーブル2[[#This Row],[肥満度数値]]=0,"",LOOKUP(AE346,$AW$39:$AW$44,$AX$39:$AX$44))</f>
        <v/>
      </c>
      <c r="AD34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6" s="77">
        <f>IF(テーブル2[[#This Row],[体重]]="",0,(テーブル2[[#This Row],[体重]]-テーブル2[[#This Row],[標準体重]])/テーブル2[[#This Row],[標準体重]]*100)</f>
        <v>0</v>
      </c>
      <c r="AF346" s="26">
        <f>COUNTA(テーブル2[[#This Row],[握力]:[ボール投げ]])</f>
        <v>0</v>
      </c>
      <c r="AG346" s="1" t="str">
        <f>IF(テーブル2[[#This Row],[判定]]=$BE$10,"○","")</f>
        <v/>
      </c>
      <c r="AH346" s="1" t="str">
        <f>IF(AG346="","",COUNTIF($AG$6:AG346,"○"))</f>
        <v/>
      </c>
    </row>
    <row r="347" spans="1:34" ht="14.25" customHeight="1" x14ac:dyDescent="0.15">
      <c r="A347" s="44">
        <v>342</v>
      </c>
      <c r="B347" s="148"/>
      <c r="C347" s="151"/>
      <c r="D347" s="148"/>
      <c r="E347" s="152"/>
      <c r="F347" s="148"/>
      <c r="G347" s="148"/>
      <c r="H347" s="150"/>
      <c r="I347" s="150"/>
      <c r="J347" s="151"/>
      <c r="K347" s="148"/>
      <c r="L347" s="196"/>
      <c r="M347" s="151"/>
      <c r="N347" s="197"/>
      <c r="O347" s="151"/>
      <c r="P347" s="153"/>
      <c r="Q34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7" s="144" t="str">
        <f>IF(テーブル2[[#This Row],[得点]]=0,"",IF(テーブル2[[#This Row],[年齢]]=17,LOOKUP(Q347,$BH$6:$BH$10,$BE$6:$BE$10),IF(テーブル2[[#This Row],[年齢]]=16,LOOKUP(Q347,$BG$6:$BG$10,$BE$6:$BE$10),IF(テーブル2[[#This Row],[年齢]]=15,LOOKUP(Q347,$BF$6:$BF$10,$BE$6:$BE$10),IF(テーブル2[[#This Row],[年齢]]=14,LOOKUP(Q347,$BD$6:$BD$10,$BE$6:$BE$10),IF(テーブル2[[#This Row],[年齢]]=13,LOOKUP(Q347,$BC$6:$BC$10,$BE$6:$BE$10),LOOKUP(Q347,$BB$6:$BB$10,$BE$6:$BE$10)))))))</f>
        <v/>
      </c>
      <c r="S347" s="145">
        <f>IF(H347="",0,(IF(テーブル2[[#This Row],[性別]]="男",LOOKUP(テーブル2[[#This Row],[握力]],$AI$6:$AJ$15),LOOKUP(テーブル2[[#This Row],[握力]],$AI$20:$AJ$29))))</f>
        <v>0</v>
      </c>
      <c r="T347" s="145">
        <f>IF(テーブル2[[#This Row],[上体]]="",0,(IF(テーブル2[[#This Row],[性別]]="男",LOOKUP(テーブル2[[#This Row],[上体]],$AK$6:$AL$15),LOOKUP(テーブル2[[#This Row],[上体]],$AK$20:$AL$29))))</f>
        <v>0</v>
      </c>
      <c r="U347" s="145">
        <f>IF(テーブル2[[#This Row],[長座]]="",0,(IF(テーブル2[[#This Row],[性別]]="男",LOOKUP(テーブル2[[#This Row],[長座]],$AM$6:$AN$15),LOOKUP(テーブル2[[#This Row],[長座]],$AM$20:$AN$29))))</f>
        <v>0</v>
      </c>
      <c r="V347" s="145">
        <f>IF(テーブル2[[#This Row],[反復]]="",0,(IF(テーブル2[[#This Row],[性別]]="男",LOOKUP(テーブル2[[#This Row],[反復]],$AO$6:$AP$15),LOOKUP(テーブル2[[#This Row],[反復]],$AO$20:$AP$29))))</f>
        <v>0</v>
      </c>
      <c r="W347" s="145">
        <f>IF(テーブル2[[#This Row],[持久走]]="",0,(IF(テーブル2[[#This Row],[性別]]="男",LOOKUP(テーブル2[[#This Row],[持久走]],$AQ$6:$AR$15),LOOKUP(テーブル2[[#This Row],[持久走]],$AQ$20:$AR$29))))</f>
        <v>0</v>
      </c>
      <c r="X347" s="145">
        <f>IF(テーブル2[[#This Row],[ｼｬﾄﾙﾗﾝ]]="",0,(IF(テーブル2[[#This Row],[性別]]="男",LOOKUP(テーブル2[[#This Row],[ｼｬﾄﾙﾗﾝ]],$AS$6:$AT$15),LOOKUP(テーブル2[[#This Row],[ｼｬﾄﾙﾗﾝ]],$AS$20:$AT$29))))</f>
        <v>0</v>
      </c>
      <c r="Y347" s="145">
        <f>IF(テーブル2[[#This Row],[50m走]]="",0,(IF(テーブル2[[#This Row],[性別]]="男",LOOKUP(テーブル2[[#This Row],[50m走]],$AU$6:$AV$15),LOOKUP(テーブル2[[#This Row],[50m走]],$AU$20:$AV$29))))</f>
        <v>0</v>
      </c>
      <c r="Z347" s="145">
        <f>IF(テーブル2[[#This Row],[立幅とび]]="",0,(IF(テーブル2[[#This Row],[性別]]="男",LOOKUP(テーブル2[[#This Row],[立幅とび]],$AW$6:$AX$15),LOOKUP(テーブル2[[#This Row],[立幅とび]],$AW$20:$AX$29))))</f>
        <v>0</v>
      </c>
      <c r="AA347" s="145">
        <f>IF(テーブル2[[#This Row],[ボール投げ]]="",0,(IF(テーブル2[[#This Row],[性別]]="男",LOOKUP(テーブル2[[#This Row],[ボール投げ]],$AY$6:$AZ$15),LOOKUP(テーブル2[[#This Row],[ボール投げ]],$AY$20:$AZ$29))))</f>
        <v>0</v>
      </c>
      <c r="AB347" s="146" t="str">
        <f>IF(テーブル2[[#This Row],[学年]]=1,12,IF(テーブル2[[#This Row],[学年]]=2,13,IF(テーブル2[[#This Row],[学年]]=3,14,"")))</f>
        <v/>
      </c>
      <c r="AC347" s="192" t="str">
        <f>IF(テーブル2[[#This Row],[肥満度数値]]=0,"",LOOKUP(AE347,$AW$39:$AW$44,$AX$39:$AX$44))</f>
        <v/>
      </c>
      <c r="AD34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7" s="77">
        <f>IF(テーブル2[[#This Row],[体重]]="",0,(テーブル2[[#This Row],[体重]]-テーブル2[[#This Row],[標準体重]])/テーブル2[[#This Row],[標準体重]]*100)</f>
        <v>0</v>
      </c>
      <c r="AF347" s="26">
        <f>COUNTA(テーブル2[[#This Row],[握力]:[ボール投げ]])</f>
        <v>0</v>
      </c>
      <c r="AG347" s="1" t="str">
        <f>IF(テーブル2[[#This Row],[判定]]=$BE$10,"○","")</f>
        <v/>
      </c>
      <c r="AH347" s="1" t="str">
        <f>IF(AG347="","",COUNTIF($AG$6:AG347,"○"))</f>
        <v/>
      </c>
    </row>
    <row r="348" spans="1:34" ht="14.25" customHeight="1" x14ac:dyDescent="0.15">
      <c r="A348" s="44">
        <v>343</v>
      </c>
      <c r="B348" s="148"/>
      <c r="C348" s="151"/>
      <c r="D348" s="148"/>
      <c r="E348" s="152"/>
      <c r="F348" s="148"/>
      <c r="G348" s="148"/>
      <c r="H348" s="150"/>
      <c r="I348" s="150"/>
      <c r="J348" s="151"/>
      <c r="K348" s="148"/>
      <c r="L348" s="196"/>
      <c r="M348" s="151"/>
      <c r="N348" s="197"/>
      <c r="O348" s="151"/>
      <c r="P348" s="153"/>
      <c r="Q34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8" s="144" t="str">
        <f>IF(テーブル2[[#This Row],[得点]]=0,"",IF(テーブル2[[#This Row],[年齢]]=17,LOOKUP(Q348,$BH$6:$BH$10,$BE$6:$BE$10),IF(テーブル2[[#This Row],[年齢]]=16,LOOKUP(Q348,$BG$6:$BG$10,$BE$6:$BE$10),IF(テーブル2[[#This Row],[年齢]]=15,LOOKUP(Q348,$BF$6:$BF$10,$BE$6:$BE$10),IF(テーブル2[[#This Row],[年齢]]=14,LOOKUP(Q348,$BD$6:$BD$10,$BE$6:$BE$10),IF(テーブル2[[#This Row],[年齢]]=13,LOOKUP(Q348,$BC$6:$BC$10,$BE$6:$BE$10),LOOKUP(Q348,$BB$6:$BB$10,$BE$6:$BE$10)))))))</f>
        <v/>
      </c>
      <c r="S348" s="145">
        <f>IF(H348="",0,(IF(テーブル2[[#This Row],[性別]]="男",LOOKUP(テーブル2[[#This Row],[握力]],$AI$6:$AJ$15),LOOKUP(テーブル2[[#This Row],[握力]],$AI$20:$AJ$29))))</f>
        <v>0</v>
      </c>
      <c r="T348" s="145">
        <f>IF(テーブル2[[#This Row],[上体]]="",0,(IF(テーブル2[[#This Row],[性別]]="男",LOOKUP(テーブル2[[#This Row],[上体]],$AK$6:$AL$15),LOOKUP(テーブル2[[#This Row],[上体]],$AK$20:$AL$29))))</f>
        <v>0</v>
      </c>
      <c r="U348" s="145">
        <f>IF(テーブル2[[#This Row],[長座]]="",0,(IF(テーブル2[[#This Row],[性別]]="男",LOOKUP(テーブル2[[#This Row],[長座]],$AM$6:$AN$15),LOOKUP(テーブル2[[#This Row],[長座]],$AM$20:$AN$29))))</f>
        <v>0</v>
      </c>
      <c r="V348" s="145">
        <f>IF(テーブル2[[#This Row],[反復]]="",0,(IF(テーブル2[[#This Row],[性別]]="男",LOOKUP(テーブル2[[#This Row],[反復]],$AO$6:$AP$15),LOOKUP(テーブル2[[#This Row],[反復]],$AO$20:$AP$29))))</f>
        <v>0</v>
      </c>
      <c r="W348" s="145">
        <f>IF(テーブル2[[#This Row],[持久走]]="",0,(IF(テーブル2[[#This Row],[性別]]="男",LOOKUP(テーブル2[[#This Row],[持久走]],$AQ$6:$AR$15),LOOKUP(テーブル2[[#This Row],[持久走]],$AQ$20:$AR$29))))</f>
        <v>0</v>
      </c>
      <c r="X348" s="145">
        <f>IF(テーブル2[[#This Row],[ｼｬﾄﾙﾗﾝ]]="",0,(IF(テーブル2[[#This Row],[性別]]="男",LOOKUP(テーブル2[[#This Row],[ｼｬﾄﾙﾗﾝ]],$AS$6:$AT$15),LOOKUP(テーブル2[[#This Row],[ｼｬﾄﾙﾗﾝ]],$AS$20:$AT$29))))</f>
        <v>0</v>
      </c>
      <c r="Y348" s="145">
        <f>IF(テーブル2[[#This Row],[50m走]]="",0,(IF(テーブル2[[#This Row],[性別]]="男",LOOKUP(テーブル2[[#This Row],[50m走]],$AU$6:$AV$15),LOOKUP(テーブル2[[#This Row],[50m走]],$AU$20:$AV$29))))</f>
        <v>0</v>
      </c>
      <c r="Z348" s="145">
        <f>IF(テーブル2[[#This Row],[立幅とび]]="",0,(IF(テーブル2[[#This Row],[性別]]="男",LOOKUP(テーブル2[[#This Row],[立幅とび]],$AW$6:$AX$15),LOOKUP(テーブル2[[#This Row],[立幅とび]],$AW$20:$AX$29))))</f>
        <v>0</v>
      </c>
      <c r="AA348" s="145">
        <f>IF(テーブル2[[#This Row],[ボール投げ]]="",0,(IF(テーブル2[[#This Row],[性別]]="男",LOOKUP(テーブル2[[#This Row],[ボール投げ]],$AY$6:$AZ$15),LOOKUP(テーブル2[[#This Row],[ボール投げ]],$AY$20:$AZ$29))))</f>
        <v>0</v>
      </c>
      <c r="AB348" s="146" t="str">
        <f>IF(テーブル2[[#This Row],[学年]]=1,12,IF(テーブル2[[#This Row],[学年]]=2,13,IF(テーブル2[[#This Row],[学年]]=3,14,"")))</f>
        <v/>
      </c>
      <c r="AC348" s="192" t="str">
        <f>IF(テーブル2[[#This Row],[肥満度数値]]=0,"",LOOKUP(AE348,$AW$39:$AW$44,$AX$39:$AX$44))</f>
        <v/>
      </c>
      <c r="AD34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8" s="77">
        <f>IF(テーブル2[[#This Row],[体重]]="",0,(テーブル2[[#This Row],[体重]]-テーブル2[[#This Row],[標準体重]])/テーブル2[[#This Row],[標準体重]]*100)</f>
        <v>0</v>
      </c>
      <c r="AF348" s="26">
        <f>COUNTA(テーブル2[[#This Row],[握力]:[ボール投げ]])</f>
        <v>0</v>
      </c>
      <c r="AG348" s="1" t="str">
        <f>IF(テーブル2[[#This Row],[判定]]=$BE$10,"○","")</f>
        <v/>
      </c>
      <c r="AH348" s="1" t="str">
        <f>IF(AG348="","",COUNTIF($AG$6:AG348,"○"))</f>
        <v/>
      </c>
    </row>
    <row r="349" spans="1:34" ht="14.25" customHeight="1" x14ac:dyDescent="0.15">
      <c r="A349" s="44">
        <v>344</v>
      </c>
      <c r="B349" s="148"/>
      <c r="C349" s="151"/>
      <c r="D349" s="148"/>
      <c r="E349" s="152"/>
      <c r="F349" s="148"/>
      <c r="G349" s="148"/>
      <c r="H349" s="150"/>
      <c r="I349" s="150"/>
      <c r="J349" s="151"/>
      <c r="K349" s="148"/>
      <c r="L349" s="196"/>
      <c r="M349" s="151"/>
      <c r="N349" s="197"/>
      <c r="O349" s="151"/>
      <c r="P349" s="153"/>
      <c r="Q34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9" s="144" t="str">
        <f>IF(テーブル2[[#This Row],[得点]]=0,"",IF(テーブル2[[#This Row],[年齢]]=17,LOOKUP(Q349,$BH$6:$BH$10,$BE$6:$BE$10),IF(テーブル2[[#This Row],[年齢]]=16,LOOKUP(Q349,$BG$6:$BG$10,$BE$6:$BE$10),IF(テーブル2[[#This Row],[年齢]]=15,LOOKUP(Q349,$BF$6:$BF$10,$BE$6:$BE$10),IF(テーブル2[[#This Row],[年齢]]=14,LOOKUP(Q349,$BD$6:$BD$10,$BE$6:$BE$10),IF(テーブル2[[#This Row],[年齢]]=13,LOOKUP(Q349,$BC$6:$BC$10,$BE$6:$BE$10),LOOKUP(Q349,$BB$6:$BB$10,$BE$6:$BE$10)))))))</f>
        <v/>
      </c>
      <c r="S349" s="145">
        <f>IF(H349="",0,(IF(テーブル2[[#This Row],[性別]]="男",LOOKUP(テーブル2[[#This Row],[握力]],$AI$6:$AJ$15),LOOKUP(テーブル2[[#This Row],[握力]],$AI$20:$AJ$29))))</f>
        <v>0</v>
      </c>
      <c r="T349" s="145">
        <f>IF(テーブル2[[#This Row],[上体]]="",0,(IF(テーブル2[[#This Row],[性別]]="男",LOOKUP(テーブル2[[#This Row],[上体]],$AK$6:$AL$15),LOOKUP(テーブル2[[#This Row],[上体]],$AK$20:$AL$29))))</f>
        <v>0</v>
      </c>
      <c r="U349" s="145">
        <f>IF(テーブル2[[#This Row],[長座]]="",0,(IF(テーブル2[[#This Row],[性別]]="男",LOOKUP(テーブル2[[#This Row],[長座]],$AM$6:$AN$15),LOOKUP(テーブル2[[#This Row],[長座]],$AM$20:$AN$29))))</f>
        <v>0</v>
      </c>
      <c r="V349" s="145">
        <f>IF(テーブル2[[#This Row],[反復]]="",0,(IF(テーブル2[[#This Row],[性別]]="男",LOOKUP(テーブル2[[#This Row],[反復]],$AO$6:$AP$15),LOOKUP(テーブル2[[#This Row],[反復]],$AO$20:$AP$29))))</f>
        <v>0</v>
      </c>
      <c r="W349" s="145">
        <f>IF(テーブル2[[#This Row],[持久走]]="",0,(IF(テーブル2[[#This Row],[性別]]="男",LOOKUP(テーブル2[[#This Row],[持久走]],$AQ$6:$AR$15),LOOKUP(テーブル2[[#This Row],[持久走]],$AQ$20:$AR$29))))</f>
        <v>0</v>
      </c>
      <c r="X349" s="145">
        <f>IF(テーブル2[[#This Row],[ｼｬﾄﾙﾗﾝ]]="",0,(IF(テーブル2[[#This Row],[性別]]="男",LOOKUP(テーブル2[[#This Row],[ｼｬﾄﾙﾗﾝ]],$AS$6:$AT$15),LOOKUP(テーブル2[[#This Row],[ｼｬﾄﾙﾗﾝ]],$AS$20:$AT$29))))</f>
        <v>0</v>
      </c>
      <c r="Y349" s="145">
        <f>IF(テーブル2[[#This Row],[50m走]]="",0,(IF(テーブル2[[#This Row],[性別]]="男",LOOKUP(テーブル2[[#This Row],[50m走]],$AU$6:$AV$15),LOOKUP(テーブル2[[#This Row],[50m走]],$AU$20:$AV$29))))</f>
        <v>0</v>
      </c>
      <c r="Z349" s="145">
        <f>IF(テーブル2[[#This Row],[立幅とび]]="",0,(IF(テーブル2[[#This Row],[性別]]="男",LOOKUP(テーブル2[[#This Row],[立幅とび]],$AW$6:$AX$15),LOOKUP(テーブル2[[#This Row],[立幅とび]],$AW$20:$AX$29))))</f>
        <v>0</v>
      </c>
      <c r="AA349" s="145">
        <f>IF(テーブル2[[#This Row],[ボール投げ]]="",0,(IF(テーブル2[[#This Row],[性別]]="男",LOOKUP(テーブル2[[#This Row],[ボール投げ]],$AY$6:$AZ$15),LOOKUP(テーブル2[[#This Row],[ボール投げ]],$AY$20:$AZ$29))))</f>
        <v>0</v>
      </c>
      <c r="AB349" s="146" t="str">
        <f>IF(テーブル2[[#This Row],[学年]]=1,12,IF(テーブル2[[#This Row],[学年]]=2,13,IF(テーブル2[[#This Row],[学年]]=3,14,"")))</f>
        <v/>
      </c>
      <c r="AC349" s="192" t="str">
        <f>IF(テーブル2[[#This Row],[肥満度数値]]=0,"",LOOKUP(AE349,$AW$39:$AW$44,$AX$39:$AX$44))</f>
        <v/>
      </c>
      <c r="AD34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49" s="77">
        <f>IF(テーブル2[[#This Row],[体重]]="",0,(テーブル2[[#This Row],[体重]]-テーブル2[[#This Row],[標準体重]])/テーブル2[[#This Row],[標準体重]]*100)</f>
        <v>0</v>
      </c>
      <c r="AF349" s="26">
        <f>COUNTA(テーブル2[[#This Row],[握力]:[ボール投げ]])</f>
        <v>0</v>
      </c>
      <c r="AG349" s="1" t="str">
        <f>IF(テーブル2[[#This Row],[判定]]=$BE$10,"○","")</f>
        <v/>
      </c>
      <c r="AH349" s="1" t="str">
        <f>IF(AG349="","",COUNTIF($AG$6:AG349,"○"))</f>
        <v/>
      </c>
    </row>
    <row r="350" spans="1:34" ht="14.25" customHeight="1" x14ac:dyDescent="0.15">
      <c r="A350" s="44">
        <v>345</v>
      </c>
      <c r="B350" s="148"/>
      <c r="C350" s="151"/>
      <c r="D350" s="148"/>
      <c r="E350" s="152"/>
      <c r="F350" s="148"/>
      <c r="G350" s="148"/>
      <c r="H350" s="150"/>
      <c r="I350" s="150"/>
      <c r="J350" s="151"/>
      <c r="K350" s="148"/>
      <c r="L350" s="196"/>
      <c r="M350" s="151"/>
      <c r="N350" s="197"/>
      <c r="O350" s="151"/>
      <c r="P350" s="153"/>
      <c r="Q35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0" s="144" t="str">
        <f>IF(テーブル2[[#This Row],[得点]]=0,"",IF(テーブル2[[#This Row],[年齢]]=17,LOOKUP(Q350,$BH$6:$BH$10,$BE$6:$BE$10),IF(テーブル2[[#This Row],[年齢]]=16,LOOKUP(Q350,$BG$6:$BG$10,$BE$6:$BE$10),IF(テーブル2[[#This Row],[年齢]]=15,LOOKUP(Q350,$BF$6:$BF$10,$BE$6:$BE$10),IF(テーブル2[[#This Row],[年齢]]=14,LOOKUP(Q350,$BD$6:$BD$10,$BE$6:$BE$10),IF(テーブル2[[#This Row],[年齢]]=13,LOOKUP(Q350,$BC$6:$BC$10,$BE$6:$BE$10),LOOKUP(Q350,$BB$6:$BB$10,$BE$6:$BE$10)))))))</f>
        <v/>
      </c>
      <c r="S350" s="145">
        <f>IF(H350="",0,(IF(テーブル2[[#This Row],[性別]]="男",LOOKUP(テーブル2[[#This Row],[握力]],$AI$6:$AJ$15),LOOKUP(テーブル2[[#This Row],[握力]],$AI$20:$AJ$29))))</f>
        <v>0</v>
      </c>
      <c r="T350" s="145">
        <f>IF(テーブル2[[#This Row],[上体]]="",0,(IF(テーブル2[[#This Row],[性別]]="男",LOOKUP(テーブル2[[#This Row],[上体]],$AK$6:$AL$15),LOOKUP(テーブル2[[#This Row],[上体]],$AK$20:$AL$29))))</f>
        <v>0</v>
      </c>
      <c r="U350" s="145">
        <f>IF(テーブル2[[#This Row],[長座]]="",0,(IF(テーブル2[[#This Row],[性別]]="男",LOOKUP(テーブル2[[#This Row],[長座]],$AM$6:$AN$15),LOOKUP(テーブル2[[#This Row],[長座]],$AM$20:$AN$29))))</f>
        <v>0</v>
      </c>
      <c r="V350" s="145">
        <f>IF(テーブル2[[#This Row],[反復]]="",0,(IF(テーブル2[[#This Row],[性別]]="男",LOOKUP(テーブル2[[#This Row],[反復]],$AO$6:$AP$15),LOOKUP(テーブル2[[#This Row],[反復]],$AO$20:$AP$29))))</f>
        <v>0</v>
      </c>
      <c r="W350" s="145">
        <f>IF(テーブル2[[#This Row],[持久走]]="",0,(IF(テーブル2[[#This Row],[性別]]="男",LOOKUP(テーブル2[[#This Row],[持久走]],$AQ$6:$AR$15),LOOKUP(テーブル2[[#This Row],[持久走]],$AQ$20:$AR$29))))</f>
        <v>0</v>
      </c>
      <c r="X350" s="145">
        <f>IF(テーブル2[[#This Row],[ｼｬﾄﾙﾗﾝ]]="",0,(IF(テーブル2[[#This Row],[性別]]="男",LOOKUP(テーブル2[[#This Row],[ｼｬﾄﾙﾗﾝ]],$AS$6:$AT$15),LOOKUP(テーブル2[[#This Row],[ｼｬﾄﾙﾗﾝ]],$AS$20:$AT$29))))</f>
        <v>0</v>
      </c>
      <c r="Y350" s="145">
        <f>IF(テーブル2[[#This Row],[50m走]]="",0,(IF(テーブル2[[#This Row],[性別]]="男",LOOKUP(テーブル2[[#This Row],[50m走]],$AU$6:$AV$15),LOOKUP(テーブル2[[#This Row],[50m走]],$AU$20:$AV$29))))</f>
        <v>0</v>
      </c>
      <c r="Z350" s="145">
        <f>IF(テーブル2[[#This Row],[立幅とび]]="",0,(IF(テーブル2[[#This Row],[性別]]="男",LOOKUP(テーブル2[[#This Row],[立幅とび]],$AW$6:$AX$15),LOOKUP(テーブル2[[#This Row],[立幅とび]],$AW$20:$AX$29))))</f>
        <v>0</v>
      </c>
      <c r="AA350" s="145">
        <f>IF(テーブル2[[#This Row],[ボール投げ]]="",0,(IF(テーブル2[[#This Row],[性別]]="男",LOOKUP(テーブル2[[#This Row],[ボール投げ]],$AY$6:$AZ$15),LOOKUP(テーブル2[[#This Row],[ボール投げ]],$AY$20:$AZ$29))))</f>
        <v>0</v>
      </c>
      <c r="AB350" s="146" t="str">
        <f>IF(テーブル2[[#This Row],[学年]]=1,12,IF(テーブル2[[#This Row],[学年]]=2,13,IF(テーブル2[[#This Row],[学年]]=3,14,"")))</f>
        <v/>
      </c>
      <c r="AC350" s="192" t="str">
        <f>IF(テーブル2[[#This Row],[肥満度数値]]=0,"",LOOKUP(AE350,$AW$39:$AW$44,$AX$39:$AX$44))</f>
        <v/>
      </c>
      <c r="AD35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0" s="77">
        <f>IF(テーブル2[[#This Row],[体重]]="",0,(テーブル2[[#This Row],[体重]]-テーブル2[[#This Row],[標準体重]])/テーブル2[[#This Row],[標準体重]]*100)</f>
        <v>0</v>
      </c>
      <c r="AF350" s="26">
        <f>COUNTA(テーブル2[[#This Row],[握力]:[ボール投げ]])</f>
        <v>0</v>
      </c>
      <c r="AG350" s="1" t="str">
        <f>IF(テーブル2[[#This Row],[判定]]=$BE$10,"○","")</f>
        <v/>
      </c>
      <c r="AH350" s="1" t="str">
        <f>IF(AG350="","",COUNTIF($AG$6:AG350,"○"))</f>
        <v/>
      </c>
    </row>
    <row r="351" spans="1:34" ht="14.25" customHeight="1" x14ac:dyDescent="0.15">
      <c r="A351" s="44">
        <v>346</v>
      </c>
      <c r="B351" s="148"/>
      <c r="C351" s="151"/>
      <c r="D351" s="148"/>
      <c r="E351" s="152"/>
      <c r="F351" s="148"/>
      <c r="G351" s="148"/>
      <c r="H351" s="150"/>
      <c r="I351" s="150"/>
      <c r="J351" s="151"/>
      <c r="K351" s="148"/>
      <c r="L351" s="196"/>
      <c r="M351" s="151"/>
      <c r="N351" s="197"/>
      <c r="O351" s="151"/>
      <c r="P351" s="153"/>
      <c r="Q35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1" s="144" t="str">
        <f>IF(テーブル2[[#This Row],[得点]]=0,"",IF(テーブル2[[#This Row],[年齢]]=17,LOOKUP(Q351,$BH$6:$BH$10,$BE$6:$BE$10),IF(テーブル2[[#This Row],[年齢]]=16,LOOKUP(Q351,$BG$6:$BG$10,$BE$6:$BE$10),IF(テーブル2[[#This Row],[年齢]]=15,LOOKUP(Q351,$BF$6:$BF$10,$BE$6:$BE$10),IF(テーブル2[[#This Row],[年齢]]=14,LOOKUP(Q351,$BD$6:$BD$10,$BE$6:$BE$10),IF(テーブル2[[#This Row],[年齢]]=13,LOOKUP(Q351,$BC$6:$BC$10,$BE$6:$BE$10),LOOKUP(Q351,$BB$6:$BB$10,$BE$6:$BE$10)))))))</f>
        <v/>
      </c>
      <c r="S351" s="145">
        <f>IF(H351="",0,(IF(テーブル2[[#This Row],[性別]]="男",LOOKUP(テーブル2[[#This Row],[握力]],$AI$6:$AJ$15),LOOKUP(テーブル2[[#This Row],[握力]],$AI$20:$AJ$29))))</f>
        <v>0</v>
      </c>
      <c r="T351" s="145">
        <f>IF(テーブル2[[#This Row],[上体]]="",0,(IF(テーブル2[[#This Row],[性別]]="男",LOOKUP(テーブル2[[#This Row],[上体]],$AK$6:$AL$15),LOOKUP(テーブル2[[#This Row],[上体]],$AK$20:$AL$29))))</f>
        <v>0</v>
      </c>
      <c r="U351" s="145">
        <f>IF(テーブル2[[#This Row],[長座]]="",0,(IF(テーブル2[[#This Row],[性別]]="男",LOOKUP(テーブル2[[#This Row],[長座]],$AM$6:$AN$15),LOOKUP(テーブル2[[#This Row],[長座]],$AM$20:$AN$29))))</f>
        <v>0</v>
      </c>
      <c r="V351" s="145">
        <f>IF(テーブル2[[#This Row],[反復]]="",0,(IF(テーブル2[[#This Row],[性別]]="男",LOOKUP(テーブル2[[#This Row],[反復]],$AO$6:$AP$15),LOOKUP(テーブル2[[#This Row],[反復]],$AO$20:$AP$29))))</f>
        <v>0</v>
      </c>
      <c r="W351" s="145">
        <f>IF(テーブル2[[#This Row],[持久走]]="",0,(IF(テーブル2[[#This Row],[性別]]="男",LOOKUP(テーブル2[[#This Row],[持久走]],$AQ$6:$AR$15),LOOKUP(テーブル2[[#This Row],[持久走]],$AQ$20:$AR$29))))</f>
        <v>0</v>
      </c>
      <c r="X351" s="145">
        <f>IF(テーブル2[[#This Row],[ｼｬﾄﾙﾗﾝ]]="",0,(IF(テーブル2[[#This Row],[性別]]="男",LOOKUP(テーブル2[[#This Row],[ｼｬﾄﾙﾗﾝ]],$AS$6:$AT$15),LOOKUP(テーブル2[[#This Row],[ｼｬﾄﾙﾗﾝ]],$AS$20:$AT$29))))</f>
        <v>0</v>
      </c>
      <c r="Y351" s="145">
        <f>IF(テーブル2[[#This Row],[50m走]]="",0,(IF(テーブル2[[#This Row],[性別]]="男",LOOKUP(テーブル2[[#This Row],[50m走]],$AU$6:$AV$15),LOOKUP(テーブル2[[#This Row],[50m走]],$AU$20:$AV$29))))</f>
        <v>0</v>
      </c>
      <c r="Z351" s="145">
        <f>IF(テーブル2[[#This Row],[立幅とび]]="",0,(IF(テーブル2[[#This Row],[性別]]="男",LOOKUP(テーブル2[[#This Row],[立幅とび]],$AW$6:$AX$15),LOOKUP(テーブル2[[#This Row],[立幅とび]],$AW$20:$AX$29))))</f>
        <v>0</v>
      </c>
      <c r="AA351" s="145">
        <f>IF(テーブル2[[#This Row],[ボール投げ]]="",0,(IF(テーブル2[[#This Row],[性別]]="男",LOOKUP(テーブル2[[#This Row],[ボール投げ]],$AY$6:$AZ$15),LOOKUP(テーブル2[[#This Row],[ボール投げ]],$AY$20:$AZ$29))))</f>
        <v>0</v>
      </c>
      <c r="AB351" s="146" t="str">
        <f>IF(テーブル2[[#This Row],[学年]]=1,12,IF(テーブル2[[#This Row],[学年]]=2,13,IF(テーブル2[[#This Row],[学年]]=3,14,"")))</f>
        <v/>
      </c>
      <c r="AC351" s="192" t="str">
        <f>IF(テーブル2[[#This Row],[肥満度数値]]=0,"",LOOKUP(AE351,$AW$39:$AW$44,$AX$39:$AX$44))</f>
        <v/>
      </c>
      <c r="AD35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1" s="77">
        <f>IF(テーブル2[[#This Row],[体重]]="",0,(テーブル2[[#This Row],[体重]]-テーブル2[[#This Row],[標準体重]])/テーブル2[[#This Row],[標準体重]]*100)</f>
        <v>0</v>
      </c>
      <c r="AF351" s="26">
        <f>COUNTA(テーブル2[[#This Row],[握力]:[ボール投げ]])</f>
        <v>0</v>
      </c>
      <c r="AG351" s="1" t="str">
        <f>IF(テーブル2[[#This Row],[判定]]=$BE$10,"○","")</f>
        <v/>
      </c>
      <c r="AH351" s="1" t="str">
        <f>IF(AG351="","",COUNTIF($AG$6:AG351,"○"))</f>
        <v/>
      </c>
    </row>
    <row r="352" spans="1:34" ht="14.25" customHeight="1" x14ac:dyDescent="0.15">
      <c r="A352" s="44">
        <v>347</v>
      </c>
      <c r="B352" s="148"/>
      <c r="C352" s="151"/>
      <c r="D352" s="148"/>
      <c r="E352" s="152"/>
      <c r="F352" s="148"/>
      <c r="G352" s="148"/>
      <c r="H352" s="150"/>
      <c r="I352" s="150"/>
      <c r="J352" s="151"/>
      <c r="K352" s="148"/>
      <c r="L352" s="196"/>
      <c r="M352" s="151"/>
      <c r="N352" s="197"/>
      <c r="O352" s="151"/>
      <c r="P352" s="153"/>
      <c r="Q35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2" s="144" t="str">
        <f>IF(テーブル2[[#This Row],[得点]]=0,"",IF(テーブル2[[#This Row],[年齢]]=17,LOOKUP(Q352,$BH$6:$BH$10,$BE$6:$BE$10),IF(テーブル2[[#This Row],[年齢]]=16,LOOKUP(Q352,$BG$6:$BG$10,$BE$6:$BE$10),IF(テーブル2[[#This Row],[年齢]]=15,LOOKUP(Q352,$BF$6:$BF$10,$BE$6:$BE$10),IF(テーブル2[[#This Row],[年齢]]=14,LOOKUP(Q352,$BD$6:$BD$10,$BE$6:$BE$10),IF(テーブル2[[#This Row],[年齢]]=13,LOOKUP(Q352,$BC$6:$BC$10,$BE$6:$BE$10),LOOKUP(Q352,$BB$6:$BB$10,$BE$6:$BE$10)))))))</f>
        <v/>
      </c>
      <c r="S352" s="145">
        <f>IF(H352="",0,(IF(テーブル2[[#This Row],[性別]]="男",LOOKUP(テーブル2[[#This Row],[握力]],$AI$6:$AJ$15),LOOKUP(テーブル2[[#This Row],[握力]],$AI$20:$AJ$29))))</f>
        <v>0</v>
      </c>
      <c r="T352" s="145">
        <f>IF(テーブル2[[#This Row],[上体]]="",0,(IF(テーブル2[[#This Row],[性別]]="男",LOOKUP(テーブル2[[#This Row],[上体]],$AK$6:$AL$15),LOOKUP(テーブル2[[#This Row],[上体]],$AK$20:$AL$29))))</f>
        <v>0</v>
      </c>
      <c r="U352" s="145">
        <f>IF(テーブル2[[#This Row],[長座]]="",0,(IF(テーブル2[[#This Row],[性別]]="男",LOOKUP(テーブル2[[#This Row],[長座]],$AM$6:$AN$15),LOOKUP(テーブル2[[#This Row],[長座]],$AM$20:$AN$29))))</f>
        <v>0</v>
      </c>
      <c r="V352" s="145">
        <f>IF(テーブル2[[#This Row],[反復]]="",0,(IF(テーブル2[[#This Row],[性別]]="男",LOOKUP(テーブル2[[#This Row],[反復]],$AO$6:$AP$15),LOOKUP(テーブル2[[#This Row],[反復]],$AO$20:$AP$29))))</f>
        <v>0</v>
      </c>
      <c r="W352" s="145">
        <f>IF(テーブル2[[#This Row],[持久走]]="",0,(IF(テーブル2[[#This Row],[性別]]="男",LOOKUP(テーブル2[[#This Row],[持久走]],$AQ$6:$AR$15),LOOKUP(テーブル2[[#This Row],[持久走]],$AQ$20:$AR$29))))</f>
        <v>0</v>
      </c>
      <c r="X352" s="145">
        <f>IF(テーブル2[[#This Row],[ｼｬﾄﾙﾗﾝ]]="",0,(IF(テーブル2[[#This Row],[性別]]="男",LOOKUP(テーブル2[[#This Row],[ｼｬﾄﾙﾗﾝ]],$AS$6:$AT$15),LOOKUP(テーブル2[[#This Row],[ｼｬﾄﾙﾗﾝ]],$AS$20:$AT$29))))</f>
        <v>0</v>
      </c>
      <c r="Y352" s="145">
        <f>IF(テーブル2[[#This Row],[50m走]]="",0,(IF(テーブル2[[#This Row],[性別]]="男",LOOKUP(テーブル2[[#This Row],[50m走]],$AU$6:$AV$15),LOOKUP(テーブル2[[#This Row],[50m走]],$AU$20:$AV$29))))</f>
        <v>0</v>
      </c>
      <c r="Z352" s="145">
        <f>IF(テーブル2[[#This Row],[立幅とび]]="",0,(IF(テーブル2[[#This Row],[性別]]="男",LOOKUP(テーブル2[[#This Row],[立幅とび]],$AW$6:$AX$15),LOOKUP(テーブル2[[#This Row],[立幅とび]],$AW$20:$AX$29))))</f>
        <v>0</v>
      </c>
      <c r="AA352" s="145">
        <f>IF(テーブル2[[#This Row],[ボール投げ]]="",0,(IF(テーブル2[[#This Row],[性別]]="男",LOOKUP(テーブル2[[#This Row],[ボール投げ]],$AY$6:$AZ$15),LOOKUP(テーブル2[[#This Row],[ボール投げ]],$AY$20:$AZ$29))))</f>
        <v>0</v>
      </c>
      <c r="AB352" s="146" t="str">
        <f>IF(テーブル2[[#This Row],[学年]]=1,12,IF(テーブル2[[#This Row],[学年]]=2,13,IF(テーブル2[[#This Row],[学年]]=3,14,"")))</f>
        <v/>
      </c>
      <c r="AC352" s="192" t="str">
        <f>IF(テーブル2[[#This Row],[肥満度数値]]=0,"",LOOKUP(AE352,$AW$39:$AW$44,$AX$39:$AX$44))</f>
        <v/>
      </c>
      <c r="AD35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2" s="77">
        <f>IF(テーブル2[[#This Row],[体重]]="",0,(テーブル2[[#This Row],[体重]]-テーブル2[[#This Row],[標準体重]])/テーブル2[[#This Row],[標準体重]]*100)</f>
        <v>0</v>
      </c>
      <c r="AF352" s="26">
        <f>COUNTA(テーブル2[[#This Row],[握力]:[ボール投げ]])</f>
        <v>0</v>
      </c>
      <c r="AG352" s="1" t="str">
        <f>IF(テーブル2[[#This Row],[判定]]=$BE$10,"○","")</f>
        <v/>
      </c>
      <c r="AH352" s="1" t="str">
        <f>IF(AG352="","",COUNTIF($AG$6:AG352,"○"))</f>
        <v/>
      </c>
    </row>
    <row r="353" spans="1:34" ht="14.25" customHeight="1" x14ac:dyDescent="0.15">
      <c r="A353" s="44">
        <v>348</v>
      </c>
      <c r="B353" s="148"/>
      <c r="C353" s="151"/>
      <c r="D353" s="148"/>
      <c r="E353" s="152"/>
      <c r="F353" s="148"/>
      <c r="G353" s="148"/>
      <c r="H353" s="150"/>
      <c r="I353" s="150"/>
      <c r="J353" s="151"/>
      <c r="K353" s="148"/>
      <c r="L353" s="196"/>
      <c r="M353" s="151"/>
      <c r="N353" s="197"/>
      <c r="O353" s="151"/>
      <c r="P353" s="153"/>
      <c r="Q35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3" s="144" t="str">
        <f>IF(テーブル2[[#This Row],[得点]]=0,"",IF(テーブル2[[#This Row],[年齢]]=17,LOOKUP(Q353,$BH$6:$BH$10,$BE$6:$BE$10),IF(テーブル2[[#This Row],[年齢]]=16,LOOKUP(Q353,$BG$6:$BG$10,$BE$6:$BE$10),IF(テーブル2[[#This Row],[年齢]]=15,LOOKUP(Q353,$BF$6:$BF$10,$BE$6:$BE$10),IF(テーブル2[[#This Row],[年齢]]=14,LOOKUP(Q353,$BD$6:$BD$10,$BE$6:$BE$10),IF(テーブル2[[#This Row],[年齢]]=13,LOOKUP(Q353,$BC$6:$BC$10,$BE$6:$BE$10),LOOKUP(Q353,$BB$6:$BB$10,$BE$6:$BE$10)))))))</f>
        <v/>
      </c>
      <c r="S353" s="145">
        <f>IF(H353="",0,(IF(テーブル2[[#This Row],[性別]]="男",LOOKUP(テーブル2[[#This Row],[握力]],$AI$6:$AJ$15),LOOKUP(テーブル2[[#This Row],[握力]],$AI$20:$AJ$29))))</f>
        <v>0</v>
      </c>
      <c r="T353" s="145">
        <f>IF(テーブル2[[#This Row],[上体]]="",0,(IF(テーブル2[[#This Row],[性別]]="男",LOOKUP(テーブル2[[#This Row],[上体]],$AK$6:$AL$15),LOOKUP(テーブル2[[#This Row],[上体]],$AK$20:$AL$29))))</f>
        <v>0</v>
      </c>
      <c r="U353" s="145">
        <f>IF(テーブル2[[#This Row],[長座]]="",0,(IF(テーブル2[[#This Row],[性別]]="男",LOOKUP(テーブル2[[#This Row],[長座]],$AM$6:$AN$15),LOOKUP(テーブル2[[#This Row],[長座]],$AM$20:$AN$29))))</f>
        <v>0</v>
      </c>
      <c r="V353" s="145">
        <f>IF(テーブル2[[#This Row],[反復]]="",0,(IF(テーブル2[[#This Row],[性別]]="男",LOOKUP(テーブル2[[#This Row],[反復]],$AO$6:$AP$15),LOOKUP(テーブル2[[#This Row],[反復]],$AO$20:$AP$29))))</f>
        <v>0</v>
      </c>
      <c r="W353" s="145">
        <f>IF(テーブル2[[#This Row],[持久走]]="",0,(IF(テーブル2[[#This Row],[性別]]="男",LOOKUP(テーブル2[[#This Row],[持久走]],$AQ$6:$AR$15),LOOKUP(テーブル2[[#This Row],[持久走]],$AQ$20:$AR$29))))</f>
        <v>0</v>
      </c>
      <c r="X353" s="145">
        <f>IF(テーブル2[[#This Row],[ｼｬﾄﾙﾗﾝ]]="",0,(IF(テーブル2[[#This Row],[性別]]="男",LOOKUP(テーブル2[[#This Row],[ｼｬﾄﾙﾗﾝ]],$AS$6:$AT$15),LOOKUP(テーブル2[[#This Row],[ｼｬﾄﾙﾗﾝ]],$AS$20:$AT$29))))</f>
        <v>0</v>
      </c>
      <c r="Y353" s="145">
        <f>IF(テーブル2[[#This Row],[50m走]]="",0,(IF(テーブル2[[#This Row],[性別]]="男",LOOKUP(テーブル2[[#This Row],[50m走]],$AU$6:$AV$15),LOOKUP(テーブル2[[#This Row],[50m走]],$AU$20:$AV$29))))</f>
        <v>0</v>
      </c>
      <c r="Z353" s="145">
        <f>IF(テーブル2[[#This Row],[立幅とび]]="",0,(IF(テーブル2[[#This Row],[性別]]="男",LOOKUP(テーブル2[[#This Row],[立幅とび]],$AW$6:$AX$15),LOOKUP(テーブル2[[#This Row],[立幅とび]],$AW$20:$AX$29))))</f>
        <v>0</v>
      </c>
      <c r="AA353" s="145">
        <f>IF(テーブル2[[#This Row],[ボール投げ]]="",0,(IF(テーブル2[[#This Row],[性別]]="男",LOOKUP(テーブル2[[#This Row],[ボール投げ]],$AY$6:$AZ$15),LOOKUP(テーブル2[[#This Row],[ボール投げ]],$AY$20:$AZ$29))))</f>
        <v>0</v>
      </c>
      <c r="AB353" s="146" t="str">
        <f>IF(テーブル2[[#This Row],[学年]]=1,12,IF(テーブル2[[#This Row],[学年]]=2,13,IF(テーブル2[[#This Row],[学年]]=3,14,"")))</f>
        <v/>
      </c>
      <c r="AC353" s="192" t="str">
        <f>IF(テーブル2[[#This Row],[肥満度数値]]=0,"",LOOKUP(AE353,$AW$39:$AW$44,$AX$39:$AX$44))</f>
        <v/>
      </c>
      <c r="AD35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3" s="77">
        <f>IF(テーブル2[[#This Row],[体重]]="",0,(テーブル2[[#This Row],[体重]]-テーブル2[[#This Row],[標準体重]])/テーブル2[[#This Row],[標準体重]]*100)</f>
        <v>0</v>
      </c>
      <c r="AF353" s="26">
        <f>COUNTA(テーブル2[[#This Row],[握力]:[ボール投げ]])</f>
        <v>0</v>
      </c>
      <c r="AG353" s="1" t="str">
        <f>IF(テーブル2[[#This Row],[判定]]=$BE$10,"○","")</f>
        <v/>
      </c>
      <c r="AH353" s="1" t="str">
        <f>IF(AG353="","",COUNTIF($AG$6:AG353,"○"))</f>
        <v/>
      </c>
    </row>
    <row r="354" spans="1:34" ht="14.25" customHeight="1" x14ac:dyDescent="0.15">
      <c r="A354" s="44">
        <v>349</v>
      </c>
      <c r="B354" s="148"/>
      <c r="C354" s="151"/>
      <c r="D354" s="148"/>
      <c r="E354" s="152"/>
      <c r="F354" s="148"/>
      <c r="G354" s="148"/>
      <c r="H354" s="150"/>
      <c r="I354" s="150"/>
      <c r="J354" s="151"/>
      <c r="K354" s="148"/>
      <c r="L354" s="196"/>
      <c r="M354" s="151"/>
      <c r="N354" s="197"/>
      <c r="O354" s="151"/>
      <c r="P354" s="153"/>
      <c r="Q35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4" s="144" t="str">
        <f>IF(テーブル2[[#This Row],[得点]]=0,"",IF(テーブル2[[#This Row],[年齢]]=17,LOOKUP(Q354,$BH$6:$BH$10,$BE$6:$BE$10),IF(テーブル2[[#This Row],[年齢]]=16,LOOKUP(Q354,$BG$6:$BG$10,$BE$6:$BE$10),IF(テーブル2[[#This Row],[年齢]]=15,LOOKUP(Q354,$BF$6:$BF$10,$BE$6:$BE$10),IF(テーブル2[[#This Row],[年齢]]=14,LOOKUP(Q354,$BD$6:$BD$10,$BE$6:$BE$10),IF(テーブル2[[#This Row],[年齢]]=13,LOOKUP(Q354,$BC$6:$BC$10,$BE$6:$BE$10),LOOKUP(Q354,$BB$6:$BB$10,$BE$6:$BE$10)))))))</f>
        <v/>
      </c>
      <c r="S354" s="145">
        <f>IF(H354="",0,(IF(テーブル2[[#This Row],[性別]]="男",LOOKUP(テーブル2[[#This Row],[握力]],$AI$6:$AJ$15),LOOKUP(テーブル2[[#This Row],[握力]],$AI$20:$AJ$29))))</f>
        <v>0</v>
      </c>
      <c r="T354" s="145">
        <f>IF(テーブル2[[#This Row],[上体]]="",0,(IF(テーブル2[[#This Row],[性別]]="男",LOOKUP(テーブル2[[#This Row],[上体]],$AK$6:$AL$15),LOOKUP(テーブル2[[#This Row],[上体]],$AK$20:$AL$29))))</f>
        <v>0</v>
      </c>
      <c r="U354" s="145">
        <f>IF(テーブル2[[#This Row],[長座]]="",0,(IF(テーブル2[[#This Row],[性別]]="男",LOOKUP(テーブル2[[#This Row],[長座]],$AM$6:$AN$15),LOOKUP(テーブル2[[#This Row],[長座]],$AM$20:$AN$29))))</f>
        <v>0</v>
      </c>
      <c r="V354" s="145">
        <f>IF(テーブル2[[#This Row],[反復]]="",0,(IF(テーブル2[[#This Row],[性別]]="男",LOOKUP(テーブル2[[#This Row],[反復]],$AO$6:$AP$15),LOOKUP(テーブル2[[#This Row],[反復]],$AO$20:$AP$29))))</f>
        <v>0</v>
      </c>
      <c r="W354" s="145">
        <f>IF(テーブル2[[#This Row],[持久走]]="",0,(IF(テーブル2[[#This Row],[性別]]="男",LOOKUP(テーブル2[[#This Row],[持久走]],$AQ$6:$AR$15),LOOKUP(テーブル2[[#This Row],[持久走]],$AQ$20:$AR$29))))</f>
        <v>0</v>
      </c>
      <c r="X354" s="145">
        <f>IF(テーブル2[[#This Row],[ｼｬﾄﾙﾗﾝ]]="",0,(IF(テーブル2[[#This Row],[性別]]="男",LOOKUP(テーブル2[[#This Row],[ｼｬﾄﾙﾗﾝ]],$AS$6:$AT$15),LOOKUP(テーブル2[[#This Row],[ｼｬﾄﾙﾗﾝ]],$AS$20:$AT$29))))</f>
        <v>0</v>
      </c>
      <c r="Y354" s="145">
        <f>IF(テーブル2[[#This Row],[50m走]]="",0,(IF(テーブル2[[#This Row],[性別]]="男",LOOKUP(テーブル2[[#This Row],[50m走]],$AU$6:$AV$15),LOOKUP(テーブル2[[#This Row],[50m走]],$AU$20:$AV$29))))</f>
        <v>0</v>
      </c>
      <c r="Z354" s="145">
        <f>IF(テーブル2[[#This Row],[立幅とび]]="",0,(IF(テーブル2[[#This Row],[性別]]="男",LOOKUP(テーブル2[[#This Row],[立幅とび]],$AW$6:$AX$15),LOOKUP(テーブル2[[#This Row],[立幅とび]],$AW$20:$AX$29))))</f>
        <v>0</v>
      </c>
      <c r="AA354" s="145">
        <f>IF(テーブル2[[#This Row],[ボール投げ]]="",0,(IF(テーブル2[[#This Row],[性別]]="男",LOOKUP(テーブル2[[#This Row],[ボール投げ]],$AY$6:$AZ$15),LOOKUP(テーブル2[[#This Row],[ボール投げ]],$AY$20:$AZ$29))))</f>
        <v>0</v>
      </c>
      <c r="AB354" s="146" t="str">
        <f>IF(テーブル2[[#This Row],[学年]]=1,12,IF(テーブル2[[#This Row],[学年]]=2,13,IF(テーブル2[[#This Row],[学年]]=3,14,"")))</f>
        <v/>
      </c>
      <c r="AC354" s="192" t="str">
        <f>IF(テーブル2[[#This Row],[肥満度数値]]=0,"",LOOKUP(AE354,$AW$39:$AW$44,$AX$39:$AX$44))</f>
        <v/>
      </c>
      <c r="AD35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4" s="77">
        <f>IF(テーブル2[[#This Row],[体重]]="",0,(テーブル2[[#This Row],[体重]]-テーブル2[[#This Row],[標準体重]])/テーブル2[[#This Row],[標準体重]]*100)</f>
        <v>0</v>
      </c>
      <c r="AF354" s="26">
        <f>COUNTA(テーブル2[[#This Row],[握力]:[ボール投げ]])</f>
        <v>0</v>
      </c>
      <c r="AG354" s="1" t="str">
        <f>IF(テーブル2[[#This Row],[判定]]=$BE$10,"○","")</f>
        <v/>
      </c>
      <c r="AH354" s="1" t="str">
        <f>IF(AG354="","",COUNTIF($AG$6:AG354,"○"))</f>
        <v/>
      </c>
    </row>
    <row r="355" spans="1:34" ht="14.25" customHeight="1" x14ac:dyDescent="0.15">
      <c r="A355" s="44">
        <v>350</v>
      </c>
      <c r="B355" s="148"/>
      <c r="C355" s="151"/>
      <c r="D355" s="148"/>
      <c r="E355" s="152"/>
      <c r="F355" s="148"/>
      <c r="G355" s="148"/>
      <c r="H355" s="150"/>
      <c r="I355" s="150"/>
      <c r="J355" s="151"/>
      <c r="K355" s="148"/>
      <c r="L355" s="196"/>
      <c r="M355" s="151"/>
      <c r="N355" s="197"/>
      <c r="O355" s="151"/>
      <c r="P355" s="153"/>
      <c r="Q35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5" s="144" t="str">
        <f>IF(テーブル2[[#This Row],[得点]]=0,"",IF(テーブル2[[#This Row],[年齢]]=17,LOOKUP(Q355,$BH$6:$BH$10,$BE$6:$BE$10),IF(テーブル2[[#This Row],[年齢]]=16,LOOKUP(Q355,$BG$6:$BG$10,$BE$6:$BE$10),IF(テーブル2[[#This Row],[年齢]]=15,LOOKUP(Q355,$BF$6:$BF$10,$BE$6:$BE$10),IF(テーブル2[[#This Row],[年齢]]=14,LOOKUP(Q355,$BD$6:$BD$10,$BE$6:$BE$10),IF(テーブル2[[#This Row],[年齢]]=13,LOOKUP(Q355,$BC$6:$BC$10,$BE$6:$BE$10),LOOKUP(Q355,$BB$6:$BB$10,$BE$6:$BE$10)))))))</f>
        <v/>
      </c>
      <c r="S355" s="145">
        <f>IF(H355="",0,(IF(テーブル2[[#This Row],[性別]]="男",LOOKUP(テーブル2[[#This Row],[握力]],$AI$6:$AJ$15),LOOKUP(テーブル2[[#This Row],[握力]],$AI$20:$AJ$29))))</f>
        <v>0</v>
      </c>
      <c r="T355" s="145">
        <f>IF(テーブル2[[#This Row],[上体]]="",0,(IF(テーブル2[[#This Row],[性別]]="男",LOOKUP(テーブル2[[#This Row],[上体]],$AK$6:$AL$15),LOOKUP(テーブル2[[#This Row],[上体]],$AK$20:$AL$29))))</f>
        <v>0</v>
      </c>
      <c r="U355" s="145">
        <f>IF(テーブル2[[#This Row],[長座]]="",0,(IF(テーブル2[[#This Row],[性別]]="男",LOOKUP(テーブル2[[#This Row],[長座]],$AM$6:$AN$15),LOOKUP(テーブル2[[#This Row],[長座]],$AM$20:$AN$29))))</f>
        <v>0</v>
      </c>
      <c r="V355" s="145">
        <f>IF(テーブル2[[#This Row],[反復]]="",0,(IF(テーブル2[[#This Row],[性別]]="男",LOOKUP(テーブル2[[#This Row],[反復]],$AO$6:$AP$15),LOOKUP(テーブル2[[#This Row],[反復]],$AO$20:$AP$29))))</f>
        <v>0</v>
      </c>
      <c r="W355" s="145">
        <f>IF(テーブル2[[#This Row],[持久走]]="",0,(IF(テーブル2[[#This Row],[性別]]="男",LOOKUP(テーブル2[[#This Row],[持久走]],$AQ$6:$AR$15),LOOKUP(テーブル2[[#This Row],[持久走]],$AQ$20:$AR$29))))</f>
        <v>0</v>
      </c>
      <c r="X355" s="145">
        <f>IF(テーブル2[[#This Row],[ｼｬﾄﾙﾗﾝ]]="",0,(IF(テーブル2[[#This Row],[性別]]="男",LOOKUP(テーブル2[[#This Row],[ｼｬﾄﾙﾗﾝ]],$AS$6:$AT$15),LOOKUP(テーブル2[[#This Row],[ｼｬﾄﾙﾗﾝ]],$AS$20:$AT$29))))</f>
        <v>0</v>
      </c>
      <c r="Y355" s="145">
        <f>IF(テーブル2[[#This Row],[50m走]]="",0,(IF(テーブル2[[#This Row],[性別]]="男",LOOKUP(テーブル2[[#This Row],[50m走]],$AU$6:$AV$15),LOOKUP(テーブル2[[#This Row],[50m走]],$AU$20:$AV$29))))</f>
        <v>0</v>
      </c>
      <c r="Z355" s="145">
        <f>IF(テーブル2[[#This Row],[立幅とび]]="",0,(IF(テーブル2[[#This Row],[性別]]="男",LOOKUP(テーブル2[[#This Row],[立幅とび]],$AW$6:$AX$15),LOOKUP(テーブル2[[#This Row],[立幅とび]],$AW$20:$AX$29))))</f>
        <v>0</v>
      </c>
      <c r="AA355" s="145">
        <f>IF(テーブル2[[#This Row],[ボール投げ]]="",0,(IF(テーブル2[[#This Row],[性別]]="男",LOOKUP(テーブル2[[#This Row],[ボール投げ]],$AY$6:$AZ$15),LOOKUP(テーブル2[[#This Row],[ボール投げ]],$AY$20:$AZ$29))))</f>
        <v>0</v>
      </c>
      <c r="AB355" s="146" t="str">
        <f>IF(テーブル2[[#This Row],[学年]]=1,12,IF(テーブル2[[#This Row],[学年]]=2,13,IF(テーブル2[[#This Row],[学年]]=3,14,"")))</f>
        <v/>
      </c>
      <c r="AC355" s="192" t="str">
        <f>IF(テーブル2[[#This Row],[肥満度数値]]=0,"",LOOKUP(AE355,$AW$39:$AW$44,$AX$39:$AX$44))</f>
        <v/>
      </c>
      <c r="AD35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5" s="77">
        <f>IF(テーブル2[[#This Row],[体重]]="",0,(テーブル2[[#This Row],[体重]]-テーブル2[[#This Row],[標準体重]])/テーブル2[[#This Row],[標準体重]]*100)</f>
        <v>0</v>
      </c>
      <c r="AF355" s="26">
        <f>COUNTA(テーブル2[[#This Row],[握力]:[ボール投げ]])</f>
        <v>0</v>
      </c>
      <c r="AG355" s="1" t="str">
        <f>IF(テーブル2[[#This Row],[判定]]=$BE$10,"○","")</f>
        <v/>
      </c>
      <c r="AH355" s="1" t="str">
        <f>IF(AG355="","",COUNTIF($AG$6:AG355,"○"))</f>
        <v/>
      </c>
    </row>
    <row r="356" spans="1:34" ht="14.25" customHeight="1" x14ac:dyDescent="0.15">
      <c r="A356" s="44">
        <v>351</v>
      </c>
      <c r="B356" s="148"/>
      <c r="C356" s="151"/>
      <c r="D356" s="148"/>
      <c r="E356" s="152"/>
      <c r="F356" s="148"/>
      <c r="G356" s="148"/>
      <c r="H356" s="150"/>
      <c r="I356" s="150"/>
      <c r="J356" s="151"/>
      <c r="K356" s="148"/>
      <c r="L356" s="196"/>
      <c r="M356" s="151"/>
      <c r="N356" s="197"/>
      <c r="O356" s="151"/>
      <c r="P356" s="153"/>
      <c r="Q35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6" s="144" t="str">
        <f>IF(テーブル2[[#This Row],[得点]]=0,"",IF(テーブル2[[#This Row],[年齢]]=17,LOOKUP(Q356,$BH$6:$BH$10,$BE$6:$BE$10),IF(テーブル2[[#This Row],[年齢]]=16,LOOKUP(Q356,$BG$6:$BG$10,$BE$6:$BE$10),IF(テーブル2[[#This Row],[年齢]]=15,LOOKUP(Q356,$BF$6:$BF$10,$BE$6:$BE$10),IF(テーブル2[[#This Row],[年齢]]=14,LOOKUP(Q356,$BD$6:$BD$10,$BE$6:$BE$10),IF(テーブル2[[#This Row],[年齢]]=13,LOOKUP(Q356,$BC$6:$BC$10,$BE$6:$BE$10),LOOKUP(Q356,$BB$6:$BB$10,$BE$6:$BE$10)))))))</f>
        <v/>
      </c>
      <c r="S356" s="145">
        <f>IF(H356="",0,(IF(テーブル2[[#This Row],[性別]]="男",LOOKUP(テーブル2[[#This Row],[握力]],$AI$6:$AJ$15),LOOKUP(テーブル2[[#This Row],[握力]],$AI$20:$AJ$29))))</f>
        <v>0</v>
      </c>
      <c r="T356" s="145">
        <f>IF(テーブル2[[#This Row],[上体]]="",0,(IF(テーブル2[[#This Row],[性別]]="男",LOOKUP(テーブル2[[#This Row],[上体]],$AK$6:$AL$15),LOOKUP(テーブル2[[#This Row],[上体]],$AK$20:$AL$29))))</f>
        <v>0</v>
      </c>
      <c r="U356" s="145">
        <f>IF(テーブル2[[#This Row],[長座]]="",0,(IF(テーブル2[[#This Row],[性別]]="男",LOOKUP(テーブル2[[#This Row],[長座]],$AM$6:$AN$15),LOOKUP(テーブル2[[#This Row],[長座]],$AM$20:$AN$29))))</f>
        <v>0</v>
      </c>
      <c r="V356" s="145">
        <f>IF(テーブル2[[#This Row],[反復]]="",0,(IF(テーブル2[[#This Row],[性別]]="男",LOOKUP(テーブル2[[#This Row],[反復]],$AO$6:$AP$15),LOOKUP(テーブル2[[#This Row],[反復]],$AO$20:$AP$29))))</f>
        <v>0</v>
      </c>
      <c r="W356" s="145">
        <f>IF(テーブル2[[#This Row],[持久走]]="",0,(IF(テーブル2[[#This Row],[性別]]="男",LOOKUP(テーブル2[[#This Row],[持久走]],$AQ$6:$AR$15),LOOKUP(テーブル2[[#This Row],[持久走]],$AQ$20:$AR$29))))</f>
        <v>0</v>
      </c>
      <c r="X356" s="145">
        <f>IF(テーブル2[[#This Row],[ｼｬﾄﾙﾗﾝ]]="",0,(IF(テーブル2[[#This Row],[性別]]="男",LOOKUP(テーブル2[[#This Row],[ｼｬﾄﾙﾗﾝ]],$AS$6:$AT$15),LOOKUP(テーブル2[[#This Row],[ｼｬﾄﾙﾗﾝ]],$AS$20:$AT$29))))</f>
        <v>0</v>
      </c>
      <c r="Y356" s="145">
        <f>IF(テーブル2[[#This Row],[50m走]]="",0,(IF(テーブル2[[#This Row],[性別]]="男",LOOKUP(テーブル2[[#This Row],[50m走]],$AU$6:$AV$15),LOOKUP(テーブル2[[#This Row],[50m走]],$AU$20:$AV$29))))</f>
        <v>0</v>
      </c>
      <c r="Z356" s="145">
        <f>IF(テーブル2[[#This Row],[立幅とび]]="",0,(IF(テーブル2[[#This Row],[性別]]="男",LOOKUP(テーブル2[[#This Row],[立幅とび]],$AW$6:$AX$15),LOOKUP(テーブル2[[#This Row],[立幅とび]],$AW$20:$AX$29))))</f>
        <v>0</v>
      </c>
      <c r="AA356" s="145">
        <f>IF(テーブル2[[#This Row],[ボール投げ]]="",0,(IF(テーブル2[[#This Row],[性別]]="男",LOOKUP(テーブル2[[#This Row],[ボール投げ]],$AY$6:$AZ$15),LOOKUP(テーブル2[[#This Row],[ボール投げ]],$AY$20:$AZ$29))))</f>
        <v>0</v>
      </c>
      <c r="AB356" s="146" t="str">
        <f>IF(テーブル2[[#This Row],[学年]]=1,12,IF(テーブル2[[#This Row],[学年]]=2,13,IF(テーブル2[[#This Row],[学年]]=3,14,"")))</f>
        <v/>
      </c>
      <c r="AC356" s="192" t="str">
        <f>IF(テーブル2[[#This Row],[肥満度数値]]=0,"",LOOKUP(AE356,$AW$39:$AW$44,$AX$39:$AX$44))</f>
        <v/>
      </c>
      <c r="AD35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6" s="77">
        <f>IF(テーブル2[[#This Row],[体重]]="",0,(テーブル2[[#This Row],[体重]]-テーブル2[[#This Row],[標準体重]])/テーブル2[[#This Row],[標準体重]]*100)</f>
        <v>0</v>
      </c>
      <c r="AF356" s="26">
        <f>COUNTA(テーブル2[[#This Row],[握力]:[ボール投げ]])</f>
        <v>0</v>
      </c>
      <c r="AG356" s="1" t="str">
        <f>IF(テーブル2[[#This Row],[判定]]=$BE$10,"○","")</f>
        <v/>
      </c>
      <c r="AH356" s="1" t="str">
        <f>IF(AG356="","",COUNTIF($AG$6:AG356,"○"))</f>
        <v/>
      </c>
    </row>
    <row r="357" spans="1:34" ht="14.25" customHeight="1" x14ac:dyDescent="0.15">
      <c r="A357" s="44">
        <v>352</v>
      </c>
      <c r="B357" s="148"/>
      <c r="C357" s="151"/>
      <c r="D357" s="148"/>
      <c r="E357" s="152"/>
      <c r="F357" s="148"/>
      <c r="G357" s="148"/>
      <c r="H357" s="150"/>
      <c r="I357" s="150"/>
      <c r="J357" s="151"/>
      <c r="K357" s="148"/>
      <c r="L357" s="196"/>
      <c r="M357" s="151"/>
      <c r="N357" s="197"/>
      <c r="O357" s="151"/>
      <c r="P357" s="153"/>
      <c r="Q35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7" s="144" t="str">
        <f>IF(テーブル2[[#This Row],[得点]]=0,"",IF(テーブル2[[#This Row],[年齢]]=17,LOOKUP(Q357,$BH$6:$BH$10,$BE$6:$BE$10),IF(テーブル2[[#This Row],[年齢]]=16,LOOKUP(Q357,$BG$6:$BG$10,$BE$6:$BE$10),IF(テーブル2[[#This Row],[年齢]]=15,LOOKUP(Q357,$BF$6:$BF$10,$BE$6:$BE$10),IF(テーブル2[[#This Row],[年齢]]=14,LOOKUP(Q357,$BD$6:$BD$10,$BE$6:$BE$10),IF(テーブル2[[#This Row],[年齢]]=13,LOOKUP(Q357,$BC$6:$BC$10,$BE$6:$BE$10),LOOKUP(Q357,$BB$6:$BB$10,$BE$6:$BE$10)))))))</f>
        <v/>
      </c>
      <c r="S357" s="145">
        <f>IF(H357="",0,(IF(テーブル2[[#This Row],[性別]]="男",LOOKUP(テーブル2[[#This Row],[握力]],$AI$6:$AJ$15),LOOKUP(テーブル2[[#This Row],[握力]],$AI$20:$AJ$29))))</f>
        <v>0</v>
      </c>
      <c r="T357" s="145">
        <f>IF(テーブル2[[#This Row],[上体]]="",0,(IF(テーブル2[[#This Row],[性別]]="男",LOOKUP(テーブル2[[#This Row],[上体]],$AK$6:$AL$15),LOOKUP(テーブル2[[#This Row],[上体]],$AK$20:$AL$29))))</f>
        <v>0</v>
      </c>
      <c r="U357" s="145">
        <f>IF(テーブル2[[#This Row],[長座]]="",0,(IF(テーブル2[[#This Row],[性別]]="男",LOOKUP(テーブル2[[#This Row],[長座]],$AM$6:$AN$15),LOOKUP(テーブル2[[#This Row],[長座]],$AM$20:$AN$29))))</f>
        <v>0</v>
      </c>
      <c r="V357" s="145">
        <f>IF(テーブル2[[#This Row],[反復]]="",0,(IF(テーブル2[[#This Row],[性別]]="男",LOOKUP(テーブル2[[#This Row],[反復]],$AO$6:$AP$15),LOOKUP(テーブル2[[#This Row],[反復]],$AO$20:$AP$29))))</f>
        <v>0</v>
      </c>
      <c r="W357" s="145">
        <f>IF(テーブル2[[#This Row],[持久走]]="",0,(IF(テーブル2[[#This Row],[性別]]="男",LOOKUP(テーブル2[[#This Row],[持久走]],$AQ$6:$AR$15),LOOKUP(テーブル2[[#This Row],[持久走]],$AQ$20:$AR$29))))</f>
        <v>0</v>
      </c>
      <c r="X357" s="145">
        <f>IF(テーブル2[[#This Row],[ｼｬﾄﾙﾗﾝ]]="",0,(IF(テーブル2[[#This Row],[性別]]="男",LOOKUP(テーブル2[[#This Row],[ｼｬﾄﾙﾗﾝ]],$AS$6:$AT$15),LOOKUP(テーブル2[[#This Row],[ｼｬﾄﾙﾗﾝ]],$AS$20:$AT$29))))</f>
        <v>0</v>
      </c>
      <c r="Y357" s="145">
        <f>IF(テーブル2[[#This Row],[50m走]]="",0,(IF(テーブル2[[#This Row],[性別]]="男",LOOKUP(テーブル2[[#This Row],[50m走]],$AU$6:$AV$15),LOOKUP(テーブル2[[#This Row],[50m走]],$AU$20:$AV$29))))</f>
        <v>0</v>
      </c>
      <c r="Z357" s="145">
        <f>IF(テーブル2[[#This Row],[立幅とび]]="",0,(IF(テーブル2[[#This Row],[性別]]="男",LOOKUP(テーブル2[[#This Row],[立幅とび]],$AW$6:$AX$15),LOOKUP(テーブル2[[#This Row],[立幅とび]],$AW$20:$AX$29))))</f>
        <v>0</v>
      </c>
      <c r="AA357" s="145">
        <f>IF(テーブル2[[#This Row],[ボール投げ]]="",0,(IF(テーブル2[[#This Row],[性別]]="男",LOOKUP(テーブル2[[#This Row],[ボール投げ]],$AY$6:$AZ$15),LOOKUP(テーブル2[[#This Row],[ボール投げ]],$AY$20:$AZ$29))))</f>
        <v>0</v>
      </c>
      <c r="AB357" s="146" t="str">
        <f>IF(テーブル2[[#This Row],[学年]]=1,12,IF(テーブル2[[#This Row],[学年]]=2,13,IF(テーブル2[[#This Row],[学年]]=3,14,"")))</f>
        <v/>
      </c>
      <c r="AC357" s="192" t="str">
        <f>IF(テーブル2[[#This Row],[肥満度数値]]=0,"",LOOKUP(AE357,$AW$39:$AW$44,$AX$39:$AX$44))</f>
        <v/>
      </c>
      <c r="AD35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7" s="77">
        <f>IF(テーブル2[[#This Row],[体重]]="",0,(テーブル2[[#This Row],[体重]]-テーブル2[[#This Row],[標準体重]])/テーブル2[[#This Row],[標準体重]]*100)</f>
        <v>0</v>
      </c>
      <c r="AF357" s="26">
        <f>COUNTA(テーブル2[[#This Row],[握力]:[ボール投げ]])</f>
        <v>0</v>
      </c>
      <c r="AG357" s="1" t="str">
        <f>IF(テーブル2[[#This Row],[判定]]=$BE$10,"○","")</f>
        <v/>
      </c>
      <c r="AH357" s="1" t="str">
        <f>IF(AG357="","",COUNTIF($AG$6:AG357,"○"))</f>
        <v/>
      </c>
    </row>
    <row r="358" spans="1:34" ht="14.25" customHeight="1" x14ac:dyDescent="0.15">
      <c r="A358" s="44">
        <v>353</v>
      </c>
      <c r="B358" s="148"/>
      <c r="C358" s="151"/>
      <c r="D358" s="148"/>
      <c r="E358" s="152"/>
      <c r="F358" s="148"/>
      <c r="G358" s="148"/>
      <c r="H358" s="150"/>
      <c r="I358" s="150"/>
      <c r="J358" s="151"/>
      <c r="K358" s="148"/>
      <c r="L358" s="196"/>
      <c r="M358" s="151"/>
      <c r="N358" s="197"/>
      <c r="O358" s="151"/>
      <c r="P358" s="153"/>
      <c r="Q35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8" s="144" t="str">
        <f>IF(テーブル2[[#This Row],[得点]]=0,"",IF(テーブル2[[#This Row],[年齢]]=17,LOOKUP(Q358,$BH$6:$BH$10,$BE$6:$BE$10),IF(テーブル2[[#This Row],[年齢]]=16,LOOKUP(Q358,$BG$6:$BG$10,$BE$6:$BE$10),IF(テーブル2[[#This Row],[年齢]]=15,LOOKUP(Q358,$BF$6:$BF$10,$BE$6:$BE$10),IF(テーブル2[[#This Row],[年齢]]=14,LOOKUP(Q358,$BD$6:$BD$10,$BE$6:$BE$10),IF(テーブル2[[#This Row],[年齢]]=13,LOOKUP(Q358,$BC$6:$BC$10,$BE$6:$BE$10),LOOKUP(Q358,$BB$6:$BB$10,$BE$6:$BE$10)))))))</f>
        <v/>
      </c>
      <c r="S358" s="145">
        <f>IF(H358="",0,(IF(テーブル2[[#This Row],[性別]]="男",LOOKUP(テーブル2[[#This Row],[握力]],$AI$6:$AJ$15),LOOKUP(テーブル2[[#This Row],[握力]],$AI$20:$AJ$29))))</f>
        <v>0</v>
      </c>
      <c r="T358" s="145">
        <f>IF(テーブル2[[#This Row],[上体]]="",0,(IF(テーブル2[[#This Row],[性別]]="男",LOOKUP(テーブル2[[#This Row],[上体]],$AK$6:$AL$15),LOOKUP(テーブル2[[#This Row],[上体]],$AK$20:$AL$29))))</f>
        <v>0</v>
      </c>
      <c r="U358" s="145">
        <f>IF(テーブル2[[#This Row],[長座]]="",0,(IF(テーブル2[[#This Row],[性別]]="男",LOOKUP(テーブル2[[#This Row],[長座]],$AM$6:$AN$15),LOOKUP(テーブル2[[#This Row],[長座]],$AM$20:$AN$29))))</f>
        <v>0</v>
      </c>
      <c r="V358" s="145">
        <f>IF(テーブル2[[#This Row],[反復]]="",0,(IF(テーブル2[[#This Row],[性別]]="男",LOOKUP(テーブル2[[#This Row],[反復]],$AO$6:$AP$15),LOOKUP(テーブル2[[#This Row],[反復]],$AO$20:$AP$29))))</f>
        <v>0</v>
      </c>
      <c r="W358" s="145">
        <f>IF(テーブル2[[#This Row],[持久走]]="",0,(IF(テーブル2[[#This Row],[性別]]="男",LOOKUP(テーブル2[[#This Row],[持久走]],$AQ$6:$AR$15),LOOKUP(テーブル2[[#This Row],[持久走]],$AQ$20:$AR$29))))</f>
        <v>0</v>
      </c>
      <c r="X358" s="145">
        <f>IF(テーブル2[[#This Row],[ｼｬﾄﾙﾗﾝ]]="",0,(IF(テーブル2[[#This Row],[性別]]="男",LOOKUP(テーブル2[[#This Row],[ｼｬﾄﾙﾗﾝ]],$AS$6:$AT$15),LOOKUP(テーブル2[[#This Row],[ｼｬﾄﾙﾗﾝ]],$AS$20:$AT$29))))</f>
        <v>0</v>
      </c>
      <c r="Y358" s="145">
        <f>IF(テーブル2[[#This Row],[50m走]]="",0,(IF(テーブル2[[#This Row],[性別]]="男",LOOKUP(テーブル2[[#This Row],[50m走]],$AU$6:$AV$15),LOOKUP(テーブル2[[#This Row],[50m走]],$AU$20:$AV$29))))</f>
        <v>0</v>
      </c>
      <c r="Z358" s="145">
        <f>IF(テーブル2[[#This Row],[立幅とび]]="",0,(IF(テーブル2[[#This Row],[性別]]="男",LOOKUP(テーブル2[[#This Row],[立幅とび]],$AW$6:$AX$15),LOOKUP(テーブル2[[#This Row],[立幅とび]],$AW$20:$AX$29))))</f>
        <v>0</v>
      </c>
      <c r="AA358" s="145">
        <f>IF(テーブル2[[#This Row],[ボール投げ]]="",0,(IF(テーブル2[[#This Row],[性別]]="男",LOOKUP(テーブル2[[#This Row],[ボール投げ]],$AY$6:$AZ$15),LOOKUP(テーブル2[[#This Row],[ボール投げ]],$AY$20:$AZ$29))))</f>
        <v>0</v>
      </c>
      <c r="AB358" s="146" t="str">
        <f>IF(テーブル2[[#This Row],[学年]]=1,12,IF(テーブル2[[#This Row],[学年]]=2,13,IF(テーブル2[[#This Row],[学年]]=3,14,"")))</f>
        <v/>
      </c>
      <c r="AC358" s="192" t="str">
        <f>IF(テーブル2[[#This Row],[肥満度数値]]=0,"",LOOKUP(AE358,$AW$39:$AW$44,$AX$39:$AX$44))</f>
        <v/>
      </c>
      <c r="AD35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8" s="77">
        <f>IF(テーブル2[[#This Row],[体重]]="",0,(テーブル2[[#This Row],[体重]]-テーブル2[[#This Row],[標準体重]])/テーブル2[[#This Row],[標準体重]]*100)</f>
        <v>0</v>
      </c>
      <c r="AF358" s="26">
        <f>COUNTA(テーブル2[[#This Row],[握力]:[ボール投げ]])</f>
        <v>0</v>
      </c>
      <c r="AG358" s="1" t="str">
        <f>IF(テーブル2[[#This Row],[判定]]=$BE$10,"○","")</f>
        <v/>
      </c>
      <c r="AH358" s="1" t="str">
        <f>IF(AG358="","",COUNTIF($AG$6:AG358,"○"))</f>
        <v/>
      </c>
    </row>
    <row r="359" spans="1:34" ht="14.25" customHeight="1" x14ac:dyDescent="0.15">
      <c r="A359" s="44">
        <v>354</v>
      </c>
      <c r="B359" s="148"/>
      <c r="C359" s="151"/>
      <c r="D359" s="148"/>
      <c r="E359" s="152"/>
      <c r="F359" s="148"/>
      <c r="G359" s="148"/>
      <c r="H359" s="150"/>
      <c r="I359" s="150"/>
      <c r="J359" s="151"/>
      <c r="K359" s="148"/>
      <c r="L359" s="196"/>
      <c r="M359" s="151"/>
      <c r="N359" s="197"/>
      <c r="O359" s="151"/>
      <c r="P359" s="153"/>
      <c r="Q35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9" s="144" t="str">
        <f>IF(テーブル2[[#This Row],[得点]]=0,"",IF(テーブル2[[#This Row],[年齢]]=17,LOOKUP(Q359,$BH$6:$BH$10,$BE$6:$BE$10),IF(テーブル2[[#This Row],[年齢]]=16,LOOKUP(Q359,$BG$6:$BG$10,$BE$6:$BE$10),IF(テーブル2[[#This Row],[年齢]]=15,LOOKUP(Q359,$BF$6:$BF$10,$BE$6:$BE$10),IF(テーブル2[[#This Row],[年齢]]=14,LOOKUP(Q359,$BD$6:$BD$10,$BE$6:$BE$10),IF(テーブル2[[#This Row],[年齢]]=13,LOOKUP(Q359,$BC$6:$BC$10,$BE$6:$BE$10),LOOKUP(Q359,$BB$6:$BB$10,$BE$6:$BE$10)))))))</f>
        <v/>
      </c>
      <c r="S359" s="145">
        <f>IF(H359="",0,(IF(テーブル2[[#This Row],[性別]]="男",LOOKUP(テーブル2[[#This Row],[握力]],$AI$6:$AJ$15),LOOKUP(テーブル2[[#This Row],[握力]],$AI$20:$AJ$29))))</f>
        <v>0</v>
      </c>
      <c r="T359" s="145">
        <f>IF(テーブル2[[#This Row],[上体]]="",0,(IF(テーブル2[[#This Row],[性別]]="男",LOOKUP(テーブル2[[#This Row],[上体]],$AK$6:$AL$15),LOOKUP(テーブル2[[#This Row],[上体]],$AK$20:$AL$29))))</f>
        <v>0</v>
      </c>
      <c r="U359" s="145">
        <f>IF(テーブル2[[#This Row],[長座]]="",0,(IF(テーブル2[[#This Row],[性別]]="男",LOOKUP(テーブル2[[#This Row],[長座]],$AM$6:$AN$15),LOOKUP(テーブル2[[#This Row],[長座]],$AM$20:$AN$29))))</f>
        <v>0</v>
      </c>
      <c r="V359" s="145">
        <f>IF(テーブル2[[#This Row],[反復]]="",0,(IF(テーブル2[[#This Row],[性別]]="男",LOOKUP(テーブル2[[#This Row],[反復]],$AO$6:$AP$15),LOOKUP(テーブル2[[#This Row],[反復]],$AO$20:$AP$29))))</f>
        <v>0</v>
      </c>
      <c r="W359" s="145">
        <f>IF(テーブル2[[#This Row],[持久走]]="",0,(IF(テーブル2[[#This Row],[性別]]="男",LOOKUP(テーブル2[[#This Row],[持久走]],$AQ$6:$AR$15),LOOKUP(テーブル2[[#This Row],[持久走]],$AQ$20:$AR$29))))</f>
        <v>0</v>
      </c>
      <c r="X359" s="145">
        <f>IF(テーブル2[[#This Row],[ｼｬﾄﾙﾗﾝ]]="",0,(IF(テーブル2[[#This Row],[性別]]="男",LOOKUP(テーブル2[[#This Row],[ｼｬﾄﾙﾗﾝ]],$AS$6:$AT$15),LOOKUP(テーブル2[[#This Row],[ｼｬﾄﾙﾗﾝ]],$AS$20:$AT$29))))</f>
        <v>0</v>
      </c>
      <c r="Y359" s="145">
        <f>IF(テーブル2[[#This Row],[50m走]]="",0,(IF(テーブル2[[#This Row],[性別]]="男",LOOKUP(テーブル2[[#This Row],[50m走]],$AU$6:$AV$15),LOOKUP(テーブル2[[#This Row],[50m走]],$AU$20:$AV$29))))</f>
        <v>0</v>
      </c>
      <c r="Z359" s="145">
        <f>IF(テーブル2[[#This Row],[立幅とび]]="",0,(IF(テーブル2[[#This Row],[性別]]="男",LOOKUP(テーブル2[[#This Row],[立幅とび]],$AW$6:$AX$15),LOOKUP(テーブル2[[#This Row],[立幅とび]],$AW$20:$AX$29))))</f>
        <v>0</v>
      </c>
      <c r="AA359" s="145">
        <f>IF(テーブル2[[#This Row],[ボール投げ]]="",0,(IF(テーブル2[[#This Row],[性別]]="男",LOOKUP(テーブル2[[#This Row],[ボール投げ]],$AY$6:$AZ$15),LOOKUP(テーブル2[[#This Row],[ボール投げ]],$AY$20:$AZ$29))))</f>
        <v>0</v>
      </c>
      <c r="AB359" s="146" t="str">
        <f>IF(テーブル2[[#This Row],[学年]]=1,12,IF(テーブル2[[#This Row],[学年]]=2,13,IF(テーブル2[[#This Row],[学年]]=3,14,"")))</f>
        <v/>
      </c>
      <c r="AC359" s="192" t="str">
        <f>IF(テーブル2[[#This Row],[肥満度数値]]=0,"",LOOKUP(AE359,$AW$39:$AW$44,$AX$39:$AX$44))</f>
        <v/>
      </c>
      <c r="AD35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59" s="77">
        <f>IF(テーブル2[[#This Row],[体重]]="",0,(テーブル2[[#This Row],[体重]]-テーブル2[[#This Row],[標準体重]])/テーブル2[[#This Row],[標準体重]]*100)</f>
        <v>0</v>
      </c>
      <c r="AF359" s="26">
        <f>COUNTA(テーブル2[[#This Row],[握力]:[ボール投げ]])</f>
        <v>0</v>
      </c>
      <c r="AG359" s="1" t="str">
        <f>IF(テーブル2[[#This Row],[判定]]=$BE$10,"○","")</f>
        <v/>
      </c>
      <c r="AH359" s="1" t="str">
        <f>IF(AG359="","",COUNTIF($AG$6:AG359,"○"))</f>
        <v/>
      </c>
    </row>
    <row r="360" spans="1:34" ht="14.25" customHeight="1" x14ac:dyDescent="0.15">
      <c r="A360" s="44">
        <v>355</v>
      </c>
      <c r="B360" s="148"/>
      <c r="C360" s="151"/>
      <c r="D360" s="148"/>
      <c r="E360" s="152"/>
      <c r="F360" s="148"/>
      <c r="G360" s="148"/>
      <c r="H360" s="150"/>
      <c r="I360" s="150"/>
      <c r="J360" s="151"/>
      <c r="K360" s="148"/>
      <c r="L360" s="196"/>
      <c r="M360" s="151"/>
      <c r="N360" s="197"/>
      <c r="O360" s="151"/>
      <c r="P360" s="153"/>
      <c r="Q36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0" s="144" t="str">
        <f>IF(テーブル2[[#This Row],[得点]]=0,"",IF(テーブル2[[#This Row],[年齢]]=17,LOOKUP(Q360,$BH$6:$BH$10,$BE$6:$BE$10),IF(テーブル2[[#This Row],[年齢]]=16,LOOKUP(Q360,$BG$6:$BG$10,$BE$6:$BE$10),IF(テーブル2[[#This Row],[年齢]]=15,LOOKUP(Q360,$BF$6:$BF$10,$BE$6:$BE$10),IF(テーブル2[[#This Row],[年齢]]=14,LOOKUP(Q360,$BD$6:$BD$10,$BE$6:$BE$10),IF(テーブル2[[#This Row],[年齢]]=13,LOOKUP(Q360,$BC$6:$BC$10,$BE$6:$BE$10),LOOKUP(Q360,$BB$6:$BB$10,$BE$6:$BE$10)))))))</f>
        <v/>
      </c>
      <c r="S360" s="145">
        <f>IF(H360="",0,(IF(テーブル2[[#This Row],[性別]]="男",LOOKUP(テーブル2[[#This Row],[握力]],$AI$6:$AJ$15),LOOKUP(テーブル2[[#This Row],[握力]],$AI$20:$AJ$29))))</f>
        <v>0</v>
      </c>
      <c r="T360" s="145">
        <f>IF(テーブル2[[#This Row],[上体]]="",0,(IF(テーブル2[[#This Row],[性別]]="男",LOOKUP(テーブル2[[#This Row],[上体]],$AK$6:$AL$15),LOOKUP(テーブル2[[#This Row],[上体]],$AK$20:$AL$29))))</f>
        <v>0</v>
      </c>
      <c r="U360" s="145">
        <f>IF(テーブル2[[#This Row],[長座]]="",0,(IF(テーブル2[[#This Row],[性別]]="男",LOOKUP(テーブル2[[#This Row],[長座]],$AM$6:$AN$15),LOOKUP(テーブル2[[#This Row],[長座]],$AM$20:$AN$29))))</f>
        <v>0</v>
      </c>
      <c r="V360" s="145">
        <f>IF(テーブル2[[#This Row],[反復]]="",0,(IF(テーブル2[[#This Row],[性別]]="男",LOOKUP(テーブル2[[#This Row],[反復]],$AO$6:$AP$15),LOOKUP(テーブル2[[#This Row],[反復]],$AO$20:$AP$29))))</f>
        <v>0</v>
      </c>
      <c r="W360" s="145">
        <f>IF(テーブル2[[#This Row],[持久走]]="",0,(IF(テーブル2[[#This Row],[性別]]="男",LOOKUP(テーブル2[[#This Row],[持久走]],$AQ$6:$AR$15),LOOKUP(テーブル2[[#This Row],[持久走]],$AQ$20:$AR$29))))</f>
        <v>0</v>
      </c>
      <c r="X360" s="145">
        <f>IF(テーブル2[[#This Row],[ｼｬﾄﾙﾗﾝ]]="",0,(IF(テーブル2[[#This Row],[性別]]="男",LOOKUP(テーブル2[[#This Row],[ｼｬﾄﾙﾗﾝ]],$AS$6:$AT$15),LOOKUP(テーブル2[[#This Row],[ｼｬﾄﾙﾗﾝ]],$AS$20:$AT$29))))</f>
        <v>0</v>
      </c>
      <c r="Y360" s="145">
        <f>IF(テーブル2[[#This Row],[50m走]]="",0,(IF(テーブル2[[#This Row],[性別]]="男",LOOKUP(テーブル2[[#This Row],[50m走]],$AU$6:$AV$15),LOOKUP(テーブル2[[#This Row],[50m走]],$AU$20:$AV$29))))</f>
        <v>0</v>
      </c>
      <c r="Z360" s="145">
        <f>IF(テーブル2[[#This Row],[立幅とび]]="",0,(IF(テーブル2[[#This Row],[性別]]="男",LOOKUP(テーブル2[[#This Row],[立幅とび]],$AW$6:$AX$15),LOOKUP(テーブル2[[#This Row],[立幅とび]],$AW$20:$AX$29))))</f>
        <v>0</v>
      </c>
      <c r="AA360" s="145">
        <f>IF(テーブル2[[#This Row],[ボール投げ]]="",0,(IF(テーブル2[[#This Row],[性別]]="男",LOOKUP(テーブル2[[#This Row],[ボール投げ]],$AY$6:$AZ$15),LOOKUP(テーブル2[[#This Row],[ボール投げ]],$AY$20:$AZ$29))))</f>
        <v>0</v>
      </c>
      <c r="AB360" s="146" t="str">
        <f>IF(テーブル2[[#This Row],[学年]]=1,12,IF(テーブル2[[#This Row],[学年]]=2,13,IF(テーブル2[[#This Row],[学年]]=3,14,"")))</f>
        <v/>
      </c>
      <c r="AC360" s="192" t="str">
        <f>IF(テーブル2[[#This Row],[肥満度数値]]=0,"",LOOKUP(AE360,$AW$39:$AW$44,$AX$39:$AX$44))</f>
        <v/>
      </c>
      <c r="AD36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0" s="77">
        <f>IF(テーブル2[[#This Row],[体重]]="",0,(テーブル2[[#This Row],[体重]]-テーブル2[[#This Row],[標準体重]])/テーブル2[[#This Row],[標準体重]]*100)</f>
        <v>0</v>
      </c>
      <c r="AF360" s="26">
        <f>COUNTA(テーブル2[[#This Row],[握力]:[ボール投げ]])</f>
        <v>0</v>
      </c>
      <c r="AG360" s="1" t="str">
        <f>IF(テーブル2[[#This Row],[判定]]=$BE$10,"○","")</f>
        <v/>
      </c>
      <c r="AH360" s="1" t="str">
        <f>IF(AG360="","",COUNTIF($AG$6:AG360,"○"))</f>
        <v/>
      </c>
    </row>
    <row r="361" spans="1:34" ht="14.25" customHeight="1" x14ac:dyDescent="0.15">
      <c r="A361" s="44">
        <v>356</v>
      </c>
      <c r="B361" s="148"/>
      <c r="C361" s="151"/>
      <c r="D361" s="148"/>
      <c r="E361" s="152"/>
      <c r="F361" s="148"/>
      <c r="G361" s="148"/>
      <c r="H361" s="150"/>
      <c r="I361" s="150"/>
      <c r="J361" s="151"/>
      <c r="K361" s="148"/>
      <c r="L361" s="196"/>
      <c r="M361" s="151"/>
      <c r="N361" s="197"/>
      <c r="O361" s="151"/>
      <c r="P361" s="153"/>
      <c r="Q36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1" s="144" t="str">
        <f>IF(テーブル2[[#This Row],[得点]]=0,"",IF(テーブル2[[#This Row],[年齢]]=17,LOOKUP(Q361,$BH$6:$BH$10,$BE$6:$BE$10),IF(テーブル2[[#This Row],[年齢]]=16,LOOKUP(Q361,$BG$6:$BG$10,$BE$6:$BE$10),IF(テーブル2[[#This Row],[年齢]]=15,LOOKUP(Q361,$BF$6:$BF$10,$BE$6:$BE$10),IF(テーブル2[[#This Row],[年齢]]=14,LOOKUP(Q361,$BD$6:$BD$10,$BE$6:$BE$10),IF(テーブル2[[#This Row],[年齢]]=13,LOOKUP(Q361,$BC$6:$BC$10,$BE$6:$BE$10),LOOKUP(Q361,$BB$6:$BB$10,$BE$6:$BE$10)))))))</f>
        <v/>
      </c>
      <c r="S361" s="145">
        <f>IF(H361="",0,(IF(テーブル2[[#This Row],[性別]]="男",LOOKUP(テーブル2[[#This Row],[握力]],$AI$6:$AJ$15),LOOKUP(テーブル2[[#This Row],[握力]],$AI$20:$AJ$29))))</f>
        <v>0</v>
      </c>
      <c r="T361" s="145">
        <f>IF(テーブル2[[#This Row],[上体]]="",0,(IF(テーブル2[[#This Row],[性別]]="男",LOOKUP(テーブル2[[#This Row],[上体]],$AK$6:$AL$15),LOOKUP(テーブル2[[#This Row],[上体]],$AK$20:$AL$29))))</f>
        <v>0</v>
      </c>
      <c r="U361" s="145">
        <f>IF(テーブル2[[#This Row],[長座]]="",0,(IF(テーブル2[[#This Row],[性別]]="男",LOOKUP(テーブル2[[#This Row],[長座]],$AM$6:$AN$15),LOOKUP(テーブル2[[#This Row],[長座]],$AM$20:$AN$29))))</f>
        <v>0</v>
      </c>
      <c r="V361" s="145">
        <f>IF(テーブル2[[#This Row],[反復]]="",0,(IF(テーブル2[[#This Row],[性別]]="男",LOOKUP(テーブル2[[#This Row],[反復]],$AO$6:$AP$15),LOOKUP(テーブル2[[#This Row],[反復]],$AO$20:$AP$29))))</f>
        <v>0</v>
      </c>
      <c r="W361" s="145">
        <f>IF(テーブル2[[#This Row],[持久走]]="",0,(IF(テーブル2[[#This Row],[性別]]="男",LOOKUP(テーブル2[[#This Row],[持久走]],$AQ$6:$AR$15),LOOKUP(テーブル2[[#This Row],[持久走]],$AQ$20:$AR$29))))</f>
        <v>0</v>
      </c>
      <c r="X361" s="145">
        <f>IF(テーブル2[[#This Row],[ｼｬﾄﾙﾗﾝ]]="",0,(IF(テーブル2[[#This Row],[性別]]="男",LOOKUP(テーブル2[[#This Row],[ｼｬﾄﾙﾗﾝ]],$AS$6:$AT$15),LOOKUP(テーブル2[[#This Row],[ｼｬﾄﾙﾗﾝ]],$AS$20:$AT$29))))</f>
        <v>0</v>
      </c>
      <c r="Y361" s="145">
        <f>IF(テーブル2[[#This Row],[50m走]]="",0,(IF(テーブル2[[#This Row],[性別]]="男",LOOKUP(テーブル2[[#This Row],[50m走]],$AU$6:$AV$15),LOOKUP(テーブル2[[#This Row],[50m走]],$AU$20:$AV$29))))</f>
        <v>0</v>
      </c>
      <c r="Z361" s="145">
        <f>IF(テーブル2[[#This Row],[立幅とび]]="",0,(IF(テーブル2[[#This Row],[性別]]="男",LOOKUP(テーブル2[[#This Row],[立幅とび]],$AW$6:$AX$15),LOOKUP(テーブル2[[#This Row],[立幅とび]],$AW$20:$AX$29))))</f>
        <v>0</v>
      </c>
      <c r="AA361" s="145">
        <f>IF(テーブル2[[#This Row],[ボール投げ]]="",0,(IF(テーブル2[[#This Row],[性別]]="男",LOOKUP(テーブル2[[#This Row],[ボール投げ]],$AY$6:$AZ$15),LOOKUP(テーブル2[[#This Row],[ボール投げ]],$AY$20:$AZ$29))))</f>
        <v>0</v>
      </c>
      <c r="AB361" s="146" t="str">
        <f>IF(テーブル2[[#This Row],[学年]]=1,12,IF(テーブル2[[#This Row],[学年]]=2,13,IF(テーブル2[[#This Row],[学年]]=3,14,"")))</f>
        <v/>
      </c>
      <c r="AC361" s="192" t="str">
        <f>IF(テーブル2[[#This Row],[肥満度数値]]=0,"",LOOKUP(AE361,$AW$39:$AW$44,$AX$39:$AX$44))</f>
        <v/>
      </c>
      <c r="AD36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1" s="77">
        <f>IF(テーブル2[[#This Row],[体重]]="",0,(テーブル2[[#This Row],[体重]]-テーブル2[[#This Row],[標準体重]])/テーブル2[[#This Row],[標準体重]]*100)</f>
        <v>0</v>
      </c>
      <c r="AF361" s="26">
        <f>COUNTA(テーブル2[[#This Row],[握力]:[ボール投げ]])</f>
        <v>0</v>
      </c>
      <c r="AG361" s="1" t="str">
        <f>IF(テーブル2[[#This Row],[判定]]=$BE$10,"○","")</f>
        <v/>
      </c>
      <c r="AH361" s="1" t="str">
        <f>IF(AG361="","",COUNTIF($AG$6:AG361,"○"))</f>
        <v/>
      </c>
    </row>
    <row r="362" spans="1:34" ht="14.25" customHeight="1" x14ac:dyDescent="0.15">
      <c r="A362" s="44">
        <v>357</v>
      </c>
      <c r="B362" s="148"/>
      <c r="C362" s="151"/>
      <c r="D362" s="148"/>
      <c r="E362" s="152"/>
      <c r="F362" s="148"/>
      <c r="G362" s="148"/>
      <c r="H362" s="150"/>
      <c r="I362" s="150"/>
      <c r="J362" s="151"/>
      <c r="K362" s="148"/>
      <c r="L362" s="196"/>
      <c r="M362" s="151"/>
      <c r="N362" s="197"/>
      <c r="O362" s="151"/>
      <c r="P362" s="153"/>
      <c r="Q36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2" s="144" t="str">
        <f>IF(テーブル2[[#This Row],[得点]]=0,"",IF(テーブル2[[#This Row],[年齢]]=17,LOOKUP(Q362,$BH$6:$BH$10,$BE$6:$BE$10),IF(テーブル2[[#This Row],[年齢]]=16,LOOKUP(Q362,$BG$6:$BG$10,$BE$6:$BE$10),IF(テーブル2[[#This Row],[年齢]]=15,LOOKUP(Q362,$BF$6:$BF$10,$BE$6:$BE$10),IF(テーブル2[[#This Row],[年齢]]=14,LOOKUP(Q362,$BD$6:$BD$10,$BE$6:$BE$10),IF(テーブル2[[#This Row],[年齢]]=13,LOOKUP(Q362,$BC$6:$BC$10,$BE$6:$BE$10),LOOKUP(Q362,$BB$6:$BB$10,$BE$6:$BE$10)))))))</f>
        <v/>
      </c>
      <c r="S362" s="145">
        <f>IF(H362="",0,(IF(テーブル2[[#This Row],[性別]]="男",LOOKUP(テーブル2[[#This Row],[握力]],$AI$6:$AJ$15),LOOKUP(テーブル2[[#This Row],[握力]],$AI$20:$AJ$29))))</f>
        <v>0</v>
      </c>
      <c r="T362" s="145">
        <f>IF(テーブル2[[#This Row],[上体]]="",0,(IF(テーブル2[[#This Row],[性別]]="男",LOOKUP(テーブル2[[#This Row],[上体]],$AK$6:$AL$15),LOOKUP(テーブル2[[#This Row],[上体]],$AK$20:$AL$29))))</f>
        <v>0</v>
      </c>
      <c r="U362" s="145">
        <f>IF(テーブル2[[#This Row],[長座]]="",0,(IF(テーブル2[[#This Row],[性別]]="男",LOOKUP(テーブル2[[#This Row],[長座]],$AM$6:$AN$15),LOOKUP(テーブル2[[#This Row],[長座]],$AM$20:$AN$29))))</f>
        <v>0</v>
      </c>
      <c r="V362" s="145">
        <f>IF(テーブル2[[#This Row],[反復]]="",0,(IF(テーブル2[[#This Row],[性別]]="男",LOOKUP(テーブル2[[#This Row],[反復]],$AO$6:$AP$15),LOOKUP(テーブル2[[#This Row],[反復]],$AO$20:$AP$29))))</f>
        <v>0</v>
      </c>
      <c r="W362" s="145">
        <f>IF(テーブル2[[#This Row],[持久走]]="",0,(IF(テーブル2[[#This Row],[性別]]="男",LOOKUP(テーブル2[[#This Row],[持久走]],$AQ$6:$AR$15),LOOKUP(テーブル2[[#This Row],[持久走]],$AQ$20:$AR$29))))</f>
        <v>0</v>
      </c>
      <c r="X362" s="145">
        <f>IF(テーブル2[[#This Row],[ｼｬﾄﾙﾗﾝ]]="",0,(IF(テーブル2[[#This Row],[性別]]="男",LOOKUP(テーブル2[[#This Row],[ｼｬﾄﾙﾗﾝ]],$AS$6:$AT$15),LOOKUP(テーブル2[[#This Row],[ｼｬﾄﾙﾗﾝ]],$AS$20:$AT$29))))</f>
        <v>0</v>
      </c>
      <c r="Y362" s="145">
        <f>IF(テーブル2[[#This Row],[50m走]]="",0,(IF(テーブル2[[#This Row],[性別]]="男",LOOKUP(テーブル2[[#This Row],[50m走]],$AU$6:$AV$15),LOOKUP(テーブル2[[#This Row],[50m走]],$AU$20:$AV$29))))</f>
        <v>0</v>
      </c>
      <c r="Z362" s="145">
        <f>IF(テーブル2[[#This Row],[立幅とび]]="",0,(IF(テーブル2[[#This Row],[性別]]="男",LOOKUP(テーブル2[[#This Row],[立幅とび]],$AW$6:$AX$15),LOOKUP(テーブル2[[#This Row],[立幅とび]],$AW$20:$AX$29))))</f>
        <v>0</v>
      </c>
      <c r="AA362" s="145">
        <f>IF(テーブル2[[#This Row],[ボール投げ]]="",0,(IF(テーブル2[[#This Row],[性別]]="男",LOOKUP(テーブル2[[#This Row],[ボール投げ]],$AY$6:$AZ$15),LOOKUP(テーブル2[[#This Row],[ボール投げ]],$AY$20:$AZ$29))))</f>
        <v>0</v>
      </c>
      <c r="AB362" s="146" t="str">
        <f>IF(テーブル2[[#This Row],[学年]]=1,12,IF(テーブル2[[#This Row],[学年]]=2,13,IF(テーブル2[[#This Row],[学年]]=3,14,"")))</f>
        <v/>
      </c>
      <c r="AC362" s="192" t="str">
        <f>IF(テーブル2[[#This Row],[肥満度数値]]=0,"",LOOKUP(AE362,$AW$39:$AW$44,$AX$39:$AX$44))</f>
        <v/>
      </c>
      <c r="AD36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2" s="77">
        <f>IF(テーブル2[[#This Row],[体重]]="",0,(テーブル2[[#This Row],[体重]]-テーブル2[[#This Row],[標準体重]])/テーブル2[[#This Row],[標準体重]]*100)</f>
        <v>0</v>
      </c>
      <c r="AF362" s="26">
        <f>COUNTA(テーブル2[[#This Row],[握力]:[ボール投げ]])</f>
        <v>0</v>
      </c>
      <c r="AG362" s="1" t="str">
        <f>IF(テーブル2[[#This Row],[判定]]=$BE$10,"○","")</f>
        <v/>
      </c>
      <c r="AH362" s="1" t="str">
        <f>IF(AG362="","",COUNTIF($AG$6:AG362,"○"))</f>
        <v/>
      </c>
    </row>
    <row r="363" spans="1:34" ht="14.25" customHeight="1" x14ac:dyDescent="0.15">
      <c r="A363" s="44">
        <v>358</v>
      </c>
      <c r="B363" s="148"/>
      <c r="C363" s="151"/>
      <c r="D363" s="148"/>
      <c r="E363" s="152"/>
      <c r="F363" s="148"/>
      <c r="G363" s="148"/>
      <c r="H363" s="150"/>
      <c r="I363" s="150"/>
      <c r="J363" s="151"/>
      <c r="K363" s="148"/>
      <c r="L363" s="196"/>
      <c r="M363" s="151"/>
      <c r="N363" s="197"/>
      <c r="O363" s="151"/>
      <c r="P363" s="153"/>
      <c r="Q36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3" s="144" t="str">
        <f>IF(テーブル2[[#This Row],[得点]]=0,"",IF(テーブル2[[#This Row],[年齢]]=17,LOOKUP(Q363,$BH$6:$BH$10,$BE$6:$BE$10),IF(テーブル2[[#This Row],[年齢]]=16,LOOKUP(Q363,$BG$6:$BG$10,$BE$6:$BE$10),IF(テーブル2[[#This Row],[年齢]]=15,LOOKUP(Q363,$BF$6:$BF$10,$BE$6:$BE$10),IF(テーブル2[[#This Row],[年齢]]=14,LOOKUP(Q363,$BD$6:$BD$10,$BE$6:$BE$10),IF(テーブル2[[#This Row],[年齢]]=13,LOOKUP(Q363,$BC$6:$BC$10,$BE$6:$BE$10),LOOKUP(Q363,$BB$6:$BB$10,$BE$6:$BE$10)))))))</f>
        <v/>
      </c>
      <c r="S363" s="145">
        <f>IF(H363="",0,(IF(テーブル2[[#This Row],[性別]]="男",LOOKUP(テーブル2[[#This Row],[握力]],$AI$6:$AJ$15),LOOKUP(テーブル2[[#This Row],[握力]],$AI$20:$AJ$29))))</f>
        <v>0</v>
      </c>
      <c r="T363" s="145">
        <f>IF(テーブル2[[#This Row],[上体]]="",0,(IF(テーブル2[[#This Row],[性別]]="男",LOOKUP(テーブル2[[#This Row],[上体]],$AK$6:$AL$15),LOOKUP(テーブル2[[#This Row],[上体]],$AK$20:$AL$29))))</f>
        <v>0</v>
      </c>
      <c r="U363" s="145">
        <f>IF(テーブル2[[#This Row],[長座]]="",0,(IF(テーブル2[[#This Row],[性別]]="男",LOOKUP(テーブル2[[#This Row],[長座]],$AM$6:$AN$15),LOOKUP(テーブル2[[#This Row],[長座]],$AM$20:$AN$29))))</f>
        <v>0</v>
      </c>
      <c r="V363" s="145">
        <f>IF(テーブル2[[#This Row],[反復]]="",0,(IF(テーブル2[[#This Row],[性別]]="男",LOOKUP(テーブル2[[#This Row],[反復]],$AO$6:$AP$15),LOOKUP(テーブル2[[#This Row],[反復]],$AO$20:$AP$29))))</f>
        <v>0</v>
      </c>
      <c r="W363" s="145">
        <f>IF(テーブル2[[#This Row],[持久走]]="",0,(IF(テーブル2[[#This Row],[性別]]="男",LOOKUP(テーブル2[[#This Row],[持久走]],$AQ$6:$AR$15),LOOKUP(テーブル2[[#This Row],[持久走]],$AQ$20:$AR$29))))</f>
        <v>0</v>
      </c>
      <c r="X363" s="145">
        <f>IF(テーブル2[[#This Row],[ｼｬﾄﾙﾗﾝ]]="",0,(IF(テーブル2[[#This Row],[性別]]="男",LOOKUP(テーブル2[[#This Row],[ｼｬﾄﾙﾗﾝ]],$AS$6:$AT$15),LOOKUP(テーブル2[[#This Row],[ｼｬﾄﾙﾗﾝ]],$AS$20:$AT$29))))</f>
        <v>0</v>
      </c>
      <c r="Y363" s="145">
        <f>IF(テーブル2[[#This Row],[50m走]]="",0,(IF(テーブル2[[#This Row],[性別]]="男",LOOKUP(テーブル2[[#This Row],[50m走]],$AU$6:$AV$15),LOOKUP(テーブル2[[#This Row],[50m走]],$AU$20:$AV$29))))</f>
        <v>0</v>
      </c>
      <c r="Z363" s="145">
        <f>IF(テーブル2[[#This Row],[立幅とび]]="",0,(IF(テーブル2[[#This Row],[性別]]="男",LOOKUP(テーブル2[[#This Row],[立幅とび]],$AW$6:$AX$15),LOOKUP(テーブル2[[#This Row],[立幅とび]],$AW$20:$AX$29))))</f>
        <v>0</v>
      </c>
      <c r="AA363" s="145">
        <f>IF(テーブル2[[#This Row],[ボール投げ]]="",0,(IF(テーブル2[[#This Row],[性別]]="男",LOOKUP(テーブル2[[#This Row],[ボール投げ]],$AY$6:$AZ$15),LOOKUP(テーブル2[[#This Row],[ボール投げ]],$AY$20:$AZ$29))))</f>
        <v>0</v>
      </c>
      <c r="AB363" s="146" t="str">
        <f>IF(テーブル2[[#This Row],[学年]]=1,12,IF(テーブル2[[#This Row],[学年]]=2,13,IF(テーブル2[[#This Row],[学年]]=3,14,"")))</f>
        <v/>
      </c>
      <c r="AC363" s="192" t="str">
        <f>IF(テーブル2[[#This Row],[肥満度数値]]=0,"",LOOKUP(AE363,$AW$39:$AW$44,$AX$39:$AX$44))</f>
        <v/>
      </c>
      <c r="AD36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3" s="77">
        <f>IF(テーブル2[[#This Row],[体重]]="",0,(テーブル2[[#This Row],[体重]]-テーブル2[[#This Row],[標準体重]])/テーブル2[[#This Row],[標準体重]]*100)</f>
        <v>0</v>
      </c>
      <c r="AF363" s="26">
        <f>COUNTA(テーブル2[[#This Row],[握力]:[ボール投げ]])</f>
        <v>0</v>
      </c>
      <c r="AG363" s="1" t="str">
        <f>IF(テーブル2[[#This Row],[判定]]=$BE$10,"○","")</f>
        <v/>
      </c>
      <c r="AH363" s="1" t="str">
        <f>IF(AG363="","",COUNTIF($AG$6:AG363,"○"))</f>
        <v/>
      </c>
    </row>
    <row r="364" spans="1:34" ht="14.25" customHeight="1" x14ac:dyDescent="0.15">
      <c r="A364" s="44">
        <v>359</v>
      </c>
      <c r="B364" s="148"/>
      <c r="C364" s="151"/>
      <c r="D364" s="148"/>
      <c r="E364" s="152"/>
      <c r="F364" s="148"/>
      <c r="G364" s="148"/>
      <c r="H364" s="150"/>
      <c r="I364" s="150"/>
      <c r="J364" s="151"/>
      <c r="K364" s="148"/>
      <c r="L364" s="196"/>
      <c r="M364" s="151"/>
      <c r="N364" s="197"/>
      <c r="O364" s="151"/>
      <c r="P364" s="153"/>
      <c r="Q36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4" s="144" t="str">
        <f>IF(テーブル2[[#This Row],[得点]]=0,"",IF(テーブル2[[#This Row],[年齢]]=17,LOOKUP(Q364,$BH$6:$BH$10,$BE$6:$BE$10),IF(テーブル2[[#This Row],[年齢]]=16,LOOKUP(Q364,$BG$6:$BG$10,$BE$6:$BE$10),IF(テーブル2[[#This Row],[年齢]]=15,LOOKUP(Q364,$BF$6:$BF$10,$BE$6:$BE$10),IF(テーブル2[[#This Row],[年齢]]=14,LOOKUP(Q364,$BD$6:$BD$10,$BE$6:$BE$10),IF(テーブル2[[#This Row],[年齢]]=13,LOOKUP(Q364,$BC$6:$BC$10,$BE$6:$BE$10),LOOKUP(Q364,$BB$6:$BB$10,$BE$6:$BE$10)))))))</f>
        <v/>
      </c>
      <c r="S364" s="145">
        <f>IF(H364="",0,(IF(テーブル2[[#This Row],[性別]]="男",LOOKUP(テーブル2[[#This Row],[握力]],$AI$6:$AJ$15),LOOKUP(テーブル2[[#This Row],[握力]],$AI$20:$AJ$29))))</f>
        <v>0</v>
      </c>
      <c r="T364" s="145">
        <f>IF(テーブル2[[#This Row],[上体]]="",0,(IF(テーブル2[[#This Row],[性別]]="男",LOOKUP(テーブル2[[#This Row],[上体]],$AK$6:$AL$15),LOOKUP(テーブル2[[#This Row],[上体]],$AK$20:$AL$29))))</f>
        <v>0</v>
      </c>
      <c r="U364" s="145">
        <f>IF(テーブル2[[#This Row],[長座]]="",0,(IF(テーブル2[[#This Row],[性別]]="男",LOOKUP(テーブル2[[#This Row],[長座]],$AM$6:$AN$15),LOOKUP(テーブル2[[#This Row],[長座]],$AM$20:$AN$29))))</f>
        <v>0</v>
      </c>
      <c r="V364" s="145">
        <f>IF(テーブル2[[#This Row],[反復]]="",0,(IF(テーブル2[[#This Row],[性別]]="男",LOOKUP(テーブル2[[#This Row],[反復]],$AO$6:$AP$15),LOOKUP(テーブル2[[#This Row],[反復]],$AO$20:$AP$29))))</f>
        <v>0</v>
      </c>
      <c r="W364" s="145">
        <f>IF(テーブル2[[#This Row],[持久走]]="",0,(IF(テーブル2[[#This Row],[性別]]="男",LOOKUP(テーブル2[[#This Row],[持久走]],$AQ$6:$AR$15),LOOKUP(テーブル2[[#This Row],[持久走]],$AQ$20:$AR$29))))</f>
        <v>0</v>
      </c>
      <c r="X364" s="145">
        <f>IF(テーブル2[[#This Row],[ｼｬﾄﾙﾗﾝ]]="",0,(IF(テーブル2[[#This Row],[性別]]="男",LOOKUP(テーブル2[[#This Row],[ｼｬﾄﾙﾗﾝ]],$AS$6:$AT$15),LOOKUP(テーブル2[[#This Row],[ｼｬﾄﾙﾗﾝ]],$AS$20:$AT$29))))</f>
        <v>0</v>
      </c>
      <c r="Y364" s="145">
        <f>IF(テーブル2[[#This Row],[50m走]]="",0,(IF(テーブル2[[#This Row],[性別]]="男",LOOKUP(テーブル2[[#This Row],[50m走]],$AU$6:$AV$15),LOOKUP(テーブル2[[#This Row],[50m走]],$AU$20:$AV$29))))</f>
        <v>0</v>
      </c>
      <c r="Z364" s="145">
        <f>IF(テーブル2[[#This Row],[立幅とび]]="",0,(IF(テーブル2[[#This Row],[性別]]="男",LOOKUP(テーブル2[[#This Row],[立幅とび]],$AW$6:$AX$15),LOOKUP(テーブル2[[#This Row],[立幅とび]],$AW$20:$AX$29))))</f>
        <v>0</v>
      </c>
      <c r="AA364" s="145">
        <f>IF(テーブル2[[#This Row],[ボール投げ]]="",0,(IF(テーブル2[[#This Row],[性別]]="男",LOOKUP(テーブル2[[#This Row],[ボール投げ]],$AY$6:$AZ$15),LOOKUP(テーブル2[[#This Row],[ボール投げ]],$AY$20:$AZ$29))))</f>
        <v>0</v>
      </c>
      <c r="AB364" s="146" t="str">
        <f>IF(テーブル2[[#This Row],[学年]]=1,12,IF(テーブル2[[#This Row],[学年]]=2,13,IF(テーブル2[[#This Row],[学年]]=3,14,"")))</f>
        <v/>
      </c>
      <c r="AC364" s="192" t="str">
        <f>IF(テーブル2[[#This Row],[肥満度数値]]=0,"",LOOKUP(AE364,$AW$39:$AW$44,$AX$39:$AX$44))</f>
        <v/>
      </c>
      <c r="AD36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4" s="77">
        <f>IF(テーブル2[[#This Row],[体重]]="",0,(テーブル2[[#This Row],[体重]]-テーブル2[[#This Row],[標準体重]])/テーブル2[[#This Row],[標準体重]]*100)</f>
        <v>0</v>
      </c>
      <c r="AF364" s="26">
        <f>COUNTA(テーブル2[[#This Row],[握力]:[ボール投げ]])</f>
        <v>0</v>
      </c>
      <c r="AG364" s="1" t="str">
        <f>IF(テーブル2[[#This Row],[判定]]=$BE$10,"○","")</f>
        <v/>
      </c>
      <c r="AH364" s="1" t="str">
        <f>IF(AG364="","",COUNTIF($AG$6:AG364,"○"))</f>
        <v/>
      </c>
    </row>
    <row r="365" spans="1:34" ht="14.25" customHeight="1" x14ac:dyDescent="0.15">
      <c r="A365" s="44">
        <v>360</v>
      </c>
      <c r="B365" s="148"/>
      <c r="C365" s="151"/>
      <c r="D365" s="148"/>
      <c r="E365" s="152"/>
      <c r="F365" s="148"/>
      <c r="G365" s="148"/>
      <c r="H365" s="150"/>
      <c r="I365" s="150"/>
      <c r="J365" s="151"/>
      <c r="K365" s="148"/>
      <c r="L365" s="196"/>
      <c r="M365" s="151"/>
      <c r="N365" s="197"/>
      <c r="O365" s="151"/>
      <c r="P365" s="153"/>
      <c r="Q36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5" s="144" t="str">
        <f>IF(テーブル2[[#This Row],[得点]]=0,"",IF(テーブル2[[#This Row],[年齢]]=17,LOOKUP(Q365,$BH$6:$BH$10,$BE$6:$BE$10),IF(テーブル2[[#This Row],[年齢]]=16,LOOKUP(Q365,$BG$6:$BG$10,$BE$6:$BE$10),IF(テーブル2[[#This Row],[年齢]]=15,LOOKUP(Q365,$BF$6:$BF$10,$BE$6:$BE$10),IF(テーブル2[[#This Row],[年齢]]=14,LOOKUP(Q365,$BD$6:$BD$10,$BE$6:$BE$10),IF(テーブル2[[#This Row],[年齢]]=13,LOOKUP(Q365,$BC$6:$BC$10,$BE$6:$BE$10),LOOKUP(Q365,$BB$6:$BB$10,$BE$6:$BE$10)))))))</f>
        <v/>
      </c>
      <c r="S365" s="145">
        <f>IF(H365="",0,(IF(テーブル2[[#This Row],[性別]]="男",LOOKUP(テーブル2[[#This Row],[握力]],$AI$6:$AJ$15),LOOKUP(テーブル2[[#This Row],[握力]],$AI$20:$AJ$29))))</f>
        <v>0</v>
      </c>
      <c r="T365" s="145">
        <f>IF(テーブル2[[#This Row],[上体]]="",0,(IF(テーブル2[[#This Row],[性別]]="男",LOOKUP(テーブル2[[#This Row],[上体]],$AK$6:$AL$15),LOOKUP(テーブル2[[#This Row],[上体]],$AK$20:$AL$29))))</f>
        <v>0</v>
      </c>
      <c r="U365" s="145">
        <f>IF(テーブル2[[#This Row],[長座]]="",0,(IF(テーブル2[[#This Row],[性別]]="男",LOOKUP(テーブル2[[#This Row],[長座]],$AM$6:$AN$15),LOOKUP(テーブル2[[#This Row],[長座]],$AM$20:$AN$29))))</f>
        <v>0</v>
      </c>
      <c r="V365" s="145">
        <f>IF(テーブル2[[#This Row],[反復]]="",0,(IF(テーブル2[[#This Row],[性別]]="男",LOOKUP(テーブル2[[#This Row],[反復]],$AO$6:$AP$15),LOOKUP(テーブル2[[#This Row],[反復]],$AO$20:$AP$29))))</f>
        <v>0</v>
      </c>
      <c r="W365" s="145">
        <f>IF(テーブル2[[#This Row],[持久走]]="",0,(IF(テーブル2[[#This Row],[性別]]="男",LOOKUP(テーブル2[[#This Row],[持久走]],$AQ$6:$AR$15),LOOKUP(テーブル2[[#This Row],[持久走]],$AQ$20:$AR$29))))</f>
        <v>0</v>
      </c>
      <c r="X365" s="145">
        <f>IF(テーブル2[[#This Row],[ｼｬﾄﾙﾗﾝ]]="",0,(IF(テーブル2[[#This Row],[性別]]="男",LOOKUP(テーブル2[[#This Row],[ｼｬﾄﾙﾗﾝ]],$AS$6:$AT$15),LOOKUP(テーブル2[[#This Row],[ｼｬﾄﾙﾗﾝ]],$AS$20:$AT$29))))</f>
        <v>0</v>
      </c>
      <c r="Y365" s="145">
        <f>IF(テーブル2[[#This Row],[50m走]]="",0,(IF(テーブル2[[#This Row],[性別]]="男",LOOKUP(テーブル2[[#This Row],[50m走]],$AU$6:$AV$15),LOOKUP(テーブル2[[#This Row],[50m走]],$AU$20:$AV$29))))</f>
        <v>0</v>
      </c>
      <c r="Z365" s="145">
        <f>IF(テーブル2[[#This Row],[立幅とび]]="",0,(IF(テーブル2[[#This Row],[性別]]="男",LOOKUP(テーブル2[[#This Row],[立幅とび]],$AW$6:$AX$15),LOOKUP(テーブル2[[#This Row],[立幅とび]],$AW$20:$AX$29))))</f>
        <v>0</v>
      </c>
      <c r="AA365" s="145">
        <f>IF(テーブル2[[#This Row],[ボール投げ]]="",0,(IF(テーブル2[[#This Row],[性別]]="男",LOOKUP(テーブル2[[#This Row],[ボール投げ]],$AY$6:$AZ$15),LOOKUP(テーブル2[[#This Row],[ボール投げ]],$AY$20:$AZ$29))))</f>
        <v>0</v>
      </c>
      <c r="AB365" s="146" t="str">
        <f>IF(テーブル2[[#This Row],[学年]]=1,12,IF(テーブル2[[#This Row],[学年]]=2,13,IF(テーブル2[[#This Row],[学年]]=3,14,"")))</f>
        <v/>
      </c>
      <c r="AC365" s="192" t="str">
        <f>IF(テーブル2[[#This Row],[肥満度数値]]=0,"",LOOKUP(AE365,$AW$39:$AW$44,$AX$39:$AX$44))</f>
        <v/>
      </c>
      <c r="AD36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5" s="77">
        <f>IF(テーブル2[[#This Row],[体重]]="",0,(テーブル2[[#This Row],[体重]]-テーブル2[[#This Row],[標準体重]])/テーブル2[[#This Row],[標準体重]]*100)</f>
        <v>0</v>
      </c>
      <c r="AF365" s="26">
        <f>COUNTA(テーブル2[[#This Row],[握力]:[ボール投げ]])</f>
        <v>0</v>
      </c>
      <c r="AG365" s="1" t="str">
        <f>IF(テーブル2[[#This Row],[判定]]=$BE$10,"○","")</f>
        <v/>
      </c>
      <c r="AH365" s="1" t="str">
        <f>IF(AG365="","",COUNTIF($AG$6:AG365,"○"))</f>
        <v/>
      </c>
    </row>
    <row r="366" spans="1:34" ht="14.25" customHeight="1" x14ac:dyDescent="0.15">
      <c r="A366" s="44">
        <v>361</v>
      </c>
      <c r="B366" s="148"/>
      <c r="C366" s="151"/>
      <c r="D366" s="148"/>
      <c r="E366" s="152"/>
      <c r="F366" s="148"/>
      <c r="G366" s="148"/>
      <c r="H366" s="150"/>
      <c r="I366" s="150"/>
      <c r="J366" s="151"/>
      <c r="K366" s="148"/>
      <c r="L366" s="196"/>
      <c r="M366" s="151"/>
      <c r="N366" s="197"/>
      <c r="O366" s="151"/>
      <c r="P366" s="153"/>
      <c r="Q36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6" s="144" t="str">
        <f>IF(テーブル2[[#This Row],[得点]]=0,"",IF(テーブル2[[#This Row],[年齢]]=17,LOOKUP(Q366,$BH$6:$BH$10,$BE$6:$BE$10),IF(テーブル2[[#This Row],[年齢]]=16,LOOKUP(Q366,$BG$6:$BG$10,$BE$6:$BE$10),IF(テーブル2[[#This Row],[年齢]]=15,LOOKUP(Q366,$BF$6:$BF$10,$BE$6:$BE$10),IF(テーブル2[[#This Row],[年齢]]=14,LOOKUP(Q366,$BD$6:$BD$10,$BE$6:$BE$10),IF(テーブル2[[#This Row],[年齢]]=13,LOOKUP(Q366,$BC$6:$BC$10,$BE$6:$BE$10),LOOKUP(Q366,$BB$6:$BB$10,$BE$6:$BE$10)))))))</f>
        <v/>
      </c>
      <c r="S366" s="145">
        <f>IF(H366="",0,(IF(テーブル2[[#This Row],[性別]]="男",LOOKUP(テーブル2[[#This Row],[握力]],$AI$6:$AJ$15),LOOKUP(テーブル2[[#This Row],[握力]],$AI$20:$AJ$29))))</f>
        <v>0</v>
      </c>
      <c r="T366" s="145">
        <f>IF(テーブル2[[#This Row],[上体]]="",0,(IF(テーブル2[[#This Row],[性別]]="男",LOOKUP(テーブル2[[#This Row],[上体]],$AK$6:$AL$15),LOOKUP(テーブル2[[#This Row],[上体]],$AK$20:$AL$29))))</f>
        <v>0</v>
      </c>
      <c r="U366" s="145">
        <f>IF(テーブル2[[#This Row],[長座]]="",0,(IF(テーブル2[[#This Row],[性別]]="男",LOOKUP(テーブル2[[#This Row],[長座]],$AM$6:$AN$15),LOOKUP(テーブル2[[#This Row],[長座]],$AM$20:$AN$29))))</f>
        <v>0</v>
      </c>
      <c r="V366" s="145">
        <f>IF(テーブル2[[#This Row],[反復]]="",0,(IF(テーブル2[[#This Row],[性別]]="男",LOOKUP(テーブル2[[#This Row],[反復]],$AO$6:$AP$15),LOOKUP(テーブル2[[#This Row],[反復]],$AO$20:$AP$29))))</f>
        <v>0</v>
      </c>
      <c r="W366" s="145">
        <f>IF(テーブル2[[#This Row],[持久走]]="",0,(IF(テーブル2[[#This Row],[性別]]="男",LOOKUP(テーブル2[[#This Row],[持久走]],$AQ$6:$AR$15),LOOKUP(テーブル2[[#This Row],[持久走]],$AQ$20:$AR$29))))</f>
        <v>0</v>
      </c>
      <c r="X366" s="145">
        <f>IF(テーブル2[[#This Row],[ｼｬﾄﾙﾗﾝ]]="",0,(IF(テーブル2[[#This Row],[性別]]="男",LOOKUP(テーブル2[[#This Row],[ｼｬﾄﾙﾗﾝ]],$AS$6:$AT$15),LOOKUP(テーブル2[[#This Row],[ｼｬﾄﾙﾗﾝ]],$AS$20:$AT$29))))</f>
        <v>0</v>
      </c>
      <c r="Y366" s="145">
        <f>IF(テーブル2[[#This Row],[50m走]]="",0,(IF(テーブル2[[#This Row],[性別]]="男",LOOKUP(テーブル2[[#This Row],[50m走]],$AU$6:$AV$15),LOOKUP(テーブル2[[#This Row],[50m走]],$AU$20:$AV$29))))</f>
        <v>0</v>
      </c>
      <c r="Z366" s="145">
        <f>IF(テーブル2[[#This Row],[立幅とび]]="",0,(IF(テーブル2[[#This Row],[性別]]="男",LOOKUP(テーブル2[[#This Row],[立幅とび]],$AW$6:$AX$15),LOOKUP(テーブル2[[#This Row],[立幅とび]],$AW$20:$AX$29))))</f>
        <v>0</v>
      </c>
      <c r="AA366" s="145">
        <f>IF(テーブル2[[#This Row],[ボール投げ]]="",0,(IF(テーブル2[[#This Row],[性別]]="男",LOOKUP(テーブル2[[#This Row],[ボール投げ]],$AY$6:$AZ$15),LOOKUP(テーブル2[[#This Row],[ボール投げ]],$AY$20:$AZ$29))))</f>
        <v>0</v>
      </c>
      <c r="AB366" s="146" t="str">
        <f>IF(テーブル2[[#This Row],[学年]]=1,12,IF(テーブル2[[#This Row],[学年]]=2,13,IF(テーブル2[[#This Row],[学年]]=3,14,"")))</f>
        <v/>
      </c>
      <c r="AC366" s="192" t="str">
        <f>IF(テーブル2[[#This Row],[肥満度数値]]=0,"",LOOKUP(AE366,$AW$39:$AW$44,$AX$39:$AX$44))</f>
        <v/>
      </c>
      <c r="AD36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6" s="77">
        <f>IF(テーブル2[[#This Row],[体重]]="",0,(テーブル2[[#This Row],[体重]]-テーブル2[[#This Row],[標準体重]])/テーブル2[[#This Row],[標準体重]]*100)</f>
        <v>0</v>
      </c>
      <c r="AF366" s="26">
        <f>COUNTA(テーブル2[[#This Row],[握力]:[ボール投げ]])</f>
        <v>0</v>
      </c>
      <c r="AG366" s="1" t="str">
        <f>IF(テーブル2[[#This Row],[判定]]=$BE$10,"○","")</f>
        <v/>
      </c>
      <c r="AH366" s="1" t="str">
        <f>IF(AG366="","",COUNTIF($AG$6:AG366,"○"))</f>
        <v/>
      </c>
    </row>
    <row r="367" spans="1:34" ht="14.25" customHeight="1" x14ac:dyDescent="0.15">
      <c r="A367" s="44">
        <v>362</v>
      </c>
      <c r="B367" s="148"/>
      <c r="C367" s="151"/>
      <c r="D367" s="148"/>
      <c r="E367" s="152"/>
      <c r="F367" s="148"/>
      <c r="G367" s="148"/>
      <c r="H367" s="150"/>
      <c r="I367" s="150"/>
      <c r="J367" s="151"/>
      <c r="K367" s="148"/>
      <c r="L367" s="196"/>
      <c r="M367" s="151"/>
      <c r="N367" s="197"/>
      <c r="O367" s="151"/>
      <c r="P367" s="153"/>
      <c r="Q36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7" s="144" t="str">
        <f>IF(テーブル2[[#This Row],[得点]]=0,"",IF(テーブル2[[#This Row],[年齢]]=17,LOOKUP(Q367,$BH$6:$BH$10,$BE$6:$BE$10),IF(テーブル2[[#This Row],[年齢]]=16,LOOKUP(Q367,$BG$6:$BG$10,$BE$6:$BE$10),IF(テーブル2[[#This Row],[年齢]]=15,LOOKUP(Q367,$BF$6:$BF$10,$BE$6:$BE$10),IF(テーブル2[[#This Row],[年齢]]=14,LOOKUP(Q367,$BD$6:$BD$10,$BE$6:$BE$10),IF(テーブル2[[#This Row],[年齢]]=13,LOOKUP(Q367,$BC$6:$BC$10,$BE$6:$BE$10),LOOKUP(Q367,$BB$6:$BB$10,$BE$6:$BE$10)))))))</f>
        <v/>
      </c>
      <c r="S367" s="145">
        <f>IF(H367="",0,(IF(テーブル2[[#This Row],[性別]]="男",LOOKUP(テーブル2[[#This Row],[握力]],$AI$6:$AJ$15),LOOKUP(テーブル2[[#This Row],[握力]],$AI$20:$AJ$29))))</f>
        <v>0</v>
      </c>
      <c r="T367" s="145">
        <f>IF(テーブル2[[#This Row],[上体]]="",0,(IF(テーブル2[[#This Row],[性別]]="男",LOOKUP(テーブル2[[#This Row],[上体]],$AK$6:$AL$15),LOOKUP(テーブル2[[#This Row],[上体]],$AK$20:$AL$29))))</f>
        <v>0</v>
      </c>
      <c r="U367" s="145">
        <f>IF(テーブル2[[#This Row],[長座]]="",0,(IF(テーブル2[[#This Row],[性別]]="男",LOOKUP(テーブル2[[#This Row],[長座]],$AM$6:$AN$15),LOOKUP(テーブル2[[#This Row],[長座]],$AM$20:$AN$29))))</f>
        <v>0</v>
      </c>
      <c r="V367" s="145">
        <f>IF(テーブル2[[#This Row],[反復]]="",0,(IF(テーブル2[[#This Row],[性別]]="男",LOOKUP(テーブル2[[#This Row],[反復]],$AO$6:$AP$15),LOOKUP(テーブル2[[#This Row],[反復]],$AO$20:$AP$29))))</f>
        <v>0</v>
      </c>
      <c r="W367" s="145">
        <f>IF(テーブル2[[#This Row],[持久走]]="",0,(IF(テーブル2[[#This Row],[性別]]="男",LOOKUP(テーブル2[[#This Row],[持久走]],$AQ$6:$AR$15),LOOKUP(テーブル2[[#This Row],[持久走]],$AQ$20:$AR$29))))</f>
        <v>0</v>
      </c>
      <c r="X367" s="145">
        <f>IF(テーブル2[[#This Row],[ｼｬﾄﾙﾗﾝ]]="",0,(IF(テーブル2[[#This Row],[性別]]="男",LOOKUP(テーブル2[[#This Row],[ｼｬﾄﾙﾗﾝ]],$AS$6:$AT$15),LOOKUP(テーブル2[[#This Row],[ｼｬﾄﾙﾗﾝ]],$AS$20:$AT$29))))</f>
        <v>0</v>
      </c>
      <c r="Y367" s="145">
        <f>IF(テーブル2[[#This Row],[50m走]]="",0,(IF(テーブル2[[#This Row],[性別]]="男",LOOKUP(テーブル2[[#This Row],[50m走]],$AU$6:$AV$15),LOOKUP(テーブル2[[#This Row],[50m走]],$AU$20:$AV$29))))</f>
        <v>0</v>
      </c>
      <c r="Z367" s="145">
        <f>IF(テーブル2[[#This Row],[立幅とび]]="",0,(IF(テーブル2[[#This Row],[性別]]="男",LOOKUP(テーブル2[[#This Row],[立幅とび]],$AW$6:$AX$15),LOOKUP(テーブル2[[#This Row],[立幅とび]],$AW$20:$AX$29))))</f>
        <v>0</v>
      </c>
      <c r="AA367" s="145">
        <f>IF(テーブル2[[#This Row],[ボール投げ]]="",0,(IF(テーブル2[[#This Row],[性別]]="男",LOOKUP(テーブル2[[#This Row],[ボール投げ]],$AY$6:$AZ$15),LOOKUP(テーブル2[[#This Row],[ボール投げ]],$AY$20:$AZ$29))))</f>
        <v>0</v>
      </c>
      <c r="AB367" s="146" t="str">
        <f>IF(テーブル2[[#This Row],[学年]]=1,12,IF(テーブル2[[#This Row],[学年]]=2,13,IF(テーブル2[[#This Row],[学年]]=3,14,"")))</f>
        <v/>
      </c>
      <c r="AC367" s="192" t="str">
        <f>IF(テーブル2[[#This Row],[肥満度数値]]=0,"",LOOKUP(AE367,$AW$39:$AW$44,$AX$39:$AX$44))</f>
        <v/>
      </c>
      <c r="AD36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7" s="77">
        <f>IF(テーブル2[[#This Row],[体重]]="",0,(テーブル2[[#This Row],[体重]]-テーブル2[[#This Row],[標準体重]])/テーブル2[[#This Row],[標準体重]]*100)</f>
        <v>0</v>
      </c>
      <c r="AF367" s="26">
        <f>COUNTA(テーブル2[[#This Row],[握力]:[ボール投げ]])</f>
        <v>0</v>
      </c>
      <c r="AG367" s="1" t="str">
        <f>IF(テーブル2[[#This Row],[判定]]=$BE$10,"○","")</f>
        <v/>
      </c>
      <c r="AH367" s="1" t="str">
        <f>IF(AG367="","",COUNTIF($AG$6:AG367,"○"))</f>
        <v/>
      </c>
    </row>
    <row r="368" spans="1:34" ht="14.25" customHeight="1" x14ac:dyDescent="0.15">
      <c r="A368" s="44">
        <v>363</v>
      </c>
      <c r="B368" s="148"/>
      <c r="C368" s="151"/>
      <c r="D368" s="148"/>
      <c r="E368" s="152"/>
      <c r="F368" s="148"/>
      <c r="G368" s="148"/>
      <c r="H368" s="150"/>
      <c r="I368" s="150"/>
      <c r="J368" s="151"/>
      <c r="K368" s="148"/>
      <c r="L368" s="196"/>
      <c r="M368" s="151"/>
      <c r="N368" s="197"/>
      <c r="O368" s="151"/>
      <c r="P368" s="153"/>
      <c r="Q36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8" s="144" t="str">
        <f>IF(テーブル2[[#This Row],[得点]]=0,"",IF(テーブル2[[#This Row],[年齢]]=17,LOOKUP(Q368,$BH$6:$BH$10,$BE$6:$BE$10),IF(テーブル2[[#This Row],[年齢]]=16,LOOKUP(Q368,$BG$6:$BG$10,$BE$6:$BE$10),IF(テーブル2[[#This Row],[年齢]]=15,LOOKUP(Q368,$BF$6:$BF$10,$BE$6:$BE$10),IF(テーブル2[[#This Row],[年齢]]=14,LOOKUP(Q368,$BD$6:$BD$10,$BE$6:$BE$10),IF(テーブル2[[#This Row],[年齢]]=13,LOOKUP(Q368,$BC$6:$BC$10,$BE$6:$BE$10),LOOKUP(Q368,$BB$6:$BB$10,$BE$6:$BE$10)))))))</f>
        <v/>
      </c>
      <c r="S368" s="145">
        <f>IF(H368="",0,(IF(テーブル2[[#This Row],[性別]]="男",LOOKUP(テーブル2[[#This Row],[握力]],$AI$6:$AJ$15),LOOKUP(テーブル2[[#This Row],[握力]],$AI$20:$AJ$29))))</f>
        <v>0</v>
      </c>
      <c r="T368" s="145">
        <f>IF(テーブル2[[#This Row],[上体]]="",0,(IF(テーブル2[[#This Row],[性別]]="男",LOOKUP(テーブル2[[#This Row],[上体]],$AK$6:$AL$15),LOOKUP(テーブル2[[#This Row],[上体]],$AK$20:$AL$29))))</f>
        <v>0</v>
      </c>
      <c r="U368" s="145">
        <f>IF(テーブル2[[#This Row],[長座]]="",0,(IF(テーブル2[[#This Row],[性別]]="男",LOOKUP(テーブル2[[#This Row],[長座]],$AM$6:$AN$15),LOOKUP(テーブル2[[#This Row],[長座]],$AM$20:$AN$29))))</f>
        <v>0</v>
      </c>
      <c r="V368" s="145">
        <f>IF(テーブル2[[#This Row],[反復]]="",0,(IF(テーブル2[[#This Row],[性別]]="男",LOOKUP(テーブル2[[#This Row],[反復]],$AO$6:$AP$15),LOOKUP(テーブル2[[#This Row],[反復]],$AO$20:$AP$29))))</f>
        <v>0</v>
      </c>
      <c r="W368" s="145">
        <f>IF(テーブル2[[#This Row],[持久走]]="",0,(IF(テーブル2[[#This Row],[性別]]="男",LOOKUP(テーブル2[[#This Row],[持久走]],$AQ$6:$AR$15),LOOKUP(テーブル2[[#This Row],[持久走]],$AQ$20:$AR$29))))</f>
        <v>0</v>
      </c>
      <c r="X368" s="145">
        <f>IF(テーブル2[[#This Row],[ｼｬﾄﾙﾗﾝ]]="",0,(IF(テーブル2[[#This Row],[性別]]="男",LOOKUP(テーブル2[[#This Row],[ｼｬﾄﾙﾗﾝ]],$AS$6:$AT$15),LOOKUP(テーブル2[[#This Row],[ｼｬﾄﾙﾗﾝ]],$AS$20:$AT$29))))</f>
        <v>0</v>
      </c>
      <c r="Y368" s="145">
        <f>IF(テーブル2[[#This Row],[50m走]]="",0,(IF(テーブル2[[#This Row],[性別]]="男",LOOKUP(テーブル2[[#This Row],[50m走]],$AU$6:$AV$15),LOOKUP(テーブル2[[#This Row],[50m走]],$AU$20:$AV$29))))</f>
        <v>0</v>
      </c>
      <c r="Z368" s="145">
        <f>IF(テーブル2[[#This Row],[立幅とび]]="",0,(IF(テーブル2[[#This Row],[性別]]="男",LOOKUP(テーブル2[[#This Row],[立幅とび]],$AW$6:$AX$15),LOOKUP(テーブル2[[#This Row],[立幅とび]],$AW$20:$AX$29))))</f>
        <v>0</v>
      </c>
      <c r="AA368" s="145">
        <f>IF(テーブル2[[#This Row],[ボール投げ]]="",0,(IF(テーブル2[[#This Row],[性別]]="男",LOOKUP(テーブル2[[#This Row],[ボール投げ]],$AY$6:$AZ$15),LOOKUP(テーブル2[[#This Row],[ボール投げ]],$AY$20:$AZ$29))))</f>
        <v>0</v>
      </c>
      <c r="AB368" s="146" t="str">
        <f>IF(テーブル2[[#This Row],[学年]]=1,12,IF(テーブル2[[#This Row],[学年]]=2,13,IF(テーブル2[[#This Row],[学年]]=3,14,"")))</f>
        <v/>
      </c>
      <c r="AC368" s="192" t="str">
        <f>IF(テーブル2[[#This Row],[肥満度数値]]=0,"",LOOKUP(AE368,$AW$39:$AW$44,$AX$39:$AX$44))</f>
        <v/>
      </c>
      <c r="AD36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8" s="77">
        <f>IF(テーブル2[[#This Row],[体重]]="",0,(テーブル2[[#This Row],[体重]]-テーブル2[[#This Row],[標準体重]])/テーブル2[[#This Row],[標準体重]]*100)</f>
        <v>0</v>
      </c>
      <c r="AF368" s="26">
        <f>COUNTA(テーブル2[[#This Row],[握力]:[ボール投げ]])</f>
        <v>0</v>
      </c>
      <c r="AG368" s="1" t="str">
        <f>IF(テーブル2[[#This Row],[判定]]=$BE$10,"○","")</f>
        <v/>
      </c>
      <c r="AH368" s="1" t="str">
        <f>IF(AG368="","",COUNTIF($AG$6:AG368,"○"))</f>
        <v/>
      </c>
    </row>
    <row r="369" spans="1:34" ht="14.25" customHeight="1" x14ac:dyDescent="0.15">
      <c r="A369" s="44">
        <v>364</v>
      </c>
      <c r="B369" s="148"/>
      <c r="C369" s="151"/>
      <c r="D369" s="148"/>
      <c r="E369" s="152"/>
      <c r="F369" s="148"/>
      <c r="G369" s="148"/>
      <c r="H369" s="150"/>
      <c r="I369" s="150"/>
      <c r="J369" s="151"/>
      <c r="K369" s="148"/>
      <c r="L369" s="196"/>
      <c r="M369" s="151"/>
      <c r="N369" s="197"/>
      <c r="O369" s="151"/>
      <c r="P369" s="153"/>
      <c r="Q36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9" s="144" t="str">
        <f>IF(テーブル2[[#This Row],[得点]]=0,"",IF(テーブル2[[#This Row],[年齢]]=17,LOOKUP(Q369,$BH$6:$BH$10,$BE$6:$BE$10),IF(テーブル2[[#This Row],[年齢]]=16,LOOKUP(Q369,$BG$6:$BG$10,$BE$6:$BE$10),IF(テーブル2[[#This Row],[年齢]]=15,LOOKUP(Q369,$BF$6:$BF$10,$BE$6:$BE$10),IF(テーブル2[[#This Row],[年齢]]=14,LOOKUP(Q369,$BD$6:$BD$10,$BE$6:$BE$10),IF(テーブル2[[#This Row],[年齢]]=13,LOOKUP(Q369,$BC$6:$BC$10,$BE$6:$BE$10),LOOKUP(Q369,$BB$6:$BB$10,$BE$6:$BE$10)))))))</f>
        <v/>
      </c>
      <c r="S369" s="145">
        <f>IF(H369="",0,(IF(テーブル2[[#This Row],[性別]]="男",LOOKUP(テーブル2[[#This Row],[握力]],$AI$6:$AJ$15),LOOKUP(テーブル2[[#This Row],[握力]],$AI$20:$AJ$29))))</f>
        <v>0</v>
      </c>
      <c r="T369" s="145">
        <f>IF(テーブル2[[#This Row],[上体]]="",0,(IF(テーブル2[[#This Row],[性別]]="男",LOOKUP(テーブル2[[#This Row],[上体]],$AK$6:$AL$15),LOOKUP(テーブル2[[#This Row],[上体]],$AK$20:$AL$29))))</f>
        <v>0</v>
      </c>
      <c r="U369" s="145">
        <f>IF(テーブル2[[#This Row],[長座]]="",0,(IF(テーブル2[[#This Row],[性別]]="男",LOOKUP(テーブル2[[#This Row],[長座]],$AM$6:$AN$15),LOOKUP(テーブル2[[#This Row],[長座]],$AM$20:$AN$29))))</f>
        <v>0</v>
      </c>
      <c r="V369" s="145">
        <f>IF(テーブル2[[#This Row],[反復]]="",0,(IF(テーブル2[[#This Row],[性別]]="男",LOOKUP(テーブル2[[#This Row],[反復]],$AO$6:$AP$15),LOOKUP(テーブル2[[#This Row],[反復]],$AO$20:$AP$29))))</f>
        <v>0</v>
      </c>
      <c r="W369" s="145">
        <f>IF(テーブル2[[#This Row],[持久走]]="",0,(IF(テーブル2[[#This Row],[性別]]="男",LOOKUP(テーブル2[[#This Row],[持久走]],$AQ$6:$AR$15),LOOKUP(テーブル2[[#This Row],[持久走]],$AQ$20:$AR$29))))</f>
        <v>0</v>
      </c>
      <c r="X369" s="145">
        <f>IF(テーブル2[[#This Row],[ｼｬﾄﾙﾗﾝ]]="",0,(IF(テーブル2[[#This Row],[性別]]="男",LOOKUP(テーブル2[[#This Row],[ｼｬﾄﾙﾗﾝ]],$AS$6:$AT$15),LOOKUP(テーブル2[[#This Row],[ｼｬﾄﾙﾗﾝ]],$AS$20:$AT$29))))</f>
        <v>0</v>
      </c>
      <c r="Y369" s="145">
        <f>IF(テーブル2[[#This Row],[50m走]]="",0,(IF(テーブル2[[#This Row],[性別]]="男",LOOKUP(テーブル2[[#This Row],[50m走]],$AU$6:$AV$15),LOOKUP(テーブル2[[#This Row],[50m走]],$AU$20:$AV$29))))</f>
        <v>0</v>
      </c>
      <c r="Z369" s="145">
        <f>IF(テーブル2[[#This Row],[立幅とび]]="",0,(IF(テーブル2[[#This Row],[性別]]="男",LOOKUP(テーブル2[[#This Row],[立幅とび]],$AW$6:$AX$15),LOOKUP(テーブル2[[#This Row],[立幅とび]],$AW$20:$AX$29))))</f>
        <v>0</v>
      </c>
      <c r="AA369" s="145">
        <f>IF(テーブル2[[#This Row],[ボール投げ]]="",0,(IF(テーブル2[[#This Row],[性別]]="男",LOOKUP(テーブル2[[#This Row],[ボール投げ]],$AY$6:$AZ$15),LOOKUP(テーブル2[[#This Row],[ボール投げ]],$AY$20:$AZ$29))))</f>
        <v>0</v>
      </c>
      <c r="AB369" s="146" t="str">
        <f>IF(テーブル2[[#This Row],[学年]]=1,12,IF(テーブル2[[#This Row],[学年]]=2,13,IF(テーブル2[[#This Row],[学年]]=3,14,"")))</f>
        <v/>
      </c>
      <c r="AC369" s="192" t="str">
        <f>IF(テーブル2[[#This Row],[肥満度数値]]=0,"",LOOKUP(AE369,$AW$39:$AW$44,$AX$39:$AX$44))</f>
        <v/>
      </c>
      <c r="AD36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69" s="77">
        <f>IF(テーブル2[[#This Row],[体重]]="",0,(テーブル2[[#This Row],[体重]]-テーブル2[[#This Row],[標準体重]])/テーブル2[[#This Row],[標準体重]]*100)</f>
        <v>0</v>
      </c>
      <c r="AF369" s="26">
        <f>COUNTA(テーブル2[[#This Row],[握力]:[ボール投げ]])</f>
        <v>0</v>
      </c>
      <c r="AG369" s="1" t="str">
        <f>IF(テーブル2[[#This Row],[判定]]=$BE$10,"○","")</f>
        <v/>
      </c>
      <c r="AH369" s="1" t="str">
        <f>IF(AG369="","",COUNTIF($AG$6:AG369,"○"))</f>
        <v/>
      </c>
    </row>
    <row r="370" spans="1:34" ht="14.25" customHeight="1" x14ac:dyDescent="0.15">
      <c r="A370" s="44">
        <v>365</v>
      </c>
      <c r="B370" s="148"/>
      <c r="C370" s="151"/>
      <c r="D370" s="148"/>
      <c r="E370" s="152"/>
      <c r="F370" s="148"/>
      <c r="G370" s="148"/>
      <c r="H370" s="150"/>
      <c r="I370" s="150"/>
      <c r="J370" s="151"/>
      <c r="K370" s="148"/>
      <c r="L370" s="196"/>
      <c r="M370" s="151"/>
      <c r="N370" s="197"/>
      <c r="O370" s="151"/>
      <c r="P370" s="153"/>
      <c r="Q37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0" s="144" t="str">
        <f>IF(テーブル2[[#This Row],[得点]]=0,"",IF(テーブル2[[#This Row],[年齢]]=17,LOOKUP(Q370,$BH$6:$BH$10,$BE$6:$BE$10),IF(テーブル2[[#This Row],[年齢]]=16,LOOKUP(Q370,$BG$6:$BG$10,$BE$6:$BE$10),IF(テーブル2[[#This Row],[年齢]]=15,LOOKUP(Q370,$BF$6:$BF$10,$BE$6:$BE$10),IF(テーブル2[[#This Row],[年齢]]=14,LOOKUP(Q370,$BD$6:$BD$10,$BE$6:$BE$10),IF(テーブル2[[#This Row],[年齢]]=13,LOOKUP(Q370,$BC$6:$BC$10,$BE$6:$BE$10),LOOKUP(Q370,$BB$6:$BB$10,$BE$6:$BE$10)))))))</f>
        <v/>
      </c>
      <c r="S370" s="145">
        <f>IF(H370="",0,(IF(テーブル2[[#This Row],[性別]]="男",LOOKUP(テーブル2[[#This Row],[握力]],$AI$6:$AJ$15),LOOKUP(テーブル2[[#This Row],[握力]],$AI$20:$AJ$29))))</f>
        <v>0</v>
      </c>
      <c r="T370" s="145">
        <f>IF(テーブル2[[#This Row],[上体]]="",0,(IF(テーブル2[[#This Row],[性別]]="男",LOOKUP(テーブル2[[#This Row],[上体]],$AK$6:$AL$15),LOOKUP(テーブル2[[#This Row],[上体]],$AK$20:$AL$29))))</f>
        <v>0</v>
      </c>
      <c r="U370" s="145">
        <f>IF(テーブル2[[#This Row],[長座]]="",0,(IF(テーブル2[[#This Row],[性別]]="男",LOOKUP(テーブル2[[#This Row],[長座]],$AM$6:$AN$15),LOOKUP(テーブル2[[#This Row],[長座]],$AM$20:$AN$29))))</f>
        <v>0</v>
      </c>
      <c r="V370" s="145">
        <f>IF(テーブル2[[#This Row],[反復]]="",0,(IF(テーブル2[[#This Row],[性別]]="男",LOOKUP(テーブル2[[#This Row],[反復]],$AO$6:$AP$15),LOOKUP(テーブル2[[#This Row],[反復]],$AO$20:$AP$29))))</f>
        <v>0</v>
      </c>
      <c r="W370" s="145">
        <f>IF(テーブル2[[#This Row],[持久走]]="",0,(IF(テーブル2[[#This Row],[性別]]="男",LOOKUP(テーブル2[[#This Row],[持久走]],$AQ$6:$AR$15),LOOKUP(テーブル2[[#This Row],[持久走]],$AQ$20:$AR$29))))</f>
        <v>0</v>
      </c>
      <c r="X370" s="145">
        <f>IF(テーブル2[[#This Row],[ｼｬﾄﾙﾗﾝ]]="",0,(IF(テーブル2[[#This Row],[性別]]="男",LOOKUP(テーブル2[[#This Row],[ｼｬﾄﾙﾗﾝ]],$AS$6:$AT$15),LOOKUP(テーブル2[[#This Row],[ｼｬﾄﾙﾗﾝ]],$AS$20:$AT$29))))</f>
        <v>0</v>
      </c>
      <c r="Y370" s="145">
        <f>IF(テーブル2[[#This Row],[50m走]]="",0,(IF(テーブル2[[#This Row],[性別]]="男",LOOKUP(テーブル2[[#This Row],[50m走]],$AU$6:$AV$15),LOOKUP(テーブル2[[#This Row],[50m走]],$AU$20:$AV$29))))</f>
        <v>0</v>
      </c>
      <c r="Z370" s="145">
        <f>IF(テーブル2[[#This Row],[立幅とび]]="",0,(IF(テーブル2[[#This Row],[性別]]="男",LOOKUP(テーブル2[[#This Row],[立幅とび]],$AW$6:$AX$15),LOOKUP(テーブル2[[#This Row],[立幅とび]],$AW$20:$AX$29))))</f>
        <v>0</v>
      </c>
      <c r="AA370" s="145">
        <f>IF(テーブル2[[#This Row],[ボール投げ]]="",0,(IF(テーブル2[[#This Row],[性別]]="男",LOOKUP(テーブル2[[#This Row],[ボール投げ]],$AY$6:$AZ$15),LOOKUP(テーブル2[[#This Row],[ボール投げ]],$AY$20:$AZ$29))))</f>
        <v>0</v>
      </c>
      <c r="AB370" s="146" t="str">
        <f>IF(テーブル2[[#This Row],[学年]]=1,12,IF(テーブル2[[#This Row],[学年]]=2,13,IF(テーブル2[[#This Row],[学年]]=3,14,"")))</f>
        <v/>
      </c>
      <c r="AC370" s="192" t="str">
        <f>IF(テーブル2[[#This Row],[肥満度数値]]=0,"",LOOKUP(AE370,$AW$39:$AW$44,$AX$39:$AX$44))</f>
        <v/>
      </c>
      <c r="AD37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0" s="77">
        <f>IF(テーブル2[[#This Row],[体重]]="",0,(テーブル2[[#This Row],[体重]]-テーブル2[[#This Row],[標準体重]])/テーブル2[[#This Row],[標準体重]]*100)</f>
        <v>0</v>
      </c>
      <c r="AF370" s="26">
        <f>COUNTA(テーブル2[[#This Row],[握力]:[ボール投げ]])</f>
        <v>0</v>
      </c>
      <c r="AG370" s="1" t="str">
        <f>IF(テーブル2[[#This Row],[判定]]=$BE$10,"○","")</f>
        <v/>
      </c>
      <c r="AH370" s="1" t="str">
        <f>IF(AG370="","",COUNTIF($AG$6:AG370,"○"))</f>
        <v/>
      </c>
    </row>
    <row r="371" spans="1:34" ht="14.25" customHeight="1" x14ac:dyDescent="0.15">
      <c r="A371" s="44">
        <v>366</v>
      </c>
      <c r="B371" s="148"/>
      <c r="C371" s="151"/>
      <c r="D371" s="148"/>
      <c r="E371" s="152"/>
      <c r="F371" s="148"/>
      <c r="G371" s="148"/>
      <c r="H371" s="150"/>
      <c r="I371" s="150"/>
      <c r="J371" s="151"/>
      <c r="K371" s="148"/>
      <c r="L371" s="196"/>
      <c r="M371" s="151"/>
      <c r="N371" s="197"/>
      <c r="O371" s="151"/>
      <c r="P371" s="153"/>
      <c r="Q37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1" s="144" t="str">
        <f>IF(テーブル2[[#This Row],[得点]]=0,"",IF(テーブル2[[#This Row],[年齢]]=17,LOOKUP(Q371,$BH$6:$BH$10,$BE$6:$BE$10),IF(テーブル2[[#This Row],[年齢]]=16,LOOKUP(Q371,$BG$6:$BG$10,$BE$6:$BE$10),IF(テーブル2[[#This Row],[年齢]]=15,LOOKUP(Q371,$BF$6:$BF$10,$BE$6:$BE$10),IF(テーブル2[[#This Row],[年齢]]=14,LOOKUP(Q371,$BD$6:$BD$10,$BE$6:$BE$10),IF(テーブル2[[#This Row],[年齢]]=13,LOOKUP(Q371,$BC$6:$BC$10,$BE$6:$BE$10),LOOKUP(Q371,$BB$6:$BB$10,$BE$6:$BE$10)))))))</f>
        <v/>
      </c>
      <c r="S371" s="145">
        <f>IF(H371="",0,(IF(テーブル2[[#This Row],[性別]]="男",LOOKUP(テーブル2[[#This Row],[握力]],$AI$6:$AJ$15),LOOKUP(テーブル2[[#This Row],[握力]],$AI$20:$AJ$29))))</f>
        <v>0</v>
      </c>
      <c r="T371" s="145">
        <f>IF(テーブル2[[#This Row],[上体]]="",0,(IF(テーブル2[[#This Row],[性別]]="男",LOOKUP(テーブル2[[#This Row],[上体]],$AK$6:$AL$15),LOOKUP(テーブル2[[#This Row],[上体]],$AK$20:$AL$29))))</f>
        <v>0</v>
      </c>
      <c r="U371" s="145">
        <f>IF(テーブル2[[#This Row],[長座]]="",0,(IF(テーブル2[[#This Row],[性別]]="男",LOOKUP(テーブル2[[#This Row],[長座]],$AM$6:$AN$15),LOOKUP(テーブル2[[#This Row],[長座]],$AM$20:$AN$29))))</f>
        <v>0</v>
      </c>
      <c r="V371" s="145">
        <f>IF(テーブル2[[#This Row],[反復]]="",0,(IF(テーブル2[[#This Row],[性別]]="男",LOOKUP(テーブル2[[#This Row],[反復]],$AO$6:$AP$15),LOOKUP(テーブル2[[#This Row],[反復]],$AO$20:$AP$29))))</f>
        <v>0</v>
      </c>
      <c r="W371" s="145">
        <f>IF(テーブル2[[#This Row],[持久走]]="",0,(IF(テーブル2[[#This Row],[性別]]="男",LOOKUP(テーブル2[[#This Row],[持久走]],$AQ$6:$AR$15),LOOKUP(テーブル2[[#This Row],[持久走]],$AQ$20:$AR$29))))</f>
        <v>0</v>
      </c>
      <c r="X371" s="145">
        <f>IF(テーブル2[[#This Row],[ｼｬﾄﾙﾗﾝ]]="",0,(IF(テーブル2[[#This Row],[性別]]="男",LOOKUP(テーブル2[[#This Row],[ｼｬﾄﾙﾗﾝ]],$AS$6:$AT$15),LOOKUP(テーブル2[[#This Row],[ｼｬﾄﾙﾗﾝ]],$AS$20:$AT$29))))</f>
        <v>0</v>
      </c>
      <c r="Y371" s="145">
        <f>IF(テーブル2[[#This Row],[50m走]]="",0,(IF(テーブル2[[#This Row],[性別]]="男",LOOKUP(テーブル2[[#This Row],[50m走]],$AU$6:$AV$15),LOOKUP(テーブル2[[#This Row],[50m走]],$AU$20:$AV$29))))</f>
        <v>0</v>
      </c>
      <c r="Z371" s="145">
        <f>IF(テーブル2[[#This Row],[立幅とび]]="",0,(IF(テーブル2[[#This Row],[性別]]="男",LOOKUP(テーブル2[[#This Row],[立幅とび]],$AW$6:$AX$15),LOOKUP(テーブル2[[#This Row],[立幅とび]],$AW$20:$AX$29))))</f>
        <v>0</v>
      </c>
      <c r="AA371" s="145">
        <f>IF(テーブル2[[#This Row],[ボール投げ]]="",0,(IF(テーブル2[[#This Row],[性別]]="男",LOOKUP(テーブル2[[#This Row],[ボール投げ]],$AY$6:$AZ$15),LOOKUP(テーブル2[[#This Row],[ボール投げ]],$AY$20:$AZ$29))))</f>
        <v>0</v>
      </c>
      <c r="AB371" s="146" t="str">
        <f>IF(テーブル2[[#This Row],[学年]]=1,12,IF(テーブル2[[#This Row],[学年]]=2,13,IF(テーブル2[[#This Row],[学年]]=3,14,"")))</f>
        <v/>
      </c>
      <c r="AC371" s="192" t="str">
        <f>IF(テーブル2[[#This Row],[肥満度数値]]=0,"",LOOKUP(AE371,$AW$39:$AW$44,$AX$39:$AX$44))</f>
        <v/>
      </c>
      <c r="AD37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1" s="77">
        <f>IF(テーブル2[[#This Row],[体重]]="",0,(テーブル2[[#This Row],[体重]]-テーブル2[[#This Row],[標準体重]])/テーブル2[[#This Row],[標準体重]]*100)</f>
        <v>0</v>
      </c>
      <c r="AF371" s="26">
        <f>COUNTA(テーブル2[[#This Row],[握力]:[ボール投げ]])</f>
        <v>0</v>
      </c>
      <c r="AG371" s="1" t="str">
        <f>IF(テーブル2[[#This Row],[判定]]=$BE$10,"○","")</f>
        <v/>
      </c>
      <c r="AH371" s="1" t="str">
        <f>IF(AG371="","",COUNTIF($AG$6:AG371,"○"))</f>
        <v/>
      </c>
    </row>
    <row r="372" spans="1:34" ht="14.25" customHeight="1" x14ac:dyDescent="0.15">
      <c r="A372" s="44">
        <v>367</v>
      </c>
      <c r="B372" s="148"/>
      <c r="C372" s="151"/>
      <c r="D372" s="148"/>
      <c r="E372" s="152"/>
      <c r="F372" s="148"/>
      <c r="G372" s="148"/>
      <c r="H372" s="150"/>
      <c r="I372" s="150"/>
      <c r="J372" s="151"/>
      <c r="K372" s="148"/>
      <c r="L372" s="196"/>
      <c r="M372" s="151"/>
      <c r="N372" s="197"/>
      <c r="O372" s="151"/>
      <c r="P372" s="153"/>
      <c r="Q37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2" s="144" t="str">
        <f>IF(テーブル2[[#This Row],[得点]]=0,"",IF(テーブル2[[#This Row],[年齢]]=17,LOOKUP(Q372,$BH$6:$BH$10,$BE$6:$BE$10),IF(テーブル2[[#This Row],[年齢]]=16,LOOKUP(Q372,$BG$6:$BG$10,$BE$6:$BE$10),IF(テーブル2[[#This Row],[年齢]]=15,LOOKUP(Q372,$BF$6:$BF$10,$BE$6:$BE$10),IF(テーブル2[[#This Row],[年齢]]=14,LOOKUP(Q372,$BD$6:$BD$10,$BE$6:$BE$10),IF(テーブル2[[#This Row],[年齢]]=13,LOOKUP(Q372,$BC$6:$BC$10,$BE$6:$BE$10),LOOKUP(Q372,$BB$6:$BB$10,$BE$6:$BE$10)))))))</f>
        <v/>
      </c>
      <c r="S372" s="145">
        <f>IF(H372="",0,(IF(テーブル2[[#This Row],[性別]]="男",LOOKUP(テーブル2[[#This Row],[握力]],$AI$6:$AJ$15),LOOKUP(テーブル2[[#This Row],[握力]],$AI$20:$AJ$29))))</f>
        <v>0</v>
      </c>
      <c r="T372" s="145">
        <f>IF(テーブル2[[#This Row],[上体]]="",0,(IF(テーブル2[[#This Row],[性別]]="男",LOOKUP(テーブル2[[#This Row],[上体]],$AK$6:$AL$15),LOOKUP(テーブル2[[#This Row],[上体]],$AK$20:$AL$29))))</f>
        <v>0</v>
      </c>
      <c r="U372" s="145">
        <f>IF(テーブル2[[#This Row],[長座]]="",0,(IF(テーブル2[[#This Row],[性別]]="男",LOOKUP(テーブル2[[#This Row],[長座]],$AM$6:$AN$15),LOOKUP(テーブル2[[#This Row],[長座]],$AM$20:$AN$29))))</f>
        <v>0</v>
      </c>
      <c r="V372" s="145">
        <f>IF(テーブル2[[#This Row],[反復]]="",0,(IF(テーブル2[[#This Row],[性別]]="男",LOOKUP(テーブル2[[#This Row],[反復]],$AO$6:$AP$15),LOOKUP(テーブル2[[#This Row],[反復]],$AO$20:$AP$29))))</f>
        <v>0</v>
      </c>
      <c r="W372" s="145">
        <f>IF(テーブル2[[#This Row],[持久走]]="",0,(IF(テーブル2[[#This Row],[性別]]="男",LOOKUP(テーブル2[[#This Row],[持久走]],$AQ$6:$AR$15),LOOKUP(テーブル2[[#This Row],[持久走]],$AQ$20:$AR$29))))</f>
        <v>0</v>
      </c>
      <c r="X372" s="145">
        <f>IF(テーブル2[[#This Row],[ｼｬﾄﾙﾗﾝ]]="",0,(IF(テーブル2[[#This Row],[性別]]="男",LOOKUP(テーブル2[[#This Row],[ｼｬﾄﾙﾗﾝ]],$AS$6:$AT$15),LOOKUP(テーブル2[[#This Row],[ｼｬﾄﾙﾗﾝ]],$AS$20:$AT$29))))</f>
        <v>0</v>
      </c>
      <c r="Y372" s="145">
        <f>IF(テーブル2[[#This Row],[50m走]]="",0,(IF(テーブル2[[#This Row],[性別]]="男",LOOKUP(テーブル2[[#This Row],[50m走]],$AU$6:$AV$15),LOOKUP(テーブル2[[#This Row],[50m走]],$AU$20:$AV$29))))</f>
        <v>0</v>
      </c>
      <c r="Z372" s="145">
        <f>IF(テーブル2[[#This Row],[立幅とび]]="",0,(IF(テーブル2[[#This Row],[性別]]="男",LOOKUP(テーブル2[[#This Row],[立幅とび]],$AW$6:$AX$15),LOOKUP(テーブル2[[#This Row],[立幅とび]],$AW$20:$AX$29))))</f>
        <v>0</v>
      </c>
      <c r="AA372" s="145">
        <f>IF(テーブル2[[#This Row],[ボール投げ]]="",0,(IF(テーブル2[[#This Row],[性別]]="男",LOOKUP(テーブル2[[#This Row],[ボール投げ]],$AY$6:$AZ$15),LOOKUP(テーブル2[[#This Row],[ボール投げ]],$AY$20:$AZ$29))))</f>
        <v>0</v>
      </c>
      <c r="AB372" s="146" t="str">
        <f>IF(テーブル2[[#This Row],[学年]]=1,12,IF(テーブル2[[#This Row],[学年]]=2,13,IF(テーブル2[[#This Row],[学年]]=3,14,"")))</f>
        <v/>
      </c>
      <c r="AC372" s="192" t="str">
        <f>IF(テーブル2[[#This Row],[肥満度数値]]=0,"",LOOKUP(AE372,$AW$39:$AW$44,$AX$39:$AX$44))</f>
        <v/>
      </c>
      <c r="AD37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2" s="77">
        <f>IF(テーブル2[[#This Row],[体重]]="",0,(テーブル2[[#This Row],[体重]]-テーブル2[[#This Row],[標準体重]])/テーブル2[[#This Row],[標準体重]]*100)</f>
        <v>0</v>
      </c>
      <c r="AF372" s="26">
        <f>COUNTA(テーブル2[[#This Row],[握力]:[ボール投げ]])</f>
        <v>0</v>
      </c>
      <c r="AG372" s="1" t="str">
        <f>IF(テーブル2[[#This Row],[判定]]=$BE$10,"○","")</f>
        <v/>
      </c>
      <c r="AH372" s="1" t="str">
        <f>IF(AG372="","",COUNTIF($AG$6:AG372,"○"))</f>
        <v/>
      </c>
    </row>
    <row r="373" spans="1:34" ht="14.25" customHeight="1" x14ac:dyDescent="0.15">
      <c r="A373" s="44">
        <v>368</v>
      </c>
      <c r="B373" s="148"/>
      <c r="C373" s="151"/>
      <c r="D373" s="148"/>
      <c r="E373" s="152"/>
      <c r="F373" s="148"/>
      <c r="G373" s="148"/>
      <c r="H373" s="150"/>
      <c r="I373" s="150"/>
      <c r="J373" s="151"/>
      <c r="K373" s="148"/>
      <c r="L373" s="196"/>
      <c r="M373" s="151"/>
      <c r="N373" s="197"/>
      <c r="O373" s="151"/>
      <c r="P373" s="153"/>
      <c r="Q37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3" s="144" t="str">
        <f>IF(テーブル2[[#This Row],[得点]]=0,"",IF(テーブル2[[#This Row],[年齢]]=17,LOOKUP(Q373,$BH$6:$BH$10,$BE$6:$BE$10),IF(テーブル2[[#This Row],[年齢]]=16,LOOKUP(Q373,$BG$6:$BG$10,$BE$6:$BE$10),IF(テーブル2[[#This Row],[年齢]]=15,LOOKUP(Q373,$BF$6:$BF$10,$BE$6:$BE$10),IF(テーブル2[[#This Row],[年齢]]=14,LOOKUP(Q373,$BD$6:$BD$10,$BE$6:$BE$10),IF(テーブル2[[#This Row],[年齢]]=13,LOOKUP(Q373,$BC$6:$BC$10,$BE$6:$BE$10),LOOKUP(Q373,$BB$6:$BB$10,$BE$6:$BE$10)))))))</f>
        <v/>
      </c>
      <c r="S373" s="145">
        <f>IF(H373="",0,(IF(テーブル2[[#This Row],[性別]]="男",LOOKUP(テーブル2[[#This Row],[握力]],$AI$6:$AJ$15),LOOKUP(テーブル2[[#This Row],[握力]],$AI$20:$AJ$29))))</f>
        <v>0</v>
      </c>
      <c r="T373" s="145">
        <f>IF(テーブル2[[#This Row],[上体]]="",0,(IF(テーブル2[[#This Row],[性別]]="男",LOOKUP(テーブル2[[#This Row],[上体]],$AK$6:$AL$15),LOOKUP(テーブル2[[#This Row],[上体]],$AK$20:$AL$29))))</f>
        <v>0</v>
      </c>
      <c r="U373" s="145">
        <f>IF(テーブル2[[#This Row],[長座]]="",0,(IF(テーブル2[[#This Row],[性別]]="男",LOOKUP(テーブル2[[#This Row],[長座]],$AM$6:$AN$15),LOOKUP(テーブル2[[#This Row],[長座]],$AM$20:$AN$29))))</f>
        <v>0</v>
      </c>
      <c r="V373" s="145">
        <f>IF(テーブル2[[#This Row],[反復]]="",0,(IF(テーブル2[[#This Row],[性別]]="男",LOOKUP(テーブル2[[#This Row],[反復]],$AO$6:$AP$15),LOOKUP(テーブル2[[#This Row],[反復]],$AO$20:$AP$29))))</f>
        <v>0</v>
      </c>
      <c r="W373" s="145">
        <f>IF(テーブル2[[#This Row],[持久走]]="",0,(IF(テーブル2[[#This Row],[性別]]="男",LOOKUP(テーブル2[[#This Row],[持久走]],$AQ$6:$AR$15),LOOKUP(テーブル2[[#This Row],[持久走]],$AQ$20:$AR$29))))</f>
        <v>0</v>
      </c>
      <c r="X373" s="145">
        <f>IF(テーブル2[[#This Row],[ｼｬﾄﾙﾗﾝ]]="",0,(IF(テーブル2[[#This Row],[性別]]="男",LOOKUP(テーブル2[[#This Row],[ｼｬﾄﾙﾗﾝ]],$AS$6:$AT$15),LOOKUP(テーブル2[[#This Row],[ｼｬﾄﾙﾗﾝ]],$AS$20:$AT$29))))</f>
        <v>0</v>
      </c>
      <c r="Y373" s="145">
        <f>IF(テーブル2[[#This Row],[50m走]]="",0,(IF(テーブル2[[#This Row],[性別]]="男",LOOKUP(テーブル2[[#This Row],[50m走]],$AU$6:$AV$15),LOOKUP(テーブル2[[#This Row],[50m走]],$AU$20:$AV$29))))</f>
        <v>0</v>
      </c>
      <c r="Z373" s="145">
        <f>IF(テーブル2[[#This Row],[立幅とび]]="",0,(IF(テーブル2[[#This Row],[性別]]="男",LOOKUP(テーブル2[[#This Row],[立幅とび]],$AW$6:$AX$15),LOOKUP(テーブル2[[#This Row],[立幅とび]],$AW$20:$AX$29))))</f>
        <v>0</v>
      </c>
      <c r="AA373" s="145">
        <f>IF(テーブル2[[#This Row],[ボール投げ]]="",0,(IF(テーブル2[[#This Row],[性別]]="男",LOOKUP(テーブル2[[#This Row],[ボール投げ]],$AY$6:$AZ$15),LOOKUP(テーブル2[[#This Row],[ボール投げ]],$AY$20:$AZ$29))))</f>
        <v>0</v>
      </c>
      <c r="AB373" s="146" t="str">
        <f>IF(テーブル2[[#This Row],[学年]]=1,12,IF(テーブル2[[#This Row],[学年]]=2,13,IF(テーブル2[[#This Row],[学年]]=3,14,"")))</f>
        <v/>
      </c>
      <c r="AC373" s="192" t="str">
        <f>IF(テーブル2[[#This Row],[肥満度数値]]=0,"",LOOKUP(AE373,$AW$39:$AW$44,$AX$39:$AX$44))</f>
        <v/>
      </c>
      <c r="AD37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3" s="77">
        <f>IF(テーブル2[[#This Row],[体重]]="",0,(テーブル2[[#This Row],[体重]]-テーブル2[[#This Row],[標準体重]])/テーブル2[[#This Row],[標準体重]]*100)</f>
        <v>0</v>
      </c>
      <c r="AF373" s="26">
        <f>COUNTA(テーブル2[[#This Row],[握力]:[ボール投げ]])</f>
        <v>0</v>
      </c>
      <c r="AG373" s="1" t="str">
        <f>IF(テーブル2[[#This Row],[判定]]=$BE$10,"○","")</f>
        <v/>
      </c>
      <c r="AH373" s="1" t="str">
        <f>IF(AG373="","",COUNTIF($AG$6:AG373,"○"))</f>
        <v/>
      </c>
    </row>
    <row r="374" spans="1:34" ht="14.25" customHeight="1" x14ac:dyDescent="0.15">
      <c r="A374" s="44">
        <v>369</v>
      </c>
      <c r="B374" s="148"/>
      <c r="C374" s="151"/>
      <c r="D374" s="148"/>
      <c r="E374" s="152"/>
      <c r="F374" s="148"/>
      <c r="G374" s="148"/>
      <c r="H374" s="150"/>
      <c r="I374" s="150"/>
      <c r="J374" s="151"/>
      <c r="K374" s="148"/>
      <c r="L374" s="196"/>
      <c r="M374" s="151"/>
      <c r="N374" s="197"/>
      <c r="O374" s="151"/>
      <c r="P374" s="153"/>
      <c r="Q37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4" s="144" t="str">
        <f>IF(テーブル2[[#This Row],[得点]]=0,"",IF(テーブル2[[#This Row],[年齢]]=17,LOOKUP(Q374,$BH$6:$BH$10,$BE$6:$BE$10),IF(テーブル2[[#This Row],[年齢]]=16,LOOKUP(Q374,$BG$6:$BG$10,$BE$6:$BE$10),IF(テーブル2[[#This Row],[年齢]]=15,LOOKUP(Q374,$BF$6:$BF$10,$BE$6:$BE$10),IF(テーブル2[[#This Row],[年齢]]=14,LOOKUP(Q374,$BD$6:$BD$10,$BE$6:$BE$10),IF(テーブル2[[#This Row],[年齢]]=13,LOOKUP(Q374,$BC$6:$BC$10,$BE$6:$BE$10),LOOKUP(Q374,$BB$6:$BB$10,$BE$6:$BE$10)))))))</f>
        <v/>
      </c>
      <c r="S374" s="145">
        <f>IF(H374="",0,(IF(テーブル2[[#This Row],[性別]]="男",LOOKUP(テーブル2[[#This Row],[握力]],$AI$6:$AJ$15),LOOKUP(テーブル2[[#This Row],[握力]],$AI$20:$AJ$29))))</f>
        <v>0</v>
      </c>
      <c r="T374" s="145">
        <f>IF(テーブル2[[#This Row],[上体]]="",0,(IF(テーブル2[[#This Row],[性別]]="男",LOOKUP(テーブル2[[#This Row],[上体]],$AK$6:$AL$15),LOOKUP(テーブル2[[#This Row],[上体]],$AK$20:$AL$29))))</f>
        <v>0</v>
      </c>
      <c r="U374" s="145">
        <f>IF(テーブル2[[#This Row],[長座]]="",0,(IF(テーブル2[[#This Row],[性別]]="男",LOOKUP(テーブル2[[#This Row],[長座]],$AM$6:$AN$15),LOOKUP(テーブル2[[#This Row],[長座]],$AM$20:$AN$29))))</f>
        <v>0</v>
      </c>
      <c r="V374" s="145">
        <f>IF(テーブル2[[#This Row],[反復]]="",0,(IF(テーブル2[[#This Row],[性別]]="男",LOOKUP(テーブル2[[#This Row],[反復]],$AO$6:$AP$15),LOOKUP(テーブル2[[#This Row],[反復]],$AO$20:$AP$29))))</f>
        <v>0</v>
      </c>
      <c r="W374" s="145">
        <f>IF(テーブル2[[#This Row],[持久走]]="",0,(IF(テーブル2[[#This Row],[性別]]="男",LOOKUP(テーブル2[[#This Row],[持久走]],$AQ$6:$AR$15),LOOKUP(テーブル2[[#This Row],[持久走]],$AQ$20:$AR$29))))</f>
        <v>0</v>
      </c>
      <c r="X374" s="145">
        <f>IF(テーブル2[[#This Row],[ｼｬﾄﾙﾗﾝ]]="",0,(IF(テーブル2[[#This Row],[性別]]="男",LOOKUP(テーブル2[[#This Row],[ｼｬﾄﾙﾗﾝ]],$AS$6:$AT$15),LOOKUP(テーブル2[[#This Row],[ｼｬﾄﾙﾗﾝ]],$AS$20:$AT$29))))</f>
        <v>0</v>
      </c>
      <c r="Y374" s="145">
        <f>IF(テーブル2[[#This Row],[50m走]]="",0,(IF(テーブル2[[#This Row],[性別]]="男",LOOKUP(テーブル2[[#This Row],[50m走]],$AU$6:$AV$15),LOOKUP(テーブル2[[#This Row],[50m走]],$AU$20:$AV$29))))</f>
        <v>0</v>
      </c>
      <c r="Z374" s="145">
        <f>IF(テーブル2[[#This Row],[立幅とび]]="",0,(IF(テーブル2[[#This Row],[性別]]="男",LOOKUP(テーブル2[[#This Row],[立幅とび]],$AW$6:$AX$15),LOOKUP(テーブル2[[#This Row],[立幅とび]],$AW$20:$AX$29))))</f>
        <v>0</v>
      </c>
      <c r="AA374" s="145">
        <f>IF(テーブル2[[#This Row],[ボール投げ]]="",0,(IF(テーブル2[[#This Row],[性別]]="男",LOOKUP(テーブル2[[#This Row],[ボール投げ]],$AY$6:$AZ$15),LOOKUP(テーブル2[[#This Row],[ボール投げ]],$AY$20:$AZ$29))))</f>
        <v>0</v>
      </c>
      <c r="AB374" s="146" t="str">
        <f>IF(テーブル2[[#This Row],[学年]]=1,12,IF(テーブル2[[#This Row],[学年]]=2,13,IF(テーブル2[[#This Row],[学年]]=3,14,"")))</f>
        <v/>
      </c>
      <c r="AC374" s="192" t="str">
        <f>IF(テーブル2[[#This Row],[肥満度数値]]=0,"",LOOKUP(AE374,$AW$39:$AW$44,$AX$39:$AX$44))</f>
        <v/>
      </c>
      <c r="AD37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4" s="77">
        <f>IF(テーブル2[[#This Row],[体重]]="",0,(テーブル2[[#This Row],[体重]]-テーブル2[[#This Row],[標準体重]])/テーブル2[[#This Row],[標準体重]]*100)</f>
        <v>0</v>
      </c>
      <c r="AF374" s="26">
        <f>COUNTA(テーブル2[[#This Row],[握力]:[ボール投げ]])</f>
        <v>0</v>
      </c>
      <c r="AG374" s="1" t="str">
        <f>IF(テーブル2[[#This Row],[判定]]=$BE$10,"○","")</f>
        <v/>
      </c>
      <c r="AH374" s="1" t="str">
        <f>IF(AG374="","",COUNTIF($AG$6:AG374,"○"))</f>
        <v/>
      </c>
    </row>
    <row r="375" spans="1:34" ht="14.25" customHeight="1" x14ac:dyDescent="0.15">
      <c r="A375" s="44">
        <v>370</v>
      </c>
      <c r="B375" s="148"/>
      <c r="C375" s="151"/>
      <c r="D375" s="148"/>
      <c r="E375" s="152"/>
      <c r="F375" s="148"/>
      <c r="G375" s="148"/>
      <c r="H375" s="150"/>
      <c r="I375" s="150"/>
      <c r="J375" s="151"/>
      <c r="K375" s="148"/>
      <c r="L375" s="196"/>
      <c r="M375" s="151"/>
      <c r="N375" s="197"/>
      <c r="O375" s="151"/>
      <c r="P375" s="153"/>
      <c r="Q37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5" s="144" t="str">
        <f>IF(テーブル2[[#This Row],[得点]]=0,"",IF(テーブル2[[#This Row],[年齢]]=17,LOOKUP(Q375,$BH$6:$BH$10,$BE$6:$BE$10),IF(テーブル2[[#This Row],[年齢]]=16,LOOKUP(Q375,$BG$6:$BG$10,$BE$6:$BE$10),IF(テーブル2[[#This Row],[年齢]]=15,LOOKUP(Q375,$BF$6:$BF$10,$BE$6:$BE$10),IF(テーブル2[[#This Row],[年齢]]=14,LOOKUP(Q375,$BD$6:$BD$10,$BE$6:$BE$10),IF(テーブル2[[#This Row],[年齢]]=13,LOOKUP(Q375,$BC$6:$BC$10,$BE$6:$BE$10),LOOKUP(Q375,$BB$6:$BB$10,$BE$6:$BE$10)))))))</f>
        <v/>
      </c>
      <c r="S375" s="145">
        <f>IF(H375="",0,(IF(テーブル2[[#This Row],[性別]]="男",LOOKUP(テーブル2[[#This Row],[握力]],$AI$6:$AJ$15),LOOKUP(テーブル2[[#This Row],[握力]],$AI$20:$AJ$29))))</f>
        <v>0</v>
      </c>
      <c r="T375" s="145">
        <f>IF(テーブル2[[#This Row],[上体]]="",0,(IF(テーブル2[[#This Row],[性別]]="男",LOOKUP(テーブル2[[#This Row],[上体]],$AK$6:$AL$15),LOOKUP(テーブル2[[#This Row],[上体]],$AK$20:$AL$29))))</f>
        <v>0</v>
      </c>
      <c r="U375" s="145">
        <f>IF(テーブル2[[#This Row],[長座]]="",0,(IF(テーブル2[[#This Row],[性別]]="男",LOOKUP(テーブル2[[#This Row],[長座]],$AM$6:$AN$15),LOOKUP(テーブル2[[#This Row],[長座]],$AM$20:$AN$29))))</f>
        <v>0</v>
      </c>
      <c r="V375" s="145">
        <f>IF(テーブル2[[#This Row],[反復]]="",0,(IF(テーブル2[[#This Row],[性別]]="男",LOOKUP(テーブル2[[#This Row],[反復]],$AO$6:$AP$15),LOOKUP(テーブル2[[#This Row],[反復]],$AO$20:$AP$29))))</f>
        <v>0</v>
      </c>
      <c r="W375" s="145">
        <f>IF(テーブル2[[#This Row],[持久走]]="",0,(IF(テーブル2[[#This Row],[性別]]="男",LOOKUP(テーブル2[[#This Row],[持久走]],$AQ$6:$AR$15),LOOKUP(テーブル2[[#This Row],[持久走]],$AQ$20:$AR$29))))</f>
        <v>0</v>
      </c>
      <c r="X375" s="145">
        <f>IF(テーブル2[[#This Row],[ｼｬﾄﾙﾗﾝ]]="",0,(IF(テーブル2[[#This Row],[性別]]="男",LOOKUP(テーブル2[[#This Row],[ｼｬﾄﾙﾗﾝ]],$AS$6:$AT$15),LOOKUP(テーブル2[[#This Row],[ｼｬﾄﾙﾗﾝ]],$AS$20:$AT$29))))</f>
        <v>0</v>
      </c>
      <c r="Y375" s="145">
        <f>IF(テーブル2[[#This Row],[50m走]]="",0,(IF(テーブル2[[#This Row],[性別]]="男",LOOKUP(テーブル2[[#This Row],[50m走]],$AU$6:$AV$15),LOOKUP(テーブル2[[#This Row],[50m走]],$AU$20:$AV$29))))</f>
        <v>0</v>
      </c>
      <c r="Z375" s="145">
        <f>IF(テーブル2[[#This Row],[立幅とび]]="",0,(IF(テーブル2[[#This Row],[性別]]="男",LOOKUP(テーブル2[[#This Row],[立幅とび]],$AW$6:$AX$15),LOOKUP(テーブル2[[#This Row],[立幅とび]],$AW$20:$AX$29))))</f>
        <v>0</v>
      </c>
      <c r="AA375" s="145">
        <f>IF(テーブル2[[#This Row],[ボール投げ]]="",0,(IF(テーブル2[[#This Row],[性別]]="男",LOOKUP(テーブル2[[#This Row],[ボール投げ]],$AY$6:$AZ$15),LOOKUP(テーブル2[[#This Row],[ボール投げ]],$AY$20:$AZ$29))))</f>
        <v>0</v>
      </c>
      <c r="AB375" s="146" t="str">
        <f>IF(テーブル2[[#This Row],[学年]]=1,12,IF(テーブル2[[#This Row],[学年]]=2,13,IF(テーブル2[[#This Row],[学年]]=3,14,"")))</f>
        <v/>
      </c>
      <c r="AC375" s="192" t="str">
        <f>IF(テーブル2[[#This Row],[肥満度数値]]=0,"",LOOKUP(AE375,$AW$39:$AW$44,$AX$39:$AX$44))</f>
        <v/>
      </c>
      <c r="AD37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5" s="77">
        <f>IF(テーブル2[[#This Row],[体重]]="",0,(テーブル2[[#This Row],[体重]]-テーブル2[[#This Row],[標準体重]])/テーブル2[[#This Row],[標準体重]]*100)</f>
        <v>0</v>
      </c>
      <c r="AF375" s="26">
        <f>COUNTA(テーブル2[[#This Row],[握力]:[ボール投げ]])</f>
        <v>0</v>
      </c>
      <c r="AG375" s="1" t="str">
        <f>IF(テーブル2[[#This Row],[判定]]=$BE$10,"○","")</f>
        <v/>
      </c>
      <c r="AH375" s="1" t="str">
        <f>IF(AG375="","",COUNTIF($AG$6:AG375,"○"))</f>
        <v/>
      </c>
    </row>
    <row r="376" spans="1:34" ht="14.25" customHeight="1" x14ac:dyDescent="0.15">
      <c r="A376" s="44">
        <v>371</v>
      </c>
      <c r="B376" s="148"/>
      <c r="C376" s="151"/>
      <c r="D376" s="148"/>
      <c r="E376" s="152"/>
      <c r="F376" s="148"/>
      <c r="G376" s="148"/>
      <c r="H376" s="150"/>
      <c r="I376" s="150"/>
      <c r="J376" s="151"/>
      <c r="K376" s="148"/>
      <c r="L376" s="196"/>
      <c r="M376" s="151"/>
      <c r="N376" s="197"/>
      <c r="O376" s="151"/>
      <c r="P376" s="153"/>
      <c r="Q37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6" s="144" t="str">
        <f>IF(テーブル2[[#This Row],[得点]]=0,"",IF(テーブル2[[#This Row],[年齢]]=17,LOOKUP(Q376,$BH$6:$BH$10,$BE$6:$BE$10),IF(テーブル2[[#This Row],[年齢]]=16,LOOKUP(Q376,$BG$6:$BG$10,$BE$6:$BE$10),IF(テーブル2[[#This Row],[年齢]]=15,LOOKUP(Q376,$BF$6:$BF$10,$BE$6:$BE$10),IF(テーブル2[[#This Row],[年齢]]=14,LOOKUP(Q376,$BD$6:$BD$10,$BE$6:$BE$10),IF(テーブル2[[#This Row],[年齢]]=13,LOOKUP(Q376,$BC$6:$BC$10,$BE$6:$BE$10),LOOKUP(Q376,$BB$6:$BB$10,$BE$6:$BE$10)))))))</f>
        <v/>
      </c>
      <c r="S376" s="145">
        <f>IF(H376="",0,(IF(テーブル2[[#This Row],[性別]]="男",LOOKUP(テーブル2[[#This Row],[握力]],$AI$6:$AJ$15),LOOKUP(テーブル2[[#This Row],[握力]],$AI$20:$AJ$29))))</f>
        <v>0</v>
      </c>
      <c r="T376" s="145">
        <f>IF(テーブル2[[#This Row],[上体]]="",0,(IF(テーブル2[[#This Row],[性別]]="男",LOOKUP(テーブル2[[#This Row],[上体]],$AK$6:$AL$15),LOOKUP(テーブル2[[#This Row],[上体]],$AK$20:$AL$29))))</f>
        <v>0</v>
      </c>
      <c r="U376" s="145">
        <f>IF(テーブル2[[#This Row],[長座]]="",0,(IF(テーブル2[[#This Row],[性別]]="男",LOOKUP(テーブル2[[#This Row],[長座]],$AM$6:$AN$15),LOOKUP(テーブル2[[#This Row],[長座]],$AM$20:$AN$29))))</f>
        <v>0</v>
      </c>
      <c r="V376" s="145">
        <f>IF(テーブル2[[#This Row],[反復]]="",0,(IF(テーブル2[[#This Row],[性別]]="男",LOOKUP(テーブル2[[#This Row],[反復]],$AO$6:$AP$15),LOOKUP(テーブル2[[#This Row],[反復]],$AO$20:$AP$29))))</f>
        <v>0</v>
      </c>
      <c r="W376" s="145">
        <f>IF(テーブル2[[#This Row],[持久走]]="",0,(IF(テーブル2[[#This Row],[性別]]="男",LOOKUP(テーブル2[[#This Row],[持久走]],$AQ$6:$AR$15),LOOKUP(テーブル2[[#This Row],[持久走]],$AQ$20:$AR$29))))</f>
        <v>0</v>
      </c>
      <c r="X376" s="145">
        <f>IF(テーブル2[[#This Row],[ｼｬﾄﾙﾗﾝ]]="",0,(IF(テーブル2[[#This Row],[性別]]="男",LOOKUP(テーブル2[[#This Row],[ｼｬﾄﾙﾗﾝ]],$AS$6:$AT$15),LOOKUP(テーブル2[[#This Row],[ｼｬﾄﾙﾗﾝ]],$AS$20:$AT$29))))</f>
        <v>0</v>
      </c>
      <c r="Y376" s="145">
        <f>IF(テーブル2[[#This Row],[50m走]]="",0,(IF(テーブル2[[#This Row],[性別]]="男",LOOKUP(テーブル2[[#This Row],[50m走]],$AU$6:$AV$15),LOOKUP(テーブル2[[#This Row],[50m走]],$AU$20:$AV$29))))</f>
        <v>0</v>
      </c>
      <c r="Z376" s="145">
        <f>IF(テーブル2[[#This Row],[立幅とび]]="",0,(IF(テーブル2[[#This Row],[性別]]="男",LOOKUP(テーブル2[[#This Row],[立幅とび]],$AW$6:$AX$15),LOOKUP(テーブル2[[#This Row],[立幅とび]],$AW$20:$AX$29))))</f>
        <v>0</v>
      </c>
      <c r="AA376" s="145">
        <f>IF(テーブル2[[#This Row],[ボール投げ]]="",0,(IF(テーブル2[[#This Row],[性別]]="男",LOOKUP(テーブル2[[#This Row],[ボール投げ]],$AY$6:$AZ$15),LOOKUP(テーブル2[[#This Row],[ボール投げ]],$AY$20:$AZ$29))))</f>
        <v>0</v>
      </c>
      <c r="AB376" s="146" t="str">
        <f>IF(テーブル2[[#This Row],[学年]]=1,12,IF(テーブル2[[#This Row],[学年]]=2,13,IF(テーブル2[[#This Row],[学年]]=3,14,"")))</f>
        <v/>
      </c>
      <c r="AC376" s="192" t="str">
        <f>IF(テーブル2[[#This Row],[肥満度数値]]=0,"",LOOKUP(AE376,$AW$39:$AW$44,$AX$39:$AX$44))</f>
        <v/>
      </c>
      <c r="AD37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6" s="77">
        <f>IF(テーブル2[[#This Row],[体重]]="",0,(テーブル2[[#This Row],[体重]]-テーブル2[[#This Row],[標準体重]])/テーブル2[[#This Row],[標準体重]]*100)</f>
        <v>0</v>
      </c>
      <c r="AF376" s="26">
        <f>COUNTA(テーブル2[[#This Row],[握力]:[ボール投げ]])</f>
        <v>0</v>
      </c>
      <c r="AG376" s="1" t="str">
        <f>IF(テーブル2[[#This Row],[判定]]=$BE$10,"○","")</f>
        <v/>
      </c>
      <c r="AH376" s="1" t="str">
        <f>IF(AG376="","",COUNTIF($AG$6:AG376,"○"))</f>
        <v/>
      </c>
    </row>
    <row r="377" spans="1:34" ht="14.25" customHeight="1" x14ac:dyDescent="0.15">
      <c r="A377" s="44">
        <v>372</v>
      </c>
      <c r="B377" s="148"/>
      <c r="C377" s="151"/>
      <c r="D377" s="148"/>
      <c r="E377" s="152"/>
      <c r="F377" s="148"/>
      <c r="G377" s="148"/>
      <c r="H377" s="150"/>
      <c r="I377" s="150"/>
      <c r="J377" s="151"/>
      <c r="K377" s="148"/>
      <c r="L377" s="196"/>
      <c r="M377" s="151"/>
      <c r="N377" s="197"/>
      <c r="O377" s="151"/>
      <c r="P377" s="153"/>
      <c r="Q37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7" s="144" t="str">
        <f>IF(テーブル2[[#This Row],[得点]]=0,"",IF(テーブル2[[#This Row],[年齢]]=17,LOOKUP(Q377,$BH$6:$BH$10,$BE$6:$BE$10),IF(テーブル2[[#This Row],[年齢]]=16,LOOKUP(Q377,$BG$6:$BG$10,$BE$6:$BE$10),IF(テーブル2[[#This Row],[年齢]]=15,LOOKUP(Q377,$BF$6:$BF$10,$BE$6:$BE$10),IF(テーブル2[[#This Row],[年齢]]=14,LOOKUP(Q377,$BD$6:$BD$10,$BE$6:$BE$10),IF(テーブル2[[#This Row],[年齢]]=13,LOOKUP(Q377,$BC$6:$BC$10,$BE$6:$BE$10),LOOKUP(Q377,$BB$6:$BB$10,$BE$6:$BE$10)))))))</f>
        <v/>
      </c>
      <c r="S377" s="145">
        <f>IF(H377="",0,(IF(テーブル2[[#This Row],[性別]]="男",LOOKUP(テーブル2[[#This Row],[握力]],$AI$6:$AJ$15),LOOKUP(テーブル2[[#This Row],[握力]],$AI$20:$AJ$29))))</f>
        <v>0</v>
      </c>
      <c r="T377" s="145">
        <f>IF(テーブル2[[#This Row],[上体]]="",0,(IF(テーブル2[[#This Row],[性別]]="男",LOOKUP(テーブル2[[#This Row],[上体]],$AK$6:$AL$15),LOOKUP(テーブル2[[#This Row],[上体]],$AK$20:$AL$29))))</f>
        <v>0</v>
      </c>
      <c r="U377" s="145">
        <f>IF(テーブル2[[#This Row],[長座]]="",0,(IF(テーブル2[[#This Row],[性別]]="男",LOOKUP(テーブル2[[#This Row],[長座]],$AM$6:$AN$15),LOOKUP(テーブル2[[#This Row],[長座]],$AM$20:$AN$29))))</f>
        <v>0</v>
      </c>
      <c r="V377" s="145">
        <f>IF(テーブル2[[#This Row],[反復]]="",0,(IF(テーブル2[[#This Row],[性別]]="男",LOOKUP(テーブル2[[#This Row],[反復]],$AO$6:$AP$15),LOOKUP(テーブル2[[#This Row],[反復]],$AO$20:$AP$29))))</f>
        <v>0</v>
      </c>
      <c r="W377" s="145">
        <f>IF(テーブル2[[#This Row],[持久走]]="",0,(IF(テーブル2[[#This Row],[性別]]="男",LOOKUP(テーブル2[[#This Row],[持久走]],$AQ$6:$AR$15),LOOKUP(テーブル2[[#This Row],[持久走]],$AQ$20:$AR$29))))</f>
        <v>0</v>
      </c>
      <c r="X377" s="145">
        <f>IF(テーブル2[[#This Row],[ｼｬﾄﾙﾗﾝ]]="",0,(IF(テーブル2[[#This Row],[性別]]="男",LOOKUP(テーブル2[[#This Row],[ｼｬﾄﾙﾗﾝ]],$AS$6:$AT$15),LOOKUP(テーブル2[[#This Row],[ｼｬﾄﾙﾗﾝ]],$AS$20:$AT$29))))</f>
        <v>0</v>
      </c>
      <c r="Y377" s="145">
        <f>IF(テーブル2[[#This Row],[50m走]]="",0,(IF(テーブル2[[#This Row],[性別]]="男",LOOKUP(テーブル2[[#This Row],[50m走]],$AU$6:$AV$15),LOOKUP(テーブル2[[#This Row],[50m走]],$AU$20:$AV$29))))</f>
        <v>0</v>
      </c>
      <c r="Z377" s="145">
        <f>IF(テーブル2[[#This Row],[立幅とび]]="",0,(IF(テーブル2[[#This Row],[性別]]="男",LOOKUP(テーブル2[[#This Row],[立幅とび]],$AW$6:$AX$15),LOOKUP(テーブル2[[#This Row],[立幅とび]],$AW$20:$AX$29))))</f>
        <v>0</v>
      </c>
      <c r="AA377" s="145">
        <f>IF(テーブル2[[#This Row],[ボール投げ]]="",0,(IF(テーブル2[[#This Row],[性別]]="男",LOOKUP(テーブル2[[#This Row],[ボール投げ]],$AY$6:$AZ$15),LOOKUP(テーブル2[[#This Row],[ボール投げ]],$AY$20:$AZ$29))))</f>
        <v>0</v>
      </c>
      <c r="AB377" s="146" t="str">
        <f>IF(テーブル2[[#This Row],[学年]]=1,12,IF(テーブル2[[#This Row],[学年]]=2,13,IF(テーブル2[[#This Row],[学年]]=3,14,"")))</f>
        <v/>
      </c>
      <c r="AC377" s="192" t="str">
        <f>IF(テーブル2[[#This Row],[肥満度数値]]=0,"",LOOKUP(AE377,$AW$39:$AW$44,$AX$39:$AX$44))</f>
        <v/>
      </c>
      <c r="AD37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7" s="77">
        <f>IF(テーブル2[[#This Row],[体重]]="",0,(テーブル2[[#This Row],[体重]]-テーブル2[[#This Row],[標準体重]])/テーブル2[[#This Row],[標準体重]]*100)</f>
        <v>0</v>
      </c>
      <c r="AF377" s="26">
        <f>COUNTA(テーブル2[[#This Row],[握力]:[ボール投げ]])</f>
        <v>0</v>
      </c>
      <c r="AG377" s="1" t="str">
        <f>IF(テーブル2[[#This Row],[判定]]=$BE$10,"○","")</f>
        <v/>
      </c>
      <c r="AH377" s="1" t="str">
        <f>IF(AG377="","",COUNTIF($AG$6:AG377,"○"))</f>
        <v/>
      </c>
    </row>
    <row r="378" spans="1:34" ht="14.25" customHeight="1" x14ac:dyDescent="0.15">
      <c r="A378" s="44">
        <v>373</v>
      </c>
      <c r="B378" s="148"/>
      <c r="C378" s="151"/>
      <c r="D378" s="148"/>
      <c r="E378" s="152"/>
      <c r="F378" s="148"/>
      <c r="G378" s="148"/>
      <c r="H378" s="150"/>
      <c r="I378" s="150"/>
      <c r="J378" s="151"/>
      <c r="K378" s="148"/>
      <c r="L378" s="196"/>
      <c r="M378" s="151"/>
      <c r="N378" s="197"/>
      <c r="O378" s="151"/>
      <c r="P378" s="153"/>
      <c r="Q37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8" s="144" t="str">
        <f>IF(テーブル2[[#This Row],[得点]]=0,"",IF(テーブル2[[#This Row],[年齢]]=17,LOOKUP(Q378,$BH$6:$BH$10,$BE$6:$BE$10),IF(テーブル2[[#This Row],[年齢]]=16,LOOKUP(Q378,$BG$6:$BG$10,$BE$6:$BE$10),IF(テーブル2[[#This Row],[年齢]]=15,LOOKUP(Q378,$BF$6:$BF$10,$BE$6:$BE$10),IF(テーブル2[[#This Row],[年齢]]=14,LOOKUP(Q378,$BD$6:$BD$10,$BE$6:$BE$10),IF(テーブル2[[#This Row],[年齢]]=13,LOOKUP(Q378,$BC$6:$BC$10,$BE$6:$BE$10),LOOKUP(Q378,$BB$6:$BB$10,$BE$6:$BE$10)))))))</f>
        <v/>
      </c>
      <c r="S378" s="145">
        <f>IF(H378="",0,(IF(テーブル2[[#This Row],[性別]]="男",LOOKUP(テーブル2[[#This Row],[握力]],$AI$6:$AJ$15),LOOKUP(テーブル2[[#This Row],[握力]],$AI$20:$AJ$29))))</f>
        <v>0</v>
      </c>
      <c r="T378" s="145">
        <f>IF(テーブル2[[#This Row],[上体]]="",0,(IF(テーブル2[[#This Row],[性別]]="男",LOOKUP(テーブル2[[#This Row],[上体]],$AK$6:$AL$15),LOOKUP(テーブル2[[#This Row],[上体]],$AK$20:$AL$29))))</f>
        <v>0</v>
      </c>
      <c r="U378" s="145">
        <f>IF(テーブル2[[#This Row],[長座]]="",0,(IF(テーブル2[[#This Row],[性別]]="男",LOOKUP(テーブル2[[#This Row],[長座]],$AM$6:$AN$15),LOOKUP(テーブル2[[#This Row],[長座]],$AM$20:$AN$29))))</f>
        <v>0</v>
      </c>
      <c r="V378" s="145">
        <f>IF(テーブル2[[#This Row],[反復]]="",0,(IF(テーブル2[[#This Row],[性別]]="男",LOOKUP(テーブル2[[#This Row],[反復]],$AO$6:$AP$15),LOOKUP(テーブル2[[#This Row],[反復]],$AO$20:$AP$29))))</f>
        <v>0</v>
      </c>
      <c r="W378" s="145">
        <f>IF(テーブル2[[#This Row],[持久走]]="",0,(IF(テーブル2[[#This Row],[性別]]="男",LOOKUP(テーブル2[[#This Row],[持久走]],$AQ$6:$AR$15),LOOKUP(テーブル2[[#This Row],[持久走]],$AQ$20:$AR$29))))</f>
        <v>0</v>
      </c>
      <c r="X378" s="145">
        <f>IF(テーブル2[[#This Row],[ｼｬﾄﾙﾗﾝ]]="",0,(IF(テーブル2[[#This Row],[性別]]="男",LOOKUP(テーブル2[[#This Row],[ｼｬﾄﾙﾗﾝ]],$AS$6:$AT$15),LOOKUP(テーブル2[[#This Row],[ｼｬﾄﾙﾗﾝ]],$AS$20:$AT$29))))</f>
        <v>0</v>
      </c>
      <c r="Y378" s="145">
        <f>IF(テーブル2[[#This Row],[50m走]]="",0,(IF(テーブル2[[#This Row],[性別]]="男",LOOKUP(テーブル2[[#This Row],[50m走]],$AU$6:$AV$15),LOOKUP(テーブル2[[#This Row],[50m走]],$AU$20:$AV$29))))</f>
        <v>0</v>
      </c>
      <c r="Z378" s="145">
        <f>IF(テーブル2[[#This Row],[立幅とび]]="",0,(IF(テーブル2[[#This Row],[性別]]="男",LOOKUP(テーブル2[[#This Row],[立幅とび]],$AW$6:$AX$15),LOOKUP(テーブル2[[#This Row],[立幅とび]],$AW$20:$AX$29))))</f>
        <v>0</v>
      </c>
      <c r="AA378" s="145">
        <f>IF(テーブル2[[#This Row],[ボール投げ]]="",0,(IF(テーブル2[[#This Row],[性別]]="男",LOOKUP(テーブル2[[#This Row],[ボール投げ]],$AY$6:$AZ$15),LOOKUP(テーブル2[[#This Row],[ボール投げ]],$AY$20:$AZ$29))))</f>
        <v>0</v>
      </c>
      <c r="AB378" s="146" t="str">
        <f>IF(テーブル2[[#This Row],[学年]]=1,12,IF(テーブル2[[#This Row],[学年]]=2,13,IF(テーブル2[[#This Row],[学年]]=3,14,"")))</f>
        <v/>
      </c>
      <c r="AC378" s="192" t="str">
        <f>IF(テーブル2[[#This Row],[肥満度数値]]=0,"",LOOKUP(AE378,$AW$39:$AW$44,$AX$39:$AX$44))</f>
        <v/>
      </c>
      <c r="AD37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8" s="77">
        <f>IF(テーブル2[[#This Row],[体重]]="",0,(テーブル2[[#This Row],[体重]]-テーブル2[[#This Row],[標準体重]])/テーブル2[[#This Row],[標準体重]]*100)</f>
        <v>0</v>
      </c>
      <c r="AF378" s="26">
        <f>COUNTA(テーブル2[[#This Row],[握力]:[ボール投げ]])</f>
        <v>0</v>
      </c>
      <c r="AG378" s="1" t="str">
        <f>IF(テーブル2[[#This Row],[判定]]=$BE$10,"○","")</f>
        <v/>
      </c>
      <c r="AH378" s="1" t="str">
        <f>IF(AG378="","",COUNTIF($AG$6:AG378,"○"))</f>
        <v/>
      </c>
    </row>
    <row r="379" spans="1:34" ht="14.25" customHeight="1" x14ac:dyDescent="0.15">
      <c r="A379" s="44">
        <v>374</v>
      </c>
      <c r="B379" s="148"/>
      <c r="C379" s="151"/>
      <c r="D379" s="148"/>
      <c r="E379" s="152"/>
      <c r="F379" s="148"/>
      <c r="G379" s="148"/>
      <c r="H379" s="150"/>
      <c r="I379" s="150"/>
      <c r="J379" s="151"/>
      <c r="K379" s="148"/>
      <c r="L379" s="196"/>
      <c r="M379" s="151"/>
      <c r="N379" s="197"/>
      <c r="O379" s="151"/>
      <c r="P379" s="153"/>
      <c r="Q37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9" s="144" t="str">
        <f>IF(テーブル2[[#This Row],[得点]]=0,"",IF(テーブル2[[#This Row],[年齢]]=17,LOOKUP(Q379,$BH$6:$BH$10,$BE$6:$BE$10),IF(テーブル2[[#This Row],[年齢]]=16,LOOKUP(Q379,$BG$6:$BG$10,$BE$6:$BE$10),IF(テーブル2[[#This Row],[年齢]]=15,LOOKUP(Q379,$BF$6:$BF$10,$BE$6:$BE$10),IF(テーブル2[[#This Row],[年齢]]=14,LOOKUP(Q379,$BD$6:$BD$10,$BE$6:$BE$10),IF(テーブル2[[#This Row],[年齢]]=13,LOOKUP(Q379,$BC$6:$BC$10,$BE$6:$BE$10),LOOKUP(Q379,$BB$6:$BB$10,$BE$6:$BE$10)))))))</f>
        <v/>
      </c>
      <c r="S379" s="145">
        <f>IF(H379="",0,(IF(テーブル2[[#This Row],[性別]]="男",LOOKUP(テーブル2[[#This Row],[握力]],$AI$6:$AJ$15),LOOKUP(テーブル2[[#This Row],[握力]],$AI$20:$AJ$29))))</f>
        <v>0</v>
      </c>
      <c r="T379" s="145">
        <f>IF(テーブル2[[#This Row],[上体]]="",0,(IF(テーブル2[[#This Row],[性別]]="男",LOOKUP(テーブル2[[#This Row],[上体]],$AK$6:$AL$15),LOOKUP(テーブル2[[#This Row],[上体]],$AK$20:$AL$29))))</f>
        <v>0</v>
      </c>
      <c r="U379" s="145">
        <f>IF(テーブル2[[#This Row],[長座]]="",0,(IF(テーブル2[[#This Row],[性別]]="男",LOOKUP(テーブル2[[#This Row],[長座]],$AM$6:$AN$15),LOOKUP(テーブル2[[#This Row],[長座]],$AM$20:$AN$29))))</f>
        <v>0</v>
      </c>
      <c r="V379" s="145">
        <f>IF(テーブル2[[#This Row],[反復]]="",0,(IF(テーブル2[[#This Row],[性別]]="男",LOOKUP(テーブル2[[#This Row],[反復]],$AO$6:$AP$15),LOOKUP(テーブル2[[#This Row],[反復]],$AO$20:$AP$29))))</f>
        <v>0</v>
      </c>
      <c r="W379" s="145">
        <f>IF(テーブル2[[#This Row],[持久走]]="",0,(IF(テーブル2[[#This Row],[性別]]="男",LOOKUP(テーブル2[[#This Row],[持久走]],$AQ$6:$AR$15),LOOKUP(テーブル2[[#This Row],[持久走]],$AQ$20:$AR$29))))</f>
        <v>0</v>
      </c>
      <c r="X379" s="145">
        <f>IF(テーブル2[[#This Row],[ｼｬﾄﾙﾗﾝ]]="",0,(IF(テーブル2[[#This Row],[性別]]="男",LOOKUP(テーブル2[[#This Row],[ｼｬﾄﾙﾗﾝ]],$AS$6:$AT$15),LOOKUP(テーブル2[[#This Row],[ｼｬﾄﾙﾗﾝ]],$AS$20:$AT$29))))</f>
        <v>0</v>
      </c>
      <c r="Y379" s="145">
        <f>IF(テーブル2[[#This Row],[50m走]]="",0,(IF(テーブル2[[#This Row],[性別]]="男",LOOKUP(テーブル2[[#This Row],[50m走]],$AU$6:$AV$15),LOOKUP(テーブル2[[#This Row],[50m走]],$AU$20:$AV$29))))</f>
        <v>0</v>
      </c>
      <c r="Z379" s="145">
        <f>IF(テーブル2[[#This Row],[立幅とび]]="",0,(IF(テーブル2[[#This Row],[性別]]="男",LOOKUP(テーブル2[[#This Row],[立幅とび]],$AW$6:$AX$15),LOOKUP(テーブル2[[#This Row],[立幅とび]],$AW$20:$AX$29))))</f>
        <v>0</v>
      </c>
      <c r="AA379" s="145">
        <f>IF(テーブル2[[#This Row],[ボール投げ]]="",0,(IF(テーブル2[[#This Row],[性別]]="男",LOOKUP(テーブル2[[#This Row],[ボール投げ]],$AY$6:$AZ$15),LOOKUP(テーブル2[[#This Row],[ボール投げ]],$AY$20:$AZ$29))))</f>
        <v>0</v>
      </c>
      <c r="AB379" s="146" t="str">
        <f>IF(テーブル2[[#This Row],[学年]]=1,12,IF(テーブル2[[#This Row],[学年]]=2,13,IF(テーブル2[[#This Row],[学年]]=3,14,"")))</f>
        <v/>
      </c>
      <c r="AC379" s="192" t="str">
        <f>IF(テーブル2[[#This Row],[肥満度数値]]=0,"",LOOKUP(AE379,$AW$39:$AW$44,$AX$39:$AX$44))</f>
        <v/>
      </c>
      <c r="AD37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79" s="77">
        <f>IF(テーブル2[[#This Row],[体重]]="",0,(テーブル2[[#This Row],[体重]]-テーブル2[[#This Row],[標準体重]])/テーブル2[[#This Row],[標準体重]]*100)</f>
        <v>0</v>
      </c>
      <c r="AF379" s="26">
        <f>COUNTA(テーブル2[[#This Row],[握力]:[ボール投げ]])</f>
        <v>0</v>
      </c>
      <c r="AG379" s="1" t="str">
        <f>IF(テーブル2[[#This Row],[判定]]=$BE$10,"○","")</f>
        <v/>
      </c>
      <c r="AH379" s="1" t="str">
        <f>IF(AG379="","",COUNTIF($AG$6:AG379,"○"))</f>
        <v/>
      </c>
    </row>
    <row r="380" spans="1:34" ht="14.25" customHeight="1" x14ac:dyDescent="0.15">
      <c r="A380" s="44">
        <v>375</v>
      </c>
      <c r="B380" s="148"/>
      <c r="C380" s="151"/>
      <c r="D380" s="148"/>
      <c r="E380" s="152"/>
      <c r="F380" s="148"/>
      <c r="G380" s="148"/>
      <c r="H380" s="150"/>
      <c r="I380" s="150"/>
      <c r="J380" s="151"/>
      <c r="K380" s="148"/>
      <c r="L380" s="196"/>
      <c r="M380" s="151"/>
      <c r="N380" s="197"/>
      <c r="O380" s="151"/>
      <c r="P380" s="153"/>
      <c r="Q38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0" s="144" t="str">
        <f>IF(テーブル2[[#This Row],[得点]]=0,"",IF(テーブル2[[#This Row],[年齢]]=17,LOOKUP(Q380,$BH$6:$BH$10,$BE$6:$BE$10),IF(テーブル2[[#This Row],[年齢]]=16,LOOKUP(Q380,$BG$6:$BG$10,$BE$6:$BE$10),IF(テーブル2[[#This Row],[年齢]]=15,LOOKUP(Q380,$BF$6:$BF$10,$BE$6:$BE$10),IF(テーブル2[[#This Row],[年齢]]=14,LOOKUP(Q380,$BD$6:$BD$10,$BE$6:$BE$10),IF(テーブル2[[#This Row],[年齢]]=13,LOOKUP(Q380,$BC$6:$BC$10,$BE$6:$BE$10),LOOKUP(Q380,$BB$6:$BB$10,$BE$6:$BE$10)))))))</f>
        <v/>
      </c>
      <c r="S380" s="145">
        <f>IF(H380="",0,(IF(テーブル2[[#This Row],[性別]]="男",LOOKUP(テーブル2[[#This Row],[握力]],$AI$6:$AJ$15),LOOKUP(テーブル2[[#This Row],[握力]],$AI$20:$AJ$29))))</f>
        <v>0</v>
      </c>
      <c r="T380" s="145">
        <f>IF(テーブル2[[#This Row],[上体]]="",0,(IF(テーブル2[[#This Row],[性別]]="男",LOOKUP(テーブル2[[#This Row],[上体]],$AK$6:$AL$15),LOOKUP(テーブル2[[#This Row],[上体]],$AK$20:$AL$29))))</f>
        <v>0</v>
      </c>
      <c r="U380" s="145">
        <f>IF(テーブル2[[#This Row],[長座]]="",0,(IF(テーブル2[[#This Row],[性別]]="男",LOOKUP(テーブル2[[#This Row],[長座]],$AM$6:$AN$15),LOOKUP(テーブル2[[#This Row],[長座]],$AM$20:$AN$29))))</f>
        <v>0</v>
      </c>
      <c r="V380" s="145">
        <f>IF(テーブル2[[#This Row],[反復]]="",0,(IF(テーブル2[[#This Row],[性別]]="男",LOOKUP(テーブル2[[#This Row],[反復]],$AO$6:$AP$15),LOOKUP(テーブル2[[#This Row],[反復]],$AO$20:$AP$29))))</f>
        <v>0</v>
      </c>
      <c r="W380" s="145">
        <f>IF(テーブル2[[#This Row],[持久走]]="",0,(IF(テーブル2[[#This Row],[性別]]="男",LOOKUP(テーブル2[[#This Row],[持久走]],$AQ$6:$AR$15),LOOKUP(テーブル2[[#This Row],[持久走]],$AQ$20:$AR$29))))</f>
        <v>0</v>
      </c>
      <c r="X380" s="145">
        <f>IF(テーブル2[[#This Row],[ｼｬﾄﾙﾗﾝ]]="",0,(IF(テーブル2[[#This Row],[性別]]="男",LOOKUP(テーブル2[[#This Row],[ｼｬﾄﾙﾗﾝ]],$AS$6:$AT$15),LOOKUP(テーブル2[[#This Row],[ｼｬﾄﾙﾗﾝ]],$AS$20:$AT$29))))</f>
        <v>0</v>
      </c>
      <c r="Y380" s="145">
        <f>IF(テーブル2[[#This Row],[50m走]]="",0,(IF(テーブル2[[#This Row],[性別]]="男",LOOKUP(テーブル2[[#This Row],[50m走]],$AU$6:$AV$15),LOOKUP(テーブル2[[#This Row],[50m走]],$AU$20:$AV$29))))</f>
        <v>0</v>
      </c>
      <c r="Z380" s="145">
        <f>IF(テーブル2[[#This Row],[立幅とび]]="",0,(IF(テーブル2[[#This Row],[性別]]="男",LOOKUP(テーブル2[[#This Row],[立幅とび]],$AW$6:$AX$15),LOOKUP(テーブル2[[#This Row],[立幅とび]],$AW$20:$AX$29))))</f>
        <v>0</v>
      </c>
      <c r="AA380" s="145">
        <f>IF(テーブル2[[#This Row],[ボール投げ]]="",0,(IF(テーブル2[[#This Row],[性別]]="男",LOOKUP(テーブル2[[#This Row],[ボール投げ]],$AY$6:$AZ$15),LOOKUP(テーブル2[[#This Row],[ボール投げ]],$AY$20:$AZ$29))))</f>
        <v>0</v>
      </c>
      <c r="AB380" s="146" t="str">
        <f>IF(テーブル2[[#This Row],[学年]]=1,12,IF(テーブル2[[#This Row],[学年]]=2,13,IF(テーブル2[[#This Row],[学年]]=3,14,"")))</f>
        <v/>
      </c>
      <c r="AC380" s="192" t="str">
        <f>IF(テーブル2[[#This Row],[肥満度数値]]=0,"",LOOKUP(AE380,$AW$39:$AW$44,$AX$39:$AX$44))</f>
        <v/>
      </c>
      <c r="AD38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0" s="77">
        <f>IF(テーブル2[[#This Row],[体重]]="",0,(テーブル2[[#This Row],[体重]]-テーブル2[[#This Row],[標準体重]])/テーブル2[[#This Row],[標準体重]]*100)</f>
        <v>0</v>
      </c>
      <c r="AF380" s="26">
        <f>COUNTA(テーブル2[[#This Row],[握力]:[ボール投げ]])</f>
        <v>0</v>
      </c>
      <c r="AG380" s="1" t="str">
        <f>IF(テーブル2[[#This Row],[判定]]=$BE$10,"○","")</f>
        <v/>
      </c>
      <c r="AH380" s="1" t="str">
        <f>IF(AG380="","",COUNTIF($AG$6:AG380,"○"))</f>
        <v/>
      </c>
    </row>
    <row r="381" spans="1:34" ht="14.25" customHeight="1" x14ac:dyDescent="0.15">
      <c r="A381" s="44">
        <v>376</v>
      </c>
      <c r="B381" s="148"/>
      <c r="C381" s="151"/>
      <c r="D381" s="148"/>
      <c r="E381" s="152"/>
      <c r="F381" s="148"/>
      <c r="G381" s="148"/>
      <c r="H381" s="150"/>
      <c r="I381" s="150"/>
      <c r="J381" s="151"/>
      <c r="K381" s="148"/>
      <c r="L381" s="196"/>
      <c r="M381" s="151"/>
      <c r="N381" s="197"/>
      <c r="O381" s="151"/>
      <c r="P381" s="153"/>
      <c r="Q38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1" s="144" t="str">
        <f>IF(テーブル2[[#This Row],[得点]]=0,"",IF(テーブル2[[#This Row],[年齢]]=17,LOOKUP(Q381,$BH$6:$BH$10,$BE$6:$BE$10),IF(テーブル2[[#This Row],[年齢]]=16,LOOKUP(Q381,$BG$6:$BG$10,$BE$6:$BE$10),IF(テーブル2[[#This Row],[年齢]]=15,LOOKUP(Q381,$BF$6:$BF$10,$BE$6:$BE$10),IF(テーブル2[[#This Row],[年齢]]=14,LOOKUP(Q381,$BD$6:$BD$10,$BE$6:$BE$10),IF(テーブル2[[#This Row],[年齢]]=13,LOOKUP(Q381,$BC$6:$BC$10,$BE$6:$BE$10),LOOKUP(Q381,$BB$6:$BB$10,$BE$6:$BE$10)))))))</f>
        <v/>
      </c>
      <c r="S381" s="145">
        <f>IF(H381="",0,(IF(テーブル2[[#This Row],[性別]]="男",LOOKUP(テーブル2[[#This Row],[握力]],$AI$6:$AJ$15),LOOKUP(テーブル2[[#This Row],[握力]],$AI$20:$AJ$29))))</f>
        <v>0</v>
      </c>
      <c r="T381" s="145">
        <f>IF(テーブル2[[#This Row],[上体]]="",0,(IF(テーブル2[[#This Row],[性別]]="男",LOOKUP(テーブル2[[#This Row],[上体]],$AK$6:$AL$15),LOOKUP(テーブル2[[#This Row],[上体]],$AK$20:$AL$29))))</f>
        <v>0</v>
      </c>
      <c r="U381" s="145">
        <f>IF(テーブル2[[#This Row],[長座]]="",0,(IF(テーブル2[[#This Row],[性別]]="男",LOOKUP(テーブル2[[#This Row],[長座]],$AM$6:$AN$15),LOOKUP(テーブル2[[#This Row],[長座]],$AM$20:$AN$29))))</f>
        <v>0</v>
      </c>
      <c r="V381" s="145">
        <f>IF(テーブル2[[#This Row],[反復]]="",0,(IF(テーブル2[[#This Row],[性別]]="男",LOOKUP(テーブル2[[#This Row],[反復]],$AO$6:$AP$15),LOOKUP(テーブル2[[#This Row],[反復]],$AO$20:$AP$29))))</f>
        <v>0</v>
      </c>
      <c r="W381" s="145">
        <f>IF(テーブル2[[#This Row],[持久走]]="",0,(IF(テーブル2[[#This Row],[性別]]="男",LOOKUP(テーブル2[[#This Row],[持久走]],$AQ$6:$AR$15),LOOKUP(テーブル2[[#This Row],[持久走]],$AQ$20:$AR$29))))</f>
        <v>0</v>
      </c>
      <c r="X381" s="145">
        <f>IF(テーブル2[[#This Row],[ｼｬﾄﾙﾗﾝ]]="",0,(IF(テーブル2[[#This Row],[性別]]="男",LOOKUP(テーブル2[[#This Row],[ｼｬﾄﾙﾗﾝ]],$AS$6:$AT$15),LOOKUP(テーブル2[[#This Row],[ｼｬﾄﾙﾗﾝ]],$AS$20:$AT$29))))</f>
        <v>0</v>
      </c>
      <c r="Y381" s="145">
        <f>IF(テーブル2[[#This Row],[50m走]]="",0,(IF(テーブル2[[#This Row],[性別]]="男",LOOKUP(テーブル2[[#This Row],[50m走]],$AU$6:$AV$15),LOOKUP(テーブル2[[#This Row],[50m走]],$AU$20:$AV$29))))</f>
        <v>0</v>
      </c>
      <c r="Z381" s="145">
        <f>IF(テーブル2[[#This Row],[立幅とび]]="",0,(IF(テーブル2[[#This Row],[性別]]="男",LOOKUP(テーブル2[[#This Row],[立幅とび]],$AW$6:$AX$15),LOOKUP(テーブル2[[#This Row],[立幅とび]],$AW$20:$AX$29))))</f>
        <v>0</v>
      </c>
      <c r="AA381" s="145">
        <f>IF(テーブル2[[#This Row],[ボール投げ]]="",0,(IF(テーブル2[[#This Row],[性別]]="男",LOOKUP(テーブル2[[#This Row],[ボール投げ]],$AY$6:$AZ$15),LOOKUP(テーブル2[[#This Row],[ボール投げ]],$AY$20:$AZ$29))))</f>
        <v>0</v>
      </c>
      <c r="AB381" s="146" t="str">
        <f>IF(テーブル2[[#This Row],[学年]]=1,12,IF(テーブル2[[#This Row],[学年]]=2,13,IF(テーブル2[[#This Row],[学年]]=3,14,"")))</f>
        <v/>
      </c>
      <c r="AC381" s="192" t="str">
        <f>IF(テーブル2[[#This Row],[肥満度数値]]=0,"",LOOKUP(AE381,$AW$39:$AW$44,$AX$39:$AX$44))</f>
        <v/>
      </c>
      <c r="AD38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1" s="77">
        <f>IF(テーブル2[[#This Row],[体重]]="",0,(テーブル2[[#This Row],[体重]]-テーブル2[[#This Row],[標準体重]])/テーブル2[[#This Row],[標準体重]]*100)</f>
        <v>0</v>
      </c>
      <c r="AF381" s="26">
        <f>COUNTA(テーブル2[[#This Row],[握力]:[ボール投げ]])</f>
        <v>0</v>
      </c>
      <c r="AG381" s="1" t="str">
        <f>IF(テーブル2[[#This Row],[判定]]=$BE$10,"○","")</f>
        <v/>
      </c>
      <c r="AH381" s="1" t="str">
        <f>IF(AG381="","",COUNTIF($AG$6:AG381,"○"))</f>
        <v/>
      </c>
    </row>
    <row r="382" spans="1:34" ht="14.25" customHeight="1" x14ac:dyDescent="0.15">
      <c r="A382" s="44">
        <v>377</v>
      </c>
      <c r="B382" s="148"/>
      <c r="C382" s="151"/>
      <c r="D382" s="148"/>
      <c r="E382" s="152"/>
      <c r="F382" s="148"/>
      <c r="G382" s="148"/>
      <c r="H382" s="150"/>
      <c r="I382" s="150"/>
      <c r="J382" s="151"/>
      <c r="K382" s="148"/>
      <c r="L382" s="196"/>
      <c r="M382" s="151"/>
      <c r="N382" s="197"/>
      <c r="O382" s="151"/>
      <c r="P382" s="153"/>
      <c r="Q38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2" s="144" t="str">
        <f>IF(テーブル2[[#This Row],[得点]]=0,"",IF(テーブル2[[#This Row],[年齢]]=17,LOOKUP(Q382,$BH$6:$BH$10,$BE$6:$BE$10),IF(テーブル2[[#This Row],[年齢]]=16,LOOKUP(Q382,$BG$6:$BG$10,$BE$6:$BE$10),IF(テーブル2[[#This Row],[年齢]]=15,LOOKUP(Q382,$BF$6:$BF$10,$BE$6:$BE$10),IF(テーブル2[[#This Row],[年齢]]=14,LOOKUP(Q382,$BD$6:$BD$10,$BE$6:$BE$10),IF(テーブル2[[#This Row],[年齢]]=13,LOOKUP(Q382,$BC$6:$BC$10,$BE$6:$BE$10),LOOKUP(Q382,$BB$6:$BB$10,$BE$6:$BE$10)))))))</f>
        <v/>
      </c>
      <c r="S382" s="145">
        <f>IF(H382="",0,(IF(テーブル2[[#This Row],[性別]]="男",LOOKUP(テーブル2[[#This Row],[握力]],$AI$6:$AJ$15),LOOKUP(テーブル2[[#This Row],[握力]],$AI$20:$AJ$29))))</f>
        <v>0</v>
      </c>
      <c r="T382" s="145">
        <f>IF(テーブル2[[#This Row],[上体]]="",0,(IF(テーブル2[[#This Row],[性別]]="男",LOOKUP(テーブル2[[#This Row],[上体]],$AK$6:$AL$15),LOOKUP(テーブル2[[#This Row],[上体]],$AK$20:$AL$29))))</f>
        <v>0</v>
      </c>
      <c r="U382" s="145">
        <f>IF(テーブル2[[#This Row],[長座]]="",0,(IF(テーブル2[[#This Row],[性別]]="男",LOOKUP(テーブル2[[#This Row],[長座]],$AM$6:$AN$15),LOOKUP(テーブル2[[#This Row],[長座]],$AM$20:$AN$29))))</f>
        <v>0</v>
      </c>
      <c r="V382" s="145">
        <f>IF(テーブル2[[#This Row],[反復]]="",0,(IF(テーブル2[[#This Row],[性別]]="男",LOOKUP(テーブル2[[#This Row],[反復]],$AO$6:$AP$15),LOOKUP(テーブル2[[#This Row],[反復]],$AO$20:$AP$29))))</f>
        <v>0</v>
      </c>
      <c r="W382" s="145">
        <f>IF(テーブル2[[#This Row],[持久走]]="",0,(IF(テーブル2[[#This Row],[性別]]="男",LOOKUP(テーブル2[[#This Row],[持久走]],$AQ$6:$AR$15),LOOKUP(テーブル2[[#This Row],[持久走]],$AQ$20:$AR$29))))</f>
        <v>0</v>
      </c>
      <c r="X382" s="145">
        <f>IF(テーブル2[[#This Row],[ｼｬﾄﾙﾗﾝ]]="",0,(IF(テーブル2[[#This Row],[性別]]="男",LOOKUP(テーブル2[[#This Row],[ｼｬﾄﾙﾗﾝ]],$AS$6:$AT$15),LOOKUP(テーブル2[[#This Row],[ｼｬﾄﾙﾗﾝ]],$AS$20:$AT$29))))</f>
        <v>0</v>
      </c>
      <c r="Y382" s="145">
        <f>IF(テーブル2[[#This Row],[50m走]]="",0,(IF(テーブル2[[#This Row],[性別]]="男",LOOKUP(テーブル2[[#This Row],[50m走]],$AU$6:$AV$15),LOOKUP(テーブル2[[#This Row],[50m走]],$AU$20:$AV$29))))</f>
        <v>0</v>
      </c>
      <c r="Z382" s="145">
        <f>IF(テーブル2[[#This Row],[立幅とび]]="",0,(IF(テーブル2[[#This Row],[性別]]="男",LOOKUP(テーブル2[[#This Row],[立幅とび]],$AW$6:$AX$15),LOOKUP(テーブル2[[#This Row],[立幅とび]],$AW$20:$AX$29))))</f>
        <v>0</v>
      </c>
      <c r="AA382" s="145">
        <f>IF(テーブル2[[#This Row],[ボール投げ]]="",0,(IF(テーブル2[[#This Row],[性別]]="男",LOOKUP(テーブル2[[#This Row],[ボール投げ]],$AY$6:$AZ$15),LOOKUP(テーブル2[[#This Row],[ボール投げ]],$AY$20:$AZ$29))))</f>
        <v>0</v>
      </c>
      <c r="AB382" s="146" t="str">
        <f>IF(テーブル2[[#This Row],[学年]]=1,12,IF(テーブル2[[#This Row],[学年]]=2,13,IF(テーブル2[[#This Row],[学年]]=3,14,"")))</f>
        <v/>
      </c>
      <c r="AC382" s="192" t="str">
        <f>IF(テーブル2[[#This Row],[肥満度数値]]=0,"",LOOKUP(AE382,$AW$39:$AW$44,$AX$39:$AX$44))</f>
        <v/>
      </c>
      <c r="AD38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2" s="77">
        <f>IF(テーブル2[[#This Row],[体重]]="",0,(テーブル2[[#This Row],[体重]]-テーブル2[[#This Row],[標準体重]])/テーブル2[[#This Row],[標準体重]]*100)</f>
        <v>0</v>
      </c>
      <c r="AF382" s="26">
        <f>COUNTA(テーブル2[[#This Row],[握力]:[ボール投げ]])</f>
        <v>0</v>
      </c>
      <c r="AG382" s="1" t="str">
        <f>IF(テーブル2[[#This Row],[判定]]=$BE$10,"○","")</f>
        <v/>
      </c>
      <c r="AH382" s="1" t="str">
        <f>IF(AG382="","",COUNTIF($AG$6:AG382,"○"))</f>
        <v/>
      </c>
    </row>
    <row r="383" spans="1:34" ht="14.25" customHeight="1" x14ac:dyDescent="0.15">
      <c r="A383" s="44">
        <v>378</v>
      </c>
      <c r="B383" s="148"/>
      <c r="C383" s="151"/>
      <c r="D383" s="148"/>
      <c r="E383" s="152"/>
      <c r="F383" s="148"/>
      <c r="G383" s="148"/>
      <c r="H383" s="150"/>
      <c r="I383" s="150"/>
      <c r="J383" s="151"/>
      <c r="K383" s="148"/>
      <c r="L383" s="196"/>
      <c r="M383" s="151"/>
      <c r="N383" s="197"/>
      <c r="O383" s="151"/>
      <c r="P383" s="153"/>
      <c r="Q38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3" s="144" t="str">
        <f>IF(テーブル2[[#This Row],[得点]]=0,"",IF(テーブル2[[#This Row],[年齢]]=17,LOOKUP(Q383,$BH$6:$BH$10,$BE$6:$BE$10),IF(テーブル2[[#This Row],[年齢]]=16,LOOKUP(Q383,$BG$6:$BG$10,$BE$6:$BE$10),IF(テーブル2[[#This Row],[年齢]]=15,LOOKUP(Q383,$BF$6:$BF$10,$BE$6:$BE$10),IF(テーブル2[[#This Row],[年齢]]=14,LOOKUP(Q383,$BD$6:$BD$10,$BE$6:$BE$10),IF(テーブル2[[#This Row],[年齢]]=13,LOOKUP(Q383,$BC$6:$BC$10,$BE$6:$BE$10),LOOKUP(Q383,$BB$6:$BB$10,$BE$6:$BE$10)))))))</f>
        <v/>
      </c>
      <c r="S383" s="145">
        <f>IF(H383="",0,(IF(テーブル2[[#This Row],[性別]]="男",LOOKUP(テーブル2[[#This Row],[握力]],$AI$6:$AJ$15),LOOKUP(テーブル2[[#This Row],[握力]],$AI$20:$AJ$29))))</f>
        <v>0</v>
      </c>
      <c r="T383" s="145">
        <f>IF(テーブル2[[#This Row],[上体]]="",0,(IF(テーブル2[[#This Row],[性別]]="男",LOOKUP(テーブル2[[#This Row],[上体]],$AK$6:$AL$15),LOOKUP(テーブル2[[#This Row],[上体]],$AK$20:$AL$29))))</f>
        <v>0</v>
      </c>
      <c r="U383" s="145">
        <f>IF(テーブル2[[#This Row],[長座]]="",0,(IF(テーブル2[[#This Row],[性別]]="男",LOOKUP(テーブル2[[#This Row],[長座]],$AM$6:$AN$15),LOOKUP(テーブル2[[#This Row],[長座]],$AM$20:$AN$29))))</f>
        <v>0</v>
      </c>
      <c r="V383" s="145">
        <f>IF(テーブル2[[#This Row],[反復]]="",0,(IF(テーブル2[[#This Row],[性別]]="男",LOOKUP(テーブル2[[#This Row],[反復]],$AO$6:$AP$15),LOOKUP(テーブル2[[#This Row],[反復]],$AO$20:$AP$29))))</f>
        <v>0</v>
      </c>
      <c r="W383" s="145">
        <f>IF(テーブル2[[#This Row],[持久走]]="",0,(IF(テーブル2[[#This Row],[性別]]="男",LOOKUP(テーブル2[[#This Row],[持久走]],$AQ$6:$AR$15),LOOKUP(テーブル2[[#This Row],[持久走]],$AQ$20:$AR$29))))</f>
        <v>0</v>
      </c>
      <c r="X383" s="145">
        <f>IF(テーブル2[[#This Row],[ｼｬﾄﾙﾗﾝ]]="",0,(IF(テーブル2[[#This Row],[性別]]="男",LOOKUP(テーブル2[[#This Row],[ｼｬﾄﾙﾗﾝ]],$AS$6:$AT$15),LOOKUP(テーブル2[[#This Row],[ｼｬﾄﾙﾗﾝ]],$AS$20:$AT$29))))</f>
        <v>0</v>
      </c>
      <c r="Y383" s="145">
        <f>IF(テーブル2[[#This Row],[50m走]]="",0,(IF(テーブル2[[#This Row],[性別]]="男",LOOKUP(テーブル2[[#This Row],[50m走]],$AU$6:$AV$15),LOOKUP(テーブル2[[#This Row],[50m走]],$AU$20:$AV$29))))</f>
        <v>0</v>
      </c>
      <c r="Z383" s="145">
        <f>IF(テーブル2[[#This Row],[立幅とび]]="",0,(IF(テーブル2[[#This Row],[性別]]="男",LOOKUP(テーブル2[[#This Row],[立幅とび]],$AW$6:$AX$15),LOOKUP(テーブル2[[#This Row],[立幅とび]],$AW$20:$AX$29))))</f>
        <v>0</v>
      </c>
      <c r="AA383" s="145">
        <f>IF(テーブル2[[#This Row],[ボール投げ]]="",0,(IF(テーブル2[[#This Row],[性別]]="男",LOOKUP(テーブル2[[#This Row],[ボール投げ]],$AY$6:$AZ$15),LOOKUP(テーブル2[[#This Row],[ボール投げ]],$AY$20:$AZ$29))))</f>
        <v>0</v>
      </c>
      <c r="AB383" s="146" t="str">
        <f>IF(テーブル2[[#This Row],[学年]]=1,12,IF(テーブル2[[#This Row],[学年]]=2,13,IF(テーブル2[[#This Row],[学年]]=3,14,"")))</f>
        <v/>
      </c>
      <c r="AC383" s="192" t="str">
        <f>IF(テーブル2[[#This Row],[肥満度数値]]=0,"",LOOKUP(AE383,$AW$39:$AW$44,$AX$39:$AX$44))</f>
        <v/>
      </c>
      <c r="AD38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3" s="77">
        <f>IF(テーブル2[[#This Row],[体重]]="",0,(テーブル2[[#This Row],[体重]]-テーブル2[[#This Row],[標準体重]])/テーブル2[[#This Row],[標準体重]]*100)</f>
        <v>0</v>
      </c>
      <c r="AF383" s="26">
        <f>COUNTA(テーブル2[[#This Row],[握力]:[ボール投げ]])</f>
        <v>0</v>
      </c>
      <c r="AG383" s="1" t="str">
        <f>IF(テーブル2[[#This Row],[判定]]=$BE$10,"○","")</f>
        <v/>
      </c>
      <c r="AH383" s="1" t="str">
        <f>IF(AG383="","",COUNTIF($AG$6:AG383,"○"))</f>
        <v/>
      </c>
    </row>
    <row r="384" spans="1:34" ht="14.25" customHeight="1" x14ac:dyDescent="0.15">
      <c r="A384" s="44">
        <v>379</v>
      </c>
      <c r="B384" s="148"/>
      <c r="C384" s="151"/>
      <c r="D384" s="148"/>
      <c r="E384" s="152"/>
      <c r="F384" s="148"/>
      <c r="G384" s="148"/>
      <c r="H384" s="150"/>
      <c r="I384" s="150"/>
      <c r="J384" s="151"/>
      <c r="K384" s="148"/>
      <c r="L384" s="196"/>
      <c r="M384" s="151"/>
      <c r="N384" s="197"/>
      <c r="O384" s="151"/>
      <c r="P384" s="153"/>
      <c r="Q38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4" s="144" t="str">
        <f>IF(テーブル2[[#This Row],[得点]]=0,"",IF(テーブル2[[#This Row],[年齢]]=17,LOOKUP(Q384,$BH$6:$BH$10,$BE$6:$BE$10),IF(テーブル2[[#This Row],[年齢]]=16,LOOKUP(Q384,$BG$6:$BG$10,$BE$6:$BE$10),IF(テーブル2[[#This Row],[年齢]]=15,LOOKUP(Q384,$BF$6:$BF$10,$BE$6:$BE$10),IF(テーブル2[[#This Row],[年齢]]=14,LOOKUP(Q384,$BD$6:$BD$10,$BE$6:$BE$10),IF(テーブル2[[#This Row],[年齢]]=13,LOOKUP(Q384,$BC$6:$BC$10,$BE$6:$BE$10),LOOKUP(Q384,$BB$6:$BB$10,$BE$6:$BE$10)))))))</f>
        <v/>
      </c>
      <c r="S384" s="145">
        <f>IF(H384="",0,(IF(テーブル2[[#This Row],[性別]]="男",LOOKUP(テーブル2[[#This Row],[握力]],$AI$6:$AJ$15),LOOKUP(テーブル2[[#This Row],[握力]],$AI$20:$AJ$29))))</f>
        <v>0</v>
      </c>
      <c r="T384" s="145">
        <f>IF(テーブル2[[#This Row],[上体]]="",0,(IF(テーブル2[[#This Row],[性別]]="男",LOOKUP(テーブル2[[#This Row],[上体]],$AK$6:$AL$15),LOOKUP(テーブル2[[#This Row],[上体]],$AK$20:$AL$29))))</f>
        <v>0</v>
      </c>
      <c r="U384" s="145">
        <f>IF(テーブル2[[#This Row],[長座]]="",0,(IF(テーブル2[[#This Row],[性別]]="男",LOOKUP(テーブル2[[#This Row],[長座]],$AM$6:$AN$15),LOOKUP(テーブル2[[#This Row],[長座]],$AM$20:$AN$29))))</f>
        <v>0</v>
      </c>
      <c r="V384" s="145">
        <f>IF(テーブル2[[#This Row],[反復]]="",0,(IF(テーブル2[[#This Row],[性別]]="男",LOOKUP(テーブル2[[#This Row],[反復]],$AO$6:$AP$15),LOOKUP(テーブル2[[#This Row],[反復]],$AO$20:$AP$29))))</f>
        <v>0</v>
      </c>
      <c r="W384" s="145">
        <f>IF(テーブル2[[#This Row],[持久走]]="",0,(IF(テーブル2[[#This Row],[性別]]="男",LOOKUP(テーブル2[[#This Row],[持久走]],$AQ$6:$AR$15),LOOKUP(テーブル2[[#This Row],[持久走]],$AQ$20:$AR$29))))</f>
        <v>0</v>
      </c>
      <c r="X384" s="145">
        <f>IF(テーブル2[[#This Row],[ｼｬﾄﾙﾗﾝ]]="",0,(IF(テーブル2[[#This Row],[性別]]="男",LOOKUP(テーブル2[[#This Row],[ｼｬﾄﾙﾗﾝ]],$AS$6:$AT$15),LOOKUP(テーブル2[[#This Row],[ｼｬﾄﾙﾗﾝ]],$AS$20:$AT$29))))</f>
        <v>0</v>
      </c>
      <c r="Y384" s="145">
        <f>IF(テーブル2[[#This Row],[50m走]]="",0,(IF(テーブル2[[#This Row],[性別]]="男",LOOKUP(テーブル2[[#This Row],[50m走]],$AU$6:$AV$15),LOOKUP(テーブル2[[#This Row],[50m走]],$AU$20:$AV$29))))</f>
        <v>0</v>
      </c>
      <c r="Z384" s="145">
        <f>IF(テーブル2[[#This Row],[立幅とび]]="",0,(IF(テーブル2[[#This Row],[性別]]="男",LOOKUP(テーブル2[[#This Row],[立幅とび]],$AW$6:$AX$15),LOOKUP(テーブル2[[#This Row],[立幅とび]],$AW$20:$AX$29))))</f>
        <v>0</v>
      </c>
      <c r="AA384" s="145">
        <f>IF(テーブル2[[#This Row],[ボール投げ]]="",0,(IF(テーブル2[[#This Row],[性別]]="男",LOOKUP(テーブル2[[#This Row],[ボール投げ]],$AY$6:$AZ$15),LOOKUP(テーブル2[[#This Row],[ボール投げ]],$AY$20:$AZ$29))))</f>
        <v>0</v>
      </c>
      <c r="AB384" s="146" t="str">
        <f>IF(テーブル2[[#This Row],[学年]]=1,12,IF(テーブル2[[#This Row],[学年]]=2,13,IF(テーブル2[[#This Row],[学年]]=3,14,"")))</f>
        <v/>
      </c>
      <c r="AC384" s="192" t="str">
        <f>IF(テーブル2[[#This Row],[肥満度数値]]=0,"",LOOKUP(AE384,$AW$39:$AW$44,$AX$39:$AX$44))</f>
        <v/>
      </c>
      <c r="AD38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4" s="77">
        <f>IF(テーブル2[[#This Row],[体重]]="",0,(テーブル2[[#This Row],[体重]]-テーブル2[[#This Row],[標準体重]])/テーブル2[[#This Row],[標準体重]]*100)</f>
        <v>0</v>
      </c>
      <c r="AF384" s="26">
        <f>COUNTA(テーブル2[[#This Row],[握力]:[ボール投げ]])</f>
        <v>0</v>
      </c>
      <c r="AG384" s="1" t="str">
        <f>IF(テーブル2[[#This Row],[判定]]=$BE$10,"○","")</f>
        <v/>
      </c>
      <c r="AH384" s="1" t="str">
        <f>IF(AG384="","",COUNTIF($AG$6:AG384,"○"))</f>
        <v/>
      </c>
    </row>
    <row r="385" spans="1:34" ht="14.25" customHeight="1" x14ac:dyDescent="0.15">
      <c r="A385" s="44">
        <v>380</v>
      </c>
      <c r="B385" s="148"/>
      <c r="C385" s="151"/>
      <c r="D385" s="148"/>
      <c r="E385" s="152"/>
      <c r="F385" s="148"/>
      <c r="G385" s="148"/>
      <c r="H385" s="150"/>
      <c r="I385" s="150"/>
      <c r="J385" s="151"/>
      <c r="K385" s="148"/>
      <c r="L385" s="196"/>
      <c r="M385" s="151"/>
      <c r="N385" s="197"/>
      <c r="O385" s="151"/>
      <c r="P385" s="153"/>
      <c r="Q38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5" s="144" t="str">
        <f>IF(テーブル2[[#This Row],[得点]]=0,"",IF(テーブル2[[#This Row],[年齢]]=17,LOOKUP(Q385,$BH$6:$BH$10,$BE$6:$BE$10),IF(テーブル2[[#This Row],[年齢]]=16,LOOKUP(Q385,$BG$6:$BG$10,$BE$6:$BE$10),IF(テーブル2[[#This Row],[年齢]]=15,LOOKUP(Q385,$BF$6:$BF$10,$BE$6:$BE$10),IF(テーブル2[[#This Row],[年齢]]=14,LOOKUP(Q385,$BD$6:$BD$10,$BE$6:$BE$10),IF(テーブル2[[#This Row],[年齢]]=13,LOOKUP(Q385,$BC$6:$BC$10,$BE$6:$BE$10),LOOKUP(Q385,$BB$6:$BB$10,$BE$6:$BE$10)))))))</f>
        <v/>
      </c>
      <c r="S385" s="145">
        <f>IF(H385="",0,(IF(テーブル2[[#This Row],[性別]]="男",LOOKUP(テーブル2[[#This Row],[握力]],$AI$6:$AJ$15),LOOKUP(テーブル2[[#This Row],[握力]],$AI$20:$AJ$29))))</f>
        <v>0</v>
      </c>
      <c r="T385" s="145">
        <f>IF(テーブル2[[#This Row],[上体]]="",0,(IF(テーブル2[[#This Row],[性別]]="男",LOOKUP(テーブル2[[#This Row],[上体]],$AK$6:$AL$15),LOOKUP(テーブル2[[#This Row],[上体]],$AK$20:$AL$29))))</f>
        <v>0</v>
      </c>
      <c r="U385" s="145">
        <f>IF(テーブル2[[#This Row],[長座]]="",0,(IF(テーブル2[[#This Row],[性別]]="男",LOOKUP(テーブル2[[#This Row],[長座]],$AM$6:$AN$15),LOOKUP(テーブル2[[#This Row],[長座]],$AM$20:$AN$29))))</f>
        <v>0</v>
      </c>
      <c r="V385" s="145">
        <f>IF(テーブル2[[#This Row],[反復]]="",0,(IF(テーブル2[[#This Row],[性別]]="男",LOOKUP(テーブル2[[#This Row],[反復]],$AO$6:$AP$15),LOOKUP(テーブル2[[#This Row],[反復]],$AO$20:$AP$29))))</f>
        <v>0</v>
      </c>
      <c r="W385" s="145">
        <f>IF(テーブル2[[#This Row],[持久走]]="",0,(IF(テーブル2[[#This Row],[性別]]="男",LOOKUP(テーブル2[[#This Row],[持久走]],$AQ$6:$AR$15),LOOKUP(テーブル2[[#This Row],[持久走]],$AQ$20:$AR$29))))</f>
        <v>0</v>
      </c>
      <c r="X385" s="145">
        <f>IF(テーブル2[[#This Row],[ｼｬﾄﾙﾗﾝ]]="",0,(IF(テーブル2[[#This Row],[性別]]="男",LOOKUP(テーブル2[[#This Row],[ｼｬﾄﾙﾗﾝ]],$AS$6:$AT$15),LOOKUP(テーブル2[[#This Row],[ｼｬﾄﾙﾗﾝ]],$AS$20:$AT$29))))</f>
        <v>0</v>
      </c>
      <c r="Y385" s="145">
        <f>IF(テーブル2[[#This Row],[50m走]]="",0,(IF(テーブル2[[#This Row],[性別]]="男",LOOKUP(テーブル2[[#This Row],[50m走]],$AU$6:$AV$15),LOOKUP(テーブル2[[#This Row],[50m走]],$AU$20:$AV$29))))</f>
        <v>0</v>
      </c>
      <c r="Z385" s="145">
        <f>IF(テーブル2[[#This Row],[立幅とび]]="",0,(IF(テーブル2[[#This Row],[性別]]="男",LOOKUP(テーブル2[[#This Row],[立幅とび]],$AW$6:$AX$15),LOOKUP(テーブル2[[#This Row],[立幅とび]],$AW$20:$AX$29))))</f>
        <v>0</v>
      </c>
      <c r="AA385" s="145">
        <f>IF(テーブル2[[#This Row],[ボール投げ]]="",0,(IF(テーブル2[[#This Row],[性別]]="男",LOOKUP(テーブル2[[#This Row],[ボール投げ]],$AY$6:$AZ$15),LOOKUP(テーブル2[[#This Row],[ボール投げ]],$AY$20:$AZ$29))))</f>
        <v>0</v>
      </c>
      <c r="AB385" s="146" t="str">
        <f>IF(テーブル2[[#This Row],[学年]]=1,12,IF(テーブル2[[#This Row],[学年]]=2,13,IF(テーブル2[[#This Row],[学年]]=3,14,"")))</f>
        <v/>
      </c>
      <c r="AC385" s="192" t="str">
        <f>IF(テーブル2[[#This Row],[肥満度数値]]=0,"",LOOKUP(AE385,$AW$39:$AW$44,$AX$39:$AX$44))</f>
        <v/>
      </c>
      <c r="AD38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5" s="77">
        <f>IF(テーブル2[[#This Row],[体重]]="",0,(テーブル2[[#This Row],[体重]]-テーブル2[[#This Row],[標準体重]])/テーブル2[[#This Row],[標準体重]]*100)</f>
        <v>0</v>
      </c>
      <c r="AF385" s="26">
        <f>COUNTA(テーブル2[[#This Row],[握力]:[ボール投げ]])</f>
        <v>0</v>
      </c>
      <c r="AG385" s="1" t="str">
        <f>IF(テーブル2[[#This Row],[判定]]=$BE$10,"○","")</f>
        <v/>
      </c>
      <c r="AH385" s="1" t="str">
        <f>IF(AG385="","",COUNTIF($AG$6:AG385,"○"))</f>
        <v/>
      </c>
    </row>
    <row r="386" spans="1:34" ht="14.25" customHeight="1" x14ac:dyDescent="0.15">
      <c r="A386" s="44">
        <v>381</v>
      </c>
      <c r="B386" s="148"/>
      <c r="C386" s="151"/>
      <c r="D386" s="148"/>
      <c r="E386" s="152"/>
      <c r="F386" s="148"/>
      <c r="G386" s="148"/>
      <c r="H386" s="150"/>
      <c r="I386" s="150"/>
      <c r="J386" s="151"/>
      <c r="K386" s="148"/>
      <c r="L386" s="196"/>
      <c r="M386" s="151"/>
      <c r="N386" s="197"/>
      <c r="O386" s="151"/>
      <c r="P386" s="153"/>
      <c r="Q38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6" s="144" t="str">
        <f>IF(テーブル2[[#This Row],[得点]]=0,"",IF(テーブル2[[#This Row],[年齢]]=17,LOOKUP(Q386,$BH$6:$BH$10,$BE$6:$BE$10),IF(テーブル2[[#This Row],[年齢]]=16,LOOKUP(Q386,$BG$6:$BG$10,$BE$6:$BE$10),IF(テーブル2[[#This Row],[年齢]]=15,LOOKUP(Q386,$BF$6:$BF$10,$BE$6:$BE$10),IF(テーブル2[[#This Row],[年齢]]=14,LOOKUP(Q386,$BD$6:$BD$10,$BE$6:$BE$10),IF(テーブル2[[#This Row],[年齢]]=13,LOOKUP(Q386,$BC$6:$BC$10,$BE$6:$BE$10),LOOKUP(Q386,$BB$6:$BB$10,$BE$6:$BE$10)))))))</f>
        <v/>
      </c>
      <c r="S386" s="145">
        <f>IF(H386="",0,(IF(テーブル2[[#This Row],[性別]]="男",LOOKUP(テーブル2[[#This Row],[握力]],$AI$6:$AJ$15),LOOKUP(テーブル2[[#This Row],[握力]],$AI$20:$AJ$29))))</f>
        <v>0</v>
      </c>
      <c r="T386" s="145">
        <f>IF(テーブル2[[#This Row],[上体]]="",0,(IF(テーブル2[[#This Row],[性別]]="男",LOOKUP(テーブル2[[#This Row],[上体]],$AK$6:$AL$15),LOOKUP(テーブル2[[#This Row],[上体]],$AK$20:$AL$29))))</f>
        <v>0</v>
      </c>
      <c r="U386" s="145">
        <f>IF(テーブル2[[#This Row],[長座]]="",0,(IF(テーブル2[[#This Row],[性別]]="男",LOOKUP(テーブル2[[#This Row],[長座]],$AM$6:$AN$15),LOOKUP(テーブル2[[#This Row],[長座]],$AM$20:$AN$29))))</f>
        <v>0</v>
      </c>
      <c r="V386" s="145">
        <f>IF(テーブル2[[#This Row],[反復]]="",0,(IF(テーブル2[[#This Row],[性別]]="男",LOOKUP(テーブル2[[#This Row],[反復]],$AO$6:$AP$15),LOOKUP(テーブル2[[#This Row],[反復]],$AO$20:$AP$29))))</f>
        <v>0</v>
      </c>
      <c r="W386" s="145">
        <f>IF(テーブル2[[#This Row],[持久走]]="",0,(IF(テーブル2[[#This Row],[性別]]="男",LOOKUP(テーブル2[[#This Row],[持久走]],$AQ$6:$AR$15),LOOKUP(テーブル2[[#This Row],[持久走]],$AQ$20:$AR$29))))</f>
        <v>0</v>
      </c>
      <c r="X386" s="145">
        <f>IF(テーブル2[[#This Row],[ｼｬﾄﾙﾗﾝ]]="",0,(IF(テーブル2[[#This Row],[性別]]="男",LOOKUP(テーブル2[[#This Row],[ｼｬﾄﾙﾗﾝ]],$AS$6:$AT$15),LOOKUP(テーブル2[[#This Row],[ｼｬﾄﾙﾗﾝ]],$AS$20:$AT$29))))</f>
        <v>0</v>
      </c>
      <c r="Y386" s="145">
        <f>IF(テーブル2[[#This Row],[50m走]]="",0,(IF(テーブル2[[#This Row],[性別]]="男",LOOKUP(テーブル2[[#This Row],[50m走]],$AU$6:$AV$15),LOOKUP(テーブル2[[#This Row],[50m走]],$AU$20:$AV$29))))</f>
        <v>0</v>
      </c>
      <c r="Z386" s="145">
        <f>IF(テーブル2[[#This Row],[立幅とび]]="",0,(IF(テーブル2[[#This Row],[性別]]="男",LOOKUP(テーブル2[[#This Row],[立幅とび]],$AW$6:$AX$15),LOOKUP(テーブル2[[#This Row],[立幅とび]],$AW$20:$AX$29))))</f>
        <v>0</v>
      </c>
      <c r="AA386" s="145">
        <f>IF(テーブル2[[#This Row],[ボール投げ]]="",0,(IF(テーブル2[[#This Row],[性別]]="男",LOOKUP(テーブル2[[#This Row],[ボール投げ]],$AY$6:$AZ$15),LOOKUP(テーブル2[[#This Row],[ボール投げ]],$AY$20:$AZ$29))))</f>
        <v>0</v>
      </c>
      <c r="AB386" s="146" t="str">
        <f>IF(テーブル2[[#This Row],[学年]]=1,12,IF(テーブル2[[#This Row],[学年]]=2,13,IF(テーブル2[[#This Row],[学年]]=3,14,"")))</f>
        <v/>
      </c>
      <c r="AC386" s="192" t="str">
        <f>IF(テーブル2[[#This Row],[肥満度数値]]=0,"",LOOKUP(AE386,$AW$39:$AW$44,$AX$39:$AX$44))</f>
        <v/>
      </c>
      <c r="AD38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6" s="77">
        <f>IF(テーブル2[[#This Row],[体重]]="",0,(テーブル2[[#This Row],[体重]]-テーブル2[[#This Row],[標準体重]])/テーブル2[[#This Row],[標準体重]]*100)</f>
        <v>0</v>
      </c>
      <c r="AF386" s="26">
        <f>COUNTA(テーブル2[[#This Row],[握力]:[ボール投げ]])</f>
        <v>0</v>
      </c>
      <c r="AG386" s="1" t="str">
        <f>IF(テーブル2[[#This Row],[判定]]=$BE$10,"○","")</f>
        <v/>
      </c>
      <c r="AH386" s="1" t="str">
        <f>IF(AG386="","",COUNTIF($AG$6:AG386,"○"))</f>
        <v/>
      </c>
    </row>
    <row r="387" spans="1:34" ht="14.25" customHeight="1" x14ac:dyDescent="0.15">
      <c r="A387" s="44">
        <v>382</v>
      </c>
      <c r="B387" s="148"/>
      <c r="C387" s="151"/>
      <c r="D387" s="148"/>
      <c r="E387" s="152"/>
      <c r="F387" s="148"/>
      <c r="G387" s="148"/>
      <c r="H387" s="150"/>
      <c r="I387" s="150"/>
      <c r="J387" s="151"/>
      <c r="K387" s="148"/>
      <c r="L387" s="196"/>
      <c r="M387" s="151"/>
      <c r="N387" s="197"/>
      <c r="O387" s="151"/>
      <c r="P387" s="153"/>
      <c r="Q38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7" s="144" t="str">
        <f>IF(テーブル2[[#This Row],[得点]]=0,"",IF(テーブル2[[#This Row],[年齢]]=17,LOOKUP(Q387,$BH$6:$BH$10,$BE$6:$BE$10),IF(テーブル2[[#This Row],[年齢]]=16,LOOKUP(Q387,$BG$6:$BG$10,$BE$6:$BE$10),IF(テーブル2[[#This Row],[年齢]]=15,LOOKUP(Q387,$BF$6:$BF$10,$BE$6:$BE$10),IF(テーブル2[[#This Row],[年齢]]=14,LOOKUP(Q387,$BD$6:$BD$10,$BE$6:$BE$10),IF(テーブル2[[#This Row],[年齢]]=13,LOOKUP(Q387,$BC$6:$BC$10,$BE$6:$BE$10),LOOKUP(Q387,$BB$6:$BB$10,$BE$6:$BE$10)))))))</f>
        <v/>
      </c>
      <c r="S387" s="145">
        <f>IF(H387="",0,(IF(テーブル2[[#This Row],[性別]]="男",LOOKUP(テーブル2[[#This Row],[握力]],$AI$6:$AJ$15),LOOKUP(テーブル2[[#This Row],[握力]],$AI$20:$AJ$29))))</f>
        <v>0</v>
      </c>
      <c r="T387" s="145">
        <f>IF(テーブル2[[#This Row],[上体]]="",0,(IF(テーブル2[[#This Row],[性別]]="男",LOOKUP(テーブル2[[#This Row],[上体]],$AK$6:$AL$15),LOOKUP(テーブル2[[#This Row],[上体]],$AK$20:$AL$29))))</f>
        <v>0</v>
      </c>
      <c r="U387" s="145">
        <f>IF(テーブル2[[#This Row],[長座]]="",0,(IF(テーブル2[[#This Row],[性別]]="男",LOOKUP(テーブル2[[#This Row],[長座]],$AM$6:$AN$15),LOOKUP(テーブル2[[#This Row],[長座]],$AM$20:$AN$29))))</f>
        <v>0</v>
      </c>
      <c r="V387" s="145">
        <f>IF(テーブル2[[#This Row],[反復]]="",0,(IF(テーブル2[[#This Row],[性別]]="男",LOOKUP(テーブル2[[#This Row],[反復]],$AO$6:$AP$15),LOOKUP(テーブル2[[#This Row],[反復]],$AO$20:$AP$29))))</f>
        <v>0</v>
      </c>
      <c r="W387" s="145">
        <f>IF(テーブル2[[#This Row],[持久走]]="",0,(IF(テーブル2[[#This Row],[性別]]="男",LOOKUP(テーブル2[[#This Row],[持久走]],$AQ$6:$AR$15),LOOKUP(テーブル2[[#This Row],[持久走]],$AQ$20:$AR$29))))</f>
        <v>0</v>
      </c>
      <c r="X387" s="145">
        <f>IF(テーブル2[[#This Row],[ｼｬﾄﾙﾗﾝ]]="",0,(IF(テーブル2[[#This Row],[性別]]="男",LOOKUP(テーブル2[[#This Row],[ｼｬﾄﾙﾗﾝ]],$AS$6:$AT$15),LOOKUP(テーブル2[[#This Row],[ｼｬﾄﾙﾗﾝ]],$AS$20:$AT$29))))</f>
        <v>0</v>
      </c>
      <c r="Y387" s="145">
        <f>IF(テーブル2[[#This Row],[50m走]]="",0,(IF(テーブル2[[#This Row],[性別]]="男",LOOKUP(テーブル2[[#This Row],[50m走]],$AU$6:$AV$15),LOOKUP(テーブル2[[#This Row],[50m走]],$AU$20:$AV$29))))</f>
        <v>0</v>
      </c>
      <c r="Z387" s="145">
        <f>IF(テーブル2[[#This Row],[立幅とび]]="",0,(IF(テーブル2[[#This Row],[性別]]="男",LOOKUP(テーブル2[[#This Row],[立幅とび]],$AW$6:$AX$15),LOOKUP(テーブル2[[#This Row],[立幅とび]],$AW$20:$AX$29))))</f>
        <v>0</v>
      </c>
      <c r="AA387" s="145">
        <f>IF(テーブル2[[#This Row],[ボール投げ]]="",0,(IF(テーブル2[[#This Row],[性別]]="男",LOOKUP(テーブル2[[#This Row],[ボール投げ]],$AY$6:$AZ$15),LOOKUP(テーブル2[[#This Row],[ボール投げ]],$AY$20:$AZ$29))))</f>
        <v>0</v>
      </c>
      <c r="AB387" s="146" t="str">
        <f>IF(テーブル2[[#This Row],[学年]]=1,12,IF(テーブル2[[#This Row],[学年]]=2,13,IF(テーブル2[[#This Row],[学年]]=3,14,"")))</f>
        <v/>
      </c>
      <c r="AC387" s="192" t="str">
        <f>IF(テーブル2[[#This Row],[肥満度数値]]=0,"",LOOKUP(AE387,$AW$39:$AW$44,$AX$39:$AX$44))</f>
        <v/>
      </c>
      <c r="AD38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7" s="77">
        <f>IF(テーブル2[[#This Row],[体重]]="",0,(テーブル2[[#This Row],[体重]]-テーブル2[[#This Row],[標準体重]])/テーブル2[[#This Row],[標準体重]]*100)</f>
        <v>0</v>
      </c>
      <c r="AF387" s="26">
        <f>COUNTA(テーブル2[[#This Row],[握力]:[ボール投げ]])</f>
        <v>0</v>
      </c>
      <c r="AG387" s="1" t="str">
        <f>IF(テーブル2[[#This Row],[判定]]=$BE$10,"○","")</f>
        <v/>
      </c>
      <c r="AH387" s="1" t="str">
        <f>IF(AG387="","",COUNTIF($AG$6:AG387,"○"))</f>
        <v/>
      </c>
    </row>
    <row r="388" spans="1:34" ht="14.25" customHeight="1" x14ac:dyDescent="0.15">
      <c r="A388" s="44">
        <v>383</v>
      </c>
      <c r="B388" s="148"/>
      <c r="C388" s="151"/>
      <c r="D388" s="148"/>
      <c r="E388" s="152"/>
      <c r="F388" s="148"/>
      <c r="G388" s="148"/>
      <c r="H388" s="150"/>
      <c r="I388" s="150"/>
      <c r="J388" s="151"/>
      <c r="K388" s="148"/>
      <c r="L388" s="196"/>
      <c r="M388" s="151"/>
      <c r="N388" s="197"/>
      <c r="O388" s="151"/>
      <c r="P388" s="153"/>
      <c r="Q38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8" s="144" t="str">
        <f>IF(テーブル2[[#This Row],[得点]]=0,"",IF(テーブル2[[#This Row],[年齢]]=17,LOOKUP(Q388,$BH$6:$BH$10,$BE$6:$BE$10),IF(テーブル2[[#This Row],[年齢]]=16,LOOKUP(Q388,$BG$6:$BG$10,$BE$6:$BE$10),IF(テーブル2[[#This Row],[年齢]]=15,LOOKUP(Q388,$BF$6:$BF$10,$BE$6:$BE$10),IF(テーブル2[[#This Row],[年齢]]=14,LOOKUP(Q388,$BD$6:$BD$10,$BE$6:$BE$10),IF(テーブル2[[#This Row],[年齢]]=13,LOOKUP(Q388,$BC$6:$BC$10,$BE$6:$BE$10),LOOKUP(Q388,$BB$6:$BB$10,$BE$6:$BE$10)))))))</f>
        <v/>
      </c>
      <c r="S388" s="145">
        <f>IF(H388="",0,(IF(テーブル2[[#This Row],[性別]]="男",LOOKUP(テーブル2[[#This Row],[握力]],$AI$6:$AJ$15),LOOKUP(テーブル2[[#This Row],[握力]],$AI$20:$AJ$29))))</f>
        <v>0</v>
      </c>
      <c r="T388" s="145">
        <f>IF(テーブル2[[#This Row],[上体]]="",0,(IF(テーブル2[[#This Row],[性別]]="男",LOOKUP(テーブル2[[#This Row],[上体]],$AK$6:$AL$15),LOOKUP(テーブル2[[#This Row],[上体]],$AK$20:$AL$29))))</f>
        <v>0</v>
      </c>
      <c r="U388" s="145">
        <f>IF(テーブル2[[#This Row],[長座]]="",0,(IF(テーブル2[[#This Row],[性別]]="男",LOOKUP(テーブル2[[#This Row],[長座]],$AM$6:$AN$15),LOOKUP(テーブル2[[#This Row],[長座]],$AM$20:$AN$29))))</f>
        <v>0</v>
      </c>
      <c r="V388" s="145">
        <f>IF(テーブル2[[#This Row],[反復]]="",0,(IF(テーブル2[[#This Row],[性別]]="男",LOOKUP(テーブル2[[#This Row],[反復]],$AO$6:$AP$15),LOOKUP(テーブル2[[#This Row],[反復]],$AO$20:$AP$29))))</f>
        <v>0</v>
      </c>
      <c r="W388" s="145">
        <f>IF(テーブル2[[#This Row],[持久走]]="",0,(IF(テーブル2[[#This Row],[性別]]="男",LOOKUP(テーブル2[[#This Row],[持久走]],$AQ$6:$AR$15),LOOKUP(テーブル2[[#This Row],[持久走]],$AQ$20:$AR$29))))</f>
        <v>0</v>
      </c>
      <c r="X388" s="145">
        <f>IF(テーブル2[[#This Row],[ｼｬﾄﾙﾗﾝ]]="",0,(IF(テーブル2[[#This Row],[性別]]="男",LOOKUP(テーブル2[[#This Row],[ｼｬﾄﾙﾗﾝ]],$AS$6:$AT$15),LOOKUP(テーブル2[[#This Row],[ｼｬﾄﾙﾗﾝ]],$AS$20:$AT$29))))</f>
        <v>0</v>
      </c>
      <c r="Y388" s="145">
        <f>IF(テーブル2[[#This Row],[50m走]]="",0,(IF(テーブル2[[#This Row],[性別]]="男",LOOKUP(テーブル2[[#This Row],[50m走]],$AU$6:$AV$15),LOOKUP(テーブル2[[#This Row],[50m走]],$AU$20:$AV$29))))</f>
        <v>0</v>
      </c>
      <c r="Z388" s="145">
        <f>IF(テーブル2[[#This Row],[立幅とび]]="",0,(IF(テーブル2[[#This Row],[性別]]="男",LOOKUP(テーブル2[[#This Row],[立幅とび]],$AW$6:$AX$15),LOOKUP(テーブル2[[#This Row],[立幅とび]],$AW$20:$AX$29))))</f>
        <v>0</v>
      </c>
      <c r="AA388" s="145">
        <f>IF(テーブル2[[#This Row],[ボール投げ]]="",0,(IF(テーブル2[[#This Row],[性別]]="男",LOOKUP(テーブル2[[#This Row],[ボール投げ]],$AY$6:$AZ$15),LOOKUP(テーブル2[[#This Row],[ボール投げ]],$AY$20:$AZ$29))))</f>
        <v>0</v>
      </c>
      <c r="AB388" s="146" t="str">
        <f>IF(テーブル2[[#This Row],[学年]]=1,12,IF(テーブル2[[#This Row],[学年]]=2,13,IF(テーブル2[[#This Row],[学年]]=3,14,"")))</f>
        <v/>
      </c>
      <c r="AC388" s="192" t="str">
        <f>IF(テーブル2[[#This Row],[肥満度数値]]=0,"",LOOKUP(AE388,$AW$39:$AW$44,$AX$39:$AX$44))</f>
        <v/>
      </c>
      <c r="AD38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8" s="77">
        <f>IF(テーブル2[[#This Row],[体重]]="",0,(テーブル2[[#This Row],[体重]]-テーブル2[[#This Row],[標準体重]])/テーブル2[[#This Row],[標準体重]]*100)</f>
        <v>0</v>
      </c>
      <c r="AF388" s="26">
        <f>COUNTA(テーブル2[[#This Row],[握力]:[ボール投げ]])</f>
        <v>0</v>
      </c>
      <c r="AG388" s="1" t="str">
        <f>IF(テーブル2[[#This Row],[判定]]=$BE$10,"○","")</f>
        <v/>
      </c>
      <c r="AH388" s="1" t="str">
        <f>IF(AG388="","",COUNTIF($AG$6:AG388,"○"))</f>
        <v/>
      </c>
    </row>
    <row r="389" spans="1:34" ht="14.25" customHeight="1" x14ac:dyDescent="0.15">
      <c r="A389" s="44">
        <v>384</v>
      </c>
      <c r="B389" s="148"/>
      <c r="C389" s="151"/>
      <c r="D389" s="148"/>
      <c r="E389" s="152"/>
      <c r="F389" s="148"/>
      <c r="G389" s="148"/>
      <c r="H389" s="150"/>
      <c r="I389" s="150"/>
      <c r="J389" s="151"/>
      <c r="K389" s="148"/>
      <c r="L389" s="196"/>
      <c r="M389" s="151"/>
      <c r="N389" s="197"/>
      <c r="O389" s="151"/>
      <c r="P389" s="153"/>
      <c r="Q38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9" s="144" t="str">
        <f>IF(テーブル2[[#This Row],[得点]]=0,"",IF(テーブル2[[#This Row],[年齢]]=17,LOOKUP(Q389,$BH$6:$BH$10,$BE$6:$BE$10),IF(テーブル2[[#This Row],[年齢]]=16,LOOKUP(Q389,$BG$6:$BG$10,$BE$6:$BE$10),IF(テーブル2[[#This Row],[年齢]]=15,LOOKUP(Q389,$BF$6:$BF$10,$BE$6:$BE$10),IF(テーブル2[[#This Row],[年齢]]=14,LOOKUP(Q389,$BD$6:$BD$10,$BE$6:$BE$10),IF(テーブル2[[#This Row],[年齢]]=13,LOOKUP(Q389,$BC$6:$BC$10,$BE$6:$BE$10),LOOKUP(Q389,$BB$6:$BB$10,$BE$6:$BE$10)))))))</f>
        <v/>
      </c>
      <c r="S389" s="145">
        <f>IF(H389="",0,(IF(テーブル2[[#This Row],[性別]]="男",LOOKUP(テーブル2[[#This Row],[握力]],$AI$6:$AJ$15),LOOKUP(テーブル2[[#This Row],[握力]],$AI$20:$AJ$29))))</f>
        <v>0</v>
      </c>
      <c r="T389" s="145">
        <f>IF(テーブル2[[#This Row],[上体]]="",0,(IF(テーブル2[[#This Row],[性別]]="男",LOOKUP(テーブル2[[#This Row],[上体]],$AK$6:$AL$15),LOOKUP(テーブル2[[#This Row],[上体]],$AK$20:$AL$29))))</f>
        <v>0</v>
      </c>
      <c r="U389" s="145">
        <f>IF(テーブル2[[#This Row],[長座]]="",0,(IF(テーブル2[[#This Row],[性別]]="男",LOOKUP(テーブル2[[#This Row],[長座]],$AM$6:$AN$15),LOOKUP(テーブル2[[#This Row],[長座]],$AM$20:$AN$29))))</f>
        <v>0</v>
      </c>
      <c r="V389" s="145">
        <f>IF(テーブル2[[#This Row],[反復]]="",0,(IF(テーブル2[[#This Row],[性別]]="男",LOOKUP(テーブル2[[#This Row],[反復]],$AO$6:$AP$15),LOOKUP(テーブル2[[#This Row],[反復]],$AO$20:$AP$29))))</f>
        <v>0</v>
      </c>
      <c r="W389" s="145">
        <f>IF(テーブル2[[#This Row],[持久走]]="",0,(IF(テーブル2[[#This Row],[性別]]="男",LOOKUP(テーブル2[[#This Row],[持久走]],$AQ$6:$AR$15),LOOKUP(テーブル2[[#This Row],[持久走]],$AQ$20:$AR$29))))</f>
        <v>0</v>
      </c>
      <c r="X389" s="145">
        <f>IF(テーブル2[[#This Row],[ｼｬﾄﾙﾗﾝ]]="",0,(IF(テーブル2[[#This Row],[性別]]="男",LOOKUP(テーブル2[[#This Row],[ｼｬﾄﾙﾗﾝ]],$AS$6:$AT$15),LOOKUP(テーブル2[[#This Row],[ｼｬﾄﾙﾗﾝ]],$AS$20:$AT$29))))</f>
        <v>0</v>
      </c>
      <c r="Y389" s="145">
        <f>IF(テーブル2[[#This Row],[50m走]]="",0,(IF(テーブル2[[#This Row],[性別]]="男",LOOKUP(テーブル2[[#This Row],[50m走]],$AU$6:$AV$15),LOOKUP(テーブル2[[#This Row],[50m走]],$AU$20:$AV$29))))</f>
        <v>0</v>
      </c>
      <c r="Z389" s="145">
        <f>IF(テーブル2[[#This Row],[立幅とび]]="",0,(IF(テーブル2[[#This Row],[性別]]="男",LOOKUP(テーブル2[[#This Row],[立幅とび]],$AW$6:$AX$15),LOOKUP(テーブル2[[#This Row],[立幅とび]],$AW$20:$AX$29))))</f>
        <v>0</v>
      </c>
      <c r="AA389" s="145">
        <f>IF(テーブル2[[#This Row],[ボール投げ]]="",0,(IF(テーブル2[[#This Row],[性別]]="男",LOOKUP(テーブル2[[#This Row],[ボール投げ]],$AY$6:$AZ$15),LOOKUP(テーブル2[[#This Row],[ボール投げ]],$AY$20:$AZ$29))))</f>
        <v>0</v>
      </c>
      <c r="AB389" s="146" t="str">
        <f>IF(テーブル2[[#This Row],[学年]]=1,12,IF(テーブル2[[#This Row],[学年]]=2,13,IF(テーブル2[[#This Row],[学年]]=3,14,"")))</f>
        <v/>
      </c>
      <c r="AC389" s="192" t="str">
        <f>IF(テーブル2[[#This Row],[肥満度数値]]=0,"",LOOKUP(AE389,$AW$39:$AW$44,$AX$39:$AX$44))</f>
        <v/>
      </c>
      <c r="AD38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89" s="77">
        <f>IF(テーブル2[[#This Row],[体重]]="",0,(テーブル2[[#This Row],[体重]]-テーブル2[[#This Row],[標準体重]])/テーブル2[[#This Row],[標準体重]]*100)</f>
        <v>0</v>
      </c>
      <c r="AF389" s="26">
        <f>COUNTA(テーブル2[[#This Row],[握力]:[ボール投げ]])</f>
        <v>0</v>
      </c>
      <c r="AG389" s="1" t="str">
        <f>IF(テーブル2[[#This Row],[判定]]=$BE$10,"○","")</f>
        <v/>
      </c>
      <c r="AH389" s="1" t="str">
        <f>IF(AG389="","",COUNTIF($AG$6:AG389,"○"))</f>
        <v/>
      </c>
    </row>
    <row r="390" spans="1:34" ht="14.25" customHeight="1" x14ac:dyDescent="0.15">
      <c r="A390" s="44">
        <v>385</v>
      </c>
      <c r="B390" s="148"/>
      <c r="C390" s="151"/>
      <c r="D390" s="148"/>
      <c r="E390" s="152"/>
      <c r="F390" s="148"/>
      <c r="G390" s="148"/>
      <c r="H390" s="150"/>
      <c r="I390" s="150"/>
      <c r="J390" s="151"/>
      <c r="K390" s="148"/>
      <c r="L390" s="196"/>
      <c r="M390" s="151"/>
      <c r="N390" s="197"/>
      <c r="O390" s="151"/>
      <c r="P390" s="153"/>
      <c r="Q39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0" s="144" t="str">
        <f>IF(テーブル2[[#This Row],[得点]]=0,"",IF(テーブル2[[#This Row],[年齢]]=17,LOOKUP(Q390,$BH$6:$BH$10,$BE$6:$BE$10),IF(テーブル2[[#This Row],[年齢]]=16,LOOKUP(Q390,$BG$6:$BG$10,$BE$6:$BE$10),IF(テーブル2[[#This Row],[年齢]]=15,LOOKUP(Q390,$BF$6:$BF$10,$BE$6:$BE$10),IF(テーブル2[[#This Row],[年齢]]=14,LOOKUP(Q390,$BD$6:$BD$10,$BE$6:$BE$10),IF(テーブル2[[#This Row],[年齢]]=13,LOOKUP(Q390,$BC$6:$BC$10,$BE$6:$BE$10),LOOKUP(Q390,$BB$6:$BB$10,$BE$6:$BE$10)))))))</f>
        <v/>
      </c>
      <c r="S390" s="145">
        <f>IF(H390="",0,(IF(テーブル2[[#This Row],[性別]]="男",LOOKUP(テーブル2[[#This Row],[握力]],$AI$6:$AJ$15),LOOKUP(テーブル2[[#This Row],[握力]],$AI$20:$AJ$29))))</f>
        <v>0</v>
      </c>
      <c r="T390" s="145">
        <f>IF(テーブル2[[#This Row],[上体]]="",0,(IF(テーブル2[[#This Row],[性別]]="男",LOOKUP(テーブル2[[#This Row],[上体]],$AK$6:$AL$15),LOOKUP(テーブル2[[#This Row],[上体]],$AK$20:$AL$29))))</f>
        <v>0</v>
      </c>
      <c r="U390" s="145">
        <f>IF(テーブル2[[#This Row],[長座]]="",0,(IF(テーブル2[[#This Row],[性別]]="男",LOOKUP(テーブル2[[#This Row],[長座]],$AM$6:$AN$15),LOOKUP(テーブル2[[#This Row],[長座]],$AM$20:$AN$29))))</f>
        <v>0</v>
      </c>
      <c r="V390" s="145">
        <f>IF(テーブル2[[#This Row],[反復]]="",0,(IF(テーブル2[[#This Row],[性別]]="男",LOOKUP(テーブル2[[#This Row],[反復]],$AO$6:$AP$15),LOOKUP(テーブル2[[#This Row],[反復]],$AO$20:$AP$29))))</f>
        <v>0</v>
      </c>
      <c r="W390" s="145">
        <f>IF(テーブル2[[#This Row],[持久走]]="",0,(IF(テーブル2[[#This Row],[性別]]="男",LOOKUP(テーブル2[[#This Row],[持久走]],$AQ$6:$AR$15),LOOKUP(テーブル2[[#This Row],[持久走]],$AQ$20:$AR$29))))</f>
        <v>0</v>
      </c>
      <c r="X390" s="145">
        <f>IF(テーブル2[[#This Row],[ｼｬﾄﾙﾗﾝ]]="",0,(IF(テーブル2[[#This Row],[性別]]="男",LOOKUP(テーブル2[[#This Row],[ｼｬﾄﾙﾗﾝ]],$AS$6:$AT$15),LOOKUP(テーブル2[[#This Row],[ｼｬﾄﾙﾗﾝ]],$AS$20:$AT$29))))</f>
        <v>0</v>
      </c>
      <c r="Y390" s="145">
        <f>IF(テーブル2[[#This Row],[50m走]]="",0,(IF(テーブル2[[#This Row],[性別]]="男",LOOKUP(テーブル2[[#This Row],[50m走]],$AU$6:$AV$15),LOOKUP(テーブル2[[#This Row],[50m走]],$AU$20:$AV$29))))</f>
        <v>0</v>
      </c>
      <c r="Z390" s="145">
        <f>IF(テーブル2[[#This Row],[立幅とび]]="",0,(IF(テーブル2[[#This Row],[性別]]="男",LOOKUP(テーブル2[[#This Row],[立幅とび]],$AW$6:$AX$15),LOOKUP(テーブル2[[#This Row],[立幅とび]],$AW$20:$AX$29))))</f>
        <v>0</v>
      </c>
      <c r="AA390" s="145">
        <f>IF(テーブル2[[#This Row],[ボール投げ]]="",0,(IF(テーブル2[[#This Row],[性別]]="男",LOOKUP(テーブル2[[#This Row],[ボール投げ]],$AY$6:$AZ$15),LOOKUP(テーブル2[[#This Row],[ボール投げ]],$AY$20:$AZ$29))))</f>
        <v>0</v>
      </c>
      <c r="AB390" s="146" t="str">
        <f>IF(テーブル2[[#This Row],[学年]]=1,12,IF(テーブル2[[#This Row],[学年]]=2,13,IF(テーブル2[[#This Row],[学年]]=3,14,"")))</f>
        <v/>
      </c>
      <c r="AC390" s="192" t="str">
        <f>IF(テーブル2[[#This Row],[肥満度数値]]=0,"",LOOKUP(AE390,$AW$39:$AW$44,$AX$39:$AX$44))</f>
        <v/>
      </c>
      <c r="AD39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0" s="77">
        <f>IF(テーブル2[[#This Row],[体重]]="",0,(テーブル2[[#This Row],[体重]]-テーブル2[[#This Row],[標準体重]])/テーブル2[[#This Row],[標準体重]]*100)</f>
        <v>0</v>
      </c>
      <c r="AF390" s="26">
        <f>COUNTA(テーブル2[[#This Row],[握力]:[ボール投げ]])</f>
        <v>0</v>
      </c>
      <c r="AG390" s="1" t="str">
        <f>IF(テーブル2[[#This Row],[判定]]=$BE$10,"○","")</f>
        <v/>
      </c>
      <c r="AH390" s="1" t="str">
        <f>IF(AG390="","",COUNTIF($AG$6:AG390,"○"))</f>
        <v/>
      </c>
    </row>
    <row r="391" spans="1:34" ht="14.25" customHeight="1" x14ac:dyDescent="0.15">
      <c r="A391" s="44">
        <v>386</v>
      </c>
      <c r="B391" s="148"/>
      <c r="C391" s="151"/>
      <c r="D391" s="148"/>
      <c r="E391" s="152"/>
      <c r="F391" s="148"/>
      <c r="G391" s="148"/>
      <c r="H391" s="150"/>
      <c r="I391" s="150"/>
      <c r="J391" s="151"/>
      <c r="K391" s="148"/>
      <c r="L391" s="196"/>
      <c r="M391" s="151"/>
      <c r="N391" s="197"/>
      <c r="O391" s="151"/>
      <c r="P391" s="153"/>
      <c r="Q39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1" s="144" t="str">
        <f>IF(テーブル2[[#This Row],[得点]]=0,"",IF(テーブル2[[#This Row],[年齢]]=17,LOOKUP(Q391,$BH$6:$BH$10,$BE$6:$BE$10),IF(テーブル2[[#This Row],[年齢]]=16,LOOKUP(Q391,$BG$6:$BG$10,$BE$6:$BE$10),IF(テーブル2[[#This Row],[年齢]]=15,LOOKUP(Q391,$BF$6:$BF$10,$BE$6:$BE$10),IF(テーブル2[[#This Row],[年齢]]=14,LOOKUP(Q391,$BD$6:$BD$10,$BE$6:$BE$10),IF(テーブル2[[#This Row],[年齢]]=13,LOOKUP(Q391,$BC$6:$BC$10,$BE$6:$BE$10),LOOKUP(Q391,$BB$6:$BB$10,$BE$6:$BE$10)))))))</f>
        <v/>
      </c>
      <c r="S391" s="145">
        <f>IF(H391="",0,(IF(テーブル2[[#This Row],[性別]]="男",LOOKUP(テーブル2[[#This Row],[握力]],$AI$6:$AJ$15),LOOKUP(テーブル2[[#This Row],[握力]],$AI$20:$AJ$29))))</f>
        <v>0</v>
      </c>
      <c r="T391" s="145">
        <f>IF(テーブル2[[#This Row],[上体]]="",0,(IF(テーブル2[[#This Row],[性別]]="男",LOOKUP(テーブル2[[#This Row],[上体]],$AK$6:$AL$15),LOOKUP(テーブル2[[#This Row],[上体]],$AK$20:$AL$29))))</f>
        <v>0</v>
      </c>
      <c r="U391" s="145">
        <f>IF(テーブル2[[#This Row],[長座]]="",0,(IF(テーブル2[[#This Row],[性別]]="男",LOOKUP(テーブル2[[#This Row],[長座]],$AM$6:$AN$15),LOOKUP(テーブル2[[#This Row],[長座]],$AM$20:$AN$29))))</f>
        <v>0</v>
      </c>
      <c r="V391" s="145">
        <f>IF(テーブル2[[#This Row],[反復]]="",0,(IF(テーブル2[[#This Row],[性別]]="男",LOOKUP(テーブル2[[#This Row],[反復]],$AO$6:$AP$15),LOOKUP(テーブル2[[#This Row],[反復]],$AO$20:$AP$29))))</f>
        <v>0</v>
      </c>
      <c r="W391" s="145">
        <f>IF(テーブル2[[#This Row],[持久走]]="",0,(IF(テーブル2[[#This Row],[性別]]="男",LOOKUP(テーブル2[[#This Row],[持久走]],$AQ$6:$AR$15),LOOKUP(テーブル2[[#This Row],[持久走]],$AQ$20:$AR$29))))</f>
        <v>0</v>
      </c>
      <c r="X391" s="145">
        <f>IF(テーブル2[[#This Row],[ｼｬﾄﾙﾗﾝ]]="",0,(IF(テーブル2[[#This Row],[性別]]="男",LOOKUP(テーブル2[[#This Row],[ｼｬﾄﾙﾗﾝ]],$AS$6:$AT$15),LOOKUP(テーブル2[[#This Row],[ｼｬﾄﾙﾗﾝ]],$AS$20:$AT$29))))</f>
        <v>0</v>
      </c>
      <c r="Y391" s="145">
        <f>IF(テーブル2[[#This Row],[50m走]]="",0,(IF(テーブル2[[#This Row],[性別]]="男",LOOKUP(テーブル2[[#This Row],[50m走]],$AU$6:$AV$15),LOOKUP(テーブル2[[#This Row],[50m走]],$AU$20:$AV$29))))</f>
        <v>0</v>
      </c>
      <c r="Z391" s="145">
        <f>IF(テーブル2[[#This Row],[立幅とび]]="",0,(IF(テーブル2[[#This Row],[性別]]="男",LOOKUP(テーブル2[[#This Row],[立幅とび]],$AW$6:$AX$15),LOOKUP(テーブル2[[#This Row],[立幅とび]],$AW$20:$AX$29))))</f>
        <v>0</v>
      </c>
      <c r="AA391" s="145">
        <f>IF(テーブル2[[#This Row],[ボール投げ]]="",0,(IF(テーブル2[[#This Row],[性別]]="男",LOOKUP(テーブル2[[#This Row],[ボール投げ]],$AY$6:$AZ$15),LOOKUP(テーブル2[[#This Row],[ボール投げ]],$AY$20:$AZ$29))))</f>
        <v>0</v>
      </c>
      <c r="AB391" s="146" t="str">
        <f>IF(テーブル2[[#This Row],[学年]]=1,12,IF(テーブル2[[#This Row],[学年]]=2,13,IF(テーブル2[[#This Row],[学年]]=3,14,"")))</f>
        <v/>
      </c>
      <c r="AC391" s="192" t="str">
        <f>IF(テーブル2[[#This Row],[肥満度数値]]=0,"",LOOKUP(AE391,$AW$39:$AW$44,$AX$39:$AX$44))</f>
        <v/>
      </c>
      <c r="AD39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1" s="77">
        <f>IF(テーブル2[[#This Row],[体重]]="",0,(テーブル2[[#This Row],[体重]]-テーブル2[[#This Row],[標準体重]])/テーブル2[[#This Row],[標準体重]]*100)</f>
        <v>0</v>
      </c>
      <c r="AF391" s="26">
        <f>COUNTA(テーブル2[[#This Row],[握力]:[ボール投げ]])</f>
        <v>0</v>
      </c>
      <c r="AG391" s="1" t="str">
        <f>IF(テーブル2[[#This Row],[判定]]=$BE$10,"○","")</f>
        <v/>
      </c>
      <c r="AH391" s="1" t="str">
        <f>IF(AG391="","",COUNTIF($AG$6:AG391,"○"))</f>
        <v/>
      </c>
    </row>
    <row r="392" spans="1:34" ht="14.25" customHeight="1" x14ac:dyDescent="0.15">
      <c r="A392" s="44">
        <v>387</v>
      </c>
      <c r="B392" s="148"/>
      <c r="C392" s="151"/>
      <c r="D392" s="148"/>
      <c r="E392" s="152"/>
      <c r="F392" s="148"/>
      <c r="G392" s="148"/>
      <c r="H392" s="150"/>
      <c r="I392" s="150"/>
      <c r="J392" s="151"/>
      <c r="K392" s="148"/>
      <c r="L392" s="196"/>
      <c r="M392" s="151"/>
      <c r="N392" s="197"/>
      <c r="O392" s="151"/>
      <c r="P392" s="153"/>
      <c r="Q39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2" s="144" t="str">
        <f>IF(テーブル2[[#This Row],[得点]]=0,"",IF(テーブル2[[#This Row],[年齢]]=17,LOOKUP(Q392,$BH$6:$BH$10,$BE$6:$BE$10),IF(テーブル2[[#This Row],[年齢]]=16,LOOKUP(Q392,$BG$6:$BG$10,$BE$6:$BE$10),IF(テーブル2[[#This Row],[年齢]]=15,LOOKUP(Q392,$BF$6:$BF$10,$BE$6:$BE$10),IF(テーブル2[[#This Row],[年齢]]=14,LOOKUP(Q392,$BD$6:$BD$10,$BE$6:$BE$10),IF(テーブル2[[#This Row],[年齢]]=13,LOOKUP(Q392,$BC$6:$BC$10,$BE$6:$BE$10),LOOKUP(Q392,$BB$6:$BB$10,$BE$6:$BE$10)))))))</f>
        <v/>
      </c>
      <c r="S392" s="145">
        <f>IF(H392="",0,(IF(テーブル2[[#This Row],[性別]]="男",LOOKUP(テーブル2[[#This Row],[握力]],$AI$6:$AJ$15),LOOKUP(テーブル2[[#This Row],[握力]],$AI$20:$AJ$29))))</f>
        <v>0</v>
      </c>
      <c r="T392" s="145">
        <f>IF(テーブル2[[#This Row],[上体]]="",0,(IF(テーブル2[[#This Row],[性別]]="男",LOOKUP(テーブル2[[#This Row],[上体]],$AK$6:$AL$15),LOOKUP(テーブル2[[#This Row],[上体]],$AK$20:$AL$29))))</f>
        <v>0</v>
      </c>
      <c r="U392" s="145">
        <f>IF(テーブル2[[#This Row],[長座]]="",0,(IF(テーブル2[[#This Row],[性別]]="男",LOOKUP(テーブル2[[#This Row],[長座]],$AM$6:$AN$15),LOOKUP(テーブル2[[#This Row],[長座]],$AM$20:$AN$29))))</f>
        <v>0</v>
      </c>
      <c r="V392" s="145">
        <f>IF(テーブル2[[#This Row],[反復]]="",0,(IF(テーブル2[[#This Row],[性別]]="男",LOOKUP(テーブル2[[#This Row],[反復]],$AO$6:$AP$15),LOOKUP(テーブル2[[#This Row],[反復]],$AO$20:$AP$29))))</f>
        <v>0</v>
      </c>
      <c r="W392" s="145">
        <f>IF(テーブル2[[#This Row],[持久走]]="",0,(IF(テーブル2[[#This Row],[性別]]="男",LOOKUP(テーブル2[[#This Row],[持久走]],$AQ$6:$AR$15),LOOKUP(テーブル2[[#This Row],[持久走]],$AQ$20:$AR$29))))</f>
        <v>0</v>
      </c>
      <c r="X392" s="145">
        <f>IF(テーブル2[[#This Row],[ｼｬﾄﾙﾗﾝ]]="",0,(IF(テーブル2[[#This Row],[性別]]="男",LOOKUP(テーブル2[[#This Row],[ｼｬﾄﾙﾗﾝ]],$AS$6:$AT$15),LOOKUP(テーブル2[[#This Row],[ｼｬﾄﾙﾗﾝ]],$AS$20:$AT$29))))</f>
        <v>0</v>
      </c>
      <c r="Y392" s="145">
        <f>IF(テーブル2[[#This Row],[50m走]]="",0,(IF(テーブル2[[#This Row],[性別]]="男",LOOKUP(テーブル2[[#This Row],[50m走]],$AU$6:$AV$15),LOOKUP(テーブル2[[#This Row],[50m走]],$AU$20:$AV$29))))</f>
        <v>0</v>
      </c>
      <c r="Z392" s="145">
        <f>IF(テーブル2[[#This Row],[立幅とび]]="",0,(IF(テーブル2[[#This Row],[性別]]="男",LOOKUP(テーブル2[[#This Row],[立幅とび]],$AW$6:$AX$15),LOOKUP(テーブル2[[#This Row],[立幅とび]],$AW$20:$AX$29))))</f>
        <v>0</v>
      </c>
      <c r="AA392" s="145">
        <f>IF(テーブル2[[#This Row],[ボール投げ]]="",0,(IF(テーブル2[[#This Row],[性別]]="男",LOOKUP(テーブル2[[#This Row],[ボール投げ]],$AY$6:$AZ$15),LOOKUP(テーブル2[[#This Row],[ボール投げ]],$AY$20:$AZ$29))))</f>
        <v>0</v>
      </c>
      <c r="AB392" s="146" t="str">
        <f>IF(テーブル2[[#This Row],[学年]]=1,12,IF(テーブル2[[#This Row],[学年]]=2,13,IF(テーブル2[[#This Row],[学年]]=3,14,"")))</f>
        <v/>
      </c>
      <c r="AC392" s="192" t="str">
        <f>IF(テーブル2[[#This Row],[肥満度数値]]=0,"",LOOKUP(AE392,$AW$39:$AW$44,$AX$39:$AX$44))</f>
        <v/>
      </c>
      <c r="AD39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2" s="77">
        <f>IF(テーブル2[[#This Row],[体重]]="",0,(テーブル2[[#This Row],[体重]]-テーブル2[[#This Row],[標準体重]])/テーブル2[[#This Row],[標準体重]]*100)</f>
        <v>0</v>
      </c>
      <c r="AF392" s="26">
        <f>COUNTA(テーブル2[[#This Row],[握力]:[ボール投げ]])</f>
        <v>0</v>
      </c>
      <c r="AG392" s="1" t="str">
        <f>IF(テーブル2[[#This Row],[判定]]=$BE$10,"○","")</f>
        <v/>
      </c>
      <c r="AH392" s="1" t="str">
        <f>IF(AG392="","",COUNTIF($AG$6:AG392,"○"))</f>
        <v/>
      </c>
    </row>
    <row r="393" spans="1:34" ht="14.25" customHeight="1" x14ac:dyDescent="0.15">
      <c r="A393" s="44">
        <v>388</v>
      </c>
      <c r="B393" s="148"/>
      <c r="C393" s="151"/>
      <c r="D393" s="148"/>
      <c r="E393" s="152"/>
      <c r="F393" s="148"/>
      <c r="G393" s="148"/>
      <c r="H393" s="150"/>
      <c r="I393" s="150"/>
      <c r="J393" s="151"/>
      <c r="K393" s="148"/>
      <c r="L393" s="196"/>
      <c r="M393" s="151"/>
      <c r="N393" s="197"/>
      <c r="O393" s="151"/>
      <c r="P393" s="153"/>
      <c r="Q39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3" s="144" t="str">
        <f>IF(テーブル2[[#This Row],[得点]]=0,"",IF(テーブル2[[#This Row],[年齢]]=17,LOOKUP(Q393,$BH$6:$BH$10,$BE$6:$BE$10),IF(テーブル2[[#This Row],[年齢]]=16,LOOKUP(Q393,$BG$6:$BG$10,$BE$6:$BE$10),IF(テーブル2[[#This Row],[年齢]]=15,LOOKUP(Q393,$BF$6:$BF$10,$BE$6:$BE$10),IF(テーブル2[[#This Row],[年齢]]=14,LOOKUP(Q393,$BD$6:$BD$10,$BE$6:$BE$10),IF(テーブル2[[#This Row],[年齢]]=13,LOOKUP(Q393,$BC$6:$BC$10,$BE$6:$BE$10),LOOKUP(Q393,$BB$6:$BB$10,$BE$6:$BE$10)))))))</f>
        <v/>
      </c>
      <c r="S393" s="145">
        <f>IF(H393="",0,(IF(テーブル2[[#This Row],[性別]]="男",LOOKUP(テーブル2[[#This Row],[握力]],$AI$6:$AJ$15),LOOKUP(テーブル2[[#This Row],[握力]],$AI$20:$AJ$29))))</f>
        <v>0</v>
      </c>
      <c r="T393" s="145">
        <f>IF(テーブル2[[#This Row],[上体]]="",0,(IF(テーブル2[[#This Row],[性別]]="男",LOOKUP(テーブル2[[#This Row],[上体]],$AK$6:$AL$15),LOOKUP(テーブル2[[#This Row],[上体]],$AK$20:$AL$29))))</f>
        <v>0</v>
      </c>
      <c r="U393" s="145">
        <f>IF(テーブル2[[#This Row],[長座]]="",0,(IF(テーブル2[[#This Row],[性別]]="男",LOOKUP(テーブル2[[#This Row],[長座]],$AM$6:$AN$15),LOOKUP(テーブル2[[#This Row],[長座]],$AM$20:$AN$29))))</f>
        <v>0</v>
      </c>
      <c r="V393" s="145">
        <f>IF(テーブル2[[#This Row],[反復]]="",0,(IF(テーブル2[[#This Row],[性別]]="男",LOOKUP(テーブル2[[#This Row],[反復]],$AO$6:$AP$15),LOOKUP(テーブル2[[#This Row],[反復]],$AO$20:$AP$29))))</f>
        <v>0</v>
      </c>
      <c r="W393" s="145">
        <f>IF(テーブル2[[#This Row],[持久走]]="",0,(IF(テーブル2[[#This Row],[性別]]="男",LOOKUP(テーブル2[[#This Row],[持久走]],$AQ$6:$AR$15),LOOKUP(テーブル2[[#This Row],[持久走]],$AQ$20:$AR$29))))</f>
        <v>0</v>
      </c>
      <c r="X393" s="145">
        <f>IF(テーブル2[[#This Row],[ｼｬﾄﾙﾗﾝ]]="",0,(IF(テーブル2[[#This Row],[性別]]="男",LOOKUP(テーブル2[[#This Row],[ｼｬﾄﾙﾗﾝ]],$AS$6:$AT$15),LOOKUP(テーブル2[[#This Row],[ｼｬﾄﾙﾗﾝ]],$AS$20:$AT$29))))</f>
        <v>0</v>
      </c>
      <c r="Y393" s="145">
        <f>IF(テーブル2[[#This Row],[50m走]]="",0,(IF(テーブル2[[#This Row],[性別]]="男",LOOKUP(テーブル2[[#This Row],[50m走]],$AU$6:$AV$15),LOOKUP(テーブル2[[#This Row],[50m走]],$AU$20:$AV$29))))</f>
        <v>0</v>
      </c>
      <c r="Z393" s="145">
        <f>IF(テーブル2[[#This Row],[立幅とび]]="",0,(IF(テーブル2[[#This Row],[性別]]="男",LOOKUP(テーブル2[[#This Row],[立幅とび]],$AW$6:$AX$15),LOOKUP(テーブル2[[#This Row],[立幅とび]],$AW$20:$AX$29))))</f>
        <v>0</v>
      </c>
      <c r="AA393" s="145">
        <f>IF(テーブル2[[#This Row],[ボール投げ]]="",0,(IF(テーブル2[[#This Row],[性別]]="男",LOOKUP(テーブル2[[#This Row],[ボール投げ]],$AY$6:$AZ$15),LOOKUP(テーブル2[[#This Row],[ボール投げ]],$AY$20:$AZ$29))))</f>
        <v>0</v>
      </c>
      <c r="AB393" s="146" t="str">
        <f>IF(テーブル2[[#This Row],[学年]]=1,12,IF(テーブル2[[#This Row],[学年]]=2,13,IF(テーブル2[[#This Row],[学年]]=3,14,"")))</f>
        <v/>
      </c>
      <c r="AC393" s="192" t="str">
        <f>IF(テーブル2[[#This Row],[肥満度数値]]=0,"",LOOKUP(AE393,$AW$39:$AW$44,$AX$39:$AX$44))</f>
        <v/>
      </c>
      <c r="AD39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3" s="77">
        <f>IF(テーブル2[[#This Row],[体重]]="",0,(テーブル2[[#This Row],[体重]]-テーブル2[[#This Row],[標準体重]])/テーブル2[[#This Row],[標準体重]]*100)</f>
        <v>0</v>
      </c>
      <c r="AF393" s="26">
        <f>COUNTA(テーブル2[[#This Row],[握力]:[ボール投げ]])</f>
        <v>0</v>
      </c>
      <c r="AG393" s="1" t="str">
        <f>IF(テーブル2[[#This Row],[判定]]=$BE$10,"○","")</f>
        <v/>
      </c>
      <c r="AH393" s="1" t="str">
        <f>IF(AG393="","",COUNTIF($AG$6:AG393,"○"))</f>
        <v/>
      </c>
    </row>
    <row r="394" spans="1:34" ht="14.25" customHeight="1" x14ac:dyDescent="0.15">
      <c r="A394" s="44">
        <v>389</v>
      </c>
      <c r="B394" s="148"/>
      <c r="C394" s="151"/>
      <c r="D394" s="148"/>
      <c r="E394" s="152"/>
      <c r="F394" s="148"/>
      <c r="G394" s="148"/>
      <c r="H394" s="150"/>
      <c r="I394" s="150"/>
      <c r="J394" s="151"/>
      <c r="K394" s="148"/>
      <c r="L394" s="196"/>
      <c r="M394" s="151"/>
      <c r="N394" s="197"/>
      <c r="O394" s="151"/>
      <c r="P394" s="153"/>
      <c r="Q39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4" s="144" t="str">
        <f>IF(テーブル2[[#This Row],[得点]]=0,"",IF(テーブル2[[#This Row],[年齢]]=17,LOOKUP(Q394,$BH$6:$BH$10,$BE$6:$BE$10),IF(テーブル2[[#This Row],[年齢]]=16,LOOKUP(Q394,$BG$6:$BG$10,$BE$6:$BE$10),IF(テーブル2[[#This Row],[年齢]]=15,LOOKUP(Q394,$BF$6:$BF$10,$BE$6:$BE$10),IF(テーブル2[[#This Row],[年齢]]=14,LOOKUP(Q394,$BD$6:$BD$10,$BE$6:$BE$10),IF(テーブル2[[#This Row],[年齢]]=13,LOOKUP(Q394,$BC$6:$BC$10,$BE$6:$BE$10),LOOKUP(Q394,$BB$6:$BB$10,$BE$6:$BE$10)))))))</f>
        <v/>
      </c>
      <c r="S394" s="145">
        <f>IF(H394="",0,(IF(テーブル2[[#This Row],[性別]]="男",LOOKUP(テーブル2[[#This Row],[握力]],$AI$6:$AJ$15),LOOKUP(テーブル2[[#This Row],[握力]],$AI$20:$AJ$29))))</f>
        <v>0</v>
      </c>
      <c r="T394" s="145">
        <f>IF(テーブル2[[#This Row],[上体]]="",0,(IF(テーブル2[[#This Row],[性別]]="男",LOOKUP(テーブル2[[#This Row],[上体]],$AK$6:$AL$15),LOOKUP(テーブル2[[#This Row],[上体]],$AK$20:$AL$29))))</f>
        <v>0</v>
      </c>
      <c r="U394" s="145">
        <f>IF(テーブル2[[#This Row],[長座]]="",0,(IF(テーブル2[[#This Row],[性別]]="男",LOOKUP(テーブル2[[#This Row],[長座]],$AM$6:$AN$15),LOOKUP(テーブル2[[#This Row],[長座]],$AM$20:$AN$29))))</f>
        <v>0</v>
      </c>
      <c r="V394" s="145">
        <f>IF(テーブル2[[#This Row],[反復]]="",0,(IF(テーブル2[[#This Row],[性別]]="男",LOOKUP(テーブル2[[#This Row],[反復]],$AO$6:$AP$15),LOOKUP(テーブル2[[#This Row],[反復]],$AO$20:$AP$29))))</f>
        <v>0</v>
      </c>
      <c r="W394" s="145">
        <f>IF(テーブル2[[#This Row],[持久走]]="",0,(IF(テーブル2[[#This Row],[性別]]="男",LOOKUP(テーブル2[[#This Row],[持久走]],$AQ$6:$AR$15),LOOKUP(テーブル2[[#This Row],[持久走]],$AQ$20:$AR$29))))</f>
        <v>0</v>
      </c>
      <c r="X394" s="145">
        <f>IF(テーブル2[[#This Row],[ｼｬﾄﾙﾗﾝ]]="",0,(IF(テーブル2[[#This Row],[性別]]="男",LOOKUP(テーブル2[[#This Row],[ｼｬﾄﾙﾗﾝ]],$AS$6:$AT$15),LOOKUP(テーブル2[[#This Row],[ｼｬﾄﾙﾗﾝ]],$AS$20:$AT$29))))</f>
        <v>0</v>
      </c>
      <c r="Y394" s="145">
        <f>IF(テーブル2[[#This Row],[50m走]]="",0,(IF(テーブル2[[#This Row],[性別]]="男",LOOKUP(テーブル2[[#This Row],[50m走]],$AU$6:$AV$15),LOOKUP(テーブル2[[#This Row],[50m走]],$AU$20:$AV$29))))</f>
        <v>0</v>
      </c>
      <c r="Z394" s="145">
        <f>IF(テーブル2[[#This Row],[立幅とび]]="",0,(IF(テーブル2[[#This Row],[性別]]="男",LOOKUP(テーブル2[[#This Row],[立幅とび]],$AW$6:$AX$15),LOOKUP(テーブル2[[#This Row],[立幅とび]],$AW$20:$AX$29))))</f>
        <v>0</v>
      </c>
      <c r="AA394" s="145">
        <f>IF(テーブル2[[#This Row],[ボール投げ]]="",0,(IF(テーブル2[[#This Row],[性別]]="男",LOOKUP(テーブル2[[#This Row],[ボール投げ]],$AY$6:$AZ$15),LOOKUP(テーブル2[[#This Row],[ボール投げ]],$AY$20:$AZ$29))))</f>
        <v>0</v>
      </c>
      <c r="AB394" s="146" t="str">
        <f>IF(テーブル2[[#This Row],[学年]]=1,12,IF(テーブル2[[#This Row],[学年]]=2,13,IF(テーブル2[[#This Row],[学年]]=3,14,"")))</f>
        <v/>
      </c>
      <c r="AC394" s="192" t="str">
        <f>IF(テーブル2[[#This Row],[肥満度数値]]=0,"",LOOKUP(AE394,$AW$39:$AW$44,$AX$39:$AX$44))</f>
        <v/>
      </c>
      <c r="AD39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4" s="77">
        <f>IF(テーブル2[[#This Row],[体重]]="",0,(テーブル2[[#This Row],[体重]]-テーブル2[[#This Row],[標準体重]])/テーブル2[[#This Row],[標準体重]]*100)</f>
        <v>0</v>
      </c>
      <c r="AF394" s="26">
        <f>COUNTA(テーブル2[[#This Row],[握力]:[ボール投げ]])</f>
        <v>0</v>
      </c>
      <c r="AG394" s="1" t="str">
        <f>IF(テーブル2[[#This Row],[判定]]=$BE$10,"○","")</f>
        <v/>
      </c>
      <c r="AH394" s="1" t="str">
        <f>IF(AG394="","",COUNTIF($AG$6:AG394,"○"))</f>
        <v/>
      </c>
    </row>
    <row r="395" spans="1:34" ht="14.25" customHeight="1" x14ac:dyDescent="0.15">
      <c r="A395" s="44">
        <v>390</v>
      </c>
      <c r="B395" s="148"/>
      <c r="C395" s="151"/>
      <c r="D395" s="148"/>
      <c r="E395" s="152"/>
      <c r="F395" s="148"/>
      <c r="G395" s="148"/>
      <c r="H395" s="150"/>
      <c r="I395" s="150"/>
      <c r="J395" s="151"/>
      <c r="K395" s="148"/>
      <c r="L395" s="196"/>
      <c r="M395" s="151"/>
      <c r="N395" s="197"/>
      <c r="O395" s="151"/>
      <c r="P395" s="153"/>
      <c r="Q39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5" s="144" t="str">
        <f>IF(テーブル2[[#This Row],[得点]]=0,"",IF(テーブル2[[#This Row],[年齢]]=17,LOOKUP(Q395,$BH$6:$BH$10,$BE$6:$BE$10),IF(テーブル2[[#This Row],[年齢]]=16,LOOKUP(Q395,$BG$6:$BG$10,$BE$6:$BE$10),IF(テーブル2[[#This Row],[年齢]]=15,LOOKUP(Q395,$BF$6:$BF$10,$BE$6:$BE$10),IF(テーブル2[[#This Row],[年齢]]=14,LOOKUP(Q395,$BD$6:$BD$10,$BE$6:$BE$10),IF(テーブル2[[#This Row],[年齢]]=13,LOOKUP(Q395,$BC$6:$BC$10,$BE$6:$BE$10),LOOKUP(Q395,$BB$6:$BB$10,$BE$6:$BE$10)))))))</f>
        <v/>
      </c>
      <c r="S395" s="145">
        <f>IF(H395="",0,(IF(テーブル2[[#This Row],[性別]]="男",LOOKUP(テーブル2[[#This Row],[握力]],$AI$6:$AJ$15),LOOKUP(テーブル2[[#This Row],[握力]],$AI$20:$AJ$29))))</f>
        <v>0</v>
      </c>
      <c r="T395" s="145">
        <f>IF(テーブル2[[#This Row],[上体]]="",0,(IF(テーブル2[[#This Row],[性別]]="男",LOOKUP(テーブル2[[#This Row],[上体]],$AK$6:$AL$15),LOOKUP(テーブル2[[#This Row],[上体]],$AK$20:$AL$29))))</f>
        <v>0</v>
      </c>
      <c r="U395" s="145">
        <f>IF(テーブル2[[#This Row],[長座]]="",0,(IF(テーブル2[[#This Row],[性別]]="男",LOOKUP(テーブル2[[#This Row],[長座]],$AM$6:$AN$15),LOOKUP(テーブル2[[#This Row],[長座]],$AM$20:$AN$29))))</f>
        <v>0</v>
      </c>
      <c r="V395" s="145">
        <f>IF(テーブル2[[#This Row],[反復]]="",0,(IF(テーブル2[[#This Row],[性別]]="男",LOOKUP(テーブル2[[#This Row],[反復]],$AO$6:$AP$15),LOOKUP(テーブル2[[#This Row],[反復]],$AO$20:$AP$29))))</f>
        <v>0</v>
      </c>
      <c r="W395" s="145">
        <f>IF(テーブル2[[#This Row],[持久走]]="",0,(IF(テーブル2[[#This Row],[性別]]="男",LOOKUP(テーブル2[[#This Row],[持久走]],$AQ$6:$AR$15),LOOKUP(テーブル2[[#This Row],[持久走]],$AQ$20:$AR$29))))</f>
        <v>0</v>
      </c>
      <c r="X395" s="145">
        <f>IF(テーブル2[[#This Row],[ｼｬﾄﾙﾗﾝ]]="",0,(IF(テーブル2[[#This Row],[性別]]="男",LOOKUP(テーブル2[[#This Row],[ｼｬﾄﾙﾗﾝ]],$AS$6:$AT$15),LOOKUP(テーブル2[[#This Row],[ｼｬﾄﾙﾗﾝ]],$AS$20:$AT$29))))</f>
        <v>0</v>
      </c>
      <c r="Y395" s="145">
        <f>IF(テーブル2[[#This Row],[50m走]]="",0,(IF(テーブル2[[#This Row],[性別]]="男",LOOKUP(テーブル2[[#This Row],[50m走]],$AU$6:$AV$15),LOOKUP(テーブル2[[#This Row],[50m走]],$AU$20:$AV$29))))</f>
        <v>0</v>
      </c>
      <c r="Z395" s="145">
        <f>IF(テーブル2[[#This Row],[立幅とび]]="",0,(IF(テーブル2[[#This Row],[性別]]="男",LOOKUP(テーブル2[[#This Row],[立幅とび]],$AW$6:$AX$15),LOOKUP(テーブル2[[#This Row],[立幅とび]],$AW$20:$AX$29))))</f>
        <v>0</v>
      </c>
      <c r="AA395" s="145">
        <f>IF(テーブル2[[#This Row],[ボール投げ]]="",0,(IF(テーブル2[[#This Row],[性別]]="男",LOOKUP(テーブル2[[#This Row],[ボール投げ]],$AY$6:$AZ$15),LOOKUP(テーブル2[[#This Row],[ボール投げ]],$AY$20:$AZ$29))))</f>
        <v>0</v>
      </c>
      <c r="AB395" s="146" t="str">
        <f>IF(テーブル2[[#This Row],[学年]]=1,12,IF(テーブル2[[#This Row],[学年]]=2,13,IF(テーブル2[[#This Row],[学年]]=3,14,"")))</f>
        <v/>
      </c>
      <c r="AC395" s="192" t="str">
        <f>IF(テーブル2[[#This Row],[肥満度数値]]=0,"",LOOKUP(AE395,$AW$39:$AW$44,$AX$39:$AX$44))</f>
        <v/>
      </c>
      <c r="AD39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5" s="77">
        <f>IF(テーブル2[[#This Row],[体重]]="",0,(テーブル2[[#This Row],[体重]]-テーブル2[[#This Row],[標準体重]])/テーブル2[[#This Row],[標準体重]]*100)</f>
        <v>0</v>
      </c>
      <c r="AF395" s="26">
        <f>COUNTA(テーブル2[[#This Row],[握力]:[ボール投げ]])</f>
        <v>0</v>
      </c>
      <c r="AG395" s="1" t="str">
        <f>IF(テーブル2[[#This Row],[判定]]=$BE$10,"○","")</f>
        <v/>
      </c>
      <c r="AH395" s="1" t="str">
        <f>IF(AG395="","",COUNTIF($AG$6:AG395,"○"))</f>
        <v/>
      </c>
    </row>
    <row r="396" spans="1:34" ht="14.25" customHeight="1" x14ac:dyDescent="0.15">
      <c r="A396" s="44">
        <v>391</v>
      </c>
      <c r="B396" s="148"/>
      <c r="C396" s="151"/>
      <c r="D396" s="148"/>
      <c r="E396" s="152"/>
      <c r="F396" s="148"/>
      <c r="G396" s="148"/>
      <c r="H396" s="150"/>
      <c r="I396" s="150"/>
      <c r="J396" s="151"/>
      <c r="K396" s="148"/>
      <c r="L396" s="196"/>
      <c r="M396" s="151"/>
      <c r="N396" s="197"/>
      <c r="O396" s="151"/>
      <c r="P396" s="153"/>
      <c r="Q39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6" s="144" t="str">
        <f>IF(テーブル2[[#This Row],[得点]]=0,"",IF(テーブル2[[#This Row],[年齢]]=17,LOOKUP(Q396,$BH$6:$BH$10,$BE$6:$BE$10),IF(テーブル2[[#This Row],[年齢]]=16,LOOKUP(Q396,$BG$6:$BG$10,$BE$6:$BE$10),IF(テーブル2[[#This Row],[年齢]]=15,LOOKUP(Q396,$BF$6:$BF$10,$BE$6:$BE$10),IF(テーブル2[[#This Row],[年齢]]=14,LOOKUP(Q396,$BD$6:$BD$10,$BE$6:$BE$10),IF(テーブル2[[#This Row],[年齢]]=13,LOOKUP(Q396,$BC$6:$BC$10,$BE$6:$BE$10),LOOKUP(Q396,$BB$6:$BB$10,$BE$6:$BE$10)))))))</f>
        <v/>
      </c>
      <c r="S396" s="145">
        <f>IF(H396="",0,(IF(テーブル2[[#This Row],[性別]]="男",LOOKUP(テーブル2[[#This Row],[握力]],$AI$6:$AJ$15),LOOKUP(テーブル2[[#This Row],[握力]],$AI$20:$AJ$29))))</f>
        <v>0</v>
      </c>
      <c r="T396" s="145">
        <f>IF(テーブル2[[#This Row],[上体]]="",0,(IF(テーブル2[[#This Row],[性別]]="男",LOOKUP(テーブル2[[#This Row],[上体]],$AK$6:$AL$15),LOOKUP(テーブル2[[#This Row],[上体]],$AK$20:$AL$29))))</f>
        <v>0</v>
      </c>
      <c r="U396" s="145">
        <f>IF(テーブル2[[#This Row],[長座]]="",0,(IF(テーブル2[[#This Row],[性別]]="男",LOOKUP(テーブル2[[#This Row],[長座]],$AM$6:$AN$15),LOOKUP(テーブル2[[#This Row],[長座]],$AM$20:$AN$29))))</f>
        <v>0</v>
      </c>
      <c r="V396" s="145">
        <f>IF(テーブル2[[#This Row],[反復]]="",0,(IF(テーブル2[[#This Row],[性別]]="男",LOOKUP(テーブル2[[#This Row],[反復]],$AO$6:$AP$15),LOOKUP(テーブル2[[#This Row],[反復]],$AO$20:$AP$29))))</f>
        <v>0</v>
      </c>
      <c r="W396" s="145">
        <f>IF(テーブル2[[#This Row],[持久走]]="",0,(IF(テーブル2[[#This Row],[性別]]="男",LOOKUP(テーブル2[[#This Row],[持久走]],$AQ$6:$AR$15),LOOKUP(テーブル2[[#This Row],[持久走]],$AQ$20:$AR$29))))</f>
        <v>0</v>
      </c>
      <c r="X396" s="145">
        <f>IF(テーブル2[[#This Row],[ｼｬﾄﾙﾗﾝ]]="",0,(IF(テーブル2[[#This Row],[性別]]="男",LOOKUP(テーブル2[[#This Row],[ｼｬﾄﾙﾗﾝ]],$AS$6:$AT$15),LOOKUP(テーブル2[[#This Row],[ｼｬﾄﾙﾗﾝ]],$AS$20:$AT$29))))</f>
        <v>0</v>
      </c>
      <c r="Y396" s="145">
        <f>IF(テーブル2[[#This Row],[50m走]]="",0,(IF(テーブル2[[#This Row],[性別]]="男",LOOKUP(テーブル2[[#This Row],[50m走]],$AU$6:$AV$15),LOOKUP(テーブル2[[#This Row],[50m走]],$AU$20:$AV$29))))</f>
        <v>0</v>
      </c>
      <c r="Z396" s="145">
        <f>IF(テーブル2[[#This Row],[立幅とび]]="",0,(IF(テーブル2[[#This Row],[性別]]="男",LOOKUP(テーブル2[[#This Row],[立幅とび]],$AW$6:$AX$15),LOOKUP(テーブル2[[#This Row],[立幅とび]],$AW$20:$AX$29))))</f>
        <v>0</v>
      </c>
      <c r="AA396" s="145">
        <f>IF(テーブル2[[#This Row],[ボール投げ]]="",0,(IF(テーブル2[[#This Row],[性別]]="男",LOOKUP(テーブル2[[#This Row],[ボール投げ]],$AY$6:$AZ$15),LOOKUP(テーブル2[[#This Row],[ボール投げ]],$AY$20:$AZ$29))))</f>
        <v>0</v>
      </c>
      <c r="AB396" s="146" t="str">
        <f>IF(テーブル2[[#This Row],[学年]]=1,12,IF(テーブル2[[#This Row],[学年]]=2,13,IF(テーブル2[[#This Row],[学年]]=3,14,"")))</f>
        <v/>
      </c>
      <c r="AC396" s="192" t="str">
        <f>IF(テーブル2[[#This Row],[肥満度数値]]=0,"",LOOKUP(AE396,$AW$39:$AW$44,$AX$39:$AX$44))</f>
        <v/>
      </c>
      <c r="AD39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6" s="77">
        <f>IF(テーブル2[[#This Row],[体重]]="",0,(テーブル2[[#This Row],[体重]]-テーブル2[[#This Row],[標準体重]])/テーブル2[[#This Row],[標準体重]]*100)</f>
        <v>0</v>
      </c>
      <c r="AF396" s="26">
        <f>COUNTA(テーブル2[[#This Row],[握力]:[ボール投げ]])</f>
        <v>0</v>
      </c>
      <c r="AG396" s="1" t="str">
        <f>IF(テーブル2[[#This Row],[判定]]=$BE$10,"○","")</f>
        <v/>
      </c>
      <c r="AH396" s="1" t="str">
        <f>IF(AG396="","",COUNTIF($AG$6:AG396,"○"))</f>
        <v/>
      </c>
    </row>
    <row r="397" spans="1:34" ht="14.25" customHeight="1" x14ac:dyDescent="0.15">
      <c r="A397" s="44">
        <v>392</v>
      </c>
      <c r="B397" s="148"/>
      <c r="C397" s="151"/>
      <c r="D397" s="148"/>
      <c r="E397" s="152"/>
      <c r="F397" s="148"/>
      <c r="G397" s="148"/>
      <c r="H397" s="150"/>
      <c r="I397" s="150"/>
      <c r="J397" s="151"/>
      <c r="K397" s="148"/>
      <c r="L397" s="196"/>
      <c r="M397" s="151"/>
      <c r="N397" s="197"/>
      <c r="O397" s="151"/>
      <c r="P397" s="153"/>
      <c r="Q39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7" s="144" t="str">
        <f>IF(テーブル2[[#This Row],[得点]]=0,"",IF(テーブル2[[#This Row],[年齢]]=17,LOOKUP(Q397,$BH$6:$BH$10,$BE$6:$BE$10),IF(テーブル2[[#This Row],[年齢]]=16,LOOKUP(Q397,$BG$6:$BG$10,$BE$6:$BE$10),IF(テーブル2[[#This Row],[年齢]]=15,LOOKUP(Q397,$BF$6:$BF$10,$BE$6:$BE$10),IF(テーブル2[[#This Row],[年齢]]=14,LOOKUP(Q397,$BD$6:$BD$10,$BE$6:$BE$10),IF(テーブル2[[#This Row],[年齢]]=13,LOOKUP(Q397,$BC$6:$BC$10,$BE$6:$BE$10),LOOKUP(Q397,$BB$6:$BB$10,$BE$6:$BE$10)))))))</f>
        <v/>
      </c>
      <c r="S397" s="145">
        <f>IF(H397="",0,(IF(テーブル2[[#This Row],[性別]]="男",LOOKUP(テーブル2[[#This Row],[握力]],$AI$6:$AJ$15),LOOKUP(テーブル2[[#This Row],[握力]],$AI$20:$AJ$29))))</f>
        <v>0</v>
      </c>
      <c r="T397" s="145">
        <f>IF(テーブル2[[#This Row],[上体]]="",0,(IF(テーブル2[[#This Row],[性別]]="男",LOOKUP(テーブル2[[#This Row],[上体]],$AK$6:$AL$15),LOOKUP(テーブル2[[#This Row],[上体]],$AK$20:$AL$29))))</f>
        <v>0</v>
      </c>
      <c r="U397" s="145">
        <f>IF(テーブル2[[#This Row],[長座]]="",0,(IF(テーブル2[[#This Row],[性別]]="男",LOOKUP(テーブル2[[#This Row],[長座]],$AM$6:$AN$15),LOOKUP(テーブル2[[#This Row],[長座]],$AM$20:$AN$29))))</f>
        <v>0</v>
      </c>
      <c r="V397" s="145">
        <f>IF(テーブル2[[#This Row],[反復]]="",0,(IF(テーブル2[[#This Row],[性別]]="男",LOOKUP(テーブル2[[#This Row],[反復]],$AO$6:$AP$15),LOOKUP(テーブル2[[#This Row],[反復]],$AO$20:$AP$29))))</f>
        <v>0</v>
      </c>
      <c r="W397" s="145">
        <f>IF(テーブル2[[#This Row],[持久走]]="",0,(IF(テーブル2[[#This Row],[性別]]="男",LOOKUP(テーブル2[[#This Row],[持久走]],$AQ$6:$AR$15),LOOKUP(テーブル2[[#This Row],[持久走]],$AQ$20:$AR$29))))</f>
        <v>0</v>
      </c>
      <c r="X397" s="145">
        <f>IF(テーブル2[[#This Row],[ｼｬﾄﾙﾗﾝ]]="",0,(IF(テーブル2[[#This Row],[性別]]="男",LOOKUP(テーブル2[[#This Row],[ｼｬﾄﾙﾗﾝ]],$AS$6:$AT$15),LOOKUP(テーブル2[[#This Row],[ｼｬﾄﾙﾗﾝ]],$AS$20:$AT$29))))</f>
        <v>0</v>
      </c>
      <c r="Y397" s="145">
        <f>IF(テーブル2[[#This Row],[50m走]]="",0,(IF(テーブル2[[#This Row],[性別]]="男",LOOKUP(テーブル2[[#This Row],[50m走]],$AU$6:$AV$15),LOOKUP(テーブル2[[#This Row],[50m走]],$AU$20:$AV$29))))</f>
        <v>0</v>
      </c>
      <c r="Z397" s="145">
        <f>IF(テーブル2[[#This Row],[立幅とび]]="",0,(IF(テーブル2[[#This Row],[性別]]="男",LOOKUP(テーブル2[[#This Row],[立幅とび]],$AW$6:$AX$15),LOOKUP(テーブル2[[#This Row],[立幅とび]],$AW$20:$AX$29))))</f>
        <v>0</v>
      </c>
      <c r="AA397" s="145">
        <f>IF(テーブル2[[#This Row],[ボール投げ]]="",0,(IF(テーブル2[[#This Row],[性別]]="男",LOOKUP(テーブル2[[#This Row],[ボール投げ]],$AY$6:$AZ$15),LOOKUP(テーブル2[[#This Row],[ボール投げ]],$AY$20:$AZ$29))))</f>
        <v>0</v>
      </c>
      <c r="AB397" s="146" t="str">
        <f>IF(テーブル2[[#This Row],[学年]]=1,12,IF(テーブル2[[#This Row],[学年]]=2,13,IF(テーブル2[[#This Row],[学年]]=3,14,"")))</f>
        <v/>
      </c>
      <c r="AC397" s="192" t="str">
        <f>IF(テーブル2[[#This Row],[肥満度数値]]=0,"",LOOKUP(AE397,$AW$39:$AW$44,$AX$39:$AX$44))</f>
        <v/>
      </c>
      <c r="AD39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7" s="77">
        <f>IF(テーブル2[[#This Row],[体重]]="",0,(テーブル2[[#This Row],[体重]]-テーブル2[[#This Row],[標準体重]])/テーブル2[[#This Row],[標準体重]]*100)</f>
        <v>0</v>
      </c>
      <c r="AF397" s="26">
        <f>COUNTA(テーブル2[[#This Row],[握力]:[ボール投げ]])</f>
        <v>0</v>
      </c>
      <c r="AG397" s="1" t="str">
        <f>IF(テーブル2[[#This Row],[判定]]=$BE$10,"○","")</f>
        <v/>
      </c>
      <c r="AH397" s="1" t="str">
        <f>IF(AG397="","",COUNTIF($AG$6:AG397,"○"))</f>
        <v/>
      </c>
    </row>
    <row r="398" spans="1:34" ht="14.25" customHeight="1" x14ac:dyDescent="0.15">
      <c r="A398" s="44">
        <v>393</v>
      </c>
      <c r="B398" s="148"/>
      <c r="C398" s="151"/>
      <c r="D398" s="148"/>
      <c r="E398" s="152"/>
      <c r="F398" s="148"/>
      <c r="G398" s="148"/>
      <c r="H398" s="150"/>
      <c r="I398" s="150"/>
      <c r="J398" s="151"/>
      <c r="K398" s="148"/>
      <c r="L398" s="196"/>
      <c r="M398" s="151"/>
      <c r="N398" s="197"/>
      <c r="O398" s="151"/>
      <c r="P398" s="153"/>
      <c r="Q39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8" s="144" t="str">
        <f>IF(テーブル2[[#This Row],[得点]]=0,"",IF(テーブル2[[#This Row],[年齢]]=17,LOOKUP(Q398,$BH$6:$BH$10,$BE$6:$BE$10),IF(テーブル2[[#This Row],[年齢]]=16,LOOKUP(Q398,$BG$6:$BG$10,$BE$6:$BE$10),IF(テーブル2[[#This Row],[年齢]]=15,LOOKUP(Q398,$BF$6:$BF$10,$BE$6:$BE$10),IF(テーブル2[[#This Row],[年齢]]=14,LOOKUP(Q398,$BD$6:$BD$10,$BE$6:$BE$10),IF(テーブル2[[#This Row],[年齢]]=13,LOOKUP(Q398,$BC$6:$BC$10,$BE$6:$BE$10),LOOKUP(Q398,$BB$6:$BB$10,$BE$6:$BE$10)))))))</f>
        <v/>
      </c>
      <c r="S398" s="145">
        <f>IF(H398="",0,(IF(テーブル2[[#This Row],[性別]]="男",LOOKUP(テーブル2[[#This Row],[握力]],$AI$6:$AJ$15),LOOKUP(テーブル2[[#This Row],[握力]],$AI$20:$AJ$29))))</f>
        <v>0</v>
      </c>
      <c r="T398" s="145">
        <f>IF(テーブル2[[#This Row],[上体]]="",0,(IF(テーブル2[[#This Row],[性別]]="男",LOOKUP(テーブル2[[#This Row],[上体]],$AK$6:$AL$15),LOOKUP(テーブル2[[#This Row],[上体]],$AK$20:$AL$29))))</f>
        <v>0</v>
      </c>
      <c r="U398" s="145">
        <f>IF(テーブル2[[#This Row],[長座]]="",0,(IF(テーブル2[[#This Row],[性別]]="男",LOOKUP(テーブル2[[#This Row],[長座]],$AM$6:$AN$15),LOOKUP(テーブル2[[#This Row],[長座]],$AM$20:$AN$29))))</f>
        <v>0</v>
      </c>
      <c r="V398" s="145">
        <f>IF(テーブル2[[#This Row],[反復]]="",0,(IF(テーブル2[[#This Row],[性別]]="男",LOOKUP(テーブル2[[#This Row],[反復]],$AO$6:$AP$15),LOOKUP(テーブル2[[#This Row],[反復]],$AO$20:$AP$29))))</f>
        <v>0</v>
      </c>
      <c r="W398" s="145">
        <f>IF(テーブル2[[#This Row],[持久走]]="",0,(IF(テーブル2[[#This Row],[性別]]="男",LOOKUP(テーブル2[[#This Row],[持久走]],$AQ$6:$AR$15),LOOKUP(テーブル2[[#This Row],[持久走]],$AQ$20:$AR$29))))</f>
        <v>0</v>
      </c>
      <c r="X398" s="145">
        <f>IF(テーブル2[[#This Row],[ｼｬﾄﾙﾗﾝ]]="",0,(IF(テーブル2[[#This Row],[性別]]="男",LOOKUP(テーブル2[[#This Row],[ｼｬﾄﾙﾗﾝ]],$AS$6:$AT$15),LOOKUP(テーブル2[[#This Row],[ｼｬﾄﾙﾗﾝ]],$AS$20:$AT$29))))</f>
        <v>0</v>
      </c>
      <c r="Y398" s="145">
        <f>IF(テーブル2[[#This Row],[50m走]]="",0,(IF(テーブル2[[#This Row],[性別]]="男",LOOKUP(テーブル2[[#This Row],[50m走]],$AU$6:$AV$15),LOOKUP(テーブル2[[#This Row],[50m走]],$AU$20:$AV$29))))</f>
        <v>0</v>
      </c>
      <c r="Z398" s="145">
        <f>IF(テーブル2[[#This Row],[立幅とび]]="",0,(IF(テーブル2[[#This Row],[性別]]="男",LOOKUP(テーブル2[[#This Row],[立幅とび]],$AW$6:$AX$15),LOOKUP(テーブル2[[#This Row],[立幅とび]],$AW$20:$AX$29))))</f>
        <v>0</v>
      </c>
      <c r="AA398" s="145">
        <f>IF(テーブル2[[#This Row],[ボール投げ]]="",0,(IF(テーブル2[[#This Row],[性別]]="男",LOOKUP(テーブル2[[#This Row],[ボール投げ]],$AY$6:$AZ$15),LOOKUP(テーブル2[[#This Row],[ボール投げ]],$AY$20:$AZ$29))))</f>
        <v>0</v>
      </c>
      <c r="AB398" s="146" t="str">
        <f>IF(テーブル2[[#This Row],[学年]]=1,12,IF(テーブル2[[#This Row],[学年]]=2,13,IF(テーブル2[[#This Row],[学年]]=3,14,"")))</f>
        <v/>
      </c>
      <c r="AC398" s="192" t="str">
        <f>IF(テーブル2[[#This Row],[肥満度数値]]=0,"",LOOKUP(AE398,$AW$39:$AW$44,$AX$39:$AX$44))</f>
        <v/>
      </c>
      <c r="AD39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8" s="77">
        <f>IF(テーブル2[[#This Row],[体重]]="",0,(テーブル2[[#This Row],[体重]]-テーブル2[[#This Row],[標準体重]])/テーブル2[[#This Row],[標準体重]]*100)</f>
        <v>0</v>
      </c>
      <c r="AF398" s="26">
        <f>COUNTA(テーブル2[[#This Row],[握力]:[ボール投げ]])</f>
        <v>0</v>
      </c>
      <c r="AG398" s="1" t="str">
        <f>IF(テーブル2[[#This Row],[判定]]=$BE$10,"○","")</f>
        <v/>
      </c>
      <c r="AH398" s="1" t="str">
        <f>IF(AG398="","",COUNTIF($AG$6:AG398,"○"))</f>
        <v/>
      </c>
    </row>
    <row r="399" spans="1:34" ht="14.25" customHeight="1" x14ac:dyDescent="0.15">
      <c r="A399" s="44">
        <v>394</v>
      </c>
      <c r="B399" s="148"/>
      <c r="C399" s="151"/>
      <c r="D399" s="148"/>
      <c r="E399" s="152"/>
      <c r="F399" s="148"/>
      <c r="G399" s="148"/>
      <c r="H399" s="150"/>
      <c r="I399" s="150"/>
      <c r="J399" s="151"/>
      <c r="K399" s="148"/>
      <c r="L399" s="196"/>
      <c r="M399" s="151"/>
      <c r="N399" s="197"/>
      <c r="O399" s="151"/>
      <c r="P399" s="153"/>
      <c r="Q39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9" s="144" t="str">
        <f>IF(テーブル2[[#This Row],[得点]]=0,"",IF(テーブル2[[#This Row],[年齢]]=17,LOOKUP(Q399,$BH$6:$BH$10,$BE$6:$BE$10),IF(テーブル2[[#This Row],[年齢]]=16,LOOKUP(Q399,$BG$6:$BG$10,$BE$6:$BE$10),IF(テーブル2[[#This Row],[年齢]]=15,LOOKUP(Q399,$BF$6:$BF$10,$BE$6:$BE$10),IF(テーブル2[[#This Row],[年齢]]=14,LOOKUP(Q399,$BD$6:$BD$10,$BE$6:$BE$10),IF(テーブル2[[#This Row],[年齢]]=13,LOOKUP(Q399,$BC$6:$BC$10,$BE$6:$BE$10),LOOKUP(Q399,$BB$6:$BB$10,$BE$6:$BE$10)))))))</f>
        <v/>
      </c>
      <c r="S399" s="145">
        <f>IF(H399="",0,(IF(テーブル2[[#This Row],[性別]]="男",LOOKUP(テーブル2[[#This Row],[握力]],$AI$6:$AJ$15),LOOKUP(テーブル2[[#This Row],[握力]],$AI$20:$AJ$29))))</f>
        <v>0</v>
      </c>
      <c r="T399" s="145">
        <f>IF(テーブル2[[#This Row],[上体]]="",0,(IF(テーブル2[[#This Row],[性別]]="男",LOOKUP(テーブル2[[#This Row],[上体]],$AK$6:$AL$15),LOOKUP(テーブル2[[#This Row],[上体]],$AK$20:$AL$29))))</f>
        <v>0</v>
      </c>
      <c r="U399" s="145">
        <f>IF(テーブル2[[#This Row],[長座]]="",0,(IF(テーブル2[[#This Row],[性別]]="男",LOOKUP(テーブル2[[#This Row],[長座]],$AM$6:$AN$15),LOOKUP(テーブル2[[#This Row],[長座]],$AM$20:$AN$29))))</f>
        <v>0</v>
      </c>
      <c r="V399" s="145">
        <f>IF(テーブル2[[#This Row],[反復]]="",0,(IF(テーブル2[[#This Row],[性別]]="男",LOOKUP(テーブル2[[#This Row],[反復]],$AO$6:$AP$15),LOOKUP(テーブル2[[#This Row],[反復]],$AO$20:$AP$29))))</f>
        <v>0</v>
      </c>
      <c r="W399" s="145">
        <f>IF(テーブル2[[#This Row],[持久走]]="",0,(IF(テーブル2[[#This Row],[性別]]="男",LOOKUP(テーブル2[[#This Row],[持久走]],$AQ$6:$AR$15),LOOKUP(テーブル2[[#This Row],[持久走]],$AQ$20:$AR$29))))</f>
        <v>0</v>
      </c>
      <c r="X399" s="145">
        <f>IF(テーブル2[[#This Row],[ｼｬﾄﾙﾗﾝ]]="",0,(IF(テーブル2[[#This Row],[性別]]="男",LOOKUP(テーブル2[[#This Row],[ｼｬﾄﾙﾗﾝ]],$AS$6:$AT$15),LOOKUP(テーブル2[[#This Row],[ｼｬﾄﾙﾗﾝ]],$AS$20:$AT$29))))</f>
        <v>0</v>
      </c>
      <c r="Y399" s="145">
        <f>IF(テーブル2[[#This Row],[50m走]]="",0,(IF(テーブル2[[#This Row],[性別]]="男",LOOKUP(テーブル2[[#This Row],[50m走]],$AU$6:$AV$15),LOOKUP(テーブル2[[#This Row],[50m走]],$AU$20:$AV$29))))</f>
        <v>0</v>
      </c>
      <c r="Z399" s="145">
        <f>IF(テーブル2[[#This Row],[立幅とび]]="",0,(IF(テーブル2[[#This Row],[性別]]="男",LOOKUP(テーブル2[[#This Row],[立幅とび]],$AW$6:$AX$15),LOOKUP(テーブル2[[#This Row],[立幅とび]],$AW$20:$AX$29))))</f>
        <v>0</v>
      </c>
      <c r="AA399" s="145">
        <f>IF(テーブル2[[#This Row],[ボール投げ]]="",0,(IF(テーブル2[[#This Row],[性別]]="男",LOOKUP(テーブル2[[#This Row],[ボール投げ]],$AY$6:$AZ$15),LOOKUP(テーブル2[[#This Row],[ボール投げ]],$AY$20:$AZ$29))))</f>
        <v>0</v>
      </c>
      <c r="AB399" s="146" t="str">
        <f>IF(テーブル2[[#This Row],[学年]]=1,12,IF(テーブル2[[#This Row],[学年]]=2,13,IF(テーブル2[[#This Row],[学年]]=3,14,"")))</f>
        <v/>
      </c>
      <c r="AC399" s="192" t="str">
        <f>IF(テーブル2[[#This Row],[肥満度数値]]=0,"",LOOKUP(AE399,$AW$39:$AW$44,$AX$39:$AX$44))</f>
        <v/>
      </c>
      <c r="AD39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399" s="77">
        <f>IF(テーブル2[[#This Row],[体重]]="",0,(テーブル2[[#This Row],[体重]]-テーブル2[[#This Row],[標準体重]])/テーブル2[[#This Row],[標準体重]]*100)</f>
        <v>0</v>
      </c>
      <c r="AF399" s="26">
        <f>COUNTA(テーブル2[[#This Row],[握力]:[ボール投げ]])</f>
        <v>0</v>
      </c>
      <c r="AG399" s="1" t="str">
        <f>IF(テーブル2[[#This Row],[判定]]=$BE$10,"○","")</f>
        <v/>
      </c>
      <c r="AH399" s="1" t="str">
        <f>IF(AG399="","",COUNTIF($AG$6:AG399,"○"))</f>
        <v/>
      </c>
    </row>
    <row r="400" spans="1:34" ht="14.25" customHeight="1" x14ac:dyDescent="0.15">
      <c r="A400" s="44">
        <v>395</v>
      </c>
      <c r="B400" s="148"/>
      <c r="C400" s="151"/>
      <c r="D400" s="148"/>
      <c r="E400" s="152"/>
      <c r="F400" s="148"/>
      <c r="G400" s="148"/>
      <c r="H400" s="150"/>
      <c r="I400" s="150"/>
      <c r="J400" s="151"/>
      <c r="K400" s="148"/>
      <c r="L400" s="196"/>
      <c r="M400" s="151"/>
      <c r="N400" s="197"/>
      <c r="O400" s="151"/>
      <c r="P400" s="153"/>
      <c r="Q40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0" s="144" t="str">
        <f>IF(テーブル2[[#This Row],[得点]]=0,"",IF(テーブル2[[#This Row],[年齢]]=17,LOOKUP(Q400,$BH$6:$BH$10,$BE$6:$BE$10),IF(テーブル2[[#This Row],[年齢]]=16,LOOKUP(Q400,$BG$6:$BG$10,$BE$6:$BE$10),IF(テーブル2[[#This Row],[年齢]]=15,LOOKUP(Q400,$BF$6:$BF$10,$BE$6:$BE$10),IF(テーブル2[[#This Row],[年齢]]=14,LOOKUP(Q400,$BD$6:$BD$10,$BE$6:$BE$10),IF(テーブル2[[#This Row],[年齢]]=13,LOOKUP(Q400,$BC$6:$BC$10,$BE$6:$BE$10),LOOKUP(Q400,$BB$6:$BB$10,$BE$6:$BE$10)))))))</f>
        <v/>
      </c>
      <c r="S400" s="145">
        <f>IF(H400="",0,(IF(テーブル2[[#This Row],[性別]]="男",LOOKUP(テーブル2[[#This Row],[握力]],$AI$6:$AJ$15),LOOKUP(テーブル2[[#This Row],[握力]],$AI$20:$AJ$29))))</f>
        <v>0</v>
      </c>
      <c r="T400" s="145">
        <f>IF(テーブル2[[#This Row],[上体]]="",0,(IF(テーブル2[[#This Row],[性別]]="男",LOOKUP(テーブル2[[#This Row],[上体]],$AK$6:$AL$15),LOOKUP(テーブル2[[#This Row],[上体]],$AK$20:$AL$29))))</f>
        <v>0</v>
      </c>
      <c r="U400" s="145">
        <f>IF(テーブル2[[#This Row],[長座]]="",0,(IF(テーブル2[[#This Row],[性別]]="男",LOOKUP(テーブル2[[#This Row],[長座]],$AM$6:$AN$15),LOOKUP(テーブル2[[#This Row],[長座]],$AM$20:$AN$29))))</f>
        <v>0</v>
      </c>
      <c r="V400" s="145">
        <f>IF(テーブル2[[#This Row],[反復]]="",0,(IF(テーブル2[[#This Row],[性別]]="男",LOOKUP(テーブル2[[#This Row],[反復]],$AO$6:$AP$15),LOOKUP(テーブル2[[#This Row],[反復]],$AO$20:$AP$29))))</f>
        <v>0</v>
      </c>
      <c r="W400" s="145">
        <f>IF(テーブル2[[#This Row],[持久走]]="",0,(IF(テーブル2[[#This Row],[性別]]="男",LOOKUP(テーブル2[[#This Row],[持久走]],$AQ$6:$AR$15),LOOKUP(テーブル2[[#This Row],[持久走]],$AQ$20:$AR$29))))</f>
        <v>0</v>
      </c>
      <c r="X400" s="145">
        <f>IF(テーブル2[[#This Row],[ｼｬﾄﾙﾗﾝ]]="",0,(IF(テーブル2[[#This Row],[性別]]="男",LOOKUP(テーブル2[[#This Row],[ｼｬﾄﾙﾗﾝ]],$AS$6:$AT$15),LOOKUP(テーブル2[[#This Row],[ｼｬﾄﾙﾗﾝ]],$AS$20:$AT$29))))</f>
        <v>0</v>
      </c>
      <c r="Y400" s="145">
        <f>IF(テーブル2[[#This Row],[50m走]]="",0,(IF(テーブル2[[#This Row],[性別]]="男",LOOKUP(テーブル2[[#This Row],[50m走]],$AU$6:$AV$15),LOOKUP(テーブル2[[#This Row],[50m走]],$AU$20:$AV$29))))</f>
        <v>0</v>
      </c>
      <c r="Z400" s="145">
        <f>IF(テーブル2[[#This Row],[立幅とび]]="",0,(IF(テーブル2[[#This Row],[性別]]="男",LOOKUP(テーブル2[[#This Row],[立幅とび]],$AW$6:$AX$15),LOOKUP(テーブル2[[#This Row],[立幅とび]],$AW$20:$AX$29))))</f>
        <v>0</v>
      </c>
      <c r="AA400" s="145">
        <f>IF(テーブル2[[#This Row],[ボール投げ]]="",0,(IF(テーブル2[[#This Row],[性別]]="男",LOOKUP(テーブル2[[#This Row],[ボール投げ]],$AY$6:$AZ$15),LOOKUP(テーブル2[[#This Row],[ボール投げ]],$AY$20:$AZ$29))))</f>
        <v>0</v>
      </c>
      <c r="AB400" s="146" t="str">
        <f>IF(テーブル2[[#This Row],[学年]]=1,12,IF(テーブル2[[#This Row],[学年]]=2,13,IF(テーブル2[[#This Row],[学年]]=3,14,"")))</f>
        <v/>
      </c>
      <c r="AC400" s="192" t="str">
        <f>IF(テーブル2[[#This Row],[肥満度数値]]=0,"",LOOKUP(AE400,$AW$39:$AW$44,$AX$39:$AX$44))</f>
        <v/>
      </c>
      <c r="AD40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0" s="77">
        <f>IF(テーブル2[[#This Row],[体重]]="",0,(テーブル2[[#This Row],[体重]]-テーブル2[[#This Row],[標準体重]])/テーブル2[[#This Row],[標準体重]]*100)</f>
        <v>0</v>
      </c>
      <c r="AF400" s="26">
        <f>COUNTA(テーブル2[[#This Row],[握力]:[ボール投げ]])</f>
        <v>0</v>
      </c>
      <c r="AG400" s="1" t="str">
        <f>IF(テーブル2[[#This Row],[判定]]=$BE$10,"○","")</f>
        <v/>
      </c>
      <c r="AH400" s="1" t="str">
        <f>IF(AG400="","",COUNTIF($AG$6:AG400,"○"))</f>
        <v/>
      </c>
    </row>
    <row r="401" spans="1:34" ht="14.25" customHeight="1" x14ac:dyDescent="0.15">
      <c r="A401" s="44">
        <v>396</v>
      </c>
      <c r="B401" s="148"/>
      <c r="C401" s="151"/>
      <c r="D401" s="148"/>
      <c r="E401" s="152"/>
      <c r="F401" s="148"/>
      <c r="G401" s="148"/>
      <c r="H401" s="150"/>
      <c r="I401" s="150"/>
      <c r="J401" s="151"/>
      <c r="K401" s="148"/>
      <c r="L401" s="196"/>
      <c r="M401" s="151"/>
      <c r="N401" s="197"/>
      <c r="O401" s="151"/>
      <c r="P401" s="153"/>
      <c r="Q40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1" s="144" t="str">
        <f>IF(テーブル2[[#This Row],[得点]]=0,"",IF(テーブル2[[#This Row],[年齢]]=17,LOOKUP(Q401,$BH$6:$BH$10,$BE$6:$BE$10),IF(テーブル2[[#This Row],[年齢]]=16,LOOKUP(Q401,$BG$6:$BG$10,$BE$6:$BE$10),IF(テーブル2[[#This Row],[年齢]]=15,LOOKUP(Q401,$BF$6:$BF$10,$BE$6:$BE$10),IF(テーブル2[[#This Row],[年齢]]=14,LOOKUP(Q401,$BD$6:$BD$10,$BE$6:$BE$10),IF(テーブル2[[#This Row],[年齢]]=13,LOOKUP(Q401,$BC$6:$BC$10,$BE$6:$BE$10),LOOKUP(Q401,$BB$6:$BB$10,$BE$6:$BE$10)))))))</f>
        <v/>
      </c>
      <c r="S401" s="145">
        <f>IF(H401="",0,(IF(テーブル2[[#This Row],[性別]]="男",LOOKUP(テーブル2[[#This Row],[握力]],$AI$6:$AJ$15),LOOKUP(テーブル2[[#This Row],[握力]],$AI$20:$AJ$29))))</f>
        <v>0</v>
      </c>
      <c r="T401" s="145">
        <f>IF(テーブル2[[#This Row],[上体]]="",0,(IF(テーブル2[[#This Row],[性別]]="男",LOOKUP(テーブル2[[#This Row],[上体]],$AK$6:$AL$15),LOOKUP(テーブル2[[#This Row],[上体]],$AK$20:$AL$29))))</f>
        <v>0</v>
      </c>
      <c r="U401" s="145">
        <f>IF(テーブル2[[#This Row],[長座]]="",0,(IF(テーブル2[[#This Row],[性別]]="男",LOOKUP(テーブル2[[#This Row],[長座]],$AM$6:$AN$15),LOOKUP(テーブル2[[#This Row],[長座]],$AM$20:$AN$29))))</f>
        <v>0</v>
      </c>
      <c r="V401" s="145">
        <f>IF(テーブル2[[#This Row],[反復]]="",0,(IF(テーブル2[[#This Row],[性別]]="男",LOOKUP(テーブル2[[#This Row],[反復]],$AO$6:$AP$15),LOOKUP(テーブル2[[#This Row],[反復]],$AO$20:$AP$29))))</f>
        <v>0</v>
      </c>
      <c r="W401" s="145">
        <f>IF(テーブル2[[#This Row],[持久走]]="",0,(IF(テーブル2[[#This Row],[性別]]="男",LOOKUP(テーブル2[[#This Row],[持久走]],$AQ$6:$AR$15),LOOKUP(テーブル2[[#This Row],[持久走]],$AQ$20:$AR$29))))</f>
        <v>0</v>
      </c>
      <c r="X401" s="145">
        <f>IF(テーブル2[[#This Row],[ｼｬﾄﾙﾗﾝ]]="",0,(IF(テーブル2[[#This Row],[性別]]="男",LOOKUP(テーブル2[[#This Row],[ｼｬﾄﾙﾗﾝ]],$AS$6:$AT$15),LOOKUP(テーブル2[[#This Row],[ｼｬﾄﾙﾗﾝ]],$AS$20:$AT$29))))</f>
        <v>0</v>
      </c>
      <c r="Y401" s="145">
        <f>IF(テーブル2[[#This Row],[50m走]]="",0,(IF(テーブル2[[#This Row],[性別]]="男",LOOKUP(テーブル2[[#This Row],[50m走]],$AU$6:$AV$15),LOOKUP(テーブル2[[#This Row],[50m走]],$AU$20:$AV$29))))</f>
        <v>0</v>
      </c>
      <c r="Z401" s="145">
        <f>IF(テーブル2[[#This Row],[立幅とび]]="",0,(IF(テーブル2[[#This Row],[性別]]="男",LOOKUP(テーブル2[[#This Row],[立幅とび]],$AW$6:$AX$15),LOOKUP(テーブル2[[#This Row],[立幅とび]],$AW$20:$AX$29))))</f>
        <v>0</v>
      </c>
      <c r="AA401" s="145">
        <f>IF(テーブル2[[#This Row],[ボール投げ]]="",0,(IF(テーブル2[[#This Row],[性別]]="男",LOOKUP(テーブル2[[#This Row],[ボール投げ]],$AY$6:$AZ$15),LOOKUP(テーブル2[[#This Row],[ボール投げ]],$AY$20:$AZ$29))))</f>
        <v>0</v>
      </c>
      <c r="AB401" s="146" t="str">
        <f>IF(テーブル2[[#This Row],[学年]]=1,12,IF(テーブル2[[#This Row],[学年]]=2,13,IF(テーブル2[[#This Row],[学年]]=3,14,"")))</f>
        <v/>
      </c>
      <c r="AC401" s="192" t="str">
        <f>IF(テーブル2[[#This Row],[肥満度数値]]=0,"",LOOKUP(AE401,$AW$39:$AW$44,$AX$39:$AX$44))</f>
        <v/>
      </c>
      <c r="AD40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1" s="77">
        <f>IF(テーブル2[[#This Row],[体重]]="",0,(テーブル2[[#This Row],[体重]]-テーブル2[[#This Row],[標準体重]])/テーブル2[[#This Row],[標準体重]]*100)</f>
        <v>0</v>
      </c>
      <c r="AF401" s="26">
        <f>COUNTA(テーブル2[[#This Row],[握力]:[ボール投げ]])</f>
        <v>0</v>
      </c>
      <c r="AG401" s="1" t="str">
        <f>IF(テーブル2[[#This Row],[判定]]=$BE$10,"○","")</f>
        <v/>
      </c>
      <c r="AH401" s="1" t="str">
        <f>IF(AG401="","",COUNTIF($AG$6:AG401,"○"))</f>
        <v/>
      </c>
    </row>
    <row r="402" spans="1:34" ht="14.25" customHeight="1" x14ac:dyDescent="0.15">
      <c r="A402" s="44">
        <v>397</v>
      </c>
      <c r="B402" s="148"/>
      <c r="C402" s="151"/>
      <c r="D402" s="148"/>
      <c r="E402" s="152"/>
      <c r="F402" s="148"/>
      <c r="G402" s="148"/>
      <c r="H402" s="150"/>
      <c r="I402" s="150"/>
      <c r="J402" s="151"/>
      <c r="K402" s="148"/>
      <c r="L402" s="196"/>
      <c r="M402" s="151"/>
      <c r="N402" s="197"/>
      <c r="O402" s="151"/>
      <c r="P402" s="153"/>
      <c r="Q40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2" s="144" t="str">
        <f>IF(テーブル2[[#This Row],[得点]]=0,"",IF(テーブル2[[#This Row],[年齢]]=17,LOOKUP(Q402,$BH$6:$BH$10,$BE$6:$BE$10),IF(テーブル2[[#This Row],[年齢]]=16,LOOKUP(Q402,$BG$6:$BG$10,$BE$6:$BE$10),IF(テーブル2[[#This Row],[年齢]]=15,LOOKUP(Q402,$BF$6:$BF$10,$BE$6:$BE$10),IF(テーブル2[[#This Row],[年齢]]=14,LOOKUP(Q402,$BD$6:$BD$10,$BE$6:$BE$10),IF(テーブル2[[#This Row],[年齢]]=13,LOOKUP(Q402,$BC$6:$BC$10,$BE$6:$BE$10),LOOKUP(Q402,$BB$6:$BB$10,$BE$6:$BE$10)))))))</f>
        <v/>
      </c>
      <c r="S402" s="145">
        <f>IF(H402="",0,(IF(テーブル2[[#This Row],[性別]]="男",LOOKUP(テーブル2[[#This Row],[握力]],$AI$6:$AJ$15),LOOKUP(テーブル2[[#This Row],[握力]],$AI$20:$AJ$29))))</f>
        <v>0</v>
      </c>
      <c r="T402" s="145">
        <f>IF(テーブル2[[#This Row],[上体]]="",0,(IF(テーブル2[[#This Row],[性別]]="男",LOOKUP(テーブル2[[#This Row],[上体]],$AK$6:$AL$15),LOOKUP(テーブル2[[#This Row],[上体]],$AK$20:$AL$29))))</f>
        <v>0</v>
      </c>
      <c r="U402" s="145">
        <f>IF(テーブル2[[#This Row],[長座]]="",0,(IF(テーブル2[[#This Row],[性別]]="男",LOOKUP(テーブル2[[#This Row],[長座]],$AM$6:$AN$15),LOOKUP(テーブル2[[#This Row],[長座]],$AM$20:$AN$29))))</f>
        <v>0</v>
      </c>
      <c r="V402" s="145">
        <f>IF(テーブル2[[#This Row],[反復]]="",0,(IF(テーブル2[[#This Row],[性別]]="男",LOOKUP(テーブル2[[#This Row],[反復]],$AO$6:$AP$15),LOOKUP(テーブル2[[#This Row],[反復]],$AO$20:$AP$29))))</f>
        <v>0</v>
      </c>
      <c r="W402" s="145">
        <f>IF(テーブル2[[#This Row],[持久走]]="",0,(IF(テーブル2[[#This Row],[性別]]="男",LOOKUP(テーブル2[[#This Row],[持久走]],$AQ$6:$AR$15),LOOKUP(テーブル2[[#This Row],[持久走]],$AQ$20:$AR$29))))</f>
        <v>0</v>
      </c>
      <c r="X402" s="145">
        <f>IF(テーブル2[[#This Row],[ｼｬﾄﾙﾗﾝ]]="",0,(IF(テーブル2[[#This Row],[性別]]="男",LOOKUP(テーブル2[[#This Row],[ｼｬﾄﾙﾗﾝ]],$AS$6:$AT$15),LOOKUP(テーブル2[[#This Row],[ｼｬﾄﾙﾗﾝ]],$AS$20:$AT$29))))</f>
        <v>0</v>
      </c>
      <c r="Y402" s="145">
        <f>IF(テーブル2[[#This Row],[50m走]]="",0,(IF(テーブル2[[#This Row],[性別]]="男",LOOKUP(テーブル2[[#This Row],[50m走]],$AU$6:$AV$15),LOOKUP(テーブル2[[#This Row],[50m走]],$AU$20:$AV$29))))</f>
        <v>0</v>
      </c>
      <c r="Z402" s="145">
        <f>IF(テーブル2[[#This Row],[立幅とび]]="",0,(IF(テーブル2[[#This Row],[性別]]="男",LOOKUP(テーブル2[[#This Row],[立幅とび]],$AW$6:$AX$15),LOOKUP(テーブル2[[#This Row],[立幅とび]],$AW$20:$AX$29))))</f>
        <v>0</v>
      </c>
      <c r="AA402" s="145">
        <f>IF(テーブル2[[#This Row],[ボール投げ]]="",0,(IF(テーブル2[[#This Row],[性別]]="男",LOOKUP(テーブル2[[#This Row],[ボール投げ]],$AY$6:$AZ$15),LOOKUP(テーブル2[[#This Row],[ボール投げ]],$AY$20:$AZ$29))))</f>
        <v>0</v>
      </c>
      <c r="AB402" s="146" t="str">
        <f>IF(テーブル2[[#This Row],[学年]]=1,12,IF(テーブル2[[#This Row],[学年]]=2,13,IF(テーブル2[[#This Row],[学年]]=3,14,"")))</f>
        <v/>
      </c>
      <c r="AC402" s="192" t="str">
        <f>IF(テーブル2[[#This Row],[肥満度数値]]=0,"",LOOKUP(AE402,$AW$39:$AW$44,$AX$39:$AX$44))</f>
        <v/>
      </c>
      <c r="AD40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2" s="77">
        <f>IF(テーブル2[[#This Row],[体重]]="",0,(テーブル2[[#This Row],[体重]]-テーブル2[[#This Row],[標準体重]])/テーブル2[[#This Row],[標準体重]]*100)</f>
        <v>0</v>
      </c>
      <c r="AF402" s="26">
        <f>COUNTA(テーブル2[[#This Row],[握力]:[ボール投げ]])</f>
        <v>0</v>
      </c>
      <c r="AG402" s="1" t="str">
        <f>IF(テーブル2[[#This Row],[判定]]=$BE$10,"○","")</f>
        <v/>
      </c>
      <c r="AH402" s="1" t="str">
        <f>IF(AG402="","",COUNTIF($AG$6:AG402,"○"))</f>
        <v/>
      </c>
    </row>
    <row r="403" spans="1:34" ht="14.25" customHeight="1" x14ac:dyDescent="0.15">
      <c r="A403" s="44">
        <v>398</v>
      </c>
      <c r="B403" s="148"/>
      <c r="C403" s="151"/>
      <c r="D403" s="148"/>
      <c r="E403" s="152"/>
      <c r="F403" s="148"/>
      <c r="G403" s="148"/>
      <c r="H403" s="150"/>
      <c r="I403" s="150"/>
      <c r="J403" s="151"/>
      <c r="K403" s="148"/>
      <c r="L403" s="196"/>
      <c r="M403" s="151"/>
      <c r="N403" s="197"/>
      <c r="O403" s="151"/>
      <c r="P403" s="153"/>
      <c r="Q40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3" s="144" t="str">
        <f>IF(テーブル2[[#This Row],[得点]]=0,"",IF(テーブル2[[#This Row],[年齢]]=17,LOOKUP(Q403,$BH$6:$BH$10,$BE$6:$BE$10),IF(テーブル2[[#This Row],[年齢]]=16,LOOKUP(Q403,$BG$6:$BG$10,$BE$6:$BE$10),IF(テーブル2[[#This Row],[年齢]]=15,LOOKUP(Q403,$BF$6:$BF$10,$BE$6:$BE$10),IF(テーブル2[[#This Row],[年齢]]=14,LOOKUP(Q403,$BD$6:$BD$10,$BE$6:$BE$10),IF(テーブル2[[#This Row],[年齢]]=13,LOOKUP(Q403,$BC$6:$BC$10,$BE$6:$BE$10),LOOKUP(Q403,$BB$6:$BB$10,$BE$6:$BE$10)))))))</f>
        <v/>
      </c>
      <c r="S403" s="145">
        <f>IF(H403="",0,(IF(テーブル2[[#This Row],[性別]]="男",LOOKUP(テーブル2[[#This Row],[握力]],$AI$6:$AJ$15),LOOKUP(テーブル2[[#This Row],[握力]],$AI$20:$AJ$29))))</f>
        <v>0</v>
      </c>
      <c r="T403" s="145">
        <f>IF(テーブル2[[#This Row],[上体]]="",0,(IF(テーブル2[[#This Row],[性別]]="男",LOOKUP(テーブル2[[#This Row],[上体]],$AK$6:$AL$15),LOOKUP(テーブル2[[#This Row],[上体]],$AK$20:$AL$29))))</f>
        <v>0</v>
      </c>
      <c r="U403" s="145">
        <f>IF(テーブル2[[#This Row],[長座]]="",0,(IF(テーブル2[[#This Row],[性別]]="男",LOOKUP(テーブル2[[#This Row],[長座]],$AM$6:$AN$15),LOOKUP(テーブル2[[#This Row],[長座]],$AM$20:$AN$29))))</f>
        <v>0</v>
      </c>
      <c r="V403" s="145">
        <f>IF(テーブル2[[#This Row],[反復]]="",0,(IF(テーブル2[[#This Row],[性別]]="男",LOOKUP(テーブル2[[#This Row],[反復]],$AO$6:$AP$15),LOOKUP(テーブル2[[#This Row],[反復]],$AO$20:$AP$29))))</f>
        <v>0</v>
      </c>
      <c r="W403" s="145">
        <f>IF(テーブル2[[#This Row],[持久走]]="",0,(IF(テーブル2[[#This Row],[性別]]="男",LOOKUP(テーブル2[[#This Row],[持久走]],$AQ$6:$AR$15),LOOKUP(テーブル2[[#This Row],[持久走]],$AQ$20:$AR$29))))</f>
        <v>0</v>
      </c>
      <c r="X403" s="145">
        <f>IF(テーブル2[[#This Row],[ｼｬﾄﾙﾗﾝ]]="",0,(IF(テーブル2[[#This Row],[性別]]="男",LOOKUP(テーブル2[[#This Row],[ｼｬﾄﾙﾗﾝ]],$AS$6:$AT$15),LOOKUP(テーブル2[[#This Row],[ｼｬﾄﾙﾗﾝ]],$AS$20:$AT$29))))</f>
        <v>0</v>
      </c>
      <c r="Y403" s="145">
        <f>IF(テーブル2[[#This Row],[50m走]]="",0,(IF(テーブル2[[#This Row],[性別]]="男",LOOKUP(テーブル2[[#This Row],[50m走]],$AU$6:$AV$15),LOOKUP(テーブル2[[#This Row],[50m走]],$AU$20:$AV$29))))</f>
        <v>0</v>
      </c>
      <c r="Z403" s="145">
        <f>IF(テーブル2[[#This Row],[立幅とび]]="",0,(IF(テーブル2[[#This Row],[性別]]="男",LOOKUP(テーブル2[[#This Row],[立幅とび]],$AW$6:$AX$15),LOOKUP(テーブル2[[#This Row],[立幅とび]],$AW$20:$AX$29))))</f>
        <v>0</v>
      </c>
      <c r="AA403" s="145">
        <f>IF(テーブル2[[#This Row],[ボール投げ]]="",0,(IF(テーブル2[[#This Row],[性別]]="男",LOOKUP(テーブル2[[#This Row],[ボール投げ]],$AY$6:$AZ$15),LOOKUP(テーブル2[[#This Row],[ボール投げ]],$AY$20:$AZ$29))))</f>
        <v>0</v>
      </c>
      <c r="AB403" s="146" t="str">
        <f>IF(テーブル2[[#This Row],[学年]]=1,12,IF(テーブル2[[#This Row],[学年]]=2,13,IF(テーブル2[[#This Row],[学年]]=3,14,"")))</f>
        <v/>
      </c>
      <c r="AC403" s="192" t="str">
        <f>IF(テーブル2[[#This Row],[肥満度数値]]=0,"",LOOKUP(AE403,$AW$39:$AW$44,$AX$39:$AX$44))</f>
        <v/>
      </c>
      <c r="AD40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3" s="77">
        <f>IF(テーブル2[[#This Row],[体重]]="",0,(テーブル2[[#This Row],[体重]]-テーブル2[[#This Row],[標準体重]])/テーブル2[[#This Row],[標準体重]]*100)</f>
        <v>0</v>
      </c>
      <c r="AF403" s="26">
        <f>COUNTA(テーブル2[[#This Row],[握力]:[ボール投げ]])</f>
        <v>0</v>
      </c>
      <c r="AG403" s="1" t="str">
        <f>IF(テーブル2[[#This Row],[判定]]=$BE$10,"○","")</f>
        <v/>
      </c>
      <c r="AH403" s="1" t="str">
        <f>IF(AG403="","",COUNTIF($AG$6:AG403,"○"))</f>
        <v/>
      </c>
    </row>
    <row r="404" spans="1:34" ht="14.25" customHeight="1" x14ac:dyDescent="0.15">
      <c r="A404" s="44">
        <v>399</v>
      </c>
      <c r="B404" s="148"/>
      <c r="C404" s="151"/>
      <c r="D404" s="148"/>
      <c r="E404" s="152"/>
      <c r="F404" s="148"/>
      <c r="G404" s="148"/>
      <c r="H404" s="150"/>
      <c r="I404" s="150"/>
      <c r="J404" s="151"/>
      <c r="K404" s="148"/>
      <c r="L404" s="196"/>
      <c r="M404" s="151"/>
      <c r="N404" s="197"/>
      <c r="O404" s="151"/>
      <c r="P404" s="153"/>
      <c r="Q40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4" s="144" t="str">
        <f>IF(テーブル2[[#This Row],[得点]]=0,"",IF(テーブル2[[#This Row],[年齢]]=17,LOOKUP(Q404,$BH$6:$BH$10,$BE$6:$BE$10),IF(テーブル2[[#This Row],[年齢]]=16,LOOKUP(Q404,$BG$6:$BG$10,$BE$6:$BE$10),IF(テーブル2[[#This Row],[年齢]]=15,LOOKUP(Q404,$BF$6:$BF$10,$BE$6:$BE$10),IF(テーブル2[[#This Row],[年齢]]=14,LOOKUP(Q404,$BD$6:$BD$10,$BE$6:$BE$10),IF(テーブル2[[#This Row],[年齢]]=13,LOOKUP(Q404,$BC$6:$BC$10,$BE$6:$BE$10),LOOKUP(Q404,$BB$6:$BB$10,$BE$6:$BE$10)))))))</f>
        <v/>
      </c>
      <c r="S404" s="145">
        <f>IF(H404="",0,(IF(テーブル2[[#This Row],[性別]]="男",LOOKUP(テーブル2[[#This Row],[握力]],$AI$6:$AJ$15),LOOKUP(テーブル2[[#This Row],[握力]],$AI$20:$AJ$29))))</f>
        <v>0</v>
      </c>
      <c r="T404" s="145">
        <f>IF(テーブル2[[#This Row],[上体]]="",0,(IF(テーブル2[[#This Row],[性別]]="男",LOOKUP(テーブル2[[#This Row],[上体]],$AK$6:$AL$15),LOOKUP(テーブル2[[#This Row],[上体]],$AK$20:$AL$29))))</f>
        <v>0</v>
      </c>
      <c r="U404" s="145">
        <f>IF(テーブル2[[#This Row],[長座]]="",0,(IF(テーブル2[[#This Row],[性別]]="男",LOOKUP(テーブル2[[#This Row],[長座]],$AM$6:$AN$15),LOOKUP(テーブル2[[#This Row],[長座]],$AM$20:$AN$29))))</f>
        <v>0</v>
      </c>
      <c r="V404" s="145">
        <f>IF(テーブル2[[#This Row],[反復]]="",0,(IF(テーブル2[[#This Row],[性別]]="男",LOOKUP(テーブル2[[#This Row],[反復]],$AO$6:$AP$15),LOOKUP(テーブル2[[#This Row],[反復]],$AO$20:$AP$29))))</f>
        <v>0</v>
      </c>
      <c r="W404" s="145">
        <f>IF(テーブル2[[#This Row],[持久走]]="",0,(IF(テーブル2[[#This Row],[性別]]="男",LOOKUP(テーブル2[[#This Row],[持久走]],$AQ$6:$AR$15),LOOKUP(テーブル2[[#This Row],[持久走]],$AQ$20:$AR$29))))</f>
        <v>0</v>
      </c>
      <c r="X404" s="145">
        <f>IF(テーブル2[[#This Row],[ｼｬﾄﾙﾗﾝ]]="",0,(IF(テーブル2[[#This Row],[性別]]="男",LOOKUP(テーブル2[[#This Row],[ｼｬﾄﾙﾗﾝ]],$AS$6:$AT$15),LOOKUP(テーブル2[[#This Row],[ｼｬﾄﾙﾗﾝ]],$AS$20:$AT$29))))</f>
        <v>0</v>
      </c>
      <c r="Y404" s="145">
        <f>IF(テーブル2[[#This Row],[50m走]]="",0,(IF(テーブル2[[#This Row],[性別]]="男",LOOKUP(テーブル2[[#This Row],[50m走]],$AU$6:$AV$15),LOOKUP(テーブル2[[#This Row],[50m走]],$AU$20:$AV$29))))</f>
        <v>0</v>
      </c>
      <c r="Z404" s="145">
        <f>IF(テーブル2[[#This Row],[立幅とび]]="",0,(IF(テーブル2[[#This Row],[性別]]="男",LOOKUP(テーブル2[[#This Row],[立幅とび]],$AW$6:$AX$15),LOOKUP(テーブル2[[#This Row],[立幅とび]],$AW$20:$AX$29))))</f>
        <v>0</v>
      </c>
      <c r="AA404" s="145">
        <f>IF(テーブル2[[#This Row],[ボール投げ]]="",0,(IF(テーブル2[[#This Row],[性別]]="男",LOOKUP(テーブル2[[#This Row],[ボール投げ]],$AY$6:$AZ$15),LOOKUP(テーブル2[[#This Row],[ボール投げ]],$AY$20:$AZ$29))))</f>
        <v>0</v>
      </c>
      <c r="AB404" s="146" t="str">
        <f>IF(テーブル2[[#This Row],[学年]]=1,12,IF(テーブル2[[#This Row],[学年]]=2,13,IF(テーブル2[[#This Row],[学年]]=3,14,"")))</f>
        <v/>
      </c>
      <c r="AC404" s="192" t="str">
        <f>IF(テーブル2[[#This Row],[肥満度数値]]=0,"",LOOKUP(AE404,$AW$39:$AW$44,$AX$39:$AX$44))</f>
        <v/>
      </c>
      <c r="AD40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4" s="77">
        <f>IF(テーブル2[[#This Row],[体重]]="",0,(テーブル2[[#This Row],[体重]]-テーブル2[[#This Row],[標準体重]])/テーブル2[[#This Row],[標準体重]]*100)</f>
        <v>0</v>
      </c>
      <c r="AF404" s="26">
        <f>COUNTA(テーブル2[[#This Row],[握力]:[ボール投げ]])</f>
        <v>0</v>
      </c>
      <c r="AG404" s="1" t="str">
        <f>IF(テーブル2[[#This Row],[判定]]=$BE$10,"○","")</f>
        <v/>
      </c>
      <c r="AH404" s="1" t="str">
        <f>IF(AG404="","",COUNTIF($AG$6:AG404,"○"))</f>
        <v/>
      </c>
    </row>
    <row r="405" spans="1:34" ht="14.25" customHeight="1" x14ac:dyDescent="0.15">
      <c r="A405" s="44">
        <v>400</v>
      </c>
      <c r="B405" s="148"/>
      <c r="C405" s="151"/>
      <c r="D405" s="148"/>
      <c r="E405" s="152"/>
      <c r="F405" s="148"/>
      <c r="G405" s="148"/>
      <c r="H405" s="150"/>
      <c r="I405" s="150"/>
      <c r="J405" s="151"/>
      <c r="K405" s="148"/>
      <c r="L405" s="196"/>
      <c r="M405" s="151"/>
      <c r="N405" s="197"/>
      <c r="O405" s="151"/>
      <c r="P405" s="153"/>
      <c r="Q40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5" s="144" t="str">
        <f>IF(テーブル2[[#This Row],[得点]]=0,"",IF(テーブル2[[#This Row],[年齢]]=17,LOOKUP(Q405,$BH$6:$BH$10,$BE$6:$BE$10),IF(テーブル2[[#This Row],[年齢]]=16,LOOKUP(Q405,$BG$6:$BG$10,$BE$6:$BE$10),IF(テーブル2[[#This Row],[年齢]]=15,LOOKUP(Q405,$BF$6:$BF$10,$BE$6:$BE$10),IF(テーブル2[[#This Row],[年齢]]=14,LOOKUP(Q405,$BD$6:$BD$10,$BE$6:$BE$10),IF(テーブル2[[#This Row],[年齢]]=13,LOOKUP(Q405,$BC$6:$BC$10,$BE$6:$BE$10),LOOKUP(Q405,$BB$6:$BB$10,$BE$6:$BE$10)))))))</f>
        <v/>
      </c>
      <c r="S405" s="145">
        <f>IF(H405="",0,(IF(テーブル2[[#This Row],[性別]]="男",LOOKUP(テーブル2[[#This Row],[握力]],$AI$6:$AJ$15),LOOKUP(テーブル2[[#This Row],[握力]],$AI$20:$AJ$29))))</f>
        <v>0</v>
      </c>
      <c r="T405" s="145">
        <f>IF(テーブル2[[#This Row],[上体]]="",0,(IF(テーブル2[[#This Row],[性別]]="男",LOOKUP(テーブル2[[#This Row],[上体]],$AK$6:$AL$15),LOOKUP(テーブル2[[#This Row],[上体]],$AK$20:$AL$29))))</f>
        <v>0</v>
      </c>
      <c r="U405" s="145">
        <f>IF(テーブル2[[#This Row],[長座]]="",0,(IF(テーブル2[[#This Row],[性別]]="男",LOOKUP(テーブル2[[#This Row],[長座]],$AM$6:$AN$15),LOOKUP(テーブル2[[#This Row],[長座]],$AM$20:$AN$29))))</f>
        <v>0</v>
      </c>
      <c r="V405" s="145">
        <f>IF(テーブル2[[#This Row],[反復]]="",0,(IF(テーブル2[[#This Row],[性別]]="男",LOOKUP(テーブル2[[#This Row],[反復]],$AO$6:$AP$15),LOOKUP(テーブル2[[#This Row],[反復]],$AO$20:$AP$29))))</f>
        <v>0</v>
      </c>
      <c r="W405" s="145">
        <f>IF(テーブル2[[#This Row],[持久走]]="",0,(IF(テーブル2[[#This Row],[性別]]="男",LOOKUP(テーブル2[[#This Row],[持久走]],$AQ$6:$AR$15),LOOKUP(テーブル2[[#This Row],[持久走]],$AQ$20:$AR$29))))</f>
        <v>0</v>
      </c>
      <c r="X405" s="145">
        <f>IF(テーブル2[[#This Row],[ｼｬﾄﾙﾗﾝ]]="",0,(IF(テーブル2[[#This Row],[性別]]="男",LOOKUP(テーブル2[[#This Row],[ｼｬﾄﾙﾗﾝ]],$AS$6:$AT$15),LOOKUP(テーブル2[[#This Row],[ｼｬﾄﾙﾗﾝ]],$AS$20:$AT$29))))</f>
        <v>0</v>
      </c>
      <c r="Y405" s="145">
        <f>IF(テーブル2[[#This Row],[50m走]]="",0,(IF(テーブル2[[#This Row],[性別]]="男",LOOKUP(テーブル2[[#This Row],[50m走]],$AU$6:$AV$15),LOOKUP(テーブル2[[#This Row],[50m走]],$AU$20:$AV$29))))</f>
        <v>0</v>
      </c>
      <c r="Z405" s="145">
        <f>IF(テーブル2[[#This Row],[立幅とび]]="",0,(IF(テーブル2[[#This Row],[性別]]="男",LOOKUP(テーブル2[[#This Row],[立幅とび]],$AW$6:$AX$15),LOOKUP(テーブル2[[#This Row],[立幅とび]],$AW$20:$AX$29))))</f>
        <v>0</v>
      </c>
      <c r="AA405" s="145">
        <f>IF(テーブル2[[#This Row],[ボール投げ]]="",0,(IF(テーブル2[[#This Row],[性別]]="男",LOOKUP(テーブル2[[#This Row],[ボール投げ]],$AY$6:$AZ$15),LOOKUP(テーブル2[[#This Row],[ボール投げ]],$AY$20:$AZ$29))))</f>
        <v>0</v>
      </c>
      <c r="AB405" s="146" t="str">
        <f>IF(テーブル2[[#This Row],[学年]]=1,12,IF(テーブル2[[#This Row],[学年]]=2,13,IF(テーブル2[[#This Row],[学年]]=3,14,"")))</f>
        <v/>
      </c>
      <c r="AC405" s="192" t="str">
        <f>IF(テーブル2[[#This Row],[肥満度数値]]=0,"",LOOKUP(AE405,$AW$39:$AW$44,$AX$39:$AX$44))</f>
        <v/>
      </c>
      <c r="AD40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5" s="77">
        <f>IF(テーブル2[[#This Row],[体重]]="",0,(テーブル2[[#This Row],[体重]]-テーブル2[[#This Row],[標準体重]])/テーブル2[[#This Row],[標準体重]]*100)</f>
        <v>0</v>
      </c>
      <c r="AF405" s="26">
        <f>COUNTA(テーブル2[[#This Row],[握力]:[ボール投げ]])</f>
        <v>0</v>
      </c>
      <c r="AG405" s="1" t="str">
        <f>IF(テーブル2[[#This Row],[判定]]=$BE$10,"○","")</f>
        <v/>
      </c>
      <c r="AH405" s="1" t="str">
        <f>IF(AG405="","",COUNTIF($AG$6:AG405,"○"))</f>
        <v/>
      </c>
    </row>
    <row r="406" spans="1:34" ht="14.25" customHeight="1" x14ac:dyDescent="0.15">
      <c r="A406" s="44">
        <v>401</v>
      </c>
      <c r="B406" s="148"/>
      <c r="C406" s="151"/>
      <c r="D406" s="148"/>
      <c r="E406" s="152"/>
      <c r="F406" s="148"/>
      <c r="G406" s="148"/>
      <c r="H406" s="150"/>
      <c r="I406" s="150"/>
      <c r="J406" s="151"/>
      <c r="K406" s="148"/>
      <c r="L406" s="196"/>
      <c r="M406" s="151"/>
      <c r="N406" s="197"/>
      <c r="O406" s="151"/>
      <c r="P406" s="153"/>
      <c r="Q40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6" s="144" t="str">
        <f>IF(テーブル2[[#This Row],[得点]]=0,"",IF(テーブル2[[#This Row],[年齢]]=17,LOOKUP(Q406,$BH$6:$BH$10,$BE$6:$BE$10),IF(テーブル2[[#This Row],[年齢]]=16,LOOKUP(Q406,$BG$6:$BG$10,$BE$6:$BE$10),IF(テーブル2[[#This Row],[年齢]]=15,LOOKUP(Q406,$BF$6:$BF$10,$BE$6:$BE$10),IF(テーブル2[[#This Row],[年齢]]=14,LOOKUP(Q406,$BD$6:$BD$10,$BE$6:$BE$10),IF(テーブル2[[#This Row],[年齢]]=13,LOOKUP(Q406,$BC$6:$BC$10,$BE$6:$BE$10),LOOKUP(Q406,$BB$6:$BB$10,$BE$6:$BE$10)))))))</f>
        <v/>
      </c>
      <c r="S406" s="145">
        <f>IF(H406="",0,(IF(テーブル2[[#This Row],[性別]]="男",LOOKUP(テーブル2[[#This Row],[握力]],$AI$6:$AJ$15),LOOKUP(テーブル2[[#This Row],[握力]],$AI$20:$AJ$29))))</f>
        <v>0</v>
      </c>
      <c r="T406" s="145">
        <f>IF(テーブル2[[#This Row],[上体]]="",0,(IF(テーブル2[[#This Row],[性別]]="男",LOOKUP(テーブル2[[#This Row],[上体]],$AK$6:$AL$15),LOOKUP(テーブル2[[#This Row],[上体]],$AK$20:$AL$29))))</f>
        <v>0</v>
      </c>
      <c r="U406" s="145">
        <f>IF(テーブル2[[#This Row],[長座]]="",0,(IF(テーブル2[[#This Row],[性別]]="男",LOOKUP(テーブル2[[#This Row],[長座]],$AM$6:$AN$15),LOOKUP(テーブル2[[#This Row],[長座]],$AM$20:$AN$29))))</f>
        <v>0</v>
      </c>
      <c r="V406" s="145">
        <f>IF(テーブル2[[#This Row],[反復]]="",0,(IF(テーブル2[[#This Row],[性別]]="男",LOOKUP(テーブル2[[#This Row],[反復]],$AO$6:$AP$15),LOOKUP(テーブル2[[#This Row],[反復]],$AO$20:$AP$29))))</f>
        <v>0</v>
      </c>
      <c r="W406" s="145">
        <f>IF(テーブル2[[#This Row],[持久走]]="",0,(IF(テーブル2[[#This Row],[性別]]="男",LOOKUP(テーブル2[[#This Row],[持久走]],$AQ$6:$AR$15),LOOKUP(テーブル2[[#This Row],[持久走]],$AQ$20:$AR$29))))</f>
        <v>0</v>
      </c>
      <c r="X406" s="145">
        <f>IF(テーブル2[[#This Row],[ｼｬﾄﾙﾗﾝ]]="",0,(IF(テーブル2[[#This Row],[性別]]="男",LOOKUP(テーブル2[[#This Row],[ｼｬﾄﾙﾗﾝ]],$AS$6:$AT$15),LOOKUP(テーブル2[[#This Row],[ｼｬﾄﾙﾗﾝ]],$AS$20:$AT$29))))</f>
        <v>0</v>
      </c>
      <c r="Y406" s="145">
        <f>IF(テーブル2[[#This Row],[50m走]]="",0,(IF(テーブル2[[#This Row],[性別]]="男",LOOKUP(テーブル2[[#This Row],[50m走]],$AU$6:$AV$15),LOOKUP(テーブル2[[#This Row],[50m走]],$AU$20:$AV$29))))</f>
        <v>0</v>
      </c>
      <c r="Z406" s="145">
        <f>IF(テーブル2[[#This Row],[立幅とび]]="",0,(IF(テーブル2[[#This Row],[性別]]="男",LOOKUP(テーブル2[[#This Row],[立幅とび]],$AW$6:$AX$15),LOOKUP(テーブル2[[#This Row],[立幅とび]],$AW$20:$AX$29))))</f>
        <v>0</v>
      </c>
      <c r="AA406" s="145">
        <f>IF(テーブル2[[#This Row],[ボール投げ]]="",0,(IF(テーブル2[[#This Row],[性別]]="男",LOOKUP(テーブル2[[#This Row],[ボール投げ]],$AY$6:$AZ$15),LOOKUP(テーブル2[[#This Row],[ボール投げ]],$AY$20:$AZ$29))))</f>
        <v>0</v>
      </c>
      <c r="AB406" s="146" t="str">
        <f>IF(テーブル2[[#This Row],[学年]]=1,12,IF(テーブル2[[#This Row],[学年]]=2,13,IF(テーブル2[[#This Row],[学年]]=3,14,"")))</f>
        <v/>
      </c>
      <c r="AC406" s="192" t="str">
        <f>IF(テーブル2[[#This Row],[肥満度数値]]=0,"",LOOKUP(AE406,$AW$39:$AW$44,$AX$39:$AX$44))</f>
        <v/>
      </c>
      <c r="AD40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6" s="77">
        <f>IF(テーブル2[[#This Row],[体重]]="",0,(テーブル2[[#This Row],[体重]]-テーブル2[[#This Row],[標準体重]])/テーブル2[[#This Row],[標準体重]]*100)</f>
        <v>0</v>
      </c>
      <c r="AF406" s="26">
        <f>COUNTA(テーブル2[[#This Row],[握力]:[ボール投げ]])</f>
        <v>0</v>
      </c>
      <c r="AG406" s="1" t="str">
        <f>IF(テーブル2[[#This Row],[判定]]=$BE$10,"○","")</f>
        <v/>
      </c>
      <c r="AH406" s="1" t="str">
        <f>IF(AG406="","",COUNTIF($AG$6:AG406,"○"))</f>
        <v/>
      </c>
    </row>
    <row r="407" spans="1:34" ht="14.25" customHeight="1" x14ac:dyDescent="0.15">
      <c r="A407" s="44">
        <v>402</v>
      </c>
      <c r="B407" s="148"/>
      <c r="C407" s="151"/>
      <c r="D407" s="148"/>
      <c r="E407" s="152"/>
      <c r="F407" s="148"/>
      <c r="G407" s="148"/>
      <c r="H407" s="150"/>
      <c r="I407" s="150"/>
      <c r="J407" s="151"/>
      <c r="K407" s="148"/>
      <c r="L407" s="196"/>
      <c r="M407" s="151"/>
      <c r="N407" s="197"/>
      <c r="O407" s="151"/>
      <c r="P407" s="153"/>
      <c r="Q40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7" s="144" t="str">
        <f>IF(テーブル2[[#This Row],[得点]]=0,"",IF(テーブル2[[#This Row],[年齢]]=17,LOOKUP(Q407,$BH$6:$BH$10,$BE$6:$BE$10),IF(テーブル2[[#This Row],[年齢]]=16,LOOKUP(Q407,$BG$6:$BG$10,$BE$6:$BE$10),IF(テーブル2[[#This Row],[年齢]]=15,LOOKUP(Q407,$BF$6:$BF$10,$BE$6:$BE$10),IF(テーブル2[[#This Row],[年齢]]=14,LOOKUP(Q407,$BD$6:$BD$10,$BE$6:$BE$10),IF(テーブル2[[#This Row],[年齢]]=13,LOOKUP(Q407,$BC$6:$BC$10,$BE$6:$BE$10),LOOKUP(Q407,$BB$6:$BB$10,$BE$6:$BE$10)))))))</f>
        <v/>
      </c>
      <c r="S407" s="145">
        <f>IF(H407="",0,(IF(テーブル2[[#This Row],[性別]]="男",LOOKUP(テーブル2[[#This Row],[握力]],$AI$6:$AJ$15),LOOKUP(テーブル2[[#This Row],[握力]],$AI$20:$AJ$29))))</f>
        <v>0</v>
      </c>
      <c r="T407" s="145">
        <f>IF(テーブル2[[#This Row],[上体]]="",0,(IF(テーブル2[[#This Row],[性別]]="男",LOOKUP(テーブル2[[#This Row],[上体]],$AK$6:$AL$15),LOOKUP(テーブル2[[#This Row],[上体]],$AK$20:$AL$29))))</f>
        <v>0</v>
      </c>
      <c r="U407" s="145">
        <f>IF(テーブル2[[#This Row],[長座]]="",0,(IF(テーブル2[[#This Row],[性別]]="男",LOOKUP(テーブル2[[#This Row],[長座]],$AM$6:$AN$15),LOOKUP(テーブル2[[#This Row],[長座]],$AM$20:$AN$29))))</f>
        <v>0</v>
      </c>
      <c r="V407" s="145">
        <f>IF(テーブル2[[#This Row],[反復]]="",0,(IF(テーブル2[[#This Row],[性別]]="男",LOOKUP(テーブル2[[#This Row],[反復]],$AO$6:$AP$15),LOOKUP(テーブル2[[#This Row],[反復]],$AO$20:$AP$29))))</f>
        <v>0</v>
      </c>
      <c r="W407" s="145">
        <f>IF(テーブル2[[#This Row],[持久走]]="",0,(IF(テーブル2[[#This Row],[性別]]="男",LOOKUP(テーブル2[[#This Row],[持久走]],$AQ$6:$AR$15),LOOKUP(テーブル2[[#This Row],[持久走]],$AQ$20:$AR$29))))</f>
        <v>0</v>
      </c>
      <c r="X407" s="145">
        <f>IF(テーブル2[[#This Row],[ｼｬﾄﾙﾗﾝ]]="",0,(IF(テーブル2[[#This Row],[性別]]="男",LOOKUP(テーブル2[[#This Row],[ｼｬﾄﾙﾗﾝ]],$AS$6:$AT$15),LOOKUP(テーブル2[[#This Row],[ｼｬﾄﾙﾗﾝ]],$AS$20:$AT$29))))</f>
        <v>0</v>
      </c>
      <c r="Y407" s="145">
        <f>IF(テーブル2[[#This Row],[50m走]]="",0,(IF(テーブル2[[#This Row],[性別]]="男",LOOKUP(テーブル2[[#This Row],[50m走]],$AU$6:$AV$15),LOOKUP(テーブル2[[#This Row],[50m走]],$AU$20:$AV$29))))</f>
        <v>0</v>
      </c>
      <c r="Z407" s="145">
        <f>IF(テーブル2[[#This Row],[立幅とび]]="",0,(IF(テーブル2[[#This Row],[性別]]="男",LOOKUP(テーブル2[[#This Row],[立幅とび]],$AW$6:$AX$15),LOOKUP(テーブル2[[#This Row],[立幅とび]],$AW$20:$AX$29))))</f>
        <v>0</v>
      </c>
      <c r="AA407" s="145">
        <f>IF(テーブル2[[#This Row],[ボール投げ]]="",0,(IF(テーブル2[[#This Row],[性別]]="男",LOOKUP(テーブル2[[#This Row],[ボール投げ]],$AY$6:$AZ$15),LOOKUP(テーブル2[[#This Row],[ボール投げ]],$AY$20:$AZ$29))))</f>
        <v>0</v>
      </c>
      <c r="AB407" s="146" t="str">
        <f>IF(テーブル2[[#This Row],[学年]]=1,12,IF(テーブル2[[#This Row],[学年]]=2,13,IF(テーブル2[[#This Row],[学年]]=3,14,"")))</f>
        <v/>
      </c>
      <c r="AC407" s="192" t="str">
        <f>IF(テーブル2[[#This Row],[肥満度数値]]=0,"",LOOKUP(AE407,$AW$39:$AW$44,$AX$39:$AX$44))</f>
        <v/>
      </c>
      <c r="AD40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7" s="77">
        <f>IF(テーブル2[[#This Row],[体重]]="",0,(テーブル2[[#This Row],[体重]]-テーブル2[[#This Row],[標準体重]])/テーブル2[[#This Row],[標準体重]]*100)</f>
        <v>0</v>
      </c>
      <c r="AF407" s="26">
        <f>COUNTA(テーブル2[[#This Row],[握力]:[ボール投げ]])</f>
        <v>0</v>
      </c>
      <c r="AG407" s="1" t="str">
        <f>IF(テーブル2[[#This Row],[判定]]=$BE$10,"○","")</f>
        <v/>
      </c>
      <c r="AH407" s="1" t="str">
        <f>IF(AG407="","",COUNTIF($AG$6:AG407,"○"))</f>
        <v/>
      </c>
    </row>
    <row r="408" spans="1:34" ht="14.25" customHeight="1" x14ac:dyDescent="0.15">
      <c r="A408" s="44">
        <v>403</v>
      </c>
      <c r="B408" s="148"/>
      <c r="C408" s="151"/>
      <c r="D408" s="148"/>
      <c r="E408" s="152"/>
      <c r="F408" s="148"/>
      <c r="G408" s="148"/>
      <c r="H408" s="150"/>
      <c r="I408" s="150"/>
      <c r="J408" s="151"/>
      <c r="K408" s="148"/>
      <c r="L408" s="196"/>
      <c r="M408" s="151"/>
      <c r="N408" s="197"/>
      <c r="O408" s="151"/>
      <c r="P408" s="153"/>
      <c r="Q40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8" s="144" t="str">
        <f>IF(テーブル2[[#This Row],[得点]]=0,"",IF(テーブル2[[#This Row],[年齢]]=17,LOOKUP(Q408,$BH$6:$BH$10,$BE$6:$BE$10),IF(テーブル2[[#This Row],[年齢]]=16,LOOKUP(Q408,$BG$6:$BG$10,$BE$6:$BE$10),IF(テーブル2[[#This Row],[年齢]]=15,LOOKUP(Q408,$BF$6:$BF$10,$BE$6:$BE$10),IF(テーブル2[[#This Row],[年齢]]=14,LOOKUP(Q408,$BD$6:$BD$10,$BE$6:$BE$10),IF(テーブル2[[#This Row],[年齢]]=13,LOOKUP(Q408,$BC$6:$BC$10,$BE$6:$BE$10),LOOKUP(Q408,$BB$6:$BB$10,$BE$6:$BE$10)))))))</f>
        <v/>
      </c>
      <c r="S408" s="145">
        <f>IF(H408="",0,(IF(テーブル2[[#This Row],[性別]]="男",LOOKUP(テーブル2[[#This Row],[握力]],$AI$6:$AJ$15),LOOKUP(テーブル2[[#This Row],[握力]],$AI$20:$AJ$29))))</f>
        <v>0</v>
      </c>
      <c r="T408" s="145">
        <f>IF(テーブル2[[#This Row],[上体]]="",0,(IF(テーブル2[[#This Row],[性別]]="男",LOOKUP(テーブル2[[#This Row],[上体]],$AK$6:$AL$15),LOOKUP(テーブル2[[#This Row],[上体]],$AK$20:$AL$29))))</f>
        <v>0</v>
      </c>
      <c r="U408" s="145">
        <f>IF(テーブル2[[#This Row],[長座]]="",0,(IF(テーブル2[[#This Row],[性別]]="男",LOOKUP(テーブル2[[#This Row],[長座]],$AM$6:$AN$15),LOOKUP(テーブル2[[#This Row],[長座]],$AM$20:$AN$29))))</f>
        <v>0</v>
      </c>
      <c r="V408" s="145">
        <f>IF(テーブル2[[#This Row],[反復]]="",0,(IF(テーブル2[[#This Row],[性別]]="男",LOOKUP(テーブル2[[#This Row],[反復]],$AO$6:$AP$15),LOOKUP(テーブル2[[#This Row],[反復]],$AO$20:$AP$29))))</f>
        <v>0</v>
      </c>
      <c r="W408" s="145">
        <f>IF(テーブル2[[#This Row],[持久走]]="",0,(IF(テーブル2[[#This Row],[性別]]="男",LOOKUP(テーブル2[[#This Row],[持久走]],$AQ$6:$AR$15),LOOKUP(テーブル2[[#This Row],[持久走]],$AQ$20:$AR$29))))</f>
        <v>0</v>
      </c>
      <c r="X408" s="145">
        <f>IF(テーブル2[[#This Row],[ｼｬﾄﾙﾗﾝ]]="",0,(IF(テーブル2[[#This Row],[性別]]="男",LOOKUP(テーブル2[[#This Row],[ｼｬﾄﾙﾗﾝ]],$AS$6:$AT$15),LOOKUP(テーブル2[[#This Row],[ｼｬﾄﾙﾗﾝ]],$AS$20:$AT$29))))</f>
        <v>0</v>
      </c>
      <c r="Y408" s="145">
        <f>IF(テーブル2[[#This Row],[50m走]]="",0,(IF(テーブル2[[#This Row],[性別]]="男",LOOKUP(テーブル2[[#This Row],[50m走]],$AU$6:$AV$15),LOOKUP(テーブル2[[#This Row],[50m走]],$AU$20:$AV$29))))</f>
        <v>0</v>
      </c>
      <c r="Z408" s="145">
        <f>IF(テーブル2[[#This Row],[立幅とび]]="",0,(IF(テーブル2[[#This Row],[性別]]="男",LOOKUP(テーブル2[[#This Row],[立幅とび]],$AW$6:$AX$15),LOOKUP(テーブル2[[#This Row],[立幅とび]],$AW$20:$AX$29))))</f>
        <v>0</v>
      </c>
      <c r="AA408" s="145">
        <f>IF(テーブル2[[#This Row],[ボール投げ]]="",0,(IF(テーブル2[[#This Row],[性別]]="男",LOOKUP(テーブル2[[#This Row],[ボール投げ]],$AY$6:$AZ$15),LOOKUP(テーブル2[[#This Row],[ボール投げ]],$AY$20:$AZ$29))))</f>
        <v>0</v>
      </c>
      <c r="AB408" s="146" t="str">
        <f>IF(テーブル2[[#This Row],[学年]]=1,12,IF(テーブル2[[#This Row],[学年]]=2,13,IF(テーブル2[[#This Row],[学年]]=3,14,"")))</f>
        <v/>
      </c>
      <c r="AC408" s="192" t="str">
        <f>IF(テーブル2[[#This Row],[肥満度数値]]=0,"",LOOKUP(AE408,$AW$39:$AW$44,$AX$39:$AX$44))</f>
        <v/>
      </c>
      <c r="AD40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8" s="77">
        <f>IF(テーブル2[[#This Row],[体重]]="",0,(テーブル2[[#This Row],[体重]]-テーブル2[[#This Row],[標準体重]])/テーブル2[[#This Row],[標準体重]]*100)</f>
        <v>0</v>
      </c>
      <c r="AF408" s="26">
        <f>COUNTA(テーブル2[[#This Row],[握力]:[ボール投げ]])</f>
        <v>0</v>
      </c>
      <c r="AG408" s="1" t="str">
        <f>IF(テーブル2[[#This Row],[判定]]=$BE$10,"○","")</f>
        <v/>
      </c>
      <c r="AH408" s="1" t="str">
        <f>IF(AG408="","",COUNTIF($AG$6:AG408,"○"))</f>
        <v/>
      </c>
    </row>
    <row r="409" spans="1:34" ht="14.25" customHeight="1" x14ac:dyDescent="0.15">
      <c r="A409" s="44">
        <v>404</v>
      </c>
      <c r="B409" s="148"/>
      <c r="C409" s="151"/>
      <c r="D409" s="148"/>
      <c r="E409" s="152"/>
      <c r="F409" s="148"/>
      <c r="G409" s="148"/>
      <c r="H409" s="150"/>
      <c r="I409" s="150"/>
      <c r="J409" s="151"/>
      <c r="K409" s="148"/>
      <c r="L409" s="196"/>
      <c r="M409" s="151"/>
      <c r="N409" s="197"/>
      <c r="O409" s="151"/>
      <c r="P409" s="153"/>
      <c r="Q40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9" s="144" t="str">
        <f>IF(テーブル2[[#This Row],[得点]]=0,"",IF(テーブル2[[#This Row],[年齢]]=17,LOOKUP(Q409,$BH$6:$BH$10,$BE$6:$BE$10),IF(テーブル2[[#This Row],[年齢]]=16,LOOKUP(Q409,$BG$6:$BG$10,$BE$6:$BE$10),IF(テーブル2[[#This Row],[年齢]]=15,LOOKUP(Q409,$BF$6:$BF$10,$BE$6:$BE$10),IF(テーブル2[[#This Row],[年齢]]=14,LOOKUP(Q409,$BD$6:$BD$10,$BE$6:$BE$10),IF(テーブル2[[#This Row],[年齢]]=13,LOOKUP(Q409,$BC$6:$BC$10,$BE$6:$BE$10),LOOKUP(Q409,$BB$6:$BB$10,$BE$6:$BE$10)))))))</f>
        <v/>
      </c>
      <c r="S409" s="145">
        <f>IF(H409="",0,(IF(テーブル2[[#This Row],[性別]]="男",LOOKUP(テーブル2[[#This Row],[握力]],$AI$6:$AJ$15),LOOKUP(テーブル2[[#This Row],[握力]],$AI$20:$AJ$29))))</f>
        <v>0</v>
      </c>
      <c r="T409" s="145">
        <f>IF(テーブル2[[#This Row],[上体]]="",0,(IF(テーブル2[[#This Row],[性別]]="男",LOOKUP(テーブル2[[#This Row],[上体]],$AK$6:$AL$15),LOOKUP(テーブル2[[#This Row],[上体]],$AK$20:$AL$29))))</f>
        <v>0</v>
      </c>
      <c r="U409" s="145">
        <f>IF(テーブル2[[#This Row],[長座]]="",0,(IF(テーブル2[[#This Row],[性別]]="男",LOOKUP(テーブル2[[#This Row],[長座]],$AM$6:$AN$15),LOOKUP(テーブル2[[#This Row],[長座]],$AM$20:$AN$29))))</f>
        <v>0</v>
      </c>
      <c r="V409" s="145">
        <f>IF(テーブル2[[#This Row],[反復]]="",0,(IF(テーブル2[[#This Row],[性別]]="男",LOOKUP(テーブル2[[#This Row],[反復]],$AO$6:$AP$15),LOOKUP(テーブル2[[#This Row],[反復]],$AO$20:$AP$29))))</f>
        <v>0</v>
      </c>
      <c r="W409" s="145">
        <f>IF(テーブル2[[#This Row],[持久走]]="",0,(IF(テーブル2[[#This Row],[性別]]="男",LOOKUP(テーブル2[[#This Row],[持久走]],$AQ$6:$AR$15),LOOKUP(テーブル2[[#This Row],[持久走]],$AQ$20:$AR$29))))</f>
        <v>0</v>
      </c>
      <c r="X409" s="145">
        <f>IF(テーブル2[[#This Row],[ｼｬﾄﾙﾗﾝ]]="",0,(IF(テーブル2[[#This Row],[性別]]="男",LOOKUP(テーブル2[[#This Row],[ｼｬﾄﾙﾗﾝ]],$AS$6:$AT$15),LOOKUP(テーブル2[[#This Row],[ｼｬﾄﾙﾗﾝ]],$AS$20:$AT$29))))</f>
        <v>0</v>
      </c>
      <c r="Y409" s="145">
        <f>IF(テーブル2[[#This Row],[50m走]]="",0,(IF(テーブル2[[#This Row],[性別]]="男",LOOKUP(テーブル2[[#This Row],[50m走]],$AU$6:$AV$15),LOOKUP(テーブル2[[#This Row],[50m走]],$AU$20:$AV$29))))</f>
        <v>0</v>
      </c>
      <c r="Z409" s="145">
        <f>IF(テーブル2[[#This Row],[立幅とび]]="",0,(IF(テーブル2[[#This Row],[性別]]="男",LOOKUP(テーブル2[[#This Row],[立幅とび]],$AW$6:$AX$15),LOOKUP(テーブル2[[#This Row],[立幅とび]],$AW$20:$AX$29))))</f>
        <v>0</v>
      </c>
      <c r="AA409" s="145">
        <f>IF(テーブル2[[#This Row],[ボール投げ]]="",0,(IF(テーブル2[[#This Row],[性別]]="男",LOOKUP(テーブル2[[#This Row],[ボール投げ]],$AY$6:$AZ$15),LOOKUP(テーブル2[[#This Row],[ボール投げ]],$AY$20:$AZ$29))))</f>
        <v>0</v>
      </c>
      <c r="AB409" s="146" t="str">
        <f>IF(テーブル2[[#This Row],[学年]]=1,12,IF(テーブル2[[#This Row],[学年]]=2,13,IF(テーブル2[[#This Row],[学年]]=3,14,"")))</f>
        <v/>
      </c>
      <c r="AC409" s="192" t="str">
        <f>IF(テーブル2[[#This Row],[肥満度数値]]=0,"",LOOKUP(AE409,$AW$39:$AW$44,$AX$39:$AX$44))</f>
        <v/>
      </c>
      <c r="AD40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09" s="77">
        <f>IF(テーブル2[[#This Row],[体重]]="",0,(テーブル2[[#This Row],[体重]]-テーブル2[[#This Row],[標準体重]])/テーブル2[[#This Row],[標準体重]]*100)</f>
        <v>0</v>
      </c>
      <c r="AF409" s="26">
        <f>COUNTA(テーブル2[[#This Row],[握力]:[ボール投げ]])</f>
        <v>0</v>
      </c>
      <c r="AG409" s="1" t="str">
        <f>IF(テーブル2[[#This Row],[判定]]=$BE$10,"○","")</f>
        <v/>
      </c>
      <c r="AH409" s="1" t="str">
        <f>IF(AG409="","",COUNTIF($AG$6:AG409,"○"))</f>
        <v/>
      </c>
    </row>
    <row r="410" spans="1:34" ht="14.25" customHeight="1" x14ac:dyDescent="0.15">
      <c r="A410" s="44">
        <v>405</v>
      </c>
      <c r="B410" s="148"/>
      <c r="C410" s="151"/>
      <c r="D410" s="148"/>
      <c r="E410" s="152"/>
      <c r="F410" s="148"/>
      <c r="G410" s="148"/>
      <c r="H410" s="150"/>
      <c r="I410" s="150"/>
      <c r="J410" s="151"/>
      <c r="K410" s="148"/>
      <c r="L410" s="196"/>
      <c r="M410" s="151"/>
      <c r="N410" s="197"/>
      <c r="O410" s="151"/>
      <c r="P410" s="153"/>
      <c r="Q41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0" s="144" t="str">
        <f>IF(テーブル2[[#This Row],[得点]]=0,"",IF(テーブル2[[#This Row],[年齢]]=17,LOOKUP(Q410,$BH$6:$BH$10,$BE$6:$BE$10),IF(テーブル2[[#This Row],[年齢]]=16,LOOKUP(Q410,$BG$6:$BG$10,$BE$6:$BE$10),IF(テーブル2[[#This Row],[年齢]]=15,LOOKUP(Q410,$BF$6:$BF$10,$BE$6:$BE$10),IF(テーブル2[[#This Row],[年齢]]=14,LOOKUP(Q410,$BD$6:$BD$10,$BE$6:$BE$10),IF(テーブル2[[#This Row],[年齢]]=13,LOOKUP(Q410,$BC$6:$BC$10,$BE$6:$BE$10),LOOKUP(Q410,$BB$6:$BB$10,$BE$6:$BE$10)))))))</f>
        <v/>
      </c>
      <c r="S410" s="145">
        <f>IF(H410="",0,(IF(テーブル2[[#This Row],[性別]]="男",LOOKUP(テーブル2[[#This Row],[握力]],$AI$6:$AJ$15),LOOKUP(テーブル2[[#This Row],[握力]],$AI$20:$AJ$29))))</f>
        <v>0</v>
      </c>
      <c r="T410" s="145">
        <f>IF(テーブル2[[#This Row],[上体]]="",0,(IF(テーブル2[[#This Row],[性別]]="男",LOOKUP(テーブル2[[#This Row],[上体]],$AK$6:$AL$15),LOOKUP(テーブル2[[#This Row],[上体]],$AK$20:$AL$29))))</f>
        <v>0</v>
      </c>
      <c r="U410" s="145">
        <f>IF(テーブル2[[#This Row],[長座]]="",0,(IF(テーブル2[[#This Row],[性別]]="男",LOOKUP(テーブル2[[#This Row],[長座]],$AM$6:$AN$15),LOOKUP(テーブル2[[#This Row],[長座]],$AM$20:$AN$29))))</f>
        <v>0</v>
      </c>
      <c r="V410" s="145">
        <f>IF(テーブル2[[#This Row],[反復]]="",0,(IF(テーブル2[[#This Row],[性別]]="男",LOOKUP(テーブル2[[#This Row],[反復]],$AO$6:$AP$15),LOOKUP(テーブル2[[#This Row],[反復]],$AO$20:$AP$29))))</f>
        <v>0</v>
      </c>
      <c r="W410" s="145">
        <f>IF(テーブル2[[#This Row],[持久走]]="",0,(IF(テーブル2[[#This Row],[性別]]="男",LOOKUP(テーブル2[[#This Row],[持久走]],$AQ$6:$AR$15),LOOKUP(テーブル2[[#This Row],[持久走]],$AQ$20:$AR$29))))</f>
        <v>0</v>
      </c>
      <c r="X410" s="145">
        <f>IF(テーブル2[[#This Row],[ｼｬﾄﾙﾗﾝ]]="",0,(IF(テーブル2[[#This Row],[性別]]="男",LOOKUP(テーブル2[[#This Row],[ｼｬﾄﾙﾗﾝ]],$AS$6:$AT$15),LOOKUP(テーブル2[[#This Row],[ｼｬﾄﾙﾗﾝ]],$AS$20:$AT$29))))</f>
        <v>0</v>
      </c>
      <c r="Y410" s="145">
        <f>IF(テーブル2[[#This Row],[50m走]]="",0,(IF(テーブル2[[#This Row],[性別]]="男",LOOKUP(テーブル2[[#This Row],[50m走]],$AU$6:$AV$15),LOOKUP(テーブル2[[#This Row],[50m走]],$AU$20:$AV$29))))</f>
        <v>0</v>
      </c>
      <c r="Z410" s="145">
        <f>IF(テーブル2[[#This Row],[立幅とび]]="",0,(IF(テーブル2[[#This Row],[性別]]="男",LOOKUP(テーブル2[[#This Row],[立幅とび]],$AW$6:$AX$15),LOOKUP(テーブル2[[#This Row],[立幅とび]],$AW$20:$AX$29))))</f>
        <v>0</v>
      </c>
      <c r="AA410" s="145">
        <f>IF(テーブル2[[#This Row],[ボール投げ]]="",0,(IF(テーブル2[[#This Row],[性別]]="男",LOOKUP(テーブル2[[#This Row],[ボール投げ]],$AY$6:$AZ$15),LOOKUP(テーブル2[[#This Row],[ボール投げ]],$AY$20:$AZ$29))))</f>
        <v>0</v>
      </c>
      <c r="AB410" s="146" t="str">
        <f>IF(テーブル2[[#This Row],[学年]]=1,12,IF(テーブル2[[#This Row],[学年]]=2,13,IF(テーブル2[[#This Row],[学年]]=3,14,"")))</f>
        <v/>
      </c>
      <c r="AC410" s="192" t="str">
        <f>IF(テーブル2[[#This Row],[肥満度数値]]=0,"",LOOKUP(AE410,$AW$39:$AW$44,$AX$39:$AX$44))</f>
        <v/>
      </c>
      <c r="AD41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0" s="77">
        <f>IF(テーブル2[[#This Row],[体重]]="",0,(テーブル2[[#This Row],[体重]]-テーブル2[[#This Row],[標準体重]])/テーブル2[[#This Row],[標準体重]]*100)</f>
        <v>0</v>
      </c>
      <c r="AF410" s="26">
        <f>COUNTA(テーブル2[[#This Row],[握力]:[ボール投げ]])</f>
        <v>0</v>
      </c>
      <c r="AG410" s="1" t="str">
        <f>IF(テーブル2[[#This Row],[判定]]=$BE$10,"○","")</f>
        <v/>
      </c>
      <c r="AH410" s="1" t="str">
        <f>IF(AG410="","",COUNTIF($AG$6:AG410,"○"))</f>
        <v/>
      </c>
    </row>
    <row r="411" spans="1:34" ht="14.25" customHeight="1" x14ac:dyDescent="0.15">
      <c r="A411" s="44">
        <v>406</v>
      </c>
      <c r="B411" s="148"/>
      <c r="C411" s="151"/>
      <c r="D411" s="148"/>
      <c r="E411" s="152"/>
      <c r="F411" s="148"/>
      <c r="G411" s="148"/>
      <c r="H411" s="150"/>
      <c r="I411" s="150"/>
      <c r="J411" s="151"/>
      <c r="K411" s="148"/>
      <c r="L411" s="196"/>
      <c r="M411" s="151"/>
      <c r="N411" s="197"/>
      <c r="O411" s="151"/>
      <c r="P411" s="153"/>
      <c r="Q41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1" s="144" t="str">
        <f>IF(テーブル2[[#This Row],[得点]]=0,"",IF(テーブル2[[#This Row],[年齢]]=17,LOOKUP(Q411,$BH$6:$BH$10,$BE$6:$BE$10),IF(テーブル2[[#This Row],[年齢]]=16,LOOKUP(Q411,$BG$6:$BG$10,$BE$6:$BE$10),IF(テーブル2[[#This Row],[年齢]]=15,LOOKUP(Q411,$BF$6:$BF$10,$BE$6:$BE$10),IF(テーブル2[[#This Row],[年齢]]=14,LOOKUP(Q411,$BD$6:$BD$10,$BE$6:$BE$10),IF(テーブル2[[#This Row],[年齢]]=13,LOOKUP(Q411,$BC$6:$BC$10,$BE$6:$BE$10),LOOKUP(Q411,$BB$6:$BB$10,$BE$6:$BE$10)))))))</f>
        <v/>
      </c>
      <c r="S411" s="145">
        <f>IF(H411="",0,(IF(テーブル2[[#This Row],[性別]]="男",LOOKUP(テーブル2[[#This Row],[握力]],$AI$6:$AJ$15),LOOKUP(テーブル2[[#This Row],[握力]],$AI$20:$AJ$29))))</f>
        <v>0</v>
      </c>
      <c r="T411" s="145">
        <f>IF(テーブル2[[#This Row],[上体]]="",0,(IF(テーブル2[[#This Row],[性別]]="男",LOOKUP(テーブル2[[#This Row],[上体]],$AK$6:$AL$15),LOOKUP(テーブル2[[#This Row],[上体]],$AK$20:$AL$29))))</f>
        <v>0</v>
      </c>
      <c r="U411" s="145">
        <f>IF(テーブル2[[#This Row],[長座]]="",0,(IF(テーブル2[[#This Row],[性別]]="男",LOOKUP(テーブル2[[#This Row],[長座]],$AM$6:$AN$15),LOOKUP(テーブル2[[#This Row],[長座]],$AM$20:$AN$29))))</f>
        <v>0</v>
      </c>
      <c r="V411" s="145">
        <f>IF(テーブル2[[#This Row],[反復]]="",0,(IF(テーブル2[[#This Row],[性別]]="男",LOOKUP(テーブル2[[#This Row],[反復]],$AO$6:$AP$15),LOOKUP(テーブル2[[#This Row],[反復]],$AO$20:$AP$29))))</f>
        <v>0</v>
      </c>
      <c r="W411" s="145">
        <f>IF(テーブル2[[#This Row],[持久走]]="",0,(IF(テーブル2[[#This Row],[性別]]="男",LOOKUP(テーブル2[[#This Row],[持久走]],$AQ$6:$AR$15),LOOKUP(テーブル2[[#This Row],[持久走]],$AQ$20:$AR$29))))</f>
        <v>0</v>
      </c>
      <c r="X411" s="145">
        <f>IF(テーブル2[[#This Row],[ｼｬﾄﾙﾗﾝ]]="",0,(IF(テーブル2[[#This Row],[性別]]="男",LOOKUP(テーブル2[[#This Row],[ｼｬﾄﾙﾗﾝ]],$AS$6:$AT$15),LOOKUP(テーブル2[[#This Row],[ｼｬﾄﾙﾗﾝ]],$AS$20:$AT$29))))</f>
        <v>0</v>
      </c>
      <c r="Y411" s="145">
        <f>IF(テーブル2[[#This Row],[50m走]]="",0,(IF(テーブル2[[#This Row],[性別]]="男",LOOKUP(テーブル2[[#This Row],[50m走]],$AU$6:$AV$15),LOOKUP(テーブル2[[#This Row],[50m走]],$AU$20:$AV$29))))</f>
        <v>0</v>
      </c>
      <c r="Z411" s="145">
        <f>IF(テーブル2[[#This Row],[立幅とび]]="",0,(IF(テーブル2[[#This Row],[性別]]="男",LOOKUP(テーブル2[[#This Row],[立幅とび]],$AW$6:$AX$15),LOOKUP(テーブル2[[#This Row],[立幅とび]],$AW$20:$AX$29))))</f>
        <v>0</v>
      </c>
      <c r="AA411" s="145">
        <f>IF(テーブル2[[#This Row],[ボール投げ]]="",0,(IF(テーブル2[[#This Row],[性別]]="男",LOOKUP(テーブル2[[#This Row],[ボール投げ]],$AY$6:$AZ$15),LOOKUP(テーブル2[[#This Row],[ボール投げ]],$AY$20:$AZ$29))))</f>
        <v>0</v>
      </c>
      <c r="AB411" s="146" t="str">
        <f>IF(テーブル2[[#This Row],[学年]]=1,12,IF(テーブル2[[#This Row],[学年]]=2,13,IF(テーブル2[[#This Row],[学年]]=3,14,"")))</f>
        <v/>
      </c>
      <c r="AC411" s="192" t="str">
        <f>IF(テーブル2[[#This Row],[肥満度数値]]=0,"",LOOKUP(AE411,$AW$39:$AW$44,$AX$39:$AX$44))</f>
        <v/>
      </c>
      <c r="AD41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1" s="77">
        <f>IF(テーブル2[[#This Row],[体重]]="",0,(テーブル2[[#This Row],[体重]]-テーブル2[[#This Row],[標準体重]])/テーブル2[[#This Row],[標準体重]]*100)</f>
        <v>0</v>
      </c>
      <c r="AF411" s="26">
        <f>COUNTA(テーブル2[[#This Row],[握力]:[ボール投げ]])</f>
        <v>0</v>
      </c>
      <c r="AG411" s="1" t="str">
        <f>IF(テーブル2[[#This Row],[判定]]=$BE$10,"○","")</f>
        <v/>
      </c>
      <c r="AH411" s="1" t="str">
        <f>IF(AG411="","",COUNTIF($AG$6:AG411,"○"))</f>
        <v/>
      </c>
    </row>
    <row r="412" spans="1:34" ht="14.25" customHeight="1" x14ac:dyDescent="0.15">
      <c r="A412" s="44">
        <v>407</v>
      </c>
      <c r="B412" s="148"/>
      <c r="C412" s="151"/>
      <c r="D412" s="148"/>
      <c r="E412" s="152"/>
      <c r="F412" s="148"/>
      <c r="G412" s="148"/>
      <c r="H412" s="150"/>
      <c r="I412" s="150"/>
      <c r="J412" s="151"/>
      <c r="K412" s="148"/>
      <c r="L412" s="196"/>
      <c r="M412" s="151"/>
      <c r="N412" s="197"/>
      <c r="O412" s="151"/>
      <c r="P412" s="153"/>
      <c r="Q41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2" s="144" t="str">
        <f>IF(テーブル2[[#This Row],[得点]]=0,"",IF(テーブル2[[#This Row],[年齢]]=17,LOOKUP(Q412,$BH$6:$BH$10,$BE$6:$BE$10),IF(テーブル2[[#This Row],[年齢]]=16,LOOKUP(Q412,$BG$6:$BG$10,$BE$6:$BE$10),IF(テーブル2[[#This Row],[年齢]]=15,LOOKUP(Q412,$BF$6:$BF$10,$BE$6:$BE$10),IF(テーブル2[[#This Row],[年齢]]=14,LOOKUP(Q412,$BD$6:$BD$10,$BE$6:$BE$10),IF(テーブル2[[#This Row],[年齢]]=13,LOOKUP(Q412,$BC$6:$BC$10,$BE$6:$BE$10),LOOKUP(Q412,$BB$6:$BB$10,$BE$6:$BE$10)))))))</f>
        <v/>
      </c>
      <c r="S412" s="145">
        <f>IF(H412="",0,(IF(テーブル2[[#This Row],[性別]]="男",LOOKUP(テーブル2[[#This Row],[握力]],$AI$6:$AJ$15),LOOKUP(テーブル2[[#This Row],[握力]],$AI$20:$AJ$29))))</f>
        <v>0</v>
      </c>
      <c r="T412" s="145">
        <f>IF(テーブル2[[#This Row],[上体]]="",0,(IF(テーブル2[[#This Row],[性別]]="男",LOOKUP(テーブル2[[#This Row],[上体]],$AK$6:$AL$15),LOOKUP(テーブル2[[#This Row],[上体]],$AK$20:$AL$29))))</f>
        <v>0</v>
      </c>
      <c r="U412" s="145">
        <f>IF(テーブル2[[#This Row],[長座]]="",0,(IF(テーブル2[[#This Row],[性別]]="男",LOOKUP(テーブル2[[#This Row],[長座]],$AM$6:$AN$15),LOOKUP(テーブル2[[#This Row],[長座]],$AM$20:$AN$29))))</f>
        <v>0</v>
      </c>
      <c r="V412" s="145">
        <f>IF(テーブル2[[#This Row],[反復]]="",0,(IF(テーブル2[[#This Row],[性別]]="男",LOOKUP(テーブル2[[#This Row],[反復]],$AO$6:$AP$15),LOOKUP(テーブル2[[#This Row],[反復]],$AO$20:$AP$29))))</f>
        <v>0</v>
      </c>
      <c r="W412" s="145">
        <f>IF(テーブル2[[#This Row],[持久走]]="",0,(IF(テーブル2[[#This Row],[性別]]="男",LOOKUP(テーブル2[[#This Row],[持久走]],$AQ$6:$AR$15),LOOKUP(テーブル2[[#This Row],[持久走]],$AQ$20:$AR$29))))</f>
        <v>0</v>
      </c>
      <c r="X412" s="145">
        <f>IF(テーブル2[[#This Row],[ｼｬﾄﾙﾗﾝ]]="",0,(IF(テーブル2[[#This Row],[性別]]="男",LOOKUP(テーブル2[[#This Row],[ｼｬﾄﾙﾗﾝ]],$AS$6:$AT$15),LOOKUP(テーブル2[[#This Row],[ｼｬﾄﾙﾗﾝ]],$AS$20:$AT$29))))</f>
        <v>0</v>
      </c>
      <c r="Y412" s="145">
        <f>IF(テーブル2[[#This Row],[50m走]]="",0,(IF(テーブル2[[#This Row],[性別]]="男",LOOKUP(テーブル2[[#This Row],[50m走]],$AU$6:$AV$15),LOOKUP(テーブル2[[#This Row],[50m走]],$AU$20:$AV$29))))</f>
        <v>0</v>
      </c>
      <c r="Z412" s="145">
        <f>IF(テーブル2[[#This Row],[立幅とび]]="",0,(IF(テーブル2[[#This Row],[性別]]="男",LOOKUP(テーブル2[[#This Row],[立幅とび]],$AW$6:$AX$15),LOOKUP(テーブル2[[#This Row],[立幅とび]],$AW$20:$AX$29))))</f>
        <v>0</v>
      </c>
      <c r="AA412" s="145">
        <f>IF(テーブル2[[#This Row],[ボール投げ]]="",0,(IF(テーブル2[[#This Row],[性別]]="男",LOOKUP(テーブル2[[#This Row],[ボール投げ]],$AY$6:$AZ$15),LOOKUP(テーブル2[[#This Row],[ボール投げ]],$AY$20:$AZ$29))))</f>
        <v>0</v>
      </c>
      <c r="AB412" s="146" t="str">
        <f>IF(テーブル2[[#This Row],[学年]]=1,12,IF(テーブル2[[#This Row],[学年]]=2,13,IF(テーブル2[[#This Row],[学年]]=3,14,"")))</f>
        <v/>
      </c>
      <c r="AC412" s="192" t="str">
        <f>IF(テーブル2[[#This Row],[肥満度数値]]=0,"",LOOKUP(AE412,$AW$39:$AW$44,$AX$39:$AX$44))</f>
        <v/>
      </c>
      <c r="AD41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2" s="77">
        <f>IF(テーブル2[[#This Row],[体重]]="",0,(テーブル2[[#This Row],[体重]]-テーブル2[[#This Row],[標準体重]])/テーブル2[[#This Row],[標準体重]]*100)</f>
        <v>0</v>
      </c>
      <c r="AF412" s="26">
        <f>COUNTA(テーブル2[[#This Row],[握力]:[ボール投げ]])</f>
        <v>0</v>
      </c>
      <c r="AG412" s="1" t="str">
        <f>IF(テーブル2[[#This Row],[判定]]=$BE$10,"○","")</f>
        <v/>
      </c>
      <c r="AH412" s="1" t="str">
        <f>IF(AG412="","",COUNTIF($AG$6:AG412,"○"))</f>
        <v/>
      </c>
    </row>
    <row r="413" spans="1:34" ht="14.25" customHeight="1" x14ac:dyDescent="0.15">
      <c r="A413" s="44">
        <v>408</v>
      </c>
      <c r="B413" s="148"/>
      <c r="C413" s="151"/>
      <c r="D413" s="148"/>
      <c r="E413" s="152"/>
      <c r="F413" s="148"/>
      <c r="G413" s="148"/>
      <c r="H413" s="150"/>
      <c r="I413" s="150"/>
      <c r="J413" s="151"/>
      <c r="K413" s="148"/>
      <c r="L413" s="196"/>
      <c r="M413" s="151"/>
      <c r="N413" s="197"/>
      <c r="O413" s="151"/>
      <c r="P413" s="153"/>
      <c r="Q41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3" s="144" t="str">
        <f>IF(テーブル2[[#This Row],[得点]]=0,"",IF(テーブル2[[#This Row],[年齢]]=17,LOOKUP(Q413,$BH$6:$BH$10,$BE$6:$BE$10),IF(テーブル2[[#This Row],[年齢]]=16,LOOKUP(Q413,$BG$6:$BG$10,$BE$6:$BE$10),IF(テーブル2[[#This Row],[年齢]]=15,LOOKUP(Q413,$BF$6:$BF$10,$BE$6:$BE$10),IF(テーブル2[[#This Row],[年齢]]=14,LOOKUP(Q413,$BD$6:$BD$10,$BE$6:$BE$10),IF(テーブル2[[#This Row],[年齢]]=13,LOOKUP(Q413,$BC$6:$BC$10,$BE$6:$BE$10),LOOKUP(Q413,$BB$6:$BB$10,$BE$6:$BE$10)))))))</f>
        <v/>
      </c>
      <c r="S413" s="145">
        <f>IF(H413="",0,(IF(テーブル2[[#This Row],[性別]]="男",LOOKUP(テーブル2[[#This Row],[握力]],$AI$6:$AJ$15),LOOKUP(テーブル2[[#This Row],[握力]],$AI$20:$AJ$29))))</f>
        <v>0</v>
      </c>
      <c r="T413" s="145">
        <f>IF(テーブル2[[#This Row],[上体]]="",0,(IF(テーブル2[[#This Row],[性別]]="男",LOOKUP(テーブル2[[#This Row],[上体]],$AK$6:$AL$15),LOOKUP(テーブル2[[#This Row],[上体]],$AK$20:$AL$29))))</f>
        <v>0</v>
      </c>
      <c r="U413" s="145">
        <f>IF(テーブル2[[#This Row],[長座]]="",0,(IF(テーブル2[[#This Row],[性別]]="男",LOOKUP(テーブル2[[#This Row],[長座]],$AM$6:$AN$15),LOOKUP(テーブル2[[#This Row],[長座]],$AM$20:$AN$29))))</f>
        <v>0</v>
      </c>
      <c r="V413" s="145">
        <f>IF(テーブル2[[#This Row],[反復]]="",0,(IF(テーブル2[[#This Row],[性別]]="男",LOOKUP(テーブル2[[#This Row],[反復]],$AO$6:$AP$15),LOOKUP(テーブル2[[#This Row],[反復]],$AO$20:$AP$29))))</f>
        <v>0</v>
      </c>
      <c r="W413" s="145">
        <f>IF(テーブル2[[#This Row],[持久走]]="",0,(IF(テーブル2[[#This Row],[性別]]="男",LOOKUP(テーブル2[[#This Row],[持久走]],$AQ$6:$AR$15),LOOKUP(テーブル2[[#This Row],[持久走]],$AQ$20:$AR$29))))</f>
        <v>0</v>
      </c>
      <c r="X413" s="145">
        <f>IF(テーブル2[[#This Row],[ｼｬﾄﾙﾗﾝ]]="",0,(IF(テーブル2[[#This Row],[性別]]="男",LOOKUP(テーブル2[[#This Row],[ｼｬﾄﾙﾗﾝ]],$AS$6:$AT$15),LOOKUP(テーブル2[[#This Row],[ｼｬﾄﾙﾗﾝ]],$AS$20:$AT$29))))</f>
        <v>0</v>
      </c>
      <c r="Y413" s="145">
        <f>IF(テーブル2[[#This Row],[50m走]]="",0,(IF(テーブル2[[#This Row],[性別]]="男",LOOKUP(テーブル2[[#This Row],[50m走]],$AU$6:$AV$15),LOOKUP(テーブル2[[#This Row],[50m走]],$AU$20:$AV$29))))</f>
        <v>0</v>
      </c>
      <c r="Z413" s="145">
        <f>IF(テーブル2[[#This Row],[立幅とび]]="",0,(IF(テーブル2[[#This Row],[性別]]="男",LOOKUP(テーブル2[[#This Row],[立幅とび]],$AW$6:$AX$15),LOOKUP(テーブル2[[#This Row],[立幅とび]],$AW$20:$AX$29))))</f>
        <v>0</v>
      </c>
      <c r="AA413" s="145">
        <f>IF(テーブル2[[#This Row],[ボール投げ]]="",0,(IF(テーブル2[[#This Row],[性別]]="男",LOOKUP(テーブル2[[#This Row],[ボール投げ]],$AY$6:$AZ$15),LOOKUP(テーブル2[[#This Row],[ボール投げ]],$AY$20:$AZ$29))))</f>
        <v>0</v>
      </c>
      <c r="AB413" s="146" t="str">
        <f>IF(テーブル2[[#This Row],[学年]]=1,12,IF(テーブル2[[#This Row],[学年]]=2,13,IF(テーブル2[[#This Row],[学年]]=3,14,"")))</f>
        <v/>
      </c>
      <c r="AC413" s="192" t="str">
        <f>IF(テーブル2[[#This Row],[肥満度数値]]=0,"",LOOKUP(AE413,$AW$39:$AW$44,$AX$39:$AX$44))</f>
        <v/>
      </c>
      <c r="AD41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3" s="77">
        <f>IF(テーブル2[[#This Row],[体重]]="",0,(テーブル2[[#This Row],[体重]]-テーブル2[[#This Row],[標準体重]])/テーブル2[[#This Row],[標準体重]]*100)</f>
        <v>0</v>
      </c>
      <c r="AF413" s="26">
        <f>COUNTA(テーブル2[[#This Row],[握力]:[ボール投げ]])</f>
        <v>0</v>
      </c>
      <c r="AG413" s="1" t="str">
        <f>IF(テーブル2[[#This Row],[判定]]=$BE$10,"○","")</f>
        <v/>
      </c>
      <c r="AH413" s="1" t="str">
        <f>IF(AG413="","",COUNTIF($AG$6:AG413,"○"))</f>
        <v/>
      </c>
    </row>
    <row r="414" spans="1:34" ht="14.25" customHeight="1" x14ac:dyDescent="0.15">
      <c r="A414" s="44">
        <v>409</v>
      </c>
      <c r="B414" s="148"/>
      <c r="C414" s="151"/>
      <c r="D414" s="148"/>
      <c r="E414" s="152"/>
      <c r="F414" s="148"/>
      <c r="G414" s="148"/>
      <c r="H414" s="150"/>
      <c r="I414" s="150"/>
      <c r="J414" s="151"/>
      <c r="K414" s="148"/>
      <c r="L414" s="196"/>
      <c r="M414" s="151"/>
      <c r="N414" s="197"/>
      <c r="O414" s="151"/>
      <c r="P414" s="153"/>
      <c r="Q41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4" s="144" t="str">
        <f>IF(テーブル2[[#This Row],[得点]]=0,"",IF(テーブル2[[#This Row],[年齢]]=17,LOOKUP(Q414,$BH$6:$BH$10,$BE$6:$BE$10),IF(テーブル2[[#This Row],[年齢]]=16,LOOKUP(Q414,$BG$6:$BG$10,$BE$6:$BE$10),IF(テーブル2[[#This Row],[年齢]]=15,LOOKUP(Q414,$BF$6:$BF$10,$BE$6:$BE$10),IF(テーブル2[[#This Row],[年齢]]=14,LOOKUP(Q414,$BD$6:$BD$10,$BE$6:$BE$10),IF(テーブル2[[#This Row],[年齢]]=13,LOOKUP(Q414,$BC$6:$BC$10,$BE$6:$BE$10),LOOKUP(Q414,$BB$6:$BB$10,$BE$6:$BE$10)))))))</f>
        <v/>
      </c>
      <c r="S414" s="145">
        <f>IF(H414="",0,(IF(テーブル2[[#This Row],[性別]]="男",LOOKUP(テーブル2[[#This Row],[握力]],$AI$6:$AJ$15),LOOKUP(テーブル2[[#This Row],[握力]],$AI$20:$AJ$29))))</f>
        <v>0</v>
      </c>
      <c r="T414" s="145">
        <f>IF(テーブル2[[#This Row],[上体]]="",0,(IF(テーブル2[[#This Row],[性別]]="男",LOOKUP(テーブル2[[#This Row],[上体]],$AK$6:$AL$15),LOOKUP(テーブル2[[#This Row],[上体]],$AK$20:$AL$29))))</f>
        <v>0</v>
      </c>
      <c r="U414" s="145">
        <f>IF(テーブル2[[#This Row],[長座]]="",0,(IF(テーブル2[[#This Row],[性別]]="男",LOOKUP(テーブル2[[#This Row],[長座]],$AM$6:$AN$15),LOOKUP(テーブル2[[#This Row],[長座]],$AM$20:$AN$29))))</f>
        <v>0</v>
      </c>
      <c r="V414" s="145">
        <f>IF(テーブル2[[#This Row],[反復]]="",0,(IF(テーブル2[[#This Row],[性別]]="男",LOOKUP(テーブル2[[#This Row],[反復]],$AO$6:$AP$15),LOOKUP(テーブル2[[#This Row],[反復]],$AO$20:$AP$29))))</f>
        <v>0</v>
      </c>
      <c r="W414" s="145">
        <f>IF(テーブル2[[#This Row],[持久走]]="",0,(IF(テーブル2[[#This Row],[性別]]="男",LOOKUP(テーブル2[[#This Row],[持久走]],$AQ$6:$AR$15),LOOKUP(テーブル2[[#This Row],[持久走]],$AQ$20:$AR$29))))</f>
        <v>0</v>
      </c>
      <c r="X414" s="145">
        <f>IF(テーブル2[[#This Row],[ｼｬﾄﾙﾗﾝ]]="",0,(IF(テーブル2[[#This Row],[性別]]="男",LOOKUP(テーブル2[[#This Row],[ｼｬﾄﾙﾗﾝ]],$AS$6:$AT$15),LOOKUP(テーブル2[[#This Row],[ｼｬﾄﾙﾗﾝ]],$AS$20:$AT$29))))</f>
        <v>0</v>
      </c>
      <c r="Y414" s="145">
        <f>IF(テーブル2[[#This Row],[50m走]]="",0,(IF(テーブル2[[#This Row],[性別]]="男",LOOKUP(テーブル2[[#This Row],[50m走]],$AU$6:$AV$15),LOOKUP(テーブル2[[#This Row],[50m走]],$AU$20:$AV$29))))</f>
        <v>0</v>
      </c>
      <c r="Z414" s="145">
        <f>IF(テーブル2[[#This Row],[立幅とび]]="",0,(IF(テーブル2[[#This Row],[性別]]="男",LOOKUP(テーブル2[[#This Row],[立幅とび]],$AW$6:$AX$15),LOOKUP(テーブル2[[#This Row],[立幅とび]],$AW$20:$AX$29))))</f>
        <v>0</v>
      </c>
      <c r="AA414" s="145">
        <f>IF(テーブル2[[#This Row],[ボール投げ]]="",0,(IF(テーブル2[[#This Row],[性別]]="男",LOOKUP(テーブル2[[#This Row],[ボール投げ]],$AY$6:$AZ$15),LOOKUP(テーブル2[[#This Row],[ボール投げ]],$AY$20:$AZ$29))))</f>
        <v>0</v>
      </c>
      <c r="AB414" s="146" t="str">
        <f>IF(テーブル2[[#This Row],[学年]]=1,12,IF(テーブル2[[#This Row],[学年]]=2,13,IF(テーブル2[[#This Row],[学年]]=3,14,"")))</f>
        <v/>
      </c>
      <c r="AC414" s="192" t="str">
        <f>IF(テーブル2[[#This Row],[肥満度数値]]=0,"",LOOKUP(AE414,$AW$39:$AW$44,$AX$39:$AX$44))</f>
        <v/>
      </c>
      <c r="AD41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4" s="77">
        <f>IF(テーブル2[[#This Row],[体重]]="",0,(テーブル2[[#This Row],[体重]]-テーブル2[[#This Row],[標準体重]])/テーブル2[[#This Row],[標準体重]]*100)</f>
        <v>0</v>
      </c>
      <c r="AF414" s="26">
        <f>COUNTA(テーブル2[[#This Row],[握力]:[ボール投げ]])</f>
        <v>0</v>
      </c>
      <c r="AG414" s="1" t="str">
        <f>IF(テーブル2[[#This Row],[判定]]=$BE$10,"○","")</f>
        <v/>
      </c>
      <c r="AH414" s="1" t="str">
        <f>IF(AG414="","",COUNTIF($AG$6:AG414,"○"))</f>
        <v/>
      </c>
    </row>
    <row r="415" spans="1:34" ht="14.25" customHeight="1" x14ac:dyDescent="0.15">
      <c r="A415" s="44">
        <v>410</v>
      </c>
      <c r="B415" s="148"/>
      <c r="C415" s="151"/>
      <c r="D415" s="148"/>
      <c r="E415" s="152"/>
      <c r="F415" s="148"/>
      <c r="G415" s="148"/>
      <c r="H415" s="150"/>
      <c r="I415" s="150"/>
      <c r="J415" s="151"/>
      <c r="K415" s="148"/>
      <c r="L415" s="196"/>
      <c r="M415" s="151"/>
      <c r="N415" s="197"/>
      <c r="O415" s="151"/>
      <c r="P415" s="153"/>
      <c r="Q41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5" s="144" t="str">
        <f>IF(テーブル2[[#This Row],[得点]]=0,"",IF(テーブル2[[#This Row],[年齢]]=17,LOOKUP(Q415,$BH$6:$BH$10,$BE$6:$BE$10),IF(テーブル2[[#This Row],[年齢]]=16,LOOKUP(Q415,$BG$6:$BG$10,$BE$6:$BE$10),IF(テーブル2[[#This Row],[年齢]]=15,LOOKUP(Q415,$BF$6:$BF$10,$BE$6:$BE$10),IF(テーブル2[[#This Row],[年齢]]=14,LOOKUP(Q415,$BD$6:$BD$10,$BE$6:$BE$10),IF(テーブル2[[#This Row],[年齢]]=13,LOOKUP(Q415,$BC$6:$BC$10,$BE$6:$BE$10),LOOKUP(Q415,$BB$6:$BB$10,$BE$6:$BE$10)))))))</f>
        <v/>
      </c>
      <c r="S415" s="145">
        <f>IF(H415="",0,(IF(テーブル2[[#This Row],[性別]]="男",LOOKUP(テーブル2[[#This Row],[握力]],$AI$6:$AJ$15),LOOKUP(テーブル2[[#This Row],[握力]],$AI$20:$AJ$29))))</f>
        <v>0</v>
      </c>
      <c r="T415" s="145">
        <f>IF(テーブル2[[#This Row],[上体]]="",0,(IF(テーブル2[[#This Row],[性別]]="男",LOOKUP(テーブル2[[#This Row],[上体]],$AK$6:$AL$15),LOOKUP(テーブル2[[#This Row],[上体]],$AK$20:$AL$29))))</f>
        <v>0</v>
      </c>
      <c r="U415" s="145">
        <f>IF(テーブル2[[#This Row],[長座]]="",0,(IF(テーブル2[[#This Row],[性別]]="男",LOOKUP(テーブル2[[#This Row],[長座]],$AM$6:$AN$15),LOOKUP(テーブル2[[#This Row],[長座]],$AM$20:$AN$29))))</f>
        <v>0</v>
      </c>
      <c r="V415" s="145">
        <f>IF(テーブル2[[#This Row],[反復]]="",0,(IF(テーブル2[[#This Row],[性別]]="男",LOOKUP(テーブル2[[#This Row],[反復]],$AO$6:$AP$15),LOOKUP(テーブル2[[#This Row],[反復]],$AO$20:$AP$29))))</f>
        <v>0</v>
      </c>
      <c r="W415" s="145">
        <f>IF(テーブル2[[#This Row],[持久走]]="",0,(IF(テーブル2[[#This Row],[性別]]="男",LOOKUP(テーブル2[[#This Row],[持久走]],$AQ$6:$AR$15),LOOKUP(テーブル2[[#This Row],[持久走]],$AQ$20:$AR$29))))</f>
        <v>0</v>
      </c>
      <c r="X415" s="145">
        <f>IF(テーブル2[[#This Row],[ｼｬﾄﾙﾗﾝ]]="",0,(IF(テーブル2[[#This Row],[性別]]="男",LOOKUP(テーブル2[[#This Row],[ｼｬﾄﾙﾗﾝ]],$AS$6:$AT$15),LOOKUP(テーブル2[[#This Row],[ｼｬﾄﾙﾗﾝ]],$AS$20:$AT$29))))</f>
        <v>0</v>
      </c>
      <c r="Y415" s="145">
        <f>IF(テーブル2[[#This Row],[50m走]]="",0,(IF(テーブル2[[#This Row],[性別]]="男",LOOKUP(テーブル2[[#This Row],[50m走]],$AU$6:$AV$15),LOOKUP(テーブル2[[#This Row],[50m走]],$AU$20:$AV$29))))</f>
        <v>0</v>
      </c>
      <c r="Z415" s="145">
        <f>IF(テーブル2[[#This Row],[立幅とび]]="",0,(IF(テーブル2[[#This Row],[性別]]="男",LOOKUP(テーブル2[[#This Row],[立幅とび]],$AW$6:$AX$15),LOOKUP(テーブル2[[#This Row],[立幅とび]],$AW$20:$AX$29))))</f>
        <v>0</v>
      </c>
      <c r="AA415" s="145">
        <f>IF(テーブル2[[#This Row],[ボール投げ]]="",0,(IF(テーブル2[[#This Row],[性別]]="男",LOOKUP(テーブル2[[#This Row],[ボール投げ]],$AY$6:$AZ$15),LOOKUP(テーブル2[[#This Row],[ボール投げ]],$AY$20:$AZ$29))))</f>
        <v>0</v>
      </c>
      <c r="AB415" s="146" t="str">
        <f>IF(テーブル2[[#This Row],[学年]]=1,12,IF(テーブル2[[#This Row],[学年]]=2,13,IF(テーブル2[[#This Row],[学年]]=3,14,"")))</f>
        <v/>
      </c>
      <c r="AC415" s="192" t="str">
        <f>IF(テーブル2[[#This Row],[肥満度数値]]=0,"",LOOKUP(AE415,$AW$39:$AW$44,$AX$39:$AX$44))</f>
        <v/>
      </c>
      <c r="AD41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5" s="77">
        <f>IF(テーブル2[[#This Row],[体重]]="",0,(テーブル2[[#This Row],[体重]]-テーブル2[[#This Row],[標準体重]])/テーブル2[[#This Row],[標準体重]]*100)</f>
        <v>0</v>
      </c>
      <c r="AF415" s="26">
        <f>COUNTA(テーブル2[[#This Row],[握力]:[ボール投げ]])</f>
        <v>0</v>
      </c>
      <c r="AG415" s="1" t="str">
        <f>IF(テーブル2[[#This Row],[判定]]=$BE$10,"○","")</f>
        <v/>
      </c>
      <c r="AH415" s="1" t="str">
        <f>IF(AG415="","",COUNTIF($AG$6:AG415,"○"))</f>
        <v/>
      </c>
    </row>
    <row r="416" spans="1:34" ht="14.25" customHeight="1" x14ac:dyDescent="0.15">
      <c r="A416" s="44">
        <v>411</v>
      </c>
      <c r="B416" s="148"/>
      <c r="C416" s="151"/>
      <c r="D416" s="148"/>
      <c r="E416" s="152"/>
      <c r="F416" s="148"/>
      <c r="G416" s="148"/>
      <c r="H416" s="150"/>
      <c r="I416" s="150"/>
      <c r="J416" s="151"/>
      <c r="K416" s="148"/>
      <c r="L416" s="196"/>
      <c r="M416" s="151"/>
      <c r="N416" s="197"/>
      <c r="O416" s="151"/>
      <c r="P416" s="153"/>
      <c r="Q41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6" s="144" t="str">
        <f>IF(テーブル2[[#This Row],[得点]]=0,"",IF(テーブル2[[#This Row],[年齢]]=17,LOOKUP(Q416,$BH$6:$BH$10,$BE$6:$BE$10),IF(テーブル2[[#This Row],[年齢]]=16,LOOKUP(Q416,$BG$6:$BG$10,$BE$6:$BE$10),IF(テーブル2[[#This Row],[年齢]]=15,LOOKUP(Q416,$BF$6:$BF$10,$BE$6:$BE$10),IF(テーブル2[[#This Row],[年齢]]=14,LOOKUP(Q416,$BD$6:$BD$10,$BE$6:$BE$10),IF(テーブル2[[#This Row],[年齢]]=13,LOOKUP(Q416,$BC$6:$BC$10,$BE$6:$BE$10),LOOKUP(Q416,$BB$6:$BB$10,$BE$6:$BE$10)))))))</f>
        <v/>
      </c>
      <c r="S416" s="145">
        <f>IF(H416="",0,(IF(テーブル2[[#This Row],[性別]]="男",LOOKUP(テーブル2[[#This Row],[握力]],$AI$6:$AJ$15),LOOKUP(テーブル2[[#This Row],[握力]],$AI$20:$AJ$29))))</f>
        <v>0</v>
      </c>
      <c r="T416" s="145">
        <f>IF(テーブル2[[#This Row],[上体]]="",0,(IF(テーブル2[[#This Row],[性別]]="男",LOOKUP(テーブル2[[#This Row],[上体]],$AK$6:$AL$15),LOOKUP(テーブル2[[#This Row],[上体]],$AK$20:$AL$29))))</f>
        <v>0</v>
      </c>
      <c r="U416" s="145">
        <f>IF(テーブル2[[#This Row],[長座]]="",0,(IF(テーブル2[[#This Row],[性別]]="男",LOOKUP(テーブル2[[#This Row],[長座]],$AM$6:$AN$15),LOOKUP(テーブル2[[#This Row],[長座]],$AM$20:$AN$29))))</f>
        <v>0</v>
      </c>
      <c r="V416" s="145">
        <f>IF(テーブル2[[#This Row],[反復]]="",0,(IF(テーブル2[[#This Row],[性別]]="男",LOOKUP(テーブル2[[#This Row],[反復]],$AO$6:$AP$15),LOOKUP(テーブル2[[#This Row],[反復]],$AO$20:$AP$29))))</f>
        <v>0</v>
      </c>
      <c r="W416" s="145">
        <f>IF(テーブル2[[#This Row],[持久走]]="",0,(IF(テーブル2[[#This Row],[性別]]="男",LOOKUP(テーブル2[[#This Row],[持久走]],$AQ$6:$AR$15),LOOKUP(テーブル2[[#This Row],[持久走]],$AQ$20:$AR$29))))</f>
        <v>0</v>
      </c>
      <c r="X416" s="145">
        <f>IF(テーブル2[[#This Row],[ｼｬﾄﾙﾗﾝ]]="",0,(IF(テーブル2[[#This Row],[性別]]="男",LOOKUP(テーブル2[[#This Row],[ｼｬﾄﾙﾗﾝ]],$AS$6:$AT$15),LOOKUP(テーブル2[[#This Row],[ｼｬﾄﾙﾗﾝ]],$AS$20:$AT$29))))</f>
        <v>0</v>
      </c>
      <c r="Y416" s="145">
        <f>IF(テーブル2[[#This Row],[50m走]]="",0,(IF(テーブル2[[#This Row],[性別]]="男",LOOKUP(テーブル2[[#This Row],[50m走]],$AU$6:$AV$15),LOOKUP(テーブル2[[#This Row],[50m走]],$AU$20:$AV$29))))</f>
        <v>0</v>
      </c>
      <c r="Z416" s="145">
        <f>IF(テーブル2[[#This Row],[立幅とび]]="",0,(IF(テーブル2[[#This Row],[性別]]="男",LOOKUP(テーブル2[[#This Row],[立幅とび]],$AW$6:$AX$15),LOOKUP(テーブル2[[#This Row],[立幅とび]],$AW$20:$AX$29))))</f>
        <v>0</v>
      </c>
      <c r="AA416" s="145">
        <f>IF(テーブル2[[#This Row],[ボール投げ]]="",0,(IF(テーブル2[[#This Row],[性別]]="男",LOOKUP(テーブル2[[#This Row],[ボール投げ]],$AY$6:$AZ$15),LOOKUP(テーブル2[[#This Row],[ボール投げ]],$AY$20:$AZ$29))))</f>
        <v>0</v>
      </c>
      <c r="AB416" s="146" t="str">
        <f>IF(テーブル2[[#This Row],[学年]]=1,12,IF(テーブル2[[#This Row],[学年]]=2,13,IF(テーブル2[[#This Row],[学年]]=3,14,"")))</f>
        <v/>
      </c>
      <c r="AC416" s="192" t="str">
        <f>IF(テーブル2[[#This Row],[肥満度数値]]=0,"",LOOKUP(AE416,$AW$39:$AW$44,$AX$39:$AX$44))</f>
        <v/>
      </c>
      <c r="AD41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6" s="77">
        <f>IF(テーブル2[[#This Row],[体重]]="",0,(テーブル2[[#This Row],[体重]]-テーブル2[[#This Row],[標準体重]])/テーブル2[[#This Row],[標準体重]]*100)</f>
        <v>0</v>
      </c>
      <c r="AF416" s="26">
        <f>COUNTA(テーブル2[[#This Row],[握力]:[ボール投げ]])</f>
        <v>0</v>
      </c>
      <c r="AG416" s="1" t="str">
        <f>IF(テーブル2[[#This Row],[判定]]=$BE$10,"○","")</f>
        <v/>
      </c>
      <c r="AH416" s="1" t="str">
        <f>IF(AG416="","",COUNTIF($AG$6:AG416,"○"))</f>
        <v/>
      </c>
    </row>
    <row r="417" spans="1:34" ht="14.25" customHeight="1" x14ac:dyDescent="0.15">
      <c r="A417" s="44">
        <v>412</v>
      </c>
      <c r="B417" s="148"/>
      <c r="C417" s="151"/>
      <c r="D417" s="148"/>
      <c r="E417" s="152"/>
      <c r="F417" s="148"/>
      <c r="G417" s="148"/>
      <c r="H417" s="150"/>
      <c r="I417" s="150"/>
      <c r="J417" s="151"/>
      <c r="K417" s="148"/>
      <c r="L417" s="196"/>
      <c r="M417" s="151"/>
      <c r="N417" s="197"/>
      <c r="O417" s="151"/>
      <c r="P417" s="153"/>
      <c r="Q41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7" s="144" t="str">
        <f>IF(テーブル2[[#This Row],[得点]]=0,"",IF(テーブル2[[#This Row],[年齢]]=17,LOOKUP(Q417,$BH$6:$BH$10,$BE$6:$BE$10),IF(テーブル2[[#This Row],[年齢]]=16,LOOKUP(Q417,$BG$6:$BG$10,$BE$6:$BE$10),IF(テーブル2[[#This Row],[年齢]]=15,LOOKUP(Q417,$BF$6:$BF$10,$BE$6:$BE$10),IF(テーブル2[[#This Row],[年齢]]=14,LOOKUP(Q417,$BD$6:$BD$10,$BE$6:$BE$10),IF(テーブル2[[#This Row],[年齢]]=13,LOOKUP(Q417,$BC$6:$BC$10,$BE$6:$BE$10),LOOKUP(Q417,$BB$6:$BB$10,$BE$6:$BE$10)))))))</f>
        <v/>
      </c>
      <c r="S417" s="145">
        <f>IF(H417="",0,(IF(テーブル2[[#This Row],[性別]]="男",LOOKUP(テーブル2[[#This Row],[握力]],$AI$6:$AJ$15),LOOKUP(テーブル2[[#This Row],[握力]],$AI$20:$AJ$29))))</f>
        <v>0</v>
      </c>
      <c r="T417" s="145">
        <f>IF(テーブル2[[#This Row],[上体]]="",0,(IF(テーブル2[[#This Row],[性別]]="男",LOOKUP(テーブル2[[#This Row],[上体]],$AK$6:$AL$15),LOOKUP(テーブル2[[#This Row],[上体]],$AK$20:$AL$29))))</f>
        <v>0</v>
      </c>
      <c r="U417" s="145">
        <f>IF(テーブル2[[#This Row],[長座]]="",0,(IF(テーブル2[[#This Row],[性別]]="男",LOOKUP(テーブル2[[#This Row],[長座]],$AM$6:$AN$15),LOOKUP(テーブル2[[#This Row],[長座]],$AM$20:$AN$29))))</f>
        <v>0</v>
      </c>
      <c r="V417" s="145">
        <f>IF(テーブル2[[#This Row],[反復]]="",0,(IF(テーブル2[[#This Row],[性別]]="男",LOOKUP(テーブル2[[#This Row],[反復]],$AO$6:$AP$15),LOOKUP(テーブル2[[#This Row],[反復]],$AO$20:$AP$29))))</f>
        <v>0</v>
      </c>
      <c r="W417" s="145">
        <f>IF(テーブル2[[#This Row],[持久走]]="",0,(IF(テーブル2[[#This Row],[性別]]="男",LOOKUP(テーブル2[[#This Row],[持久走]],$AQ$6:$AR$15),LOOKUP(テーブル2[[#This Row],[持久走]],$AQ$20:$AR$29))))</f>
        <v>0</v>
      </c>
      <c r="X417" s="145">
        <f>IF(テーブル2[[#This Row],[ｼｬﾄﾙﾗﾝ]]="",0,(IF(テーブル2[[#This Row],[性別]]="男",LOOKUP(テーブル2[[#This Row],[ｼｬﾄﾙﾗﾝ]],$AS$6:$AT$15),LOOKUP(テーブル2[[#This Row],[ｼｬﾄﾙﾗﾝ]],$AS$20:$AT$29))))</f>
        <v>0</v>
      </c>
      <c r="Y417" s="145">
        <f>IF(テーブル2[[#This Row],[50m走]]="",0,(IF(テーブル2[[#This Row],[性別]]="男",LOOKUP(テーブル2[[#This Row],[50m走]],$AU$6:$AV$15),LOOKUP(テーブル2[[#This Row],[50m走]],$AU$20:$AV$29))))</f>
        <v>0</v>
      </c>
      <c r="Z417" s="145">
        <f>IF(テーブル2[[#This Row],[立幅とび]]="",0,(IF(テーブル2[[#This Row],[性別]]="男",LOOKUP(テーブル2[[#This Row],[立幅とび]],$AW$6:$AX$15),LOOKUP(テーブル2[[#This Row],[立幅とび]],$AW$20:$AX$29))))</f>
        <v>0</v>
      </c>
      <c r="AA417" s="145">
        <f>IF(テーブル2[[#This Row],[ボール投げ]]="",0,(IF(テーブル2[[#This Row],[性別]]="男",LOOKUP(テーブル2[[#This Row],[ボール投げ]],$AY$6:$AZ$15),LOOKUP(テーブル2[[#This Row],[ボール投げ]],$AY$20:$AZ$29))))</f>
        <v>0</v>
      </c>
      <c r="AB417" s="146" t="str">
        <f>IF(テーブル2[[#This Row],[学年]]=1,12,IF(テーブル2[[#This Row],[学年]]=2,13,IF(テーブル2[[#This Row],[学年]]=3,14,"")))</f>
        <v/>
      </c>
      <c r="AC417" s="192" t="str">
        <f>IF(テーブル2[[#This Row],[肥満度数値]]=0,"",LOOKUP(AE417,$AW$39:$AW$44,$AX$39:$AX$44))</f>
        <v/>
      </c>
      <c r="AD41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7" s="77">
        <f>IF(テーブル2[[#This Row],[体重]]="",0,(テーブル2[[#This Row],[体重]]-テーブル2[[#This Row],[標準体重]])/テーブル2[[#This Row],[標準体重]]*100)</f>
        <v>0</v>
      </c>
      <c r="AF417" s="26">
        <f>COUNTA(テーブル2[[#This Row],[握力]:[ボール投げ]])</f>
        <v>0</v>
      </c>
      <c r="AG417" s="1" t="str">
        <f>IF(テーブル2[[#This Row],[判定]]=$BE$10,"○","")</f>
        <v/>
      </c>
      <c r="AH417" s="1" t="str">
        <f>IF(AG417="","",COUNTIF($AG$6:AG417,"○"))</f>
        <v/>
      </c>
    </row>
    <row r="418" spans="1:34" ht="14.25" customHeight="1" x14ac:dyDescent="0.15">
      <c r="A418" s="44">
        <v>413</v>
      </c>
      <c r="B418" s="148"/>
      <c r="C418" s="151"/>
      <c r="D418" s="148"/>
      <c r="E418" s="152"/>
      <c r="F418" s="148"/>
      <c r="G418" s="148"/>
      <c r="H418" s="150"/>
      <c r="I418" s="150"/>
      <c r="J418" s="151"/>
      <c r="K418" s="148"/>
      <c r="L418" s="196"/>
      <c r="M418" s="151"/>
      <c r="N418" s="197"/>
      <c r="O418" s="151"/>
      <c r="P418" s="153"/>
      <c r="Q41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8" s="144" t="str">
        <f>IF(テーブル2[[#This Row],[得点]]=0,"",IF(テーブル2[[#This Row],[年齢]]=17,LOOKUP(Q418,$BH$6:$BH$10,$BE$6:$BE$10),IF(テーブル2[[#This Row],[年齢]]=16,LOOKUP(Q418,$BG$6:$BG$10,$BE$6:$BE$10),IF(テーブル2[[#This Row],[年齢]]=15,LOOKUP(Q418,$BF$6:$BF$10,$BE$6:$BE$10),IF(テーブル2[[#This Row],[年齢]]=14,LOOKUP(Q418,$BD$6:$BD$10,$BE$6:$BE$10),IF(テーブル2[[#This Row],[年齢]]=13,LOOKUP(Q418,$BC$6:$BC$10,$BE$6:$BE$10),LOOKUP(Q418,$BB$6:$BB$10,$BE$6:$BE$10)))))))</f>
        <v/>
      </c>
      <c r="S418" s="145">
        <f>IF(H418="",0,(IF(テーブル2[[#This Row],[性別]]="男",LOOKUP(テーブル2[[#This Row],[握力]],$AI$6:$AJ$15),LOOKUP(テーブル2[[#This Row],[握力]],$AI$20:$AJ$29))))</f>
        <v>0</v>
      </c>
      <c r="T418" s="145">
        <f>IF(テーブル2[[#This Row],[上体]]="",0,(IF(テーブル2[[#This Row],[性別]]="男",LOOKUP(テーブル2[[#This Row],[上体]],$AK$6:$AL$15),LOOKUP(テーブル2[[#This Row],[上体]],$AK$20:$AL$29))))</f>
        <v>0</v>
      </c>
      <c r="U418" s="145">
        <f>IF(テーブル2[[#This Row],[長座]]="",0,(IF(テーブル2[[#This Row],[性別]]="男",LOOKUP(テーブル2[[#This Row],[長座]],$AM$6:$AN$15),LOOKUP(テーブル2[[#This Row],[長座]],$AM$20:$AN$29))))</f>
        <v>0</v>
      </c>
      <c r="V418" s="145">
        <f>IF(テーブル2[[#This Row],[反復]]="",0,(IF(テーブル2[[#This Row],[性別]]="男",LOOKUP(テーブル2[[#This Row],[反復]],$AO$6:$AP$15),LOOKUP(テーブル2[[#This Row],[反復]],$AO$20:$AP$29))))</f>
        <v>0</v>
      </c>
      <c r="W418" s="145">
        <f>IF(テーブル2[[#This Row],[持久走]]="",0,(IF(テーブル2[[#This Row],[性別]]="男",LOOKUP(テーブル2[[#This Row],[持久走]],$AQ$6:$AR$15),LOOKUP(テーブル2[[#This Row],[持久走]],$AQ$20:$AR$29))))</f>
        <v>0</v>
      </c>
      <c r="X418" s="145">
        <f>IF(テーブル2[[#This Row],[ｼｬﾄﾙﾗﾝ]]="",0,(IF(テーブル2[[#This Row],[性別]]="男",LOOKUP(テーブル2[[#This Row],[ｼｬﾄﾙﾗﾝ]],$AS$6:$AT$15),LOOKUP(テーブル2[[#This Row],[ｼｬﾄﾙﾗﾝ]],$AS$20:$AT$29))))</f>
        <v>0</v>
      </c>
      <c r="Y418" s="145">
        <f>IF(テーブル2[[#This Row],[50m走]]="",0,(IF(テーブル2[[#This Row],[性別]]="男",LOOKUP(テーブル2[[#This Row],[50m走]],$AU$6:$AV$15),LOOKUP(テーブル2[[#This Row],[50m走]],$AU$20:$AV$29))))</f>
        <v>0</v>
      </c>
      <c r="Z418" s="145">
        <f>IF(テーブル2[[#This Row],[立幅とび]]="",0,(IF(テーブル2[[#This Row],[性別]]="男",LOOKUP(テーブル2[[#This Row],[立幅とび]],$AW$6:$AX$15),LOOKUP(テーブル2[[#This Row],[立幅とび]],$AW$20:$AX$29))))</f>
        <v>0</v>
      </c>
      <c r="AA418" s="145">
        <f>IF(テーブル2[[#This Row],[ボール投げ]]="",0,(IF(テーブル2[[#This Row],[性別]]="男",LOOKUP(テーブル2[[#This Row],[ボール投げ]],$AY$6:$AZ$15),LOOKUP(テーブル2[[#This Row],[ボール投げ]],$AY$20:$AZ$29))))</f>
        <v>0</v>
      </c>
      <c r="AB418" s="146" t="str">
        <f>IF(テーブル2[[#This Row],[学年]]=1,12,IF(テーブル2[[#This Row],[学年]]=2,13,IF(テーブル2[[#This Row],[学年]]=3,14,"")))</f>
        <v/>
      </c>
      <c r="AC418" s="192" t="str">
        <f>IF(テーブル2[[#This Row],[肥満度数値]]=0,"",LOOKUP(AE418,$AW$39:$AW$44,$AX$39:$AX$44))</f>
        <v/>
      </c>
      <c r="AD41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8" s="77">
        <f>IF(テーブル2[[#This Row],[体重]]="",0,(テーブル2[[#This Row],[体重]]-テーブル2[[#This Row],[標準体重]])/テーブル2[[#This Row],[標準体重]]*100)</f>
        <v>0</v>
      </c>
      <c r="AF418" s="26">
        <f>COUNTA(テーブル2[[#This Row],[握力]:[ボール投げ]])</f>
        <v>0</v>
      </c>
      <c r="AG418" s="1" t="str">
        <f>IF(テーブル2[[#This Row],[判定]]=$BE$10,"○","")</f>
        <v/>
      </c>
      <c r="AH418" s="1" t="str">
        <f>IF(AG418="","",COUNTIF($AG$6:AG418,"○"))</f>
        <v/>
      </c>
    </row>
    <row r="419" spans="1:34" ht="14.25" customHeight="1" x14ac:dyDescent="0.15">
      <c r="A419" s="44">
        <v>414</v>
      </c>
      <c r="B419" s="148"/>
      <c r="C419" s="151"/>
      <c r="D419" s="148"/>
      <c r="E419" s="152"/>
      <c r="F419" s="148"/>
      <c r="G419" s="148"/>
      <c r="H419" s="150"/>
      <c r="I419" s="150"/>
      <c r="J419" s="151"/>
      <c r="K419" s="148"/>
      <c r="L419" s="196"/>
      <c r="M419" s="151"/>
      <c r="N419" s="197"/>
      <c r="O419" s="151"/>
      <c r="P419" s="153"/>
      <c r="Q41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9" s="144" t="str">
        <f>IF(テーブル2[[#This Row],[得点]]=0,"",IF(テーブル2[[#This Row],[年齢]]=17,LOOKUP(Q419,$BH$6:$BH$10,$BE$6:$BE$10),IF(テーブル2[[#This Row],[年齢]]=16,LOOKUP(Q419,$BG$6:$BG$10,$BE$6:$BE$10),IF(テーブル2[[#This Row],[年齢]]=15,LOOKUP(Q419,$BF$6:$BF$10,$BE$6:$BE$10),IF(テーブル2[[#This Row],[年齢]]=14,LOOKUP(Q419,$BD$6:$BD$10,$BE$6:$BE$10),IF(テーブル2[[#This Row],[年齢]]=13,LOOKUP(Q419,$BC$6:$BC$10,$BE$6:$BE$10),LOOKUP(Q419,$BB$6:$BB$10,$BE$6:$BE$10)))))))</f>
        <v/>
      </c>
      <c r="S419" s="145">
        <f>IF(H419="",0,(IF(テーブル2[[#This Row],[性別]]="男",LOOKUP(テーブル2[[#This Row],[握力]],$AI$6:$AJ$15),LOOKUP(テーブル2[[#This Row],[握力]],$AI$20:$AJ$29))))</f>
        <v>0</v>
      </c>
      <c r="T419" s="145">
        <f>IF(テーブル2[[#This Row],[上体]]="",0,(IF(テーブル2[[#This Row],[性別]]="男",LOOKUP(テーブル2[[#This Row],[上体]],$AK$6:$AL$15),LOOKUP(テーブル2[[#This Row],[上体]],$AK$20:$AL$29))))</f>
        <v>0</v>
      </c>
      <c r="U419" s="145">
        <f>IF(テーブル2[[#This Row],[長座]]="",0,(IF(テーブル2[[#This Row],[性別]]="男",LOOKUP(テーブル2[[#This Row],[長座]],$AM$6:$AN$15),LOOKUP(テーブル2[[#This Row],[長座]],$AM$20:$AN$29))))</f>
        <v>0</v>
      </c>
      <c r="V419" s="145">
        <f>IF(テーブル2[[#This Row],[反復]]="",0,(IF(テーブル2[[#This Row],[性別]]="男",LOOKUP(テーブル2[[#This Row],[反復]],$AO$6:$AP$15),LOOKUP(テーブル2[[#This Row],[反復]],$AO$20:$AP$29))))</f>
        <v>0</v>
      </c>
      <c r="W419" s="145">
        <f>IF(テーブル2[[#This Row],[持久走]]="",0,(IF(テーブル2[[#This Row],[性別]]="男",LOOKUP(テーブル2[[#This Row],[持久走]],$AQ$6:$AR$15),LOOKUP(テーブル2[[#This Row],[持久走]],$AQ$20:$AR$29))))</f>
        <v>0</v>
      </c>
      <c r="X419" s="145">
        <f>IF(テーブル2[[#This Row],[ｼｬﾄﾙﾗﾝ]]="",0,(IF(テーブル2[[#This Row],[性別]]="男",LOOKUP(テーブル2[[#This Row],[ｼｬﾄﾙﾗﾝ]],$AS$6:$AT$15),LOOKUP(テーブル2[[#This Row],[ｼｬﾄﾙﾗﾝ]],$AS$20:$AT$29))))</f>
        <v>0</v>
      </c>
      <c r="Y419" s="145">
        <f>IF(テーブル2[[#This Row],[50m走]]="",0,(IF(テーブル2[[#This Row],[性別]]="男",LOOKUP(テーブル2[[#This Row],[50m走]],$AU$6:$AV$15),LOOKUP(テーブル2[[#This Row],[50m走]],$AU$20:$AV$29))))</f>
        <v>0</v>
      </c>
      <c r="Z419" s="145">
        <f>IF(テーブル2[[#This Row],[立幅とび]]="",0,(IF(テーブル2[[#This Row],[性別]]="男",LOOKUP(テーブル2[[#This Row],[立幅とび]],$AW$6:$AX$15),LOOKUP(テーブル2[[#This Row],[立幅とび]],$AW$20:$AX$29))))</f>
        <v>0</v>
      </c>
      <c r="AA419" s="145">
        <f>IF(テーブル2[[#This Row],[ボール投げ]]="",0,(IF(テーブル2[[#This Row],[性別]]="男",LOOKUP(テーブル2[[#This Row],[ボール投げ]],$AY$6:$AZ$15),LOOKUP(テーブル2[[#This Row],[ボール投げ]],$AY$20:$AZ$29))))</f>
        <v>0</v>
      </c>
      <c r="AB419" s="146" t="str">
        <f>IF(テーブル2[[#This Row],[学年]]=1,12,IF(テーブル2[[#This Row],[学年]]=2,13,IF(テーブル2[[#This Row],[学年]]=3,14,"")))</f>
        <v/>
      </c>
      <c r="AC419" s="192" t="str">
        <f>IF(テーブル2[[#This Row],[肥満度数値]]=0,"",LOOKUP(AE419,$AW$39:$AW$44,$AX$39:$AX$44))</f>
        <v/>
      </c>
      <c r="AD41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19" s="77">
        <f>IF(テーブル2[[#This Row],[体重]]="",0,(テーブル2[[#This Row],[体重]]-テーブル2[[#This Row],[標準体重]])/テーブル2[[#This Row],[標準体重]]*100)</f>
        <v>0</v>
      </c>
      <c r="AF419" s="26">
        <f>COUNTA(テーブル2[[#This Row],[握力]:[ボール投げ]])</f>
        <v>0</v>
      </c>
      <c r="AG419" s="1" t="str">
        <f>IF(テーブル2[[#This Row],[判定]]=$BE$10,"○","")</f>
        <v/>
      </c>
      <c r="AH419" s="1" t="str">
        <f>IF(AG419="","",COUNTIF($AG$6:AG419,"○"))</f>
        <v/>
      </c>
    </row>
    <row r="420" spans="1:34" ht="14.25" customHeight="1" x14ac:dyDescent="0.15">
      <c r="A420" s="44">
        <v>415</v>
      </c>
      <c r="B420" s="148"/>
      <c r="C420" s="151"/>
      <c r="D420" s="148"/>
      <c r="E420" s="152"/>
      <c r="F420" s="148"/>
      <c r="G420" s="148"/>
      <c r="H420" s="150"/>
      <c r="I420" s="150"/>
      <c r="J420" s="151"/>
      <c r="K420" s="148"/>
      <c r="L420" s="196"/>
      <c r="M420" s="151"/>
      <c r="N420" s="197"/>
      <c r="O420" s="151"/>
      <c r="P420" s="153"/>
      <c r="Q42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0" s="144" t="str">
        <f>IF(テーブル2[[#This Row],[得点]]=0,"",IF(テーブル2[[#This Row],[年齢]]=17,LOOKUP(Q420,$BH$6:$BH$10,$BE$6:$BE$10),IF(テーブル2[[#This Row],[年齢]]=16,LOOKUP(Q420,$BG$6:$BG$10,$BE$6:$BE$10),IF(テーブル2[[#This Row],[年齢]]=15,LOOKUP(Q420,$BF$6:$BF$10,$BE$6:$BE$10),IF(テーブル2[[#This Row],[年齢]]=14,LOOKUP(Q420,$BD$6:$BD$10,$BE$6:$BE$10),IF(テーブル2[[#This Row],[年齢]]=13,LOOKUP(Q420,$BC$6:$BC$10,$BE$6:$BE$10),LOOKUP(Q420,$BB$6:$BB$10,$BE$6:$BE$10)))))))</f>
        <v/>
      </c>
      <c r="S420" s="145">
        <f>IF(H420="",0,(IF(テーブル2[[#This Row],[性別]]="男",LOOKUP(テーブル2[[#This Row],[握力]],$AI$6:$AJ$15),LOOKUP(テーブル2[[#This Row],[握力]],$AI$20:$AJ$29))))</f>
        <v>0</v>
      </c>
      <c r="T420" s="145">
        <f>IF(テーブル2[[#This Row],[上体]]="",0,(IF(テーブル2[[#This Row],[性別]]="男",LOOKUP(テーブル2[[#This Row],[上体]],$AK$6:$AL$15),LOOKUP(テーブル2[[#This Row],[上体]],$AK$20:$AL$29))))</f>
        <v>0</v>
      </c>
      <c r="U420" s="145">
        <f>IF(テーブル2[[#This Row],[長座]]="",0,(IF(テーブル2[[#This Row],[性別]]="男",LOOKUP(テーブル2[[#This Row],[長座]],$AM$6:$AN$15),LOOKUP(テーブル2[[#This Row],[長座]],$AM$20:$AN$29))))</f>
        <v>0</v>
      </c>
      <c r="V420" s="145">
        <f>IF(テーブル2[[#This Row],[反復]]="",0,(IF(テーブル2[[#This Row],[性別]]="男",LOOKUP(テーブル2[[#This Row],[反復]],$AO$6:$AP$15),LOOKUP(テーブル2[[#This Row],[反復]],$AO$20:$AP$29))))</f>
        <v>0</v>
      </c>
      <c r="W420" s="145">
        <f>IF(テーブル2[[#This Row],[持久走]]="",0,(IF(テーブル2[[#This Row],[性別]]="男",LOOKUP(テーブル2[[#This Row],[持久走]],$AQ$6:$AR$15),LOOKUP(テーブル2[[#This Row],[持久走]],$AQ$20:$AR$29))))</f>
        <v>0</v>
      </c>
      <c r="X420" s="145">
        <f>IF(テーブル2[[#This Row],[ｼｬﾄﾙﾗﾝ]]="",0,(IF(テーブル2[[#This Row],[性別]]="男",LOOKUP(テーブル2[[#This Row],[ｼｬﾄﾙﾗﾝ]],$AS$6:$AT$15),LOOKUP(テーブル2[[#This Row],[ｼｬﾄﾙﾗﾝ]],$AS$20:$AT$29))))</f>
        <v>0</v>
      </c>
      <c r="Y420" s="145">
        <f>IF(テーブル2[[#This Row],[50m走]]="",0,(IF(テーブル2[[#This Row],[性別]]="男",LOOKUP(テーブル2[[#This Row],[50m走]],$AU$6:$AV$15),LOOKUP(テーブル2[[#This Row],[50m走]],$AU$20:$AV$29))))</f>
        <v>0</v>
      </c>
      <c r="Z420" s="145">
        <f>IF(テーブル2[[#This Row],[立幅とび]]="",0,(IF(テーブル2[[#This Row],[性別]]="男",LOOKUP(テーブル2[[#This Row],[立幅とび]],$AW$6:$AX$15),LOOKUP(テーブル2[[#This Row],[立幅とび]],$AW$20:$AX$29))))</f>
        <v>0</v>
      </c>
      <c r="AA420" s="145">
        <f>IF(テーブル2[[#This Row],[ボール投げ]]="",0,(IF(テーブル2[[#This Row],[性別]]="男",LOOKUP(テーブル2[[#This Row],[ボール投げ]],$AY$6:$AZ$15),LOOKUP(テーブル2[[#This Row],[ボール投げ]],$AY$20:$AZ$29))))</f>
        <v>0</v>
      </c>
      <c r="AB420" s="146" t="str">
        <f>IF(テーブル2[[#This Row],[学年]]=1,12,IF(テーブル2[[#This Row],[学年]]=2,13,IF(テーブル2[[#This Row],[学年]]=3,14,"")))</f>
        <v/>
      </c>
      <c r="AC420" s="192" t="str">
        <f>IF(テーブル2[[#This Row],[肥満度数値]]=0,"",LOOKUP(AE420,$AW$39:$AW$44,$AX$39:$AX$44))</f>
        <v/>
      </c>
      <c r="AD42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0" s="77">
        <f>IF(テーブル2[[#This Row],[体重]]="",0,(テーブル2[[#This Row],[体重]]-テーブル2[[#This Row],[標準体重]])/テーブル2[[#This Row],[標準体重]]*100)</f>
        <v>0</v>
      </c>
      <c r="AF420" s="26">
        <f>COUNTA(テーブル2[[#This Row],[握力]:[ボール投げ]])</f>
        <v>0</v>
      </c>
      <c r="AG420" s="1" t="str">
        <f>IF(テーブル2[[#This Row],[判定]]=$BE$10,"○","")</f>
        <v/>
      </c>
      <c r="AH420" s="1" t="str">
        <f>IF(AG420="","",COUNTIF($AG$6:AG420,"○"))</f>
        <v/>
      </c>
    </row>
    <row r="421" spans="1:34" ht="14.25" customHeight="1" x14ac:dyDescent="0.15">
      <c r="A421" s="44">
        <v>416</v>
      </c>
      <c r="B421" s="148"/>
      <c r="C421" s="151"/>
      <c r="D421" s="148"/>
      <c r="E421" s="152"/>
      <c r="F421" s="148"/>
      <c r="G421" s="148"/>
      <c r="H421" s="150"/>
      <c r="I421" s="150"/>
      <c r="J421" s="151"/>
      <c r="K421" s="148"/>
      <c r="L421" s="196"/>
      <c r="M421" s="151"/>
      <c r="N421" s="197"/>
      <c r="O421" s="151"/>
      <c r="P421" s="153"/>
      <c r="Q42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1" s="144" t="str">
        <f>IF(テーブル2[[#This Row],[得点]]=0,"",IF(テーブル2[[#This Row],[年齢]]=17,LOOKUP(Q421,$BH$6:$BH$10,$BE$6:$BE$10),IF(テーブル2[[#This Row],[年齢]]=16,LOOKUP(Q421,$BG$6:$BG$10,$BE$6:$BE$10),IF(テーブル2[[#This Row],[年齢]]=15,LOOKUP(Q421,$BF$6:$BF$10,$BE$6:$BE$10),IF(テーブル2[[#This Row],[年齢]]=14,LOOKUP(Q421,$BD$6:$BD$10,$BE$6:$BE$10),IF(テーブル2[[#This Row],[年齢]]=13,LOOKUP(Q421,$BC$6:$BC$10,$BE$6:$BE$10),LOOKUP(Q421,$BB$6:$BB$10,$BE$6:$BE$10)))))))</f>
        <v/>
      </c>
      <c r="S421" s="145">
        <f>IF(H421="",0,(IF(テーブル2[[#This Row],[性別]]="男",LOOKUP(テーブル2[[#This Row],[握力]],$AI$6:$AJ$15),LOOKUP(テーブル2[[#This Row],[握力]],$AI$20:$AJ$29))))</f>
        <v>0</v>
      </c>
      <c r="T421" s="145">
        <f>IF(テーブル2[[#This Row],[上体]]="",0,(IF(テーブル2[[#This Row],[性別]]="男",LOOKUP(テーブル2[[#This Row],[上体]],$AK$6:$AL$15),LOOKUP(テーブル2[[#This Row],[上体]],$AK$20:$AL$29))))</f>
        <v>0</v>
      </c>
      <c r="U421" s="145">
        <f>IF(テーブル2[[#This Row],[長座]]="",0,(IF(テーブル2[[#This Row],[性別]]="男",LOOKUP(テーブル2[[#This Row],[長座]],$AM$6:$AN$15),LOOKUP(テーブル2[[#This Row],[長座]],$AM$20:$AN$29))))</f>
        <v>0</v>
      </c>
      <c r="V421" s="145">
        <f>IF(テーブル2[[#This Row],[反復]]="",0,(IF(テーブル2[[#This Row],[性別]]="男",LOOKUP(テーブル2[[#This Row],[反復]],$AO$6:$AP$15),LOOKUP(テーブル2[[#This Row],[反復]],$AO$20:$AP$29))))</f>
        <v>0</v>
      </c>
      <c r="W421" s="145">
        <f>IF(テーブル2[[#This Row],[持久走]]="",0,(IF(テーブル2[[#This Row],[性別]]="男",LOOKUP(テーブル2[[#This Row],[持久走]],$AQ$6:$AR$15),LOOKUP(テーブル2[[#This Row],[持久走]],$AQ$20:$AR$29))))</f>
        <v>0</v>
      </c>
      <c r="X421" s="145">
        <f>IF(テーブル2[[#This Row],[ｼｬﾄﾙﾗﾝ]]="",0,(IF(テーブル2[[#This Row],[性別]]="男",LOOKUP(テーブル2[[#This Row],[ｼｬﾄﾙﾗﾝ]],$AS$6:$AT$15),LOOKUP(テーブル2[[#This Row],[ｼｬﾄﾙﾗﾝ]],$AS$20:$AT$29))))</f>
        <v>0</v>
      </c>
      <c r="Y421" s="145">
        <f>IF(テーブル2[[#This Row],[50m走]]="",0,(IF(テーブル2[[#This Row],[性別]]="男",LOOKUP(テーブル2[[#This Row],[50m走]],$AU$6:$AV$15),LOOKUP(テーブル2[[#This Row],[50m走]],$AU$20:$AV$29))))</f>
        <v>0</v>
      </c>
      <c r="Z421" s="145">
        <f>IF(テーブル2[[#This Row],[立幅とび]]="",0,(IF(テーブル2[[#This Row],[性別]]="男",LOOKUP(テーブル2[[#This Row],[立幅とび]],$AW$6:$AX$15),LOOKUP(テーブル2[[#This Row],[立幅とび]],$AW$20:$AX$29))))</f>
        <v>0</v>
      </c>
      <c r="AA421" s="145">
        <f>IF(テーブル2[[#This Row],[ボール投げ]]="",0,(IF(テーブル2[[#This Row],[性別]]="男",LOOKUP(テーブル2[[#This Row],[ボール投げ]],$AY$6:$AZ$15),LOOKUP(テーブル2[[#This Row],[ボール投げ]],$AY$20:$AZ$29))))</f>
        <v>0</v>
      </c>
      <c r="AB421" s="146" t="str">
        <f>IF(テーブル2[[#This Row],[学年]]=1,12,IF(テーブル2[[#This Row],[学年]]=2,13,IF(テーブル2[[#This Row],[学年]]=3,14,"")))</f>
        <v/>
      </c>
      <c r="AC421" s="192" t="str">
        <f>IF(テーブル2[[#This Row],[肥満度数値]]=0,"",LOOKUP(AE421,$AW$39:$AW$44,$AX$39:$AX$44))</f>
        <v/>
      </c>
      <c r="AD42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1" s="77">
        <f>IF(テーブル2[[#This Row],[体重]]="",0,(テーブル2[[#This Row],[体重]]-テーブル2[[#This Row],[標準体重]])/テーブル2[[#This Row],[標準体重]]*100)</f>
        <v>0</v>
      </c>
      <c r="AF421" s="26">
        <f>COUNTA(テーブル2[[#This Row],[握力]:[ボール投げ]])</f>
        <v>0</v>
      </c>
      <c r="AG421" s="1" t="str">
        <f>IF(テーブル2[[#This Row],[判定]]=$BE$10,"○","")</f>
        <v/>
      </c>
      <c r="AH421" s="1" t="str">
        <f>IF(AG421="","",COUNTIF($AG$6:AG421,"○"))</f>
        <v/>
      </c>
    </row>
    <row r="422" spans="1:34" ht="14.25" customHeight="1" x14ac:dyDescent="0.15">
      <c r="A422" s="44">
        <v>417</v>
      </c>
      <c r="B422" s="148"/>
      <c r="C422" s="151"/>
      <c r="D422" s="148"/>
      <c r="E422" s="152"/>
      <c r="F422" s="148"/>
      <c r="G422" s="148"/>
      <c r="H422" s="150"/>
      <c r="I422" s="150"/>
      <c r="J422" s="151"/>
      <c r="K422" s="148"/>
      <c r="L422" s="196"/>
      <c r="M422" s="151"/>
      <c r="N422" s="197"/>
      <c r="O422" s="151"/>
      <c r="P422" s="153"/>
      <c r="Q42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2" s="144" t="str">
        <f>IF(テーブル2[[#This Row],[得点]]=0,"",IF(テーブル2[[#This Row],[年齢]]=17,LOOKUP(Q422,$BH$6:$BH$10,$BE$6:$BE$10),IF(テーブル2[[#This Row],[年齢]]=16,LOOKUP(Q422,$BG$6:$BG$10,$BE$6:$BE$10),IF(テーブル2[[#This Row],[年齢]]=15,LOOKUP(Q422,$BF$6:$BF$10,$BE$6:$BE$10),IF(テーブル2[[#This Row],[年齢]]=14,LOOKUP(Q422,$BD$6:$BD$10,$BE$6:$BE$10),IF(テーブル2[[#This Row],[年齢]]=13,LOOKUP(Q422,$BC$6:$BC$10,$BE$6:$BE$10),LOOKUP(Q422,$BB$6:$BB$10,$BE$6:$BE$10)))))))</f>
        <v/>
      </c>
      <c r="S422" s="145">
        <f>IF(H422="",0,(IF(テーブル2[[#This Row],[性別]]="男",LOOKUP(テーブル2[[#This Row],[握力]],$AI$6:$AJ$15),LOOKUP(テーブル2[[#This Row],[握力]],$AI$20:$AJ$29))))</f>
        <v>0</v>
      </c>
      <c r="T422" s="145">
        <f>IF(テーブル2[[#This Row],[上体]]="",0,(IF(テーブル2[[#This Row],[性別]]="男",LOOKUP(テーブル2[[#This Row],[上体]],$AK$6:$AL$15),LOOKUP(テーブル2[[#This Row],[上体]],$AK$20:$AL$29))))</f>
        <v>0</v>
      </c>
      <c r="U422" s="145">
        <f>IF(テーブル2[[#This Row],[長座]]="",0,(IF(テーブル2[[#This Row],[性別]]="男",LOOKUP(テーブル2[[#This Row],[長座]],$AM$6:$AN$15),LOOKUP(テーブル2[[#This Row],[長座]],$AM$20:$AN$29))))</f>
        <v>0</v>
      </c>
      <c r="V422" s="145">
        <f>IF(テーブル2[[#This Row],[反復]]="",0,(IF(テーブル2[[#This Row],[性別]]="男",LOOKUP(テーブル2[[#This Row],[反復]],$AO$6:$AP$15),LOOKUP(テーブル2[[#This Row],[反復]],$AO$20:$AP$29))))</f>
        <v>0</v>
      </c>
      <c r="W422" s="145">
        <f>IF(テーブル2[[#This Row],[持久走]]="",0,(IF(テーブル2[[#This Row],[性別]]="男",LOOKUP(テーブル2[[#This Row],[持久走]],$AQ$6:$AR$15),LOOKUP(テーブル2[[#This Row],[持久走]],$AQ$20:$AR$29))))</f>
        <v>0</v>
      </c>
      <c r="X422" s="145">
        <f>IF(テーブル2[[#This Row],[ｼｬﾄﾙﾗﾝ]]="",0,(IF(テーブル2[[#This Row],[性別]]="男",LOOKUP(テーブル2[[#This Row],[ｼｬﾄﾙﾗﾝ]],$AS$6:$AT$15),LOOKUP(テーブル2[[#This Row],[ｼｬﾄﾙﾗﾝ]],$AS$20:$AT$29))))</f>
        <v>0</v>
      </c>
      <c r="Y422" s="145">
        <f>IF(テーブル2[[#This Row],[50m走]]="",0,(IF(テーブル2[[#This Row],[性別]]="男",LOOKUP(テーブル2[[#This Row],[50m走]],$AU$6:$AV$15),LOOKUP(テーブル2[[#This Row],[50m走]],$AU$20:$AV$29))))</f>
        <v>0</v>
      </c>
      <c r="Z422" s="145">
        <f>IF(テーブル2[[#This Row],[立幅とび]]="",0,(IF(テーブル2[[#This Row],[性別]]="男",LOOKUP(テーブル2[[#This Row],[立幅とび]],$AW$6:$AX$15),LOOKUP(テーブル2[[#This Row],[立幅とび]],$AW$20:$AX$29))))</f>
        <v>0</v>
      </c>
      <c r="AA422" s="145">
        <f>IF(テーブル2[[#This Row],[ボール投げ]]="",0,(IF(テーブル2[[#This Row],[性別]]="男",LOOKUP(テーブル2[[#This Row],[ボール投げ]],$AY$6:$AZ$15),LOOKUP(テーブル2[[#This Row],[ボール投げ]],$AY$20:$AZ$29))))</f>
        <v>0</v>
      </c>
      <c r="AB422" s="146" t="str">
        <f>IF(テーブル2[[#This Row],[学年]]=1,12,IF(テーブル2[[#This Row],[学年]]=2,13,IF(テーブル2[[#This Row],[学年]]=3,14,"")))</f>
        <v/>
      </c>
      <c r="AC422" s="192" t="str">
        <f>IF(テーブル2[[#This Row],[肥満度数値]]=0,"",LOOKUP(AE422,$AW$39:$AW$44,$AX$39:$AX$44))</f>
        <v/>
      </c>
      <c r="AD42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2" s="77">
        <f>IF(テーブル2[[#This Row],[体重]]="",0,(テーブル2[[#This Row],[体重]]-テーブル2[[#This Row],[標準体重]])/テーブル2[[#This Row],[標準体重]]*100)</f>
        <v>0</v>
      </c>
      <c r="AF422" s="26">
        <f>COUNTA(テーブル2[[#This Row],[握力]:[ボール投げ]])</f>
        <v>0</v>
      </c>
      <c r="AG422" s="1" t="str">
        <f>IF(テーブル2[[#This Row],[判定]]=$BE$10,"○","")</f>
        <v/>
      </c>
      <c r="AH422" s="1" t="str">
        <f>IF(AG422="","",COUNTIF($AG$6:AG422,"○"))</f>
        <v/>
      </c>
    </row>
    <row r="423" spans="1:34" ht="14.25" customHeight="1" x14ac:dyDescent="0.15">
      <c r="A423" s="44">
        <v>418</v>
      </c>
      <c r="B423" s="148"/>
      <c r="C423" s="151"/>
      <c r="D423" s="148"/>
      <c r="E423" s="152"/>
      <c r="F423" s="148"/>
      <c r="G423" s="148"/>
      <c r="H423" s="150"/>
      <c r="I423" s="150"/>
      <c r="J423" s="151"/>
      <c r="K423" s="148"/>
      <c r="L423" s="196"/>
      <c r="M423" s="151"/>
      <c r="N423" s="197"/>
      <c r="O423" s="151"/>
      <c r="P423" s="153"/>
      <c r="Q42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3" s="144" t="str">
        <f>IF(テーブル2[[#This Row],[得点]]=0,"",IF(テーブル2[[#This Row],[年齢]]=17,LOOKUP(Q423,$BH$6:$BH$10,$BE$6:$BE$10),IF(テーブル2[[#This Row],[年齢]]=16,LOOKUP(Q423,$BG$6:$BG$10,$BE$6:$BE$10),IF(テーブル2[[#This Row],[年齢]]=15,LOOKUP(Q423,$BF$6:$BF$10,$BE$6:$BE$10),IF(テーブル2[[#This Row],[年齢]]=14,LOOKUP(Q423,$BD$6:$BD$10,$BE$6:$BE$10),IF(テーブル2[[#This Row],[年齢]]=13,LOOKUP(Q423,$BC$6:$BC$10,$BE$6:$BE$10),LOOKUP(Q423,$BB$6:$BB$10,$BE$6:$BE$10)))))))</f>
        <v/>
      </c>
      <c r="S423" s="145">
        <f>IF(H423="",0,(IF(テーブル2[[#This Row],[性別]]="男",LOOKUP(テーブル2[[#This Row],[握力]],$AI$6:$AJ$15),LOOKUP(テーブル2[[#This Row],[握力]],$AI$20:$AJ$29))))</f>
        <v>0</v>
      </c>
      <c r="T423" s="145">
        <f>IF(テーブル2[[#This Row],[上体]]="",0,(IF(テーブル2[[#This Row],[性別]]="男",LOOKUP(テーブル2[[#This Row],[上体]],$AK$6:$AL$15),LOOKUP(テーブル2[[#This Row],[上体]],$AK$20:$AL$29))))</f>
        <v>0</v>
      </c>
      <c r="U423" s="145">
        <f>IF(テーブル2[[#This Row],[長座]]="",0,(IF(テーブル2[[#This Row],[性別]]="男",LOOKUP(テーブル2[[#This Row],[長座]],$AM$6:$AN$15),LOOKUP(テーブル2[[#This Row],[長座]],$AM$20:$AN$29))))</f>
        <v>0</v>
      </c>
      <c r="V423" s="145">
        <f>IF(テーブル2[[#This Row],[反復]]="",0,(IF(テーブル2[[#This Row],[性別]]="男",LOOKUP(テーブル2[[#This Row],[反復]],$AO$6:$AP$15),LOOKUP(テーブル2[[#This Row],[反復]],$AO$20:$AP$29))))</f>
        <v>0</v>
      </c>
      <c r="W423" s="145">
        <f>IF(テーブル2[[#This Row],[持久走]]="",0,(IF(テーブル2[[#This Row],[性別]]="男",LOOKUP(テーブル2[[#This Row],[持久走]],$AQ$6:$AR$15),LOOKUP(テーブル2[[#This Row],[持久走]],$AQ$20:$AR$29))))</f>
        <v>0</v>
      </c>
      <c r="X423" s="145">
        <f>IF(テーブル2[[#This Row],[ｼｬﾄﾙﾗﾝ]]="",0,(IF(テーブル2[[#This Row],[性別]]="男",LOOKUP(テーブル2[[#This Row],[ｼｬﾄﾙﾗﾝ]],$AS$6:$AT$15),LOOKUP(テーブル2[[#This Row],[ｼｬﾄﾙﾗﾝ]],$AS$20:$AT$29))))</f>
        <v>0</v>
      </c>
      <c r="Y423" s="145">
        <f>IF(テーブル2[[#This Row],[50m走]]="",0,(IF(テーブル2[[#This Row],[性別]]="男",LOOKUP(テーブル2[[#This Row],[50m走]],$AU$6:$AV$15),LOOKUP(テーブル2[[#This Row],[50m走]],$AU$20:$AV$29))))</f>
        <v>0</v>
      </c>
      <c r="Z423" s="145">
        <f>IF(テーブル2[[#This Row],[立幅とび]]="",0,(IF(テーブル2[[#This Row],[性別]]="男",LOOKUP(テーブル2[[#This Row],[立幅とび]],$AW$6:$AX$15),LOOKUP(テーブル2[[#This Row],[立幅とび]],$AW$20:$AX$29))))</f>
        <v>0</v>
      </c>
      <c r="AA423" s="145">
        <f>IF(テーブル2[[#This Row],[ボール投げ]]="",0,(IF(テーブル2[[#This Row],[性別]]="男",LOOKUP(テーブル2[[#This Row],[ボール投げ]],$AY$6:$AZ$15),LOOKUP(テーブル2[[#This Row],[ボール投げ]],$AY$20:$AZ$29))))</f>
        <v>0</v>
      </c>
      <c r="AB423" s="146" t="str">
        <f>IF(テーブル2[[#This Row],[学年]]=1,12,IF(テーブル2[[#This Row],[学年]]=2,13,IF(テーブル2[[#This Row],[学年]]=3,14,"")))</f>
        <v/>
      </c>
      <c r="AC423" s="192" t="str">
        <f>IF(テーブル2[[#This Row],[肥満度数値]]=0,"",LOOKUP(AE423,$AW$39:$AW$44,$AX$39:$AX$44))</f>
        <v/>
      </c>
      <c r="AD42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3" s="77">
        <f>IF(テーブル2[[#This Row],[体重]]="",0,(テーブル2[[#This Row],[体重]]-テーブル2[[#This Row],[標準体重]])/テーブル2[[#This Row],[標準体重]]*100)</f>
        <v>0</v>
      </c>
      <c r="AF423" s="26">
        <f>COUNTA(テーブル2[[#This Row],[握力]:[ボール投げ]])</f>
        <v>0</v>
      </c>
      <c r="AG423" s="1" t="str">
        <f>IF(テーブル2[[#This Row],[判定]]=$BE$10,"○","")</f>
        <v/>
      </c>
      <c r="AH423" s="1" t="str">
        <f>IF(AG423="","",COUNTIF($AG$6:AG423,"○"))</f>
        <v/>
      </c>
    </row>
    <row r="424" spans="1:34" ht="14.25" customHeight="1" x14ac:dyDescent="0.15">
      <c r="A424" s="44">
        <v>419</v>
      </c>
      <c r="B424" s="148"/>
      <c r="C424" s="151"/>
      <c r="D424" s="148"/>
      <c r="E424" s="152"/>
      <c r="F424" s="148"/>
      <c r="G424" s="148"/>
      <c r="H424" s="150"/>
      <c r="I424" s="150"/>
      <c r="J424" s="151"/>
      <c r="K424" s="148"/>
      <c r="L424" s="196"/>
      <c r="M424" s="151"/>
      <c r="N424" s="197"/>
      <c r="O424" s="151"/>
      <c r="P424" s="153"/>
      <c r="Q42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4" s="144" t="str">
        <f>IF(テーブル2[[#This Row],[得点]]=0,"",IF(テーブル2[[#This Row],[年齢]]=17,LOOKUP(Q424,$BH$6:$BH$10,$BE$6:$BE$10),IF(テーブル2[[#This Row],[年齢]]=16,LOOKUP(Q424,$BG$6:$BG$10,$BE$6:$BE$10),IF(テーブル2[[#This Row],[年齢]]=15,LOOKUP(Q424,$BF$6:$BF$10,$BE$6:$BE$10),IF(テーブル2[[#This Row],[年齢]]=14,LOOKUP(Q424,$BD$6:$BD$10,$BE$6:$BE$10),IF(テーブル2[[#This Row],[年齢]]=13,LOOKUP(Q424,$BC$6:$BC$10,$BE$6:$BE$10),LOOKUP(Q424,$BB$6:$BB$10,$BE$6:$BE$10)))))))</f>
        <v/>
      </c>
      <c r="S424" s="145">
        <f>IF(H424="",0,(IF(テーブル2[[#This Row],[性別]]="男",LOOKUP(テーブル2[[#This Row],[握力]],$AI$6:$AJ$15),LOOKUP(テーブル2[[#This Row],[握力]],$AI$20:$AJ$29))))</f>
        <v>0</v>
      </c>
      <c r="T424" s="145">
        <f>IF(テーブル2[[#This Row],[上体]]="",0,(IF(テーブル2[[#This Row],[性別]]="男",LOOKUP(テーブル2[[#This Row],[上体]],$AK$6:$AL$15),LOOKUP(テーブル2[[#This Row],[上体]],$AK$20:$AL$29))))</f>
        <v>0</v>
      </c>
      <c r="U424" s="145">
        <f>IF(テーブル2[[#This Row],[長座]]="",0,(IF(テーブル2[[#This Row],[性別]]="男",LOOKUP(テーブル2[[#This Row],[長座]],$AM$6:$AN$15),LOOKUP(テーブル2[[#This Row],[長座]],$AM$20:$AN$29))))</f>
        <v>0</v>
      </c>
      <c r="V424" s="145">
        <f>IF(テーブル2[[#This Row],[反復]]="",0,(IF(テーブル2[[#This Row],[性別]]="男",LOOKUP(テーブル2[[#This Row],[反復]],$AO$6:$AP$15),LOOKUP(テーブル2[[#This Row],[反復]],$AO$20:$AP$29))))</f>
        <v>0</v>
      </c>
      <c r="W424" s="145">
        <f>IF(テーブル2[[#This Row],[持久走]]="",0,(IF(テーブル2[[#This Row],[性別]]="男",LOOKUP(テーブル2[[#This Row],[持久走]],$AQ$6:$AR$15),LOOKUP(テーブル2[[#This Row],[持久走]],$AQ$20:$AR$29))))</f>
        <v>0</v>
      </c>
      <c r="X424" s="145">
        <f>IF(テーブル2[[#This Row],[ｼｬﾄﾙﾗﾝ]]="",0,(IF(テーブル2[[#This Row],[性別]]="男",LOOKUP(テーブル2[[#This Row],[ｼｬﾄﾙﾗﾝ]],$AS$6:$AT$15),LOOKUP(テーブル2[[#This Row],[ｼｬﾄﾙﾗﾝ]],$AS$20:$AT$29))))</f>
        <v>0</v>
      </c>
      <c r="Y424" s="145">
        <f>IF(テーブル2[[#This Row],[50m走]]="",0,(IF(テーブル2[[#This Row],[性別]]="男",LOOKUP(テーブル2[[#This Row],[50m走]],$AU$6:$AV$15),LOOKUP(テーブル2[[#This Row],[50m走]],$AU$20:$AV$29))))</f>
        <v>0</v>
      </c>
      <c r="Z424" s="145">
        <f>IF(テーブル2[[#This Row],[立幅とび]]="",0,(IF(テーブル2[[#This Row],[性別]]="男",LOOKUP(テーブル2[[#This Row],[立幅とび]],$AW$6:$AX$15),LOOKUP(テーブル2[[#This Row],[立幅とび]],$AW$20:$AX$29))))</f>
        <v>0</v>
      </c>
      <c r="AA424" s="145">
        <f>IF(テーブル2[[#This Row],[ボール投げ]]="",0,(IF(テーブル2[[#This Row],[性別]]="男",LOOKUP(テーブル2[[#This Row],[ボール投げ]],$AY$6:$AZ$15),LOOKUP(テーブル2[[#This Row],[ボール投げ]],$AY$20:$AZ$29))))</f>
        <v>0</v>
      </c>
      <c r="AB424" s="146" t="str">
        <f>IF(テーブル2[[#This Row],[学年]]=1,12,IF(テーブル2[[#This Row],[学年]]=2,13,IF(テーブル2[[#This Row],[学年]]=3,14,"")))</f>
        <v/>
      </c>
      <c r="AC424" s="192" t="str">
        <f>IF(テーブル2[[#This Row],[肥満度数値]]=0,"",LOOKUP(AE424,$AW$39:$AW$44,$AX$39:$AX$44))</f>
        <v/>
      </c>
      <c r="AD42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4" s="77">
        <f>IF(テーブル2[[#This Row],[体重]]="",0,(テーブル2[[#This Row],[体重]]-テーブル2[[#This Row],[標準体重]])/テーブル2[[#This Row],[標準体重]]*100)</f>
        <v>0</v>
      </c>
      <c r="AF424" s="26">
        <f>COUNTA(テーブル2[[#This Row],[握力]:[ボール投げ]])</f>
        <v>0</v>
      </c>
      <c r="AG424" s="1" t="str">
        <f>IF(テーブル2[[#This Row],[判定]]=$BE$10,"○","")</f>
        <v/>
      </c>
      <c r="AH424" s="1" t="str">
        <f>IF(AG424="","",COUNTIF($AG$6:AG424,"○"))</f>
        <v/>
      </c>
    </row>
    <row r="425" spans="1:34" ht="14.25" customHeight="1" x14ac:dyDescent="0.15">
      <c r="A425" s="44">
        <v>420</v>
      </c>
      <c r="B425" s="148"/>
      <c r="C425" s="151"/>
      <c r="D425" s="148"/>
      <c r="E425" s="152"/>
      <c r="F425" s="148"/>
      <c r="G425" s="148"/>
      <c r="H425" s="150"/>
      <c r="I425" s="150"/>
      <c r="J425" s="151"/>
      <c r="K425" s="148"/>
      <c r="L425" s="196"/>
      <c r="M425" s="151"/>
      <c r="N425" s="197"/>
      <c r="O425" s="151"/>
      <c r="P425" s="153"/>
      <c r="Q42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5" s="144" t="str">
        <f>IF(テーブル2[[#This Row],[得点]]=0,"",IF(テーブル2[[#This Row],[年齢]]=17,LOOKUP(Q425,$BH$6:$BH$10,$BE$6:$BE$10),IF(テーブル2[[#This Row],[年齢]]=16,LOOKUP(Q425,$BG$6:$BG$10,$BE$6:$BE$10),IF(テーブル2[[#This Row],[年齢]]=15,LOOKUP(Q425,$BF$6:$BF$10,$BE$6:$BE$10),IF(テーブル2[[#This Row],[年齢]]=14,LOOKUP(Q425,$BD$6:$BD$10,$BE$6:$BE$10),IF(テーブル2[[#This Row],[年齢]]=13,LOOKUP(Q425,$BC$6:$BC$10,$BE$6:$BE$10),LOOKUP(Q425,$BB$6:$BB$10,$BE$6:$BE$10)))))))</f>
        <v/>
      </c>
      <c r="S425" s="145">
        <f>IF(H425="",0,(IF(テーブル2[[#This Row],[性別]]="男",LOOKUP(テーブル2[[#This Row],[握力]],$AI$6:$AJ$15),LOOKUP(テーブル2[[#This Row],[握力]],$AI$20:$AJ$29))))</f>
        <v>0</v>
      </c>
      <c r="T425" s="145">
        <f>IF(テーブル2[[#This Row],[上体]]="",0,(IF(テーブル2[[#This Row],[性別]]="男",LOOKUP(テーブル2[[#This Row],[上体]],$AK$6:$AL$15),LOOKUP(テーブル2[[#This Row],[上体]],$AK$20:$AL$29))))</f>
        <v>0</v>
      </c>
      <c r="U425" s="145">
        <f>IF(テーブル2[[#This Row],[長座]]="",0,(IF(テーブル2[[#This Row],[性別]]="男",LOOKUP(テーブル2[[#This Row],[長座]],$AM$6:$AN$15),LOOKUP(テーブル2[[#This Row],[長座]],$AM$20:$AN$29))))</f>
        <v>0</v>
      </c>
      <c r="V425" s="145">
        <f>IF(テーブル2[[#This Row],[反復]]="",0,(IF(テーブル2[[#This Row],[性別]]="男",LOOKUP(テーブル2[[#This Row],[反復]],$AO$6:$AP$15),LOOKUP(テーブル2[[#This Row],[反復]],$AO$20:$AP$29))))</f>
        <v>0</v>
      </c>
      <c r="W425" s="145">
        <f>IF(テーブル2[[#This Row],[持久走]]="",0,(IF(テーブル2[[#This Row],[性別]]="男",LOOKUP(テーブル2[[#This Row],[持久走]],$AQ$6:$AR$15),LOOKUP(テーブル2[[#This Row],[持久走]],$AQ$20:$AR$29))))</f>
        <v>0</v>
      </c>
      <c r="X425" s="145">
        <f>IF(テーブル2[[#This Row],[ｼｬﾄﾙﾗﾝ]]="",0,(IF(テーブル2[[#This Row],[性別]]="男",LOOKUP(テーブル2[[#This Row],[ｼｬﾄﾙﾗﾝ]],$AS$6:$AT$15),LOOKUP(テーブル2[[#This Row],[ｼｬﾄﾙﾗﾝ]],$AS$20:$AT$29))))</f>
        <v>0</v>
      </c>
      <c r="Y425" s="145">
        <f>IF(テーブル2[[#This Row],[50m走]]="",0,(IF(テーブル2[[#This Row],[性別]]="男",LOOKUP(テーブル2[[#This Row],[50m走]],$AU$6:$AV$15),LOOKUP(テーブル2[[#This Row],[50m走]],$AU$20:$AV$29))))</f>
        <v>0</v>
      </c>
      <c r="Z425" s="145">
        <f>IF(テーブル2[[#This Row],[立幅とび]]="",0,(IF(テーブル2[[#This Row],[性別]]="男",LOOKUP(テーブル2[[#This Row],[立幅とび]],$AW$6:$AX$15),LOOKUP(テーブル2[[#This Row],[立幅とび]],$AW$20:$AX$29))))</f>
        <v>0</v>
      </c>
      <c r="AA425" s="145">
        <f>IF(テーブル2[[#This Row],[ボール投げ]]="",0,(IF(テーブル2[[#This Row],[性別]]="男",LOOKUP(テーブル2[[#This Row],[ボール投げ]],$AY$6:$AZ$15),LOOKUP(テーブル2[[#This Row],[ボール投げ]],$AY$20:$AZ$29))))</f>
        <v>0</v>
      </c>
      <c r="AB425" s="146" t="str">
        <f>IF(テーブル2[[#This Row],[学年]]=1,12,IF(テーブル2[[#This Row],[学年]]=2,13,IF(テーブル2[[#This Row],[学年]]=3,14,"")))</f>
        <v/>
      </c>
      <c r="AC425" s="192" t="str">
        <f>IF(テーブル2[[#This Row],[肥満度数値]]=0,"",LOOKUP(AE425,$AW$39:$AW$44,$AX$39:$AX$44))</f>
        <v/>
      </c>
      <c r="AD42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5" s="77">
        <f>IF(テーブル2[[#This Row],[体重]]="",0,(テーブル2[[#This Row],[体重]]-テーブル2[[#This Row],[標準体重]])/テーブル2[[#This Row],[標準体重]]*100)</f>
        <v>0</v>
      </c>
      <c r="AF425" s="26">
        <f>COUNTA(テーブル2[[#This Row],[握力]:[ボール投げ]])</f>
        <v>0</v>
      </c>
      <c r="AG425" s="1" t="str">
        <f>IF(テーブル2[[#This Row],[判定]]=$BE$10,"○","")</f>
        <v/>
      </c>
      <c r="AH425" s="1" t="str">
        <f>IF(AG425="","",COUNTIF($AG$6:AG425,"○"))</f>
        <v/>
      </c>
    </row>
    <row r="426" spans="1:34" ht="14.25" customHeight="1" x14ac:dyDescent="0.15">
      <c r="A426" s="44">
        <v>421</v>
      </c>
      <c r="B426" s="148"/>
      <c r="C426" s="151"/>
      <c r="D426" s="148"/>
      <c r="E426" s="152"/>
      <c r="F426" s="148"/>
      <c r="G426" s="148"/>
      <c r="H426" s="150"/>
      <c r="I426" s="150"/>
      <c r="J426" s="151"/>
      <c r="K426" s="148"/>
      <c r="L426" s="196"/>
      <c r="M426" s="151"/>
      <c r="N426" s="197"/>
      <c r="O426" s="151"/>
      <c r="P426" s="153"/>
      <c r="Q42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6" s="144" t="str">
        <f>IF(テーブル2[[#This Row],[得点]]=0,"",IF(テーブル2[[#This Row],[年齢]]=17,LOOKUP(Q426,$BH$6:$BH$10,$BE$6:$BE$10),IF(テーブル2[[#This Row],[年齢]]=16,LOOKUP(Q426,$BG$6:$BG$10,$BE$6:$BE$10),IF(テーブル2[[#This Row],[年齢]]=15,LOOKUP(Q426,$BF$6:$BF$10,$BE$6:$BE$10),IF(テーブル2[[#This Row],[年齢]]=14,LOOKUP(Q426,$BD$6:$BD$10,$BE$6:$BE$10),IF(テーブル2[[#This Row],[年齢]]=13,LOOKUP(Q426,$BC$6:$BC$10,$BE$6:$BE$10),LOOKUP(Q426,$BB$6:$BB$10,$BE$6:$BE$10)))))))</f>
        <v/>
      </c>
      <c r="S426" s="145">
        <f>IF(H426="",0,(IF(テーブル2[[#This Row],[性別]]="男",LOOKUP(テーブル2[[#This Row],[握力]],$AI$6:$AJ$15),LOOKUP(テーブル2[[#This Row],[握力]],$AI$20:$AJ$29))))</f>
        <v>0</v>
      </c>
      <c r="T426" s="145">
        <f>IF(テーブル2[[#This Row],[上体]]="",0,(IF(テーブル2[[#This Row],[性別]]="男",LOOKUP(テーブル2[[#This Row],[上体]],$AK$6:$AL$15),LOOKUP(テーブル2[[#This Row],[上体]],$AK$20:$AL$29))))</f>
        <v>0</v>
      </c>
      <c r="U426" s="145">
        <f>IF(テーブル2[[#This Row],[長座]]="",0,(IF(テーブル2[[#This Row],[性別]]="男",LOOKUP(テーブル2[[#This Row],[長座]],$AM$6:$AN$15),LOOKUP(テーブル2[[#This Row],[長座]],$AM$20:$AN$29))))</f>
        <v>0</v>
      </c>
      <c r="V426" s="145">
        <f>IF(テーブル2[[#This Row],[反復]]="",0,(IF(テーブル2[[#This Row],[性別]]="男",LOOKUP(テーブル2[[#This Row],[反復]],$AO$6:$AP$15),LOOKUP(テーブル2[[#This Row],[反復]],$AO$20:$AP$29))))</f>
        <v>0</v>
      </c>
      <c r="W426" s="145">
        <f>IF(テーブル2[[#This Row],[持久走]]="",0,(IF(テーブル2[[#This Row],[性別]]="男",LOOKUP(テーブル2[[#This Row],[持久走]],$AQ$6:$AR$15),LOOKUP(テーブル2[[#This Row],[持久走]],$AQ$20:$AR$29))))</f>
        <v>0</v>
      </c>
      <c r="X426" s="145">
        <f>IF(テーブル2[[#This Row],[ｼｬﾄﾙﾗﾝ]]="",0,(IF(テーブル2[[#This Row],[性別]]="男",LOOKUP(テーブル2[[#This Row],[ｼｬﾄﾙﾗﾝ]],$AS$6:$AT$15),LOOKUP(テーブル2[[#This Row],[ｼｬﾄﾙﾗﾝ]],$AS$20:$AT$29))))</f>
        <v>0</v>
      </c>
      <c r="Y426" s="145">
        <f>IF(テーブル2[[#This Row],[50m走]]="",0,(IF(テーブル2[[#This Row],[性別]]="男",LOOKUP(テーブル2[[#This Row],[50m走]],$AU$6:$AV$15),LOOKUP(テーブル2[[#This Row],[50m走]],$AU$20:$AV$29))))</f>
        <v>0</v>
      </c>
      <c r="Z426" s="145">
        <f>IF(テーブル2[[#This Row],[立幅とび]]="",0,(IF(テーブル2[[#This Row],[性別]]="男",LOOKUP(テーブル2[[#This Row],[立幅とび]],$AW$6:$AX$15),LOOKUP(テーブル2[[#This Row],[立幅とび]],$AW$20:$AX$29))))</f>
        <v>0</v>
      </c>
      <c r="AA426" s="145">
        <f>IF(テーブル2[[#This Row],[ボール投げ]]="",0,(IF(テーブル2[[#This Row],[性別]]="男",LOOKUP(テーブル2[[#This Row],[ボール投げ]],$AY$6:$AZ$15),LOOKUP(テーブル2[[#This Row],[ボール投げ]],$AY$20:$AZ$29))))</f>
        <v>0</v>
      </c>
      <c r="AB426" s="146" t="str">
        <f>IF(テーブル2[[#This Row],[学年]]=1,12,IF(テーブル2[[#This Row],[学年]]=2,13,IF(テーブル2[[#This Row],[学年]]=3,14,"")))</f>
        <v/>
      </c>
      <c r="AC426" s="192" t="str">
        <f>IF(テーブル2[[#This Row],[肥満度数値]]=0,"",LOOKUP(AE426,$AW$39:$AW$44,$AX$39:$AX$44))</f>
        <v/>
      </c>
      <c r="AD42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6" s="77">
        <f>IF(テーブル2[[#This Row],[体重]]="",0,(テーブル2[[#This Row],[体重]]-テーブル2[[#This Row],[標準体重]])/テーブル2[[#This Row],[標準体重]]*100)</f>
        <v>0</v>
      </c>
      <c r="AF426" s="26">
        <f>COUNTA(テーブル2[[#This Row],[握力]:[ボール投げ]])</f>
        <v>0</v>
      </c>
      <c r="AG426" s="1" t="str">
        <f>IF(テーブル2[[#This Row],[判定]]=$BE$10,"○","")</f>
        <v/>
      </c>
      <c r="AH426" s="1" t="str">
        <f>IF(AG426="","",COUNTIF($AG$6:AG426,"○"))</f>
        <v/>
      </c>
    </row>
    <row r="427" spans="1:34" ht="14.25" customHeight="1" x14ac:dyDescent="0.15">
      <c r="A427" s="44">
        <v>422</v>
      </c>
      <c r="B427" s="148"/>
      <c r="C427" s="151"/>
      <c r="D427" s="148"/>
      <c r="E427" s="152"/>
      <c r="F427" s="148"/>
      <c r="G427" s="148"/>
      <c r="H427" s="150"/>
      <c r="I427" s="150"/>
      <c r="J427" s="151"/>
      <c r="K427" s="148"/>
      <c r="L427" s="196"/>
      <c r="M427" s="151"/>
      <c r="N427" s="197"/>
      <c r="O427" s="151"/>
      <c r="P427" s="153"/>
      <c r="Q42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7" s="144" t="str">
        <f>IF(テーブル2[[#This Row],[得点]]=0,"",IF(テーブル2[[#This Row],[年齢]]=17,LOOKUP(Q427,$BH$6:$BH$10,$BE$6:$BE$10),IF(テーブル2[[#This Row],[年齢]]=16,LOOKUP(Q427,$BG$6:$BG$10,$BE$6:$BE$10),IF(テーブル2[[#This Row],[年齢]]=15,LOOKUP(Q427,$BF$6:$BF$10,$BE$6:$BE$10),IF(テーブル2[[#This Row],[年齢]]=14,LOOKUP(Q427,$BD$6:$BD$10,$BE$6:$BE$10),IF(テーブル2[[#This Row],[年齢]]=13,LOOKUP(Q427,$BC$6:$BC$10,$BE$6:$BE$10),LOOKUP(Q427,$BB$6:$BB$10,$BE$6:$BE$10)))))))</f>
        <v/>
      </c>
      <c r="S427" s="145">
        <f>IF(H427="",0,(IF(テーブル2[[#This Row],[性別]]="男",LOOKUP(テーブル2[[#This Row],[握力]],$AI$6:$AJ$15),LOOKUP(テーブル2[[#This Row],[握力]],$AI$20:$AJ$29))))</f>
        <v>0</v>
      </c>
      <c r="T427" s="145">
        <f>IF(テーブル2[[#This Row],[上体]]="",0,(IF(テーブル2[[#This Row],[性別]]="男",LOOKUP(テーブル2[[#This Row],[上体]],$AK$6:$AL$15),LOOKUP(テーブル2[[#This Row],[上体]],$AK$20:$AL$29))))</f>
        <v>0</v>
      </c>
      <c r="U427" s="145">
        <f>IF(テーブル2[[#This Row],[長座]]="",0,(IF(テーブル2[[#This Row],[性別]]="男",LOOKUP(テーブル2[[#This Row],[長座]],$AM$6:$AN$15),LOOKUP(テーブル2[[#This Row],[長座]],$AM$20:$AN$29))))</f>
        <v>0</v>
      </c>
      <c r="V427" s="145">
        <f>IF(テーブル2[[#This Row],[反復]]="",0,(IF(テーブル2[[#This Row],[性別]]="男",LOOKUP(テーブル2[[#This Row],[反復]],$AO$6:$AP$15),LOOKUP(テーブル2[[#This Row],[反復]],$AO$20:$AP$29))))</f>
        <v>0</v>
      </c>
      <c r="W427" s="145">
        <f>IF(テーブル2[[#This Row],[持久走]]="",0,(IF(テーブル2[[#This Row],[性別]]="男",LOOKUP(テーブル2[[#This Row],[持久走]],$AQ$6:$AR$15),LOOKUP(テーブル2[[#This Row],[持久走]],$AQ$20:$AR$29))))</f>
        <v>0</v>
      </c>
      <c r="X427" s="145">
        <f>IF(テーブル2[[#This Row],[ｼｬﾄﾙﾗﾝ]]="",0,(IF(テーブル2[[#This Row],[性別]]="男",LOOKUP(テーブル2[[#This Row],[ｼｬﾄﾙﾗﾝ]],$AS$6:$AT$15),LOOKUP(テーブル2[[#This Row],[ｼｬﾄﾙﾗﾝ]],$AS$20:$AT$29))))</f>
        <v>0</v>
      </c>
      <c r="Y427" s="145">
        <f>IF(テーブル2[[#This Row],[50m走]]="",0,(IF(テーブル2[[#This Row],[性別]]="男",LOOKUP(テーブル2[[#This Row],[50m走]],$AU$6:$AV$15),LOOKUP(テーブル2[[#This Row],[50m走]],$AU$20:$AV$29))))</f>
        <v>0</v>
      </c>
      <c r="Z427" s="145">
        <f>IF(テーブル2[[#This Row],[立幅とび]]="",0,(IF(テーブル2[[#This Row],[性別]]="男",LOOKUP(テーブル2[[#This Row],[立幅とび]],$AW$6:$AX$15),LOOKUP(テーブル2[[#This Row],[立幅とび]],$AW$20:$AX$29))))</f>
        <v>0</v>
      </c>
      <c r="AA427" s="145">
        <f>IF(テーブル2[[#This Row],[ボール投げ]]="",0,(IF(テーブル2[[#This Row],[性別]]="男",LOOKUP(テーブル2[[#This Row],[ボール投げ]],$AY$6:$AZ$15),LOOKUP(テーブル2[[#This Row],[ボール投げ]],$AY$20:$AZ$29))))</f>
        <v>0</v>
      </c>
      <c r="AB427" s="146" t="str">
        <f>IF(テーブル2[[#This Row],[学年]]=1,12,IF(テーブル2[[#This Row],[学年]]=2,13,IF(テーブル2[[#This Row],[学年]]=3,14,"")))</f>
        <v/>
      </c>
      <c r="AC427" s="192" t="str">
        <f>IF(テーブル2[[#This Row],[肥満度数値]]=0,"",LOOKUP(AE427,$AW$39:$AW$44,$AX$39:$AX$44))</f>
        <v/>
      </c>
      <c r="AD42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7" s="77">
        <f>IF(テーブル2[[#This Row],[体重]]="",0,(テーブル2[[#This Row],[体重]]-テーブル2[[#This Row],[標準体重]])/テーブル2[[#This Row],[標準体重]]*100)</f>
        <v>0</v>
      </c>
      <c r="AF427" s="26">
        <f>COUNTA(テーブル2[[#This Row],[握力]:[ボール投げ]])</f>
        <v>0</v>
      </c>
      <c r="AG427" s="1" t="str">
        <f>IF(テーブル2[[#This Row],[判定]]=$BE$10,"○","")</f>
        <v/>
      </c>
      <c r="AH427" s="1" t="str">
        <f>IF(AG427="","",COUNTIF($AG$6:AG427,"○"))</f>
        <v/>
      </c>
    </row>
    <row r="428" spans="1:34" ht="14.25" customHeight="1" x14ac:dyDescent="0.15">
      <c r="A428" s="44">
        <v>423</v>
      </c>
      <c r="B428" s="148"/>
      <c r="C428" s="151"/>
      <c r="D428" s="148"/>
      <c r="E428" s="152"/>
      <c r="F428" s="148"/>
      <c r="G428" s="148"/>
      <c r="H428" s="150"/>
      <c r="I428" s="150"/>
      <c r="J428" s="151"/>
      <c r="K428" s="148"/>
      <c r="L428" s="196"/>
      <c r="M428" s="151"/>
      <c r="N428" s="197"/>
      <c r="O428" s="151"/>
      <c r="P428" s="153"/>
      <c r="Q42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8" s="144" t="str">
        <f>IF(テーブル2[[#This Row],[得点]]=0,"",IF(テーブル2[[#This Row],[年齢]]=17,LOOKUP(Q428,$BH$6:$BH$10,$BE$6:$BE$10),IF(テーブル2[[#This Row],[年齢]]=16,LOOKUP(Q428,$BG$6:$BG$10,$BE$6:$BE$10),IF(テーブル2[[#This Row],[年齢]]=15,LOOKUP(Q428,$BF$6:$BF$10,$BE$6:$BE$10),IF(テーブル2[[#This Row],[年齢]]=14,LOOKUP(Q428,$BD$6:$BD$10,$BE$6:$BE$10),IF(テーブル2[[#This Row],[年齢]]=13,LOOKUP(Q428,$BC$6:$BC$10,$BE$6:$BE$10),LOOKUP(Q428,$BB$6:$BB$10,$BE$6:$BE$10)))))))</f>
        <v/>
      </c>
      <c r="S428" s="145">
        <f>IF(H428="",0,(IF(テーブル2[[#This Row],[性別]]="男",LOOKUP(テーブル2[[#This Row],[握力]],$AI$6:$AJ$15),LOOKUP(テーブル2[[#This Row],[握力]],$AI$20:$AJ$29))))</f>
        <v>0</v>
      </c>
      <c r="T428" s="145">
        <f>IF(テーブル2[[#This Row],[上体]]="",0,(IF(テーブル2[[#This Row],[性別]]="男",LOOKUP(テーブル2[[#This Row],[上体]],$AK$6:$AL$15),LOOKUP(テーブル2[[#This Row],[上体]],$AK$20:$AL$29))))</f>
        <v>0</v>
      </c>
      <c r="U428" s="145">
        <f>IF(テーブル2[[#This Row],[長座]]="",0,(IF(テーブル2[[#This Row],[性別]]="男",LOOKUP(テーブル2[[#This Row],[長座]],$AM$6:$AN$15),LOOKUP(テーブル2[[#This Row],[長座]],$AM$20:$AN$29))))</f>
        <v>0</v>
      </c>
      <c r="V428" s="145">
        <f>IF(テーブル2[[#This Row],[反復]]="",0,(IF(テーブル2[[#This Row],[性別]]="男",LOOKUP(テーブル2[[#This Row],[反復]],$AO$6:$AP$15),LOOKUP(テーブル2[[#This Row],[反復]],$AO$20:$AP$29))))</f>
        <v>0</v>
      </c>
      <c r="W428" s="145">
        <f>IF(テーブル2[[#This Row],[持久走]]="",0,(IF(テーブル2[[#This Row],[性別]]="男",LOOKUP(テーブル2[[#This Row],[持久走]],$AQ$6:$AR$15),LOOKUP(テーブル2[[#This Row],[持久走]],$AQ$20:$AR$29))))</f>
        <v>0</v>
      </c>
      <c r="X428" s="145">
        <f>IF(テーブル2[[#This Row],[ｼｬﾄﾙﾗﾝ]]="",0,(IF(テーブル2[[#This Row],[性別]]="男",LOOKUP(テーブル2[[#This Row],[ｼｬﾄﾙﾗﾝ]],$AS$6:$AT$15),LOOKUP(テーブル2[[#This Row],[ｼｬﾄﾙﾗﾝ]],$AS$20:$AT$29))))</f>
        <v>0</v>
      </c>
      <c r="Y428" s="145">
        <f>IF(テーブル2[[#This Row],[50m走]]="",0,(IF(テーブル2[[#This Row],[性別]]="男",LOOKUP(テーブル2[[#This Row],[50m走]],$AU$6:$AV$15),LOOKUP(テーブル2[[#This Row],[50m走]],$AU$20:$AV$29))))</f>
        <v>0</v>
      </c>
      <c r="Z428" s="145">
        <f>IF(テーブル2[[#This Row],[立幅とび]]="",0,(IF(テーブル2[[#This Row],[性別]]="男",LOOKUP(テーブル2[[#This Row],[立幅とび]],$AW$6:$AX$15),LOOKUP(テーブル2[[#This Row],[立幅とび]],$AW$20:$AX$29))))</f>
        <v>0</v>
      </c>
      <c r="AA428" s="145">
        <f>IF(テーブル2[[#This Row],[ボール投げ]]="",0,(IF(テーブル2[[#This Row],[性別]]="男",LOOKUP(テーブル2[[#This Row],[ボール投げ]],$AY$6:$AZ$15),LOOKUP(テーブル2[[#This Row],[ボール投げ]],$AY$20:$AZ$29))))</f>
        <v>0</v>
      </c>
      <c r="AB428" s="146" t="str">
        <f>IF(テーブル2[[#This Row],[学年]]=1,12,IF(テーブル2[[#This Row],[学年]]=2,13,IF(テーブル2[[#This Row],[学年]]=3,14,"")))</f>
        <v/>
      </c>
      <c r="AC428" s="192" t="str">
        <f>IF(テーブル2[[#This Row],[肥満度数値]]=0,"",LOOKUP(AE428,$AW$39:$AW$44,$AX$39:$AX$44))</f>
        <v/>
      </c>
      <c r="AD42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8" s="77">
        <f>IF(テーブル2[[#This Row],[体重]]="",0,(テーブル2[[#This Row],[体重]]-テーブル2[[#This Row],[標準体重]])/テーブル2[[#This Row],[標準体重]]*100)</f>
        <v>0</v>
      </c>
      <c r="AF428" s="26">
        <f>COUNTA(テーブル2[[#This Row],[握力]:[ボール投げ]])</f>
        <v>0</v>
      </c>
      <c r="AG428" s="1" t="str">
        <f>IF(テーブル2[[#This Row],[判定]]=$BE$10,"○","")</f>
        <v/>
      </c>
      <c r="AH428" s="1" t="str">
        <f>IF(AG428="","",COUNTIF($AG$6:AG428,"○"))</f>
        <v/>
      </c>
    </row>
    <row r="429" spans="1:34" ht="14.25" customHeight="1" x14ac:dyDescent="0.15">
      <c r="A429" s="44">
        <v>424</v>
      </c>
      <c r="B429" s="148"/>
      <c r="C429" s="151"/>
      <c r="D429" s="148"/>
      <c r="E429" s="152"/>
      <c r="F429" s="148"/>
      <c r="G429" s="148"/>
      <c r="H429" s="150"/>
      <c r="I429" s="150"/>
      <c r="J429" s="151"/>
      <c r="K429" s="148"/>
      <c r="L429" s="196"/>
      <c r="M429" s="151"/>
      <c r="N429" s="197"/>
      <c r="O429" s="151"/>
      <c r="P429" s="153"/>
      <c r="Q42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9" s="144" t="str">
        <f>IF(テーブル2[[#This Row],[得点]]=0,"",IF(テーブル2[[#This Row],[年齢]]=17,LOOKUP(Q429,$BH$6:$BH$10,$BE$6:$BE$10),IF(テーブル2[[#This Row],[年齢]]=16,LOOKUP(Q429,$BG$6:$BG$10,$BE$6:$BE$10),IF(テーブル2[[#This Row],[年齢]]=15,LOOKUP(Q429,$BF$6:$BF$10,$BE$6:$BE$10),IF(テーブル2[[#This Row],[年齢]]=14,LOOKUP(Q429,$BD$6:$BD$10,$BE$6:$BE$10),IF(テーブル2[[#This Row],[年齢]]=13,LOOKUP(Q429,$BC$6:$BC$10,$BE$6:$BE$10),LOOKUP(Q429,$BB$6:$BB$10,$BE$6:$BE$10)))))))</f>
        <v/>
      </c>
      <c r="S429" s="145">
        <f>IF(H429="",0,(IF(テーブル2[[#This Row],[性別]]="男",LOOKUP(テーブル2[[#This Row],[握力]],$AI$6:$AJ$15),LOOKUP(テーブル2[[#This Row],[握力]],$AI$20:$AJ$29))))</f>
        <v>0</v>
      </c>
      <c r="T429" s="145">
        <f>IF(テーブル2[[#This Row],[上体]]="",0,(IF(テーブル2[[#This Row],[性別]]="男",LOOKUP(テーブル2[[#This Row],[上体]],$AK$6:$AL$15),LOOKUP(テーブル2[[#This Row],[上体]],$AK$20:$AL$29))))</f>
        <v>0</v>
      </c>
      <c r="U429" s="145">
        <f>IF(テーブル2[[#This Row],[長座]]="",0,(IF(テーブル2[[#This Row],[性別]]="男",LOOKUP(テーブル2[[#This Row],[長座]],$AM$6:$AN$15),LOOKUP(テーブル2[[#This Row],[長座]],$AM$20:$AN$29))))</f>
        <v>0</v>
      </c>
      <c r="V429" s="145">
        <f>IF(テーブル2[[#This Row],[反復]]="",0,(IF(テーブル2[[#This Row],[性別]]="男",LOOKUP(テーブル2[[#This Row],[反復]],$AO$6:$AP$15),LOOKUP(テーブル2[[#This Row],[反復]],$AO$20:$AP$29))))</f>
        <v>0</v>
      </c>
      <c r="W429" s="145">
        <f>IF(テーブル2[[#This Row],[持久走]]="",0,(IF(テーブル2[[#This Row],[性別]]="男",LOOKUP(テーブル2[[#This Row],[持久走]],$AQ$6:$AR$15),LOOKUP(テーブル2[[#This Row],[持久走]],$AQ$20:$AR$29))))</f>
        <v>0</v>
      </c>
      <c r="X429" s="145">
        <f>IF(テーブル2[[#This Row],[ｼｬﾄﾙﾗﾝ]]="",0,(IF(テーブル2[[#This Row],[性別]]="男",LOOKUP(テーブル2[[#This Row],[ｼｬﾄﾙﾗﾝ]],$AS$6:$AT$15),LOOKUP(テーブル2[[#This Row],[ｼｬﾄﾙﾗﾝ]],$AS$20:$AT$29))))</f>
        <v>0</v>
      </c>
      <c r="Y429" s="145">
        <f>IF(テーブル2[[#This Row],[50m走]]="",0,(IF(テーブル2[[#This Row],[性別]]="男",LOOKUP(テーブル2[[#This Row],[50m走]],$AU$6:$AV$15),LOOKUP(テーブル2[[#This Row],[50m走]],$AU$20:$AV$29))))</f>
        <v>0</v>
      </c>
      <c r="Z429" s="145">
        <f>IF(テーブル2[[#This Row],[立幅とび]]="",0,(IF(テーブル2[[#This Row],[性別]]="男",LOOKUP(テーブル2[[#This Row],[立幅とび]],$AW$6:$AX$15),LOOKUP(テーブル2[[#This Row],[立幅とび]],$AW$20:$AX$29))))</f>
        <v>0</v>
      </c>
      <c r="AA429" s="145">
        <f>IF(テーブル2[[#This Row],[ボール投げ]]="",0,(IF(テーブル2[[#This Row],[性別]]="男",LOOKUP(テーブル2[[#This Row],[ボール投げ]],$AY$6:$AZ$15),LOOKUP(テーブル2[[#This Row],[ボール投げ]],$AY$20:$AZ$29))))</f>
        <v>0</v>
      </c>
      <c r="AB429" s="146" t="str">
        <f>IF(テーブル2[[#This Row],[学年]]=1,12,IF(テーブル2[[#This Row],[学年]]=2,13,IF(テーブル2[[#This Row],[学年]]=3,14,"")))</f>
        <v/>
      </c>
      <c r="AC429" s="192" t="str">
        <f>IF(テーブル2[[#This Row],[肥満度数値]]=0,"",LOOKUP(AE429,$AW$39:$AW$44,$AX$39:$AX$44))</f>
        <v/>
      </c>
      <c r="AD42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29" s="77">
        <f>IF(テーブル2[[#This Row],[体重]]="",0,(テーブル2[[#This Row],[体重]]-テーブル2[[#This Row],[標準体重]])/テーブル2[[#This Row],[標準体重]]*100)</f>
        <v>0</v>
      </c>
      <c r="AF429" s="26">
        <f>COUNTA(テーブル2[[#This Row],[握力]:[ボール投げ]])</f>
        <v>0</v>
      </c>
      <c r="AG429" s="1" t="str">
        <f>IF(テーブル2[[#This Row],[判定]]=$BE$10,"○","")</f>
        <v/>
      </c>
      <c r="AH429" s="1" t="str">
        <f>IF(AG429="","",COUNTIF($AG$6:AG429,"○"))</f>
        <v/>
      </c>
    </row>
    <row r="430" spans="1:34" ht="14.25" customHeight="1" x14ac:dyDescent="0.15">
      <c r="A430" s="44">
        <v>425</v>
      </c>
      <c r="B430" s="148"/>
      <c r="C430" s="151"/>
      <c r="D430" s="148"/>
      <c r="E430" s="152"/>
      <c r="F430" s="148"/>
      <c r="G430" s="148"/>
      <c r="H430" s="150"/>
      <c r="I430" s="150"/>
      <c r="J430" s="151"/>
      <c r="K430" s="148"/>
      <c r="L430" s="196"/>
      <c r="M430" s="151"/>
      <c r="N430" s="197"/>
      <c r="O430" s="151"/>
      <c r="P430" s="153"/>
      <c r="Q43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0" s="144" t="str">
        <f>IF(テーブル2[[#This Row],[得点]]=0,"",IF(テーブル2[[#This Row],[年齢]]=17,LOOKUP(Q430,$BH$6:$BH$10,$BE$6:$BE$10),IF(テーブル2[[#This Row],[年齢]]=16,LOOKUP(Q430,$BG$6:$BG$10,$BE$6:$BE$10),IF(テーブル2[[#This Row],[年齢]]=15,LOOKUP(Q430,$BF$6:$BF$10,$BE$6:$BE$10),IF(テーブル2[[#This Row],[年齢]]=14,LOOKUP(Q430,$BD$6:$BD$10,$BE$6:$BE$10),IF(テーブル2[[#This Row],[年齢]]=13,LOOKUP(Q430,$BC$6:$BC$10,$BE$6:$BE$10),LOOKUP(Q430,$BB$6:$BB$10,$BE$6:$BE$10)))))))</f>
        <v/>
      </c>
      <c r="S430" s="145">
        <f>IF(H430="",0,(IF(テーブル2[[#This Row],[性別]]="男",LOOKUP(テーブル2[[#This Row],[握力]],$AI$6:$AJ$15),LOOKUP(テーブル2[[#This Row],[握力]],$AI$20:$AJ$29))))</f>
        <v>0</v>
      </c>
      <c r="T430" s="145">
        <f>IF(テーブル2[[#This Row],[上体]]="",0,(IF(テーブル2[[#This Row],[性別]]="男",LOOKUP(テーブル2[[#This Row],[上体]],$AK$6:$AL$15),LOOKUP(テーブル2[[#This Row],[上体]],$AK$20:$AL$29))))</f>
        <v>0</v>
      </c>
      <c r="U430" s="145">
        <f>IF(テーブル2[[#This Row],[長座]]="",0,(IF(テーブル2[[#This Row],[性別]]="男",LOOKUP(テーブル2[[#This Row],[長座]],$AM$6:$AN$15),LOOKUP(テーブル2[[#This Row],[長座]],$AM$20:$AN$29))))</f>
        <v>0</v>
      </c>
      <c r="V430" s="145">
        <f>IF(テーブル2[[#This Row],[反復]]="",0,(IF(テーブル2[[#This Row],[性別]]="男",LOOKUP(テーブル2[[#This Row],[反復]],$AO$6:$AP$15),LOOKUP(テーブル2[[#This Row],[反復]],$AO$20:$AP$29))))</f>
        <v>0</v>
      </c>
      <c r="W430" s="145">
        <f>IF(テーブル2[[#This Row],[持久走]]="",0,(IF(テーブル2[[#This Row],[性別]]="男",LOOKUP(テーブル2[[#This Row],[持久走]],$AQ$6:$AR$15),LOOKUP(テーブル2[[#This Row],[持久走]],$AQ$20:$AR$29))))</f>
        <v>0</v>
      </c>
      <c r="X430" s="145">
        <f>IF(テーブル2[[#This Row],[ｼｬﾄﾙﾗﾝ]]="",0,(IF(テーブル2[[#This Row],[性別]]="男",LOOKUP(テーブル2[[#This Row],[ｼｬﾄﾙﾗﾝ]],$AS$6:$AT$15),LOOKUP(テーブル2[[#This Row],[ｼｬﾄﾙﾗﾝ]],$AS$20:$AT$29))))</f>
        <v>0</v>
      </c>
      <c r="Y430" s="145">
        <f>IF(テーブル2[[#This Row],[50m走]]="",0,(IF(テーブル2[[#This Row],[性別]]="男",LOOKUP(テーブル2[[#This Row],[50m走]],$AU$6:$AV$15),LOOKUP(テーブル2[[#This Row],[50m走]],$AU$20:$AV$29))))</f>
        <v>0</v>
      </c>
      <c r="Z430" s="145">
        <f>IF(テーブル2[[#This Row],[立幅とび]]="",0,(IF(テーブル2[[#This Row],[性別]]="男",LOOKUP(テーブル2[[#This Row],[立幅とび]],$AW$6:$AX$15),LOOKUP(テーブル2[[#This Row],[立幅とび]],$AW$20:$AX$29))))</f>
        <v>0</v>
      </c>
      <c r="AA430" s="145">
        <f>IF(テーブル2[[#This Row],[ボール投げ]]="",0,(IF(テーブル2[[#This Row],[性別]]="男",LOOKUP(テーブル2[[#This Row],[ボール投げ]],$AY$6:$AZ$15),LOOKUP(テーブル2[[#This Row],[ボール投げ]],$AY$20:$AZ$29))))</f>
        <v>0</v>
      </c>
      <c r="AB430" s="146" t="str">
        <f>IF(テーブル2[[#This Row],[学年]]=1,12,IF(テーブル2[[#This Row],[学年]]=2,13,IF(テーブル2[[#This Row],[学年]]=3,14,"")))</f>
        <v/>
      </c>
      <c r="AC430" s="192" t="str">
        <f>IF(テーブル2[[#This Row],[肥満度数値]]=0,"",LOOKUP(AE430,$AW$39:$AW$44,$AX$39:$AX$44))</f>
        <v/>
      </c>
      <c r="AD43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0" s="77">
        <f>IF(テーブル2[[#This Row],[体重]]="",0,(テーブル2[[#This Row],[体重]]-テーブル2[[#This Row],[標準体重]])/テーブル2[[#This Row],[標準体重]]*100)</f>
        <v>0</v>
      </c>
      <c r="AF430" s="26">
        <f>COUNTA(テーブル2[[#This Row],[握力]:[ボール投げ]])</f>
        <v>0</v>
      </c>
      <c r="AG430" s="1" t="str">
        <f>IF(テーブル2[[#This Row],[判定]]=$BE$10,"○","")</f>
        <v/>
      </c>
      <c r="AH430" s="1" t="str">
        <f>IF(AG430="","",COUNTIF($AG$6:AG430,"○"))</f>
        <v/>
      </c>
    </row>
    <row r="431" spans="1:34" ht="14.25" customHeight="1" x14ac:dyDescent="0.15">
      <c r="A431" s="44">
        <v>426</v>
      </c>
      <c r="B431" s="148"/>
      <c r="C431" s="151"/>
      <c r="D431" s="148"/>
      <c r="E431" s="152"/>
      <c r="F431" s="148"/>
      <c r="G431" s="148"/>
      <c r="H431" s="150"/>
      <c r="I431" s="150"/>
      <c r="J431" s="151"/>
      <c r="K431" s="148"/>
      <c r="L431" s="196"/>
      <c r="M431" s="151"/>
      <c r="N431" s="197"/>
      <c r="O431" s="151"/>
      <c r="P431" s="153"/>
      <c r="Q43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1" s="144" t="str">
        <f>IF(テーブル2[[#This Row],[得点]]=0,"",IF(テーブル2[[#This Row],[年齢]]=17,LOOKUP(Q431,$BH$6:$BH$10,$BE$6:$BE$10),IF(テーブル2[[#This Row],[年齢]]=16,LOOKUP(Q431,$BG$6:$BG$10,$BE$6:$BE$10),IF(テーブル2[[#This Row],[年齢]]=15,LOOKUP(Q431,$BF$6:$BF$10,$BE$6:$BE$10),IF(テーブル2[[#This Row],[年齢]]=14,LOOKUP(Q431,$BD$6:$BD$10,$BE$6:$BE$10),IF(テーブル2[[#This Row],[年齢]]=13,LOOKUP(Q431,$BC$6:$BC$10,$BE$6:$BE$10),LOOKUP(Q431,$BB$6:$BB$10,$BE$6:$BE$10)))))))</f>
        <v/>
      </c>
      <c r="S431" s="145">
        <f>IF(H431="",0,(IF(テーブル2[[#This Row],[性別]]="男",LOOKUP(テーブル2[[#This Row],[握力]],$AI$6:$AJ$15),LOOKUP(テーブル2[[#This Row],[握力]],$AI$20:$AJ$29))))</f>
        <v>0</v>
      </c>
      <c r="T431" s="145">
        <f>IF(テーブル2[[#This Row],[上体]]="",0,(IF(テーブル2[[#This Row],[性別]]="男",LOOKUP(テーブル2[[#This Row],[上体]],$AK$6:$AL$15),LOOKUP(テーブル2[[#This Row],[上体]],$AK$20:$AL$29))))</f>
        <v>0</v>
      </c>
      <c r="U431" s="145">
        <f>IF(テーブル2[[#This Row],[長座]]="",0,(IF(テーブル2[[#This Row],[性別]]="男",LOOKUP(テーブル2[[#This Row],[長座]],$AM$6:$AN$15),LOOKUP(テーブル2[[#This Row],[長座]],$AM$20:$AN$29))))</f>
        <v>0</v>
      </c>
      <c r="V431" s="145">
        <f>IF(テーブル2[[#This Row],[反復]]="",0,(IF(テーブル2[[#This Row],[性別]]="男",LOOKUP(テーブル2[[#This Row],[反復]],$AO$6:$AP$15),LOOKUP(テーブル2[[#This Row],[反復]],$AO$20:$AP$29))))</f>
        <v>0</v>
      </c>
      <c r="W431" s="145">
        <f>IF(テーブル2[[#This Row],[持久走]]="",0,(IF(テーブル2[[#This Row],[性別]]="男",LOOKUP(テーブル2[[#This Row],[持久走]],$AQ$6:$AR$15),LOOKUP(テーブル2[[#This Row],[持久走]],$AQ$20:$AR$29))))</f>
        <v>0</v>
      </c>
      <c r="X431" s="145">
        <f>IF(テーブル2[[#This Row],[ｼｬﾄﾙﾗﾝ]]="",0,(IF(テーブル2[[#This Row],[性別]]="男",LOOKUP(テーブル2[[#This Row],[ｼｬﾄﾙﾗﾝ]],$AS$6:$AT$15),LOOKUP(テーブル2[[#This Row],[ｼｬﾄﾙﾗﾝ]],$AS$20:$AT$29))))</f>
        <v>0</v>
      </c>
      <c r="Y431" s="145">
        <f>IF(テーブル2[[#This Row],[50m走]]="",0,(IF(テーブル2[[#This Row],[性別]]="男",LOOKUP(テーブル2[[#This Row],[50m走]],$AU$6:$AV$15),LOOKUP(テーブル2[[#This Row],[50m走]],$AU$20:$AV$29))))</f>
        <v>0</v>
      </c>
      <c r="Z431" s="145">
        <f>IF(テーブル2[[#This Row],[立幅とび]]="",0,(IF(テーブル2[[#This Row],[性別]]="男",LOOKUP(テーブル2[[#This Row],[立幅とび]],$AW$6:$AX$15),LOOKUP(テーブル2[[#This Row],[立幅とび]],$AW$20:$AX$29))))</f>
        <v>0</v>
      </c>
      <c r="AA431" s="145">
        <f>IF(テーブル2[[#This Row],[ボール投げ]]="",0,(IF(テーブル2[[#This Row],[性別]]="男",LOOKUP(テーブル2[[#This Row],[ボール投げ]],$AY$6:$AZ$15),LOOKUP(テーブル2[[#This Row],[ボール投げ]],$AY$20:$AZ$29))))</f>
        <v>0</v>
      </c>
      <c r="AB431" s="146" t="str">
        <f>IF(テーブル2[[#This Row],[学年]]=1,12,IF(テーブル2[[#This Row],[学年]]=2,13,IF(テーブル2[[#This Row],[学年]]=3,14,"")))</f>
        <v/>
      </c>
      <c r="AC431" s="192" t="str">
        <f>IF(テーブル2[[#This Row],[肥満度数値]]=0,"",LOOKUP(AE431,$AW$39:$AW$44,$AX$39:$AX$44))</f>
        <v/>
      </c>
      <c r="AD43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1" s="77">
        <f>IF(テーブル2[[#This Row],[体重]]="",0,(テーブル2[[#This Row],[体重]]-テーブル2[[#This Row],[標準体重]])/テーブル2[[#This Row],[標準体重]]*100)</f>
        <v>0</v>
      </c>
      <c r="AF431" s="26">
        <f>COUNTA(テーブル2[[#This Row],[握力]:[ボール投げ]])</f>
        <v>0</v>
      </c>
      <c r="AG431" s="1" t="str">
        <f>IF(テーブル2[[#This Row],[判定]]=$BE$10,"○","")</f>
        <v/>
      </c>
      <c r="AH431" s="1" t="str">
        <f>IF(AG431="","",COUNTIF($AG$6:AG431,"○"))</f>
        <v/>
      </c>
    </row>
    <row r="432" spans="1:34" ht="14.25" customHeight="1" x14ac:dyDescent="0.15">
      <c r="A432" s="44">
        <v>427</v>
      </c>
      <c r="B432" s="148"/>
      <c r="C432" s="151"/>
      <c r="D432" s="148"/>
      <c r="E432" s="152"/>
      <c r="F432" s="148"/>
      <c r="G432" s="148"/>
      <c r="H432" s="150"/>
      <c r="I432" s="150"/>
      <c r="J432" s="151"/>
      <c r="K432" s="148"/>
      <c r="L432" s="196"/>
      <c r="M432" s="151"/>
      <c r="N432" s="197"/>
      <c r="O432" s="151"/>
      <c r="P432" s="153"/>
      <c r="Q43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2" s="144" t="str">
        <f>IF(テーブル2[[#This Row],[得点]]=0,"",IF(テーブル2[[#This Row],[年齢]]=17,LOOKUP(Q432,$BH$6:$BH$10,$BE$6:$BE$10),IF(テーブル2[[#This Row],[年齢]]=16,LOOKUP(Q432,$BG$6:$BG$10,$BE$6:$BE$10),IF(テーブル2[[#This Row],[年齢]]=15,LOOKUP(Q432,$BF$6:$BF$10,$BE$6:$BE$10),IF(テーブル2[[#This Row],[年齢]]=14,LOOKUP(Q432,$BD$6:$BD$10,$BE$6:$BE$10),IF(テーブル2[[#This Row],[年齢]]=13,LOOKUP(Q432,$BC$6:$BC$10,$BE$6:$BE$10),LOOKUP(Q432,$BB$6:$BB$10,$BE$6:$BE$10)))))))</f>
        <v/>
      </c>
      <c r="S432" s="145">
        <f>IF(H432="",0,(IF(テーブル2[[#This Row],[性別]]="男",LOOKUP(テーブル2[[#This Row],[握力]],$AI$6:$AJ$15),LOOKUP(テーブル2[[#This Row],[握力]],$AI$20:$AJ$29))))</f>
        <v>0</v>
      </c>
      <c r="T432" s="145">
        <f>IF(テーブル2[[#This Row],[上体]]="",0,(IF(テーブル2[[#This Row],[性別]]="男",LOOKUP(テーブル2[[#This Row],[上体]],$AK$6:$AL$15),LOOKUP(テーブル2[[#This Row],[上体]],$AK$20:$AL$29))))</f>
        <v>0</v>
      </c>
      <c r="U432" s="145">
        <f>IF(テーブル2[[#This Row],[長座]]="",0,(IF(テーブル2[[#This Row],[性別]]="男",LOOKUP(テーブル2[[#This Row],[長座]],$AM$6:$AN$15),LOOKUP(テーブル2[[#This Row],[長座]],$AM$20:$AN$29))))</f>
        <v>0</v>
      </c>
      <c r="V432" s="145">
        <f>IF(テーブル2[[#This Row],[反復]]="",0,(IF(テーブル2[[#This Row],[性別]]="男",LOOKUP(テーブル2[[#This Row],[反復]],$AO$6:$AP$15),LOOKUP(テーブル2[[#This Row],[反復]],$AO$20:$AP$29))))</f>
        <v>0</v>
      </c>
      <c r="W432" s="145">
        <f>IF(テーブル2[[#This Row],[持久走]]="",0,(IF(テーブル2[[#This Row],[性別]]="男",LOOKUP(テーブル2[[#This Row],[持久走]],$AQ$6:$AR$15),LOOKUP(テーブル2[[#This Row],[持久走]],$AQ$20:$AR$29))))</f>
        <v>0</v>
      </c>
      <c r="X432" s="145">
        <f>IF(テーブル2[[#This Row],[ｼｬﾄﾙﾗﾝ]]="",0,(IF(テーブル2[[#This Row],[性別]]="男",LOOKUP(テーブル2[[#This Row],[ｼｬﾄﾙﾗﾝ]],$AS$6:$AT$15),LOOKUP(テーブル2[[#This Row],[ｼｬﾄﾙﾗﾝ]],$AS$20:$AT$29))))</f>
        <v>0</v>
      </c>
      <c r="Y432" s="145">
        <f>IF(テーブル2[[#This Row],[50m走]]="",0,(IF(テーブル2[[#This Row],[性別]]="男",LOOKUP(テーブル2[[#This Row],[50m走]],$AU$6:$AV$15),LOOKUP(テーブル2[[#This Row],[50m走]],$AU$20:$AV$29))))</f>
        <v>0</v>
      </c>
      <c r="Z432" s="145">
        <f>IF(テーブル2[[#This Row],[立幅とび]]="",0,(IF(テーブル2[[#This Row],[性別]]="男",LOOKUP(テーブル2[[#This Row],[立幅とび]],$AW$6:$AX$15),LOOKUP(テーブル2[[#This Row],[立幅とび]],$AW$20:$AX$29))))</f>
        <v>0</v>
      </c>
      <c r="AA432" s="145">
        <f>IF(テーブル2[[#This Row],[ボール投げ]]="",0,(IF(テーブル2[[#This Row],[性別]]="男",LOOKUP(テーブル2[[#This Row],[ボール投げ]],$AY$6:$AZ$15),LOOKUP(テーブル2[[#This Row],[ボール投げ]],$AY$20:$AZ$29))))</f>
        <v>0</v>
      </c>
      <c r="AB432" s="146" t="str">
        <f>IF(テーブル2[[#This Row],[学年]]=1,12,IF(テーブル2[[#This Row],[学年]]=2,13,IF(テーブル2[[#This Row],[学年]]=3,14,"")))</f>
        <v/>
      </c>
      <c r="AC432" s="192" t="str">
        <f>IF(テーブル2[[#This Row],[肥満度数値]]=0,"",LOOKUP(AE432,$AW$39:$AW$44,$AX$39:$AX$44))</f>
        <v/>
      </c>
      <c r="AD43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2" s="77">
        <f>IF(テーブル2[[#This Row],[体重]]="",0,(テーブル2[[#This Row],[体重]]-テーブル2[[#This Row],[標準体重]])/テーブル2[[#This Row],[標準体重]]*100)</f>
        <v>0</v>
      </c>
      <c r="AF432" s="26">
        <f>COUNTA(テーブル2[[#This Row],[握力]:[ボール投げ]])</f>
        <v>0</v>
      </c>
      <c r="AG432" s="1" t="str">
        <f>IF(テーブル2[[#This Row],[判定]]=$BE$10,"○","")</f>
        <v/>
      </c>
      <c r="AH432" s="1" t="str">
        <f>IF(AG432="","",COUNTIF($AG$6:AG432,"○"))</f>
        <v/>
      </c>
    </row>
    <row r="433" spans="1:34" ht="14.25" customHeight="1" x14ac:dyDescent="0.15">
      <c r="A433" s="44">
        <v>428</v>
      </c>
      <c r="B433" s="148"/>
      <c r="C433" s="151"/>
      <c r="D433" s="148"/>
      <c r="E433" s="152"/>
      <c r="F433" s="148"/>
      <c r="G433" s="148"/>
      <c r="H433" s="150"/>
      <c r="I433" s="150"/>
      <c r="J433" s="151"/>
      <c r="K433" s="148"/>
      <c r="L433" s="196"/>
      <c r="M433" s="151"/>
      <c r="N433" s="197"/>
      <c r="O433" s="151"/>
      <c r="P433" s="153"/>
      <c r="Q43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3" s="144" t="str">
        <f>IF(テーブル2[[#This Row],[得点]]=0,"",IF(テーブル2[[#This Row],[年齢]]=17,LOOKUP(Q433,$BH$6:$BH$10,$BE$6:$BE$10),IF(テーブル2[[#This Row],[年齢]]=16,LOOKUP(Q433,$BG$6:$BG$10,$BE$6:$BE$10),IF(テーブル2[[#This Row],[年齢]]=15,LOOKUP(Q433,$BF$6:$BF$10,$BE$6:$BE$10),IF(テーブル2[[#This Row],[年齢]]=14,LOOKUP(Q433,$BD$6:$BD$10,$BE$6:$BE$10),IF(テーブル2[[#This Row],[年齢]]=13,LOOKUP(Q433,$BC$6:$BC$10,$BE$6:$BE$10),LOOKUP(Q433,$BB$6:$BB$10,$BE$6:$BE$10)))))))</f>
        <v/>
      </c>
      <c r="S433" s="145">
        <f>IF(H433="",0,(IF(テーブル2[[#This Row],[性別]]="男",LOOKUP(テーブル2[[#This Row],[握力]],$AI$6:$AJ$15),LOOKUP(テーブル2[[#This Row],[握力]],$AI$20:$AJ$29))))</f>
        <v>0</v>
      </c>
      <c r="T433" s="145">
        <f>IF(テーブル2[[#This Row],[上体]]="",0,(IF(テーブル2[[#This Row],[性別]]="男",LOOKUP(テーブル2[[#This Row],[上体]],$AK$6:$AL$15),LOOKUP(テーブル2[[#This Row],[上体]],$AK$20:$AL$29))))</f>
        <v>0</v>
      </c>
      <c r="U433" s="145">
        <f>IF(テーブル2[[#This Row],[長座]]="",0,(IF(テーブル2[[#This Row],[性別]]="男",LOOKUP(テーブル2[[#This Row],[長座]],$AM$6:$AN$15),LOOKUP(テーブル2[[#This Row],[長座]],$AM$20:$AN$29))))</f>
        <v>0</v>
      </c>
      <c r="V433" s="145">
        <f>IF(テーブル2[[#This Row],[反復]]="",0,(IF(テーブル2[[#This Row],[性別]]="男",LOOKUP(テーブル2[[#This Row],[反復]],$AO$6:$AP$15),LOOKUP(テーブル2[[#This Row],[反復]],$AO$20:$AP$29))))</f>
        <v>0</v>
      </c>
      <c r="W433" s="145">
        <f>IF(テーブル2[[#This Row],[持久走]]="",0,(IF(テーブル2[[#This Row],[性別]]="男",LOOKUP(テーブル2[[#This Row],[持久走]],$AQ$6:$AR$15),LOOKUP(テーブル2[[#This Row],[持久走]],$AQ$20:$AR$29))))</f>
        <v>0</v>
      </c>
      <c r="X433" s="145">
        <f>IF(テーブル2[[#This Row],[ｼｬﾄﾙﾗﾝ]]="",0,(IF(テーブル2[[#This Row],[性別]]="男",LOOKUP(テーブル2[[#This Row],[ｼｬﾄﾙﾗﾝ]],$AS$6:$AT$15),LOOKUP(テーブル2[[#This Row],[ｼｬﾄﾙﾗﾝ]],$AS$20:$AT$29))))</f>
        <v>0</v>
      </c>
      <c r="Y433" s="145">
        <f>IF(テーブル2[[#This Row],[50m走]]="",0,(IF(テーブル2[[#This Row],[性別]]="男",LOOKUP(テーブル2[[#This Row],[50m走]],$AU$6:$AV$15),LOOKUP(テーブル2[[#This Row],[50m走]],$AU$20:$AV$29))))</f>
        <v>0</v>
      </c>
      <c r="Z433" s="145">
        <f>IF(テーブル2[[#This Row],[立幅とび]]="",0,(IF(テーブル2[[#This Row],[性別]]="男",LOOKUP(テーブル2[[#This Row],[立幅とび]],$AW$6:$AX$15),LOOKUP(テーブル2[[#This Row],[立幅とび]],$AW$20:$AX$29))))</f>
        <v>0</v>
      </c>
      <c r="AA433" s="145">
        <f>IF(テーブル2[[#This Row],[ボール投げ]]="",0,(IF(テーブル2[[#This Row],[性別]]="男",LOOKUP(テーブル2[[#This Row],[ボール投げ]],$AY$6:$AZ$15),LOOKUP(テーブル2[[#This Row],[ボール投げ]],$AY$20:$AZ$29))))</f>
        <v>0</v>
      </c>
      <c r="AB433" s="146" t="str">
        <f>IF(テーブル2[[#This Row],[学年]]=1,12,IF(テーブル2[[#This Row],[学年]]=2,13,IF(テーブル2[[#This Row],[学年]]=3,14,"")))</f>
        <v/>
      </c>
      <c r="AC433" s="192" t="str">
        <f>IF(テーブル2[[#This Row],[肥満度数値]]=0,"",LOOKUP(AE433,$AW$39:$AW$44,$AX$39:$AX$44))</f>
        <v/>
      </c>
      <c r="AD43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3" s="77">
        <f>IF(テーブル2[[#This Row],[体重]]="",0,(テーブル2[[#This Row],[体重]]-テーブル2[[#This Row],[標準体重]])/テーブル2[[#This Row],[標準体重]]*100)</f>
        <v>0</v>
      </c>
      <c r="AF433" s="26">
        <f>COUNTA(テーブル2[[#This Row],[握力]:[ボール投げ]])</f>
        <v>0</v>
      </c>
      <c r="AG433" s="1" t="str">
        <f>IF(テーブル2[[#This Row],[判定]]=$BE$10,"○","")</f>
        <v/>
      </c>
      <c r="AH433" s="1" t="str">
        <f>IF(AG433="","",COUNTIF($AG$6:AG433,"○"))</f>
        <v/>
      </c>
    </row>
    <row r="434" spans="1:34" ht="14.25" customHeight="1" x14ac:dyDescent="0.15">
      <c r="A434" s="44">
        <v>429</v>
      </c>
      <c r="B434" s="148"/>
      <c r="C434" s="151"/>
      <c r="D434" s="148"/>
      <c r="E434" s="152"/>
      <c r="F434" s="148"/>
      <c r="G434" s="148"/>
      <c r="H434" s="150"/>
      <c r="I434" s="150"/>
      <c r="J434" s="151"/>
      <c r="K434" s="148"/>
      <c r="L434" s="196"/>
      <c r="M434" s="151"/>
      <c r="N434" s="197"/>
      <c r="O434" s="151"/>
      <c r="P434" s="153"/>
      <c r="Q43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4" s="144" t="str">
        <f>IF(テーブル2[[#This Row],[得点]]=0,"",IF(テーブル2[[#This Row],[年齢]]=17,LOOKUP(Q434,$BH$6:$BH$10,$BE$6:$BE$10),IF(テーブル2[[#This Row],[年齢]]=16,LOOKUP(Q434,$BG$6:$BG$10,$BE$6:$BE$10),IF(テーブル2[[#This Row],[年齢]]=15,LOOKUP(Q434,$BF$6:$BF$10,$BE$6:$BE$10),IF(テーブル2[[#This Row],[年齢]]=14,LOOKUP(Q434,$BD$6:$BD$10,$BE$6:$BE$10),IF(テーブル2[[#This Row],[年齢]]=13,LOOKUP(Q434,$BC$6:$BC$10,$BE$6:$BE$10),LOOKUP(Q434,$BB$6:$BB$10,$BE$6:$BE$10)))))))</f>
        <v/>
      </c>
      <c r="S434" s="145">
        <f>IF(H434="",0,(IF(テーブル2[[#This Row],[性別]]="男",LOOKUP(テーブル2[[#This Row],[握力]],$AI$6:$AJ$15),LOOKUP(テーブル2[[#This Row],[握力]],$AI$20:$AJ$29))))</f>
        <v>0</v>
      </c>
      <c r="T434" s="145">
        <f>IF(テーブル2[[#This Row],[上体]]="",0,(IF(テーブル2[[#This Row],[性別]]="男",LOOKUP(テーブル2[[#This Row],[上体]],$AK$6:$AL$15),LOOKUP(テーブル2[[#This Row],[上体]],$AK$20:$AL$29))))</f>
        <v>0</v>
      </c>
      <c r="U434" s="145">
        <f>IF(テーブル2[[#This Row],[長座]]="",0,(IF(テーブル2[[#This Row],[性別]]="男",LOOKUP(テーブル2[[#This Row],[長座]],$AM$6:$AN$15),LOOKUP(テーブル2[[#This Row],[長座]],$AM$20:$AN$29))))</f>
        <v>0</v>
      </c>
      <c r="V434" s="145">
        <f>IF(テーブル2[[#This Row],[反復]]="",0,(IF(テーブル2[[#This Row],[性別]]="男",LOOKUP(テーブル2[[#This Row],[反復]],$AO$6:$AP$15),LOOKUP(テーブル2[[#This Row],[反復]],$AO$20:$AP$29))))</f>
        <v>0</v>
      </c>
      <c r="W434" s="145">
        <f>IF(テーブル2[[#This Row],[持久走]]="",0,(IF(テーブル2[[#This Row],[性別]]="男",LOOKUP(テーブル2[[#This Row],[持久走]],$AQ$6:$AR$15),LOOKUP(テーブル2[[#This Row],[持久走]],$AQ$20:$AR$29))))</f>
        <v>0</v>
      </c>
      <c r="X434" s="145">
        <f>IF(テーブル2[[#This Row],[ｼｬﾄﾙﾗﾝ]]="",0,(IF(テーブル2[[#This Row],[性別]]="男",LOOKUP(テーブル2[[#This Row],[ｼｬﾄﾙﾗﾝ]],$AS$6:$AT$15),LOOKUP(テーブル2[[#This Row],[ｼｬﾄﾙﾗﾝ]],$AS$20:$AT$29))))</f>
        <v>0</v>
      </c>
      <c r="Y434" s="145">
        <f>IF(テーブル2[[#This Row],[50m走]]="",0,(IF(テーブル2[[#This Row],[性別]]="男",LOOKUP(テーブル2[[#This Row],[50m走]],$AU$6:$AV$15),LOOKUP(テーブル2[[#This Row],[50m走]],$AU$20:$AV$29))))</f>
        <v>0</v>
      </c>
      <c r="Z434" s="145">
        <f>IF(テーブル2[[#This Row],[立幅とび]]="",0,(IF(テーブル2[[#This Row],[性別]]="男",LOOKUP(テーブル2[[#This Row],[立幅とび]],$AW$6:$AX$15),LOOKUP(テーブル2[[#This Row],[立幅とび]],$AW$20:$AX$29))))</f>
        <v>0</v>
      </c>
      <c r="AA434" s="145">
        <f>IF(テーブル2[[#This Row],[ボール投げ]]="",0,(IF(テーブル2[[#This Row],[性別]]="男",LOOKUP(テーブル2[[#This Row],[ボール投げ]],$AY$6:$AZ$15),LOOKUP(テーブル2[[#This Row],[ボール投げ]],$AY$20:$AZ$29))))</f>
        <v>0</v>
      </c>
      <c r="AB434" s="146" t="str">
        <f>IF(テーブル2[[#This Row],[学年]]=1,12,IF(テーブル2[[#This Row],[学年]]=2,13,IF(テーブル2[[#This Row],[学年]]=3,14,"")))</f>
        <v/>
      </c>
      <c r="AC434" s="192" t="str">
        <f>IF(テーブル2[[#This Row],[肥満度数値]]=0,"",LOOKUP(AE434,$AW$39:$AW$44,$AX$39:$AX$44))</f>
        <v/>
      </c>
      <c r="AD43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4" s="77">
        <f>IF(テーブル2[[#This Row],[体重]]="",0,(テーブル2[[#This Row],[体重]]-テーブル2[[#This Row],[標準体重]])/テーブル2[[#This Row],[標準体重]]*100)</f>
        <v>0</v>
      </c>
      <c r="AF434" s="26">
        <f>COUNTA(テーブル2[[#This Row],[握力]:[ボール投げ]])</f>
        <v>0</v>
      </c>
      <c r="AG434" s="1" t="str">
        <f>IF(テーブル2[[#This Row],[判定]]=$BE$10,"○","")</f>
        <v/>
      </c>
      <c r="AH434" s="1" t="str">
        <f>IF(AG434="","",COUNTIF($AG$6:AG434,"○"))</f>
        <v/>
      </c>
    </row>
    <row r="435" spans="1:34" ht="14.25" customHeight="1" x14ac:dyDescent="0.15">
      <c r="A435" s="44">
        <v>430</v>
      </c>
      <c r="B435" s="148"/>
      <c r="C435" s="151"/>
      <c r="D435" s="148"/>
      <c r="E435" s="152"/>
      <c r="F435" s="148"/>
      <c r="G435" s="148"/>
      <c r="H435" s="150"/>
      <c r="I435" s="150"/>
      <c r="J435" s="151"/>
      <c r="K435" s="148"/>
      <c r="L435" s="196"/>
      <c r="M435" s="151"/>
      <c r="N435" s="197"/>
      <c r="O435" s="151"/>
      <c r="P435" s="153"/>
      <c r="Q43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5" s="144" t="str">
        <f>IF(テーブル2[[#This Row],[得点]]=0,"",IF(テーブル2[[#This Row],[年齢]]=17,LOOKUP(Q435,$BH$6:$BH$10,$BE$6:$BE$10),IF(テーブル2[[#This Row],[年齢]]=16,LOOKUP(Q435,$BG$6:$BG$10,$BE$6:$BE$10),IF(テーブル2[[#This Row],[年齢]]=15,LOOKUP(Q435,$BF$6:$BF$10,$BE$6:$BE$10),IF(テーブル2[[#This Row],[年齢]]=14,LOOKUP(Q435,$BD$6:$BD$10,$BE$6:$BE$10),IF(テーブル2[[#This Row],[年齢]]=13,LOOKUP(Q435,$BC$6:$BC$10,$BE$6:$BE$10),LOOKUP(Q435,$BB$6:$BB$10,$BE$6:$BE$10)))))))</f>
        <v/>
      </c>
      <c r="S435" s="145">
        <f>IF(H435="",0,(IF(テーブル2[[#This Row],[性別]]="男",LOOKUP(テーブル2[[#This Row],[握力]],$AI$6:$AJ$15),LOOKUP(テーブル2[[#This Row],[握力]],$AI$20:$AJ$29))))</f>
        <v>0</v>
      </c>
      <c r="T435" s="145">
        <f>IF(テーブル2[[#This Row],[上体]]="",0,(IF(テーブル2[[#This Row],[性別]]="男",LOOKUP(テーブル2[[#This Row],[上体]],$AK$6:$AL$15),LOOKUP(テーブル2[[#This Row],[上体]],$AK$20:$AL$29))))</f>
        <v>0</v>
      </c>
      <c r="U435" s="145">
        <f>IF(テーブル2[[#This Row],[長座]]="",0,(IF(テーブル2[[#This Row],[性別]]="男",LOOKUP(テーブル2[[#This Row],[長座]],$AM$6:$AN$15),LOOKUP(テーブル2[[#This Row],[長座]],$AM$20:$AN$29))))</f>
        <v>0</v>
      </c>
      <c r="V435" s="145">
        <f>IF(テーブル2[[#This Row],[反復]]="",0,(IF(テーブル2[[#This Row],[性別]]="男",LOOKUP(テーブル2[[#This Row],[反復]],$AO$6:$AP$15),LOOKUP(テーブル2[[#This Row],[反復]],$AO$20:$AP$29))))</f>
        <v>0</v>
      </c>
      <c r="W435" s="145">
        <f>IF(テーブル2[[#This Row],[持久走]]="",0,(IF(テーブル2[[#This Row],[性別]]="男",LOOKUP(テーブル2[[#This Row],[持久走]],$AQ$6:$AR$15),LOOKUP(テーブル2[[#This Row],[持久走]],$AQ$20:$AR$29))))</f>
        <v>0</v>
      </c>
      <c r="X435" s="145">
        <f>IF(テーブル2[[#This Row],[ｼｬﾄﾙﾗﾝ]]="",0,(IF(テーブル2[[#This Row],[性別]]="男",LOOKUP(テーブル2[[#This Row],[ｼｬﾄﾙﾗﾝ]],$AS$6:$AT$15),LOOKUP(テーブル2[[#This Row],[ｼｬﾄﾙﾗﾝ]],$AS$20:$AT$29))))</f>
        <v>0</v>
      </c>
      <c r="Y435" s="145">
        <f>IF(テーブル2[[#This Row],[50m走]]="",0,(IF(テーブル2[[#This Row],[性別]]="男",LOOKUP(テーブル2[[#This Row],[50m走]],$AU$6:$AV$15),LOOKUP(テーブル2[[#This Row],[50m走]],$AU$20:$AV$29))))</f>
        <v>0</v>
      </c>
      <c r="Z435" s="145">
        <f>IF(テーブル2[[#This Row],[立幅とび]]="",0,(IF(テーブル2[[#This Row],[性別]]="男",LOOKUP(テーブル2[[#This Row],[立幅とび]],$AW$6:$AX$15),LOOKUP(テーブル2[[#This Row],[立幅とび]],$AW$20:$AX$29))))</f>
        <v>0</v>
      </c>
      <c r="AA435" s="145">
        <f>IF(テーブル2[[#This Row],[ボール投げ]]="",0,(IF(テーブル2[[#This Row],[性別]]="男",LOOKUP(テーブル2[[#This Row],[ボール投げ]],$AY$6:$AZ$15),LOOKUP(テーブル2[[#This Row],[ボール投げ]],$AY$20:$AZ$29))))</f>
        <v>0</v>
      </c>
      <c r="AB435" s="146" t="str">
        <f>IF(テーブル2[[#This Row],[学年]]=1,12,IF(テーブル2[[#This Row],[学年]]=2,13,IF(テーブル2[[#This Row],[学年]]=3,14,"")))</f>
        <v/>
      </c>
      <c r="AC435" s="192" t="str">
        <f>IF(テーブル2[[#This Row],[肥満度数値]]=0,"",LOOKUP(AE435,$AW$39:$AW$44,$AX$39:$AX$44))</f>
        <v/>
      </c>
      <c r="AD43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5" s="77">
        <f>IF(テーブル2[[#This Row],[体重]]="",0,(テーブル2[[#This Row],[体重]]-テーブル2[[#This Row],[標準体重]])/テーブル2[[#This Row],[標準体重]]*100)</f>
        <v>0</v>
      </c>
      <c r="AF435" s="26">
        <f>COUNTA(テーブル2[[#This Row],[握力]:[ボール投げ]])</f>
        <v>0</v>
      </c>
      <c r="AG435" s="1" t="str">
        <f>IF(テーブル2[[#This Row],[判定]]=$BE$10,"○","")</f>
        <v/>
      </c>
      <c r="AH435" s="1" t="str">
        <f>IF(AG435="","",COUNTIF($AG$6:AG435,"○"))</f>
        <v/>
      </c>
    </row>
    <row r="436" spans="1:34" ht="14.25" customHeight="1" x14ac:dyDescent="0.15">
      <c r="A436" s="44">
        <v>431</v>
      </c>
      <c r="B436" s="148"/>
      <c r="C436" s="151"/>
      <c r="D436" s="148"/>
      <c r="E436" s="152"/>
      <c r="F436" s="148"/>
      <c r="G436" s="148"/>
      <c r="H436" s="150"/>
      <c r="I436" s="150"/>
      <c r="J436" s="151"/>
      <c r="K436" s="148"/>
      <c r="L436" s="196"/>
      <c r="M436" s="151"/>
      <c r="N436" s="197"/>
      <c r="O436" s="151"/>
      <c r="P436" s="153"/>
      <c r="Q43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6" s="144" t="str">
        <f>IF(テーブル2[[#This Row],[得点]]=0,"",IF(テーブル2[[#This Row],[年齢]]=17,LOOKUP(Q436,$BH$6:$BH$10,$BE$6:$BE$10),IF(テーブル2[[#This Row],[年齢]]=16,LOOKUP(Q436,$BG$6:$BG$10,$BE$6:$BE$10),IF(テーブル2[[#This Row],[年齢]]=15,LOOKUP(Q436,$BF$6:$BF$10,$BE$6:$BE$10),IF(テーブル2[[#This Row],[年齢]]=14,LOOKUP(Q436,$BD$6:$BD$10,$BE$6:$BE$10),IF(テーブル2[[#This Row],[年齢]]=13,LOOKUP(Q436,$BC$6:$BC$10,$BE$6:$BE$10),LOOKUP(Q436,$BB$6:$BB$10,$BE$6:$BE$10)))))))</f>
        <v/>
      </c>
      <c r="S436" s="145">
        <f>IF(H436="",0,(IF(テーブル2[[#This Row],[性別]]="男",LOOKUP(テーブル2[[#This Row],[握力]],$AI$6:$AJ$15),LOOKUP(テーブル2[[#This Row],[握力]],$AI$20:$AJ$29))))</f>
        <v>0</v>
      </c>
      <c r="T436" s="145">
        <f>IF(テーブル2[[#This Row],[上体]]="",0,(IF(テーブル2[[#This Row],[性別]]="男",LOOKUP(テーブル2[[#This Row],[上体]],$AK$6:$AL$15),LOOKUP(テーブル2[[#This Row],[上体]],$AK$20:$AL$29))))</f>
        <v>0</v>
      </c>
      <c r="U436" s="145">
        <f>IF(テーブル2[[#This Row],[長座]]="",0,(IF(テーブル2[[#This Row],[性別]]="男",LOOKUP(テーブル2[[#This Row],[長座]],$AM$6:$AN$15),LOOKUP(テーブル2[[#This Row],[長座]],$AM$20:$AN$29))))</f>
        <v>0</v>
      </c>
      <c r="V436" s="145">
        <f>IF(テーブル2[[#This Row],[反復]]="",0,(IF(テーブル2[[#This Row],[性別]]="男",LOOKUP(テーブル2[[#This Row],[反復]],$AO$6:$AP$15),LOOKUP(テーブル2[[#This Row],[反復]],$AO$20:$AP$29))))</f>
        <v>0</v>
      </c>
      <c r="W436" s="145">
        <f>IF(テーブル2[[#This Row],[持久走]]="",0,(IF(テーブル2[[#This Row],[性別]]="男",LOOKUP(テーブル2[[#This Row],[持久走]],$AQ$6:$AR$15),LOOKUP(テーブル2[[#This Row],[持久走]],$AQ$20:$AR$29))))</f>
        <v>0</v>
      </c>
      <c r="X436" s="145">
        <f>IF(テーブル2[[#This Row],[ｼｬﾄﾙﾗﾝ]]="",0,(IF(テーブル2[[#This Row],[性別]]="男",LOOKUP(テーブル2[[#This Row],[ｼｬﾄﾙﾗﾝ]],$AS$6:$AT$15),LOOKUP(テーブル2[[#This Row],[ｼｬﾄﾙﾗﾝ]],$AS$20:$AT$29))))</f>
        <v>0</v>
      </c>
      <c r="Y436" s="145">
        <f>IF(テーブル2[[#This Row],[50m走]]="",0,(IF(テーブル2[[#This Row],[性別]]="男",LOOKUP(テーブル2[[#This Row],[50m走]],$AU$6:$AV$15),LOOKUP(テーブル2[[#This Row],[50m走]],$AU$20:$AV$29))))</f>
        <v>0</v>
      </c>
      <c r="Z436" s="145">
        <f>IF(テーブル2[[#This Row],[立幅とび]]="",0,(IF(テーブル2[[#This Row],[性別]]="男",LOOKUP(テーブル2[[#This Row],[立幅とび]],$AW$6:$AX$15),LOOKUP(テーブル2[[#This Row],[立幅とび]],$AW$20:$AX$29))))</f>
        <v>0</v>
      </c>
      <c r="AA436" s="145">
        <f>IF(テーブル2[[#This Row],[ボール投げ]]="",0,(IF(テーブル2[[#This Row],[性別]]="男",LOOKUP(テーブル2[[#This Row],[ボール投げ]],$AY$6:$AZ$15),LOOKUP(テーブル2[[#This Row],[ボール投げ]],$AY$20:$AZ$29))))</f>
        <v>0</v>
      </c>
      <c r="AB436" s="146" t="str">
        <f>IF(テーブル2[[#This Row],[学年]]=1,12,IF(テーブル2[[#This Row],[学年]]=2,13,IF(テーブル2[[#This Row],[学年]]=3,14,"")))</f>
        <v/>
      </c>
      <c r="AC436" s="192" t="str">
        <f>IF(テーブル2[[#This Row],[肥満度数値]]=0,"",LOOKUP(AE436,$AW$39:$AW$44,$AX$39:$AX$44))</f>
        <v/>
      </c>
      <c r="AD43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6" s="77">
        <f>IF(テーブル2[[#This Row],[体重]]="",0,(テーブル2[[#This Row],[体重]]-テーブル2[[#This Row],[標準体重]])/テーブル2[[#This Row],[標準体重]]*100)</f>
        <v>0</v>
      </c>
      <c r="AF436" s="26">
        <f>COUNTA(テーブル2[[#This Row],[握力]:[ボール投げ]])</f>
        <v>0</v>
      </c>
      <c r="AG436" s="1" t="str">
        <f>IF(テーブル2[[#This Row],[判定]]=$BE$10,"○","")</f>
        <v/>
      </c>
      <c r="AH436" s="1" t="str">
        <f>IF(AG436="","",COUNTIF($AG$6:AG436,"○"))</f>
        <v/>
      </c>
    </row>
    <row r="437" spans="1:34" ht="14.25" customHeight="1" x14ac:dyDescent="0.15">
      <c r="A437" s="44">
        <v>432</v>
      </c>
      <c r="B437" s="148"/>
      <c r="C437" s="151"/>
      <c r="D437" s="148"/>
      <c r="E437" s="152"/>
      <c r="F437" s="148"/>
      <c r="G437" s="148"/>
      <c r="H437" s="150"/>
      <c r="I437" s="150"/>
      <c r="J437" s="151"/>
      <c r="K437" s="148"/>
      <c r="L437" s="196"/>
      <c r="M437" s="151"/>
      <c r="N437" s="197"/>
      <c r="O437" s="151"/>
      <c r="P437" s="153"/>
      <c r="Q43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7" s="144" t="str">
        <f>IF(テーブル2[[#This Row],[得点]]=0,"",IF(テーブル2[[#This Row],[年齢]]=17,LOOKUP(Q437,$BH$6:$BH$10,$BE$6:$BE$10),IF(テーブル2[[#This Row],[年齢]]=16,LOOKUP(Q437,$BG$6:$BG$10,$BE$6:$BE$10),IF(テーブル2[[#This Row],[年齢]]=15,LOOKUP(Q437,$BF$6:$BF$10,$BE$6:$BE$10),IF(テーブル2[[#This Row],[年齢]]=14,LOOKUP(Q437,$BD$6:$BD$10,$BE$6:$BE$10),IF(テーブル2[[#This Row],[年齢]]=13,LOOKUP(Q437,$BC$6:$BC$10,$BE$6:$BE$10),LOOKUP(Q437,$BB$6:$BB$10,$BE$6:$BE$10)))))))</f>
        <v/>
      </c>
      <c r="S437" s="145">
        <f>IF(H437="",0,(IF(テーブル2[[#This Row],[性別]]="男",LOOKUP(テーブル2[[#This Row],[握力]],$AI$6:$AJ$15),LOOKUP(テーブル2[[#This Row],[握力]],$AI$20:$AJ$29))))</f>
        <v>0</v>
      </c>
      <c r="T437" s="145">
        <f>IF(テーブル2[[#This Row],[上体]]="",0,(IF(テーブル2[[#This Row],[性別]]="男",LOOKUP(テーブル2[[#This Row],[上体]],$AK$6:$AL$15),LOOKUP(テーブル2[[#This Row],[上体]],$AK$20:$AL$29))))</f>
        <v>0</v>
      </c>
      <c r="U437" s="145">
        <f>IF(テーブル2[[#This Row],[長座]]="",0,(IF(テーブル2[[#This Row],[性別]]="男",LOOKUP(テーブル2[[#This Row],[長座]],$AM$6:$AN$15),LOOKUP(テーブル2[[#This Row],[長座]],$AM$20:$AN$29))))</f>
        <v>0</v>
      </c>
      <c r="V437" s="145">
        <f>IF(テーブル2[[#This Row],[反復]]="",0,(IF(テーブル2[[#This Row],[性別]]="男",LOOKUP(テーブル2[[#This Row],[反復]],$AO$6:$AP$15),LOOKUP(テーブル2[[#This Row],[反復]],$AO$20:$AP$29))))</f>
        <v>0</v>
      </c>
      <c r="W437" s="145">
        <f>IF(テーブル2[[#This Row],[持久走]]="",0,(IF(テーブル2[[#This Row],[性別]]="男",LOOKUP(テーブル2[[#This Row],[持久走]],$AQ$6:$AR$15),LOOKUP(テーブル2[[#This Row],[持久走]],$AQ$20:$AR$29))))</f>
        <v>0</v>
      </c>
      <c r="X437" s="145">
        <f>IF(テーブル2[[#This Row],[ｼｬﾄﾙﾗﾝ]]="",0,(IF(テーブル2[[#This Row],[性別]]="男",LOOKUP(テーブル2[[#This Row],[ｼｬﾄﾙﾗﾝ]],$AS$6:$AT$15),LOOKUP(テーブル2[[#This Row],[ｼｬﾄﾙﾗﾝ]],$AS$20:$AT$29))))</f>
        <v>0</v>
      </c>
      <c r="Y437" s="145">
        <f>IF(テーブル2[[#This Row],[50m走]]="",0,(IF(テーブル2[[#This Row],[性別]]="男",LOOKUP(テーブル2[[#This Row],[50m走]],$AU$6:$AV$15),LOOKUP(テーブル2[[#This Row],[50m走]],$AU$20:$AV$29))))</f>
        <v>0</v>
      </c>
      <c r="Z437" s="145">
        <f>IF(テーブル2[[#This Row],[立幅とび]]="",0,(IF(テーブル2[[#This Row],[性別]]="男",LOOKUP(テーブル2[[#This Row],[立幅とび]],$AW$6:$AX$15),LOOKUP(テーブル2[[#This Row],[立幅とび]],$AW$20:$AX$29))))</f>
        <v>0</v>
      </c>
      <c r="AA437" s="145">
        <f>IF(テーブル2[[#This Row],[ボール投げ]]="",0,(IF(テーブル2[[#This Row],[性別]]="男",LOOKUP(テーブル2[[#This Row],[ボール投げ]],$AY$6:$AZ$15),LOOKUP(テーブル2[[#This Row],[ボール投げ]],$AY$20:$AZ$29))))</f>
        <v>0</v>
      </c>
      <c r="AB437" s="146" t="str">
        <f>IF(テーブル2[[#This Row],[学年]]=1,12,IF(テーブル2[[#This Row],[学年]]=2,13,IF(テーブル2[[#This Row],[学年]]=3,14,"")))</f>
        <v/>
      </c>
      <c r="AC437" s="192" t="str">
        <f>IF(テーブル2[[#This Row],[肥満度数値]]=0,"",LOOKUP(AE437,$AW$39:$AW$44,$AX$39:$AX$44))</f>
        <v/>
      </c>
      <c r="AD43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7" s="77">
        <f>IF(テーブル2[[#This Row],[体重]]="",0,(テーブル2[[#This Row],[体重]]-テーブル2[[#This Row],[標準体重]])/テーブル2[[#This Row],[標準体重]]*100)</f>
        <v>0</v>
      </c>
      <c r="AF437" s="26">
        <f>COUNTA(テーブル2[[#This Row],[握力]:[ボール投げ]])</f>
        <v>0</v>
      </c>
      <c r="AG437" s="1" t="str">
        <f>IF(テーブル2[[#This Row],[判定]]=$BE$10,"○","")</f>
        <v/>
      </c>
      <c r="AH437" s="1" t="str">
        <f>IF(AG437="","",COUNTIF($AG$6:AG437,"○"))</f>
        <v/>
      </c>
    </row>
    <row r="438" spans="1:34" ht="14.25" customHeight="1" x14ac:dyDescent="0.15">
      <c r="A438" s="44">
        <v>433</v>
      </c>
      <c r="B438" s="148"/>
      <c r="C438" s="151"/>
      <c r="D438" s="148"/>
      <c r="E438" s="152"/>
      <c r="F438" s="148"/>
      <c r="G438" s="148"/>
      <c r="H438" s="150"/>
      <c r="I438" s="150"/>
      <c r="J438" s="151"/>
      <c r="K438" s="148"/>
      <c r="L438" s="196"/>
      <c r="M438" s="151"/>
      <c r="N438" s="197"/>
      <c r="O438" s="151"/>
      <c r="P438" s="153"/>
      <c r="Q43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8" s="144" t="str">
        <f>IF(テーブル2[[#This Row],[得点]]=0,"",IF(テーブル2[[#This Row],[年齢]]=17,LOOKUP(Q438,$BH$6:$BH$10,$BE$6:$BE$10),IF(テーブル2[[#This Row],[年齢]]=16,LOOKUP(Q438,$BG$6:$BG$10,$BE$6:$BE$10),IF(テーブル2[[#This Row],[年齢]]=15,LOOKUP(Q438,$BF$6:$BF$10,$BE$6:$BE$10),IF(テーブル2[[#This Row],[年齢]]=14,LOOKUP(Q438,$BD$6:$BD$10,$BE$6:$BE$10),IF(テーブル2[[#This Row],[年齢]]=13,LOOKUP(Q438,$BC$6:$BC$10,$BE$6:$BE$10),LOOKUP(Q438,$BB$6:$BB$10,$BE$6:$BE$10)))))))</f>
        <v/>
      </c>
      <c r="S438" s="145">
        <f>IF(H438="",0,(IF(テーブル2[[#This Row],[性別]]="男",LOOKUP(テーブル2[[#This Row],[握力]],$AI$6:$AJ$15),LOOKUP(テーブル2[[#This Row],[握力]],$AI$20:$AJ$29))))</f>
        <v>0</v>
      </c>
      <c r="T438" s="145">
        <f>IF(テーブル2[[#This Row],[上体]]="",0,(IF(テーブル2[[#This Row],[性別]]="男",LOOKUP(テーブル2[[#This Row],[上体]],$AK$6:$AL$15),LOOKUP(テーブル2[[#This Row],[上体]],$AK$20:$AL$29))))</f>
        <v>0</v>
      </c>
      <c r="U438" s="145">
        <f>IF(テーブル2[[#This Row],[長座]]="",0,(IF(テーブル2[[#This Row],[性別]]="男",LOOKUP(テーブル2[[#This Row],[長座]],$AM$6:$AN$15),LOOKUP(テーブル2[[#This Row],[長座]],$AM$20:$AN$29))))</f>
        <v>0</v>
      </c>
      <c r="V438" s="145">
        <f>IF(テーブル2[[#This Row],[反復]]="",0,(IF(テーブル2[[#This Row],[性別]]="男",LOOKUP(テーブル2[[#This Row],[反復]],$AO$6:$AP$15),LOOKUP(テーブル2[[#This Row],[反復]],$AO$20:$AP$29))))</f>
        <v>0</v>
      </c>
      <c r="W438" s="145">
        <f>IF(テーブル2[[#This Row],[持久走]]="",0,(IF(テーブル2[[#This Row],[性別]]="男",LOOKUP(テーブル2[[#This Row],[持久走]],$AQ$6:$AR$15),LOOKUP(テーブル2[[#This Row],[持久走]],$AQ$20:$AR$29))))</f>
        <v>0</v>
      </c>
      <c r="X438" s="145">
        <f>IF(テーブル2[[#This Row],[ｼｬﾄﾙﾗﾝ]]="",0,(IF(テーブル2[[#This Row],[性別]]="男",LOOKUP(テーブル2[[#This Row],[ｼｬﾄﾙﾗﾝ]],$AS$6:$AT$15),LOOKUP(テーブル2[[#This Row],[ｼｬﾄﾙﾗﾝ]],$AS$20:$AT$29))))</f>
        <v>0</v>
      </c>
      <c r="Y438" s="145">
        <f>IF(テーブル2[[#This Row],[50m走]]="",0,(IF(テーブル2[[#This Row],[性別]]="男",LOOKUP(テーブル2[[#This Row],[50m走]],$AU$6:$AV$15),LOOKUP(テーブル2[[#This Row],[50m走]],$AU$20:$AV$29))))</f>
        <v>0</v>
      </c>
      <c r="Z438" s="145">
        <f>IF(テーブル2[[#This Row],[立幅とび]]="",0,(IF(テーブル2[[#This Row],[性別]]="男",LOOKUP(テーブル2[[#This Row],[立幅とび]],$AW$6:$AX$15),LOOKUP(テーブル2[[#This Row],[立幅とび]],$AW$20:$AX$29))))</f>
        <v>0</v>
      </c>
      <c r="AA438" s="145">
        <f>IF(テーブル2[[#This Row],[ボール投げ]]="",0,(IF(テーブル2[[#This Row],[性別]]="男",LOOKUP(テーブル2[[#This Row],[ボール投げ]],$AY$6:$AZ$15),LOOKUP(テーブル2[[#This Row],[ボール投げ]],$AY$20:$AZ$29))))</f>
        <v>0</v>
      </c>
      <c r="AB438" s="146" t="str">
        <f>IF(テーブル2[[#This Row],[学年]]=1,12,IF(テーブル2[[#This Row],[学年]]=2,13,IF(テーブル2[[#This Row],[学年]]=3,14,"")))</f>
        <v/>
      </c>
      <c r="AC438" s="192" t="str">
        <f>IF(テーブル2[[#This Row],[肥満度数値]]=0,"",LOOKUP(AE438,$AW$39:$AW$44,$AX$39:$AX$44))</f>
        <v/>
      </c>
      <c r="AD43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8" s="77">
        <f>IF(テーブル2[[#This Row],[体重]]="",0,(テーブル2[[#This Row],[体重]]-テーブル2[[#This Row],[標準体重]])/テーブル2[[#This Row],[標準体重]]*100)</f>
        <v>0</v>
      </c>
      <c r="AF438" s="26">
        <f>COUNTA(テーブル2[[#This Row],[握力]:[ボール投げ]])</f>
        <v>0</v>
      </c>
      <c r="AG438" s="1" t="str">
        <f>IF(テーブル2[[#This Row],[判定]]=$BE$10,"○","")</f>
        <v/>
      </c>
      <c r="AH438" s="1" t="str">
        <f>IF(AG438="","",COUNTIF($AG$6:AG438,"○"))</f>
        <v/>
      </c>
    </row>
    <row r="439" spans="1:34" ht="14.25" customHeight="1" x14ac:dyDescent="0.15">
      <c r="A439" s="44">
        <v>434</v>
      </c>
      <c r="B439" s="148"/>
      <c r="C439" s="151"/>
      <c r="D439" s="148"/>
      <c r="E439" s="152"/>
      <c r="F439" s="148"/>
      <c r="G439" s="148"/>
      <c r="H439" s="150"/>
      <c r="I439" s="150"/>
      <c r="J439" s="151"/>
      <c r="K439" s="148"/>
      <c r="L439" s="196"/>
      <c r="M439" s="151"/>
      <c r="N439" s="197"/>
      <c r="O439" s="151"/>
      <c r="P439" s="153"/>
      <c r="Q43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9" s="144" t="str">
        <f>IF(テーブル2[[#This Row],[得点]]=0,"",IF(テーブル2[[#This Row],[年齢]]=17,LOOKUP(Q439,$BH$6:$BH$10,$BE$6:$BE$10),IF(テーブル2[[#This Row],[年齢]]=16,LOOKUP(Q439,$BG$6:$BG$10,$BE$6:$BE$10),IF(テーブル2[[#This Row],[年齢]]=15,LOOKUP(Q439,$BF$6:$BF$10,$BE$6:$BE$10),IF(テーブル2[[#This Row],[年齢]]=14,LOOKUP(Q439,$BD$6:$BD$10,$BE$6:$BE$10),IF(テーブル2[[#This Row],[年齢]]=13,LOOKUP(Q439,$BC$6:$BC$10,$BE$6:$BE$10),LOOKUP(Q439,$BB$6:$BB$10,$BE$6:$BE$10)))))))</f>
        <v/>
      </c>
      <c r="S439" s="145">
        <f>IF(H439="",0,(IF(テーブル2[[#This Row],[性別]]="男",LOOKUP(テーブル2[[#This Row],[握力]],$AI$6:$AJ$15),LOOKUP(テーブル2[[#This Row],[握力]],$AI$20:$AJ$29))))</f>
        <v>0</v>
      </c>
      <c r="T439" s="145">
        <f>IF(テーブル2[[#This Row],[上体]]="",0,(IF(テーブル2[[#This Row],[性別]]="男",LOOKUP(テーブル2[[#This Row],[上体]],$AK$6:$AL$15),LOOKUP(テーブル2[[#This Row],[上体]],$AK$20:$AL$29))))</f>
        <v>0</v>
      </c>
      <c r="U439" s="145">
        <f>IF(テーブル2[[#This Row],[長座]]="",0,(IF(テーブル2[[#This Row],[性別]]="男",LOOKUP(テーブル2[[#This Row],[長座]],$AM$6:$AN$15),LOOKUP(テーブル2[[#This Row],[長座]],$AM$20:$AN$29))))</f>
        <v>0</v>
      </c>
      <c r="V439" s="145">
        <f>IF(テーブル2[[#This Row],[反復]]="",0,(IF(テーブル2[[#This Row],[性別]]="男",LOOKUP(テーブル2[[#This Row],[反復]],$AO$6:$AP$15),LOOKUP(テーブル2[[#This Row],[反復]],$AO$20:$AP$29))))</f>
        <v>0</v>
      </c>
      <c r="W439" s="145">
        <f>IF(テーブル2[[#This Row],[持久走]]="",0,(IF(テーブル2[[#This Row],[性別]]="男",LOOKUP(テーブル2[[#This Row],[持久走]],$AQ$6:$AR$15),LOOKUP(テーブル2[[#This Row],[持久走]],$AQ$20:$AR$29))))</f>
        <v>0</v>
      </c>
      <c r="X439" s="145">
        <f>IF(テーブル2[[#This Row],[ｼｬﾄﾙﾗﾝ]]="",0,(IF(テーブル2[[#This Row],[性別]]="男",LOOKUP(テーブル2[[#This Row],[ｼｬﾄﾙﾗﾝ]],$AS$6:$AT$15),LOOKUP(テーブル2[[#This Row],[ｼｬﾄﾙﾗﾝ]],$AS$20:$AT$29))))</f>
        <v>0</v>
      </c>
      <c r="Y439" s="145">
        <f>IF(テーブル2[[#This Row],[50m走]]="",0,(IF(テーブル2[[#This Row],[性別]]="男",LOOKUP(テーブル2[[#This Row],[50m走]],$AU$6:$AV$15),LOOKUP(テーブル2[[#This Row],[50m走]],$AU$20:$AV$29))))</f>
        <v>0</v>
      </c>
      <c r="Z439" s="145">
        <f>IF(テーブル2[[#This Row],[立幅とび]]="",0,(IF(テーブル2[[#This Row],[性別]]="男",LOOKUP(テーブル2[[#This Row],[立幅とび]],$AW$6:$AX$15),LOOKUP(テーブル2[[#This Row],[立幅とび]],$AW$20:$AX$29))))</f>
        <v>0</v>
      </c>
      <c r="AA439" s="145">
        <f>IF(テーブル2[[#This Row],[ボール投げ]]="",0,(IF(テーブル2[[#This Row],[性別]]="男",LOOKUP(テーブル2[[#This Row],[ボール投げ]],$AY$6:$AZ$15),LOOKUP(テーブル2[[#This Row],[ボール投げ]],$AY$20:$AZ$29))))</f>
        <v>0</v>
      </c>
      <c r="AB439" s="146" t="str">
        <f>IF(テーブル2[[#This Row],[学年]]=1,12,IF(テーブル2[[#This Row],[学年]]=2,13,IF(テーブル2[[#This Row],[学年]]=3,14,"")))</f>
        <v/>
      </c>
      <c r="AC439" s="192" t="str">
        <f>IF(テーブル2[[#This Row],[肥満度数値]]=0,"",LOOKUP(AE439,$AW$39:$AW$44,$AX$39:$AX$44))</f>
        <v/>
      </c>
      <c r="AD43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39" s="77">
        <f>IF(テーブル2[[#This Row],[体重]]="",0,(テーブル2[[#This Row],[体重]]-テーブル2[[#This Row],[標準体重]])/テーブル2[[#This Row],[標準体重]]*100)</f>
        <v>0</v>
      </c>
      <c r="AF439" s="26">
        <f>COUNTA(テーブル2[[#This Row],[握力]:[ボール投げ]])</f>
        <v>0</v>
      </c>
      <c r="AG439" s="1" t="str">
        <f>IF(テーブル2[[#This Row],[判定]]=$BE$10,"○","")</f>
        <v/>
      </c>
      <c r="AH439" s="1" t="str">
        <f>IF(AG439="","",COUNTIF($AG$6:AG439,"○"))</f>
        <v/>
      </c>
    </row>
    <row r="440" spans="1:34" ht="14.25" customHeight="1" x14ac:dyDescent="0.15">
      <c r="A440" s="44">
        <v>435</v>
      </c>
      <c r="B440" s="148"/>
      <c r="C440" s="151"/>
      <c r="D440" s="148"/>
      <c r="E440" s="152"/>
      <c r="F440" s="148"/>
      <c r="G440" s="148"/>
      <c r="H440" s="150"/>
      <c r="I440" s="150"/>
      <c r="J440" s="151"/>
      <c r="K440" s="148"/>
      <c r="L440" s="196"/>
      <c r="M440" s="151"/>
      <c r="N440" s="197"/>
      <c r="O440" s="151"/>
      <c r="P440" s="153"/>
      <c r="Q44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0" s="144" t="str">
        <f>IF(テーブル2[[#This Row],[得点]]=0,"",IF(テーブル2[[#This Row],[年齢]]=17,LOOKUP(Q440,$BH$6:$BH$10,$BE$6:$BE$10),IF(テーブル2[[#This Row],[年齢]]=16,LOOKUP(Q440,$BG$6:$BG$10,$BE$6:$BE$10),IF(テーブル2[[#This Row],[年齢]]=15,LOOKUP(Q440,$BF$6:$BF$10,$BE$6:$BE$10),IF(テーブル2[[#This Row],[年齢]]=14,LOOKUP(Q440,$BD$6:$BD$10,$BE$6:$BE$10),IF(テーブル2[[#This Row],[年齢]]=13,LOOKUP(Q440,$BC$6:$BC$10,$BE$6:$BE$10),LOOKUP(Q440,$BB$6:$BB$10,$BE$6:$BE$10)))))))</f>
        <v/>
      </c>
      <c r="S440" s="145">
        <f>IF(H440="",0,(IF(テーブル2[[#This Row],[性別]]="男",LOOKUP(テーブル2[[#This Row],[握力]],$AI$6:$AJ$15),LOOKUP(テーブル2[[#This Row],[握力]],$AI$20:$AJ$29))))</f>
        <v>0</v>
      </c>
      <c r="T440" s="145">
        <f>IF(テーブル2[[#This Row],[上体]]="",0,(IF(テーブル2[[#This Row],[性別]]="男",LOOKUP(テーブル2[[#This Row],[上体]],$AK$6:$AL$15),LOOKUP(テーブル2[[#This Row],[上体]],$AK$20:$AL$29))))</f>
        <v>0</v>
      </c>
      <c r="U440" s="145">
        <f>IF(テーブル2[[#This Row],[長座]]="",0,(IF(テーブル2[[#This Row],[性別]]="男",LOOKUP(テーブル2[[#This Row],[長座]],$AM$6:$AN$15),LOOKUP(テーブル2[[#This Row],[長座]],$AM$20:$AN$29))))</f>
        <v>0</v>
      </c>
      <c r="V440" s="145">
        <f>IF(テーブル2[[#This Row],[反復]]="",0,(IF(テーブル2[[#This Row],[性別]]="男",LOOKUP(テーブル2[[#This Row],[反復]],$AO$6:$AP$15),LOOKUP(テーブル2[[#This Row],[反復]],$AO$20:$AP$29))))</f>
        <v>0</v>
      </c>
      <c r="W440" s="145">
        <f>IF(テーブル2[[#This Row],[持久走]]="",0,(IF(テーブル2[[#This Row],[性別]]="男",LOOKUP(テーブル2[[#This Row],[持久走]],$AQ$6:$AR$15),LOOKUP(テーブル2[[#This Row],[持久走]],$AQ$20:$AR$29))))</f>
        <v>0</v>
      </c>
      <c r="X440" s="145">
        <f>IF(テーブル2[[#This Row],[ｼｬﾄﾙﾗﾝ]]="",0,(IF(テーブル2[[#This Row],[性別]]="男",LOOKUP(テーブル2[[#This Row],[ｼｬﾄﾙﾗﾝ]],$AS$6:$AT$15),LOOKUP(テーブル2[[#This Row],[ｼｬﾄﾙﾗﾝ]],$AS$20:$AT$29))))</f>
        <v>0</v>
      </c>
      <c r="Y440" s="145">
        <f>IF(テーブル2[[#This Row],[50m走]]="",0,(IF(テーブル2[[#This Row],[性別]]="男",LOOKUP(テーブル2[[#This Row],[50m走]],$AU$6:$AV$15),LOOKUP(テーブル2[[#This Row],[50m走]],$AU$20:$AV$29))))</f>
        <v>0</v>
      </c>
      <c r="Z440" s="145">
        <f>IF(テーブル2[[#This Row],[立幅とび]]="",0,(IF(テーブル2[[#This Row],[性別]]="男",LOOKUP(テーブル2[[#This Row],[立幅とび]],$AW$6:$AX$15),LOOKUP(テーブル2[[#This Row],[立幅とび]],$AW$20:$AX$29))))</f>
        <v>0</v>
      </c>
      <c r="AA440" s="145">
        <f>IF(テーブル2[[#This Row],[ボール投げ]]="",0,(IF(テーブル2[[#This Row],[性別]]="男",LOOKUP(テーブル2[[#This Row],[ボール投げ]],$AY$6:$AZ$15),LOOKUP(テーブル2[[#This Row],[ボール投げ]],$AY$20:$AZ$29))))</f>
        <v>0</v>
      </c>
      <c r="AB440" s="146" t="str">
        <f>IF(テーブル2[[#This Row],[学年]]=1,12,IF(テーブル2[[#This Row],[学年]]=2,13,IF(テーブル2[[#This Row],[学年]]=3,14,"")))</f>
        <v/>
      </c>
      <c r="AC440" s="192" t="str">
        <f>IF(テーブル2[[#This Row],[肥満度数値]]=0,"",LOOKUP(AE440,$AW$39:$AW$44,$AX$39:$AX$44))</f>
        <v/>
      </c>
      <c r="AD44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0" s="77">
        <f>IF(テーブル2[[#This Row],[体重]]="",0,(テーブル2[[#This Row],[体重]]-テーブル2[[#This Row],[標準体重]])/テーブル2[[#This Row],[標準体重]]*100)</f>
        <v>0</v>
      </c>
      <c r="AF440" s="26">
        <f>COUNTA(テーブル2[[#This Row],[握力]:[ボール投げ]])</f>
        <v>0</v>
      </c>
      <c r="AG440" s="1" t="str">
        <f>IF(テーブル2[[#This Row],[判定]]=$BE$10,"○","")</f>
        <v/>
      </c>
      <c r="AH440" s="1" t="str">
        <f>IF(AG440="","",COUNTIF($AG$6:AG440,"○"))</f>
        <v/>
      </c>
    </row>
    <row r="441" spans="1:34" ht="14.25" customHeight="1" x14ac:dyDescent="0.15">
      <c r="A441" s="44">
        <v>436</v>
      </c>
      <c r="B441" s="148"/>
      <c r="C441" s="151"/>
      <c r="D441" s="148"/>
      <c r="E441" s="152"/>
      <c r="F441" s="148"/>
      <c r="G441" s="148"/>
      <c r="H441" s="150"/>
      <c r="I441" s="150"/>
      <c r="J441" s="151"/>
      <c r="K441" s="148"/>
      <c r="L441" s="196"/>
      <c r="M441" s="151"/>
      <c r="N441" s="197"/>
      <c r="O441" s="151"/>
      <c r="P441" s="153"/>
      <c r="Q44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1" s="144" t="str">
        <f>IF(テーブル2[[#This Row],[得点]]=0,"",IF(テーブル2[[#This Row],[年齢]]=17,LOOKUP(Q441,$BH$6:$BH$10,$BE$6:$BE$10),IF(テーブル2[[#This Row],[年齢]]=16,LOOKUP(Q441,$BG$6:$BG$10,$BE$6:$BE$10),IF(テーブル2[[#This Row],[年齢]]=15,LOOKUP(Q441,$BF$6:$BF$10,$BE$6:$BE$10),IF(テーブル2[[#This Row],[年齢]]=14,LOOKUP(Q441,$BD$6:$BD$10,$BE$6:$BE$10),IF(テーブル2[[#This Row],[年齢]]=13,LOOKUP(Q441,$BC$6:$BC$10,$BE$6:$BE$10),LOOKUP(Q441,$BB$6:$BB$10,$BE$6:$BE$10)))))))</f>
        <v/>
      </c>
      <c r="S441" s="145">
        <f>IF(H441="",0,(IF(テーブル2[[#This Row],[性別]]="男",LOOKUP(テーブル2[[#This Row],[握力]],$AI$6:$AJ$15),LOOKUP(テーブル2[[#This Row],[握力]],$AI$20:$AJ$29))))</f>
        <v>0</v>
      </c>
      <c r="T441" s="145">
        <f>IF(テーブル2[[#This Row],[上体]]="",0,(IF(テーブル2[[#This Row],[性別]]="男",LOOKUP(テーブル2[[#This Row],[上体]],$AK$6:$AL$15),LOOKUP(テーブル2[[#This Row],[上体]],$AK$20:$AL$29))))</f>
        <v>0</v>
      </c>
      <c r="U441" s="145">
        <f>IF(テーブル2[[#This Row],[長座]]="",0,(IF(テーブル2[[#This Row],[性別]]="男",LOOKUP(テーブル2[[#This Row],[長座]],$AM$6:$AN$15),LOOKUP(テーブル2[[#This Row],[長座]],$AM$20:$AN$29))))</f>
        <v>0</v>
      </c>
      <c r="V441" s="145">
        <f>IF(テーブル2[[#This Row],[反復]]="",0,(IF(テーブル2[[#This Row],[性別]]="男",LOOKUP(テーブル2[[#This Row],[反復]],$AO$6:$AP$15),LOOKUP(テーブル2[[#This Row],[反復]],$AO$20:$AP$29))))</f>
        <v>0</v>
      </c>
      <c r="W441" s="145">
        <f>IF(テーブル2[[#This Row],[持久走]]="",0,(IF(テーブル2[[#This Row],[性別]]="男",LOOKUP(テーブル2[[#This Row],[持久走]],$AQ$6:$AR$15),LOOKUP(テーブル2[[#This Row],[持久走]],$AQ$20:$AR$29))))</f>
        <v>0</v>
      </c>
      <c r="X441" s="145">
        <f>IF(テーブル2[[#This Row],[ｼｬﾄﾙﾗﾝ]]="",0,(IF(テーブル2[[#This Row],[性別]]="男",LOOKUP(テーブル2[[#This Row],[ｼｬﾄﾙﾗﾝ]],$AS$6:$AT$15),LOOKUP(テーブル2[[#This Row],[ｼｬﾄﾙﾗﾝ]],$AS$20:$AT$29))))</f>
        <v>0</v>
      </c>
      <c r="Y441" s="145">
        <f>IF(テーブル2[[#This Row],[50m走]]="",0,(IF(テーブル2[[#This Row],[性別]]="男",LOOKUP(テーブル2[[#This Row],[50m走]],$AU$6:$AV$15),LOOKUP(テーブル2[[#This Row],[50m走]],$AU$20:$AV$29))))</f>
        <v>0</v>
      </c>
      <c r="Z441" s="145">
        <f>IF(テーブル2[[#This Row],[立幅とび]]="",0,(IF(テーブル2[[#This Row],[性別]]="男",LOOKUP(テーブル2[[#This Row],[立幅とび]],$AW$6:$AX$15),LOOKUP(テーブル2[[#This Row],[立幅とび]],$AW$20:$AX$29))))</f>
        <v>0</v>
      </c>
      <c r="AA441" s="145">
        <f>IF(テーブル2[[#This Row],[ボール投げ]]="",0,(IF(テーブル2[[#This Row],[性別]]="男",LOOKUP(テーブル2[[#This Row],[ボール投げ]],$AY$6:$AZ$15),LOOKUP(テーブル2[[#This Row],[ボール投げ]],$AY$20:$AZ$29))))</f>
        <v>0</v>
      </c>
      <c r="AB441" s="146" t="str">
        <f>IF(テーブル2[[#This Row],[学年]]=1,12,IF(テーブル2[[#This Row],[学年]]=2,13,IF(テーブル2[[#This Row],[学年]]=3,14,"")))</f>
        <v/>
      </c>
      <c r="AC441" s="192" t="str">
        <f>IF(テーブル2[[#This Row],[肥満度数値]]=0,"",LOOKUP(AE441,$AW$39:$AW$44,$AX$39:$AX$44))</f>
        <v/>
      </c>
      <c r="AD44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1" s="77">
        <f>IF(テーブル2[[#This Row],[体重]]="",0,(テーブル2[[#This Row],[体重]]-テーブル2[[#This Row],[標準体重]])/テーブル2[[#This Row],[標準体重]]*100)</f>
        <v>0</v>
      </c>
      <c r="AF441" s="26">
        <f>COUNTA(テーブル2[[#This Row],[握力]:[ボール投げ]])</f>
        <v>0</v>
      </c>
      <c r="AG441" s="1" t="str">
        <f>IF(テーブル2[[#This Row],[判定]]=$BE$10,"○","")</f>
        <v/>
      </c>
      <c r="AH441" s="1" t="str">
        <f>IF(AG441="","",COUNTIF($AG$6:AG441,"○"))</f>
        <v/>
      </c>
    </row>
    <row r="442" spans="1:34" ht="14.25" customHeight="1" x14ac:dyDescent="0.15">
      <c r="A442" s="44">
        <v>437</v>
      </c>
      <c r="B442" s="148"/>
      <c r="C442" s="151"/>
      <c r="D442" s="148"/>
      <c r="E442" s="152"/>
      <c r="F442" s="148"/>
      <c r="G442" s="148"/>
      <c r="H442" s="150"/>
      <c r="I442" s="150"/>
      <c r="J442" s="151"/>
      <c r="K442" s="148"/>
      <c r="L442" s="196"/>
      <c r="M442" s="151"/>
      <c r="N442" s="197"/>
      <c r="O442" s="151"/>
      <c r="P442" s="153"/>
      <c r="Q44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2" s="144" t="str">
        <f>IF(テーブル2[[#This Row],[得点]]=0,"",IF(テーブル2[[#This Row],[年齢]]=17,LOOKUP(Q442,$BH$6:$BH$10,$BE$6:$BE$10),IF(テーブル2[[#This Row],[年齢]]=16,LOOKUP(Q442,$BG$6:$BG$10,$BE$6:$BE$10),IF(テーブル2[[#This Row],[年齢]]=15,LOOKUP(Q442,$BF$6:$BF$10,$BE$6:$BE$10),IF(テーブル2[[#This Row],[年齢]]=14,LOOKUP(Q442,$BD$6:$BD$10,$BE$6:$BE$10),IF(テーブル2[[#This Row],[年齢]]=13,LOOKUP(Q442,$BC$6:$BC$10,$BE$6:$BE$10),LOOKUP(Q442,$BB$6:$BB$10,$BE$6:$BE$10)))))))</f>
        <v/>
      </c>
      <c r="S442" s="145">
        <f>IF(H442="",0,(IF(テーブル2[[#This Row],[性別]]="男",LOOKUP(テーブル2[[#This Row],[握力]],$AI$6:$AJ$15),LOOKUP(テーブル2[[#This Row],[握力]],$AI$20:$AJ$29))))</f>
        <v>0</v>
      </c>
      <c r="T442" s="145">
        <f>IF(テーブル2[[#This Row],[上体]]="",0,(IF(テーブル2[[#This Row],[性別]]="男",LOOKUP(テーブル2[[#This Row],[上体]],$AK$6:$AL$15),LOOKUP(テーブル2[[#This Row],[上体]],$AK$20:$AL$29))))</f>
        <v>0</v>
      </c>
      <c r="U442" s="145">
        <f>IF(テーブル2[[#This Row],[長座]]="",0,(IF(テーブル2[[#This Row],[性別]]="男",LOOKUP(テーブル2[[#This Row],[長座]],$AM$6:$AN$15),LOOKUP(テーブル2[[#This Row],[長座]],$AM$20:$AN$29))))</f>
        <v>0</v>
      </c>
      <c r="V442" s="145">
        <f>IF(テーブル2[[#This Row],[反復]]="",0,(IF(テーブル2[[#This Row],[性別]]="男",LOOKUP(テーブル2[[#This Row],[反復]],$AO$6:$AP$15),LOOKUP(テーブル2[[#This Row],[反復]],$AO$20:$AP$29))))</f>
        <v>0</v>
      </c>
      <c r="W442" s="145">
        <f>IF(テーブル2[[#This Row],[持久走]]="",0,(IF(テーブル2[[#This Row],[性別]]="男",LOOKUP(テーブル2[[#This Row],[持久走]],$AQ$6:$AR$15),LOOKUP(テーブル2[[#This Row],[持久走]],$AQ$20:$AR$29))))</f>
        <v>0</v>
      </c>
      <c r="X442" s="145">
        <f>IF(テーブル2[[#This Row],[ｼｬﾄﾙﾗﾝ]]="",0,(IF(テーブル2[[#This Row],[性別]]="男",LOOKUP(テーブル2[[#This Row],[ｼｬﾄﾙﾗﾝ]],$AS$6:$AT$15),LOOKUP(テーブル2[[#This Row],[ｼｬﾄﾙﾗﾝ]],$AS$20:$AT$29))))</f>
        <v>0</v>
      </c>
      <c r="Y442" s="145">
        <f>IF(テーブル2[[#This Row],[50m走]]="",0,(IF(テーブル2[[#This Row],[性別]]="男",LOOKUP(テーブル2[[#This Row],[50m走]],$AU$6:$AV$15),LOOKUP(テーブル2[[#This Row],[50m走]],$AU$20:$AV$29))))</f>
        <v>0</v>
      </c>
      <c r="Z442" s="145">
        <f>IF(テーブル2[[#This Row],[立幅とび]]="",0,(IF(テーブル2[[#This Row],[性別]]="男",LOOKUP(テーブル2[[#This Row],[立幅とび]],$AW$6:$AX$15),LOOKUP(テーブル2[[#This Row],[立幅とび]],$AW$20:$AX$29))))</f>
        <v>0</v>
      </c>
      <c r="AA442" s="145">
        <f>IF(テーブル2[[#This Row],[ボール投げ]]="",0,(IF(テーブル2[[#This Row],[性別]]="男",LOOKUP(テーブル2[[#This Row],[ボール投げ]],$AY$6:$AZ$15),LOOKUP(テーブル2[[#This Row],[ボール投げ]],$AY$20:$AZ$29))))</f>
        <v>0</v>
      </c>
      <c r="AB442" s="146" t="str">
        <f>IF(テーブル2[[#This Row],[学年]]=1,12,IF(テーブル2[[#This Row],[学年]]=2,13,IF(テーブル2[[#This Row],[学年]]=3,14,"")))</f>
        <v/>
      </c>
      <c r="AC442" s="192" t="str">
        <f>IF(テーブル2[[#This Row],[肥満度数値]]=0,"",LOOKUP(AE442,$AW$39:$AW$44,$AX$39:$AX$44))</f>
        <v/>
      </c>
      <c r="AD44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2" s="77">
        <f>IF(テーブル2[[#This Row],[体重]]="",0,(テーブル2[[#This Row],[体重]]-テーブル2[[#This Row],[標準体重]])/テーブル2[[#This Row],[標準体重]]*100)</f>
        <v>0</v>
      </c>
      <c r="AF442" s="26">
        <f>COUNTA(テーブル2[[#This Row],[握力]:[ボール投げ]])</f>
        <v>0</v>
      </c>
      <c r="AG442" s="1" t="str">
        <f>IF(テーブル2[[#This Row],[判定]]=$BE$10,"○","")</f>
        <v/>
      </c>
      <c r="AH442" s="1" t="str">
        <f>IF(AG442="","",COUNTIF($AG$6:AG442,"○"))</f>
        <v/>
      </c>
    </row>
    <row r="443" spans="1:34" ht="14.25" customHeight="1" x14ac:dyDescent="0.15">
      <c r="A443" s="44">
        <v>438</v>
      </c>
      <c r="B443" s="148"/>
      <c r="C443" s="151"/>
      <c r="D443" s="148"/>
      <c r="E443" s="152"/>
      <c r="F443" s="148"/>
      <c r="G443" s="148"/>
      <c r="H443" s="150"/>
      <c r="I443" s="150"/>
      <c r="J443" s="151"/>
      <c r="K443" s="148"/>
      <c r="L443" s="196"/>
      <c r="M443" s="151"/>
      <c r="N443" s="197"/>
      <c r="O443" s="151"/>
      <c r="P443" s="153"/>
      <c r="Q44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3" s="144" t="str">
        <f>IF(テーブル2[[#This Row],[得点]]=0,"",IF(テーブル2[[#This Row],[年齢]]=17,LOOKUP(Q443,$BH$6:$BH$10,$BE$6:$BE$10),IF(テーブル2[[#This Row],[年齢]]=16,LOOKUP(Q443,$BG$6:$BG$10,$BE$6:$BE$10),IF(テーブル2[[#This Row],[年齢]]=15,LOOKUP(Q443,$BF$6:$BF$10,$BE$6:$BE$10),IF(テーブル2[[#This Row],[年齢]]=14,LOOKUP(Q443,$BD$6:$BD$10,$BE$6:$BE$10),IF(テーブル2[[#This Row],[年齢]]=13,LOOKUP(Q443,$BC$6:$BC$10,$BE$6:$BE$10),LOOKUP(Q443,$BB$6:$BB$10,$BE$6:$BE$10)))))))</f>
        <v/>
      </c>
      <c r="S443" s="145">
        <f>IF(H443="",0,(IF(テーブル2[[#This Row],[性別]]="男",LOOKUP(テーブル2[[#This Row],[握力]],$AI$6:$AJ$15),LOOKUP(テーブル2[[#This Row],[握力]],$AI$20:$AJ$29))))</f>
        <v>0</v>
      </c>
      <c r="T443" s="145">
        <f>IF(テーブル2[[#This Row],[上体]]="",0,(IF(テーブル2[[#This Row],[性別]]="男",LOOKUP(テーブル2[[#This Row],[上体]],$AK$6:$AL$15),LOOKUP(テーブル2[[#This Row],[上体]],$AK$20:$AL$29))))</f>
        <v>0</v>
      </c>
      <c r="U443" s="145">
        <f>IF(テーブル2[[#This Row],[長座]]="",0,(IF(テーブル2[[#This Row],[性別]]="男",LOOKUP(テーブル2[[#This Row],[長座]],$AM$6:$AN$15),LOOKUP(テーブル2[[#This Row],[長座]],$AM$20:$AN$29))))</f>
        <v>0</v>
      </c>
      <c r="V443" s="145">
        <f>IF(テーブル2[[#This Row],[反復]]="",0,(IF(テーブル2[[#This Row],[性別]]="男",LOOKUP(テーブル2[[#This Row],[反復]],$AO$6:$AP$15),LOOKUP(テーブル2[[#This Row],[反復]],$AO$20:$AP$29))))</f>
        <v>0</v>
      </c>
      <c r="W443" s="145">
        <f>IF(テーブル2[[#This Row],[持久走]]="",0,(IF(テーブル2[[#This Row],[性別]]="男",LOOKUP(テーブル2[[#This Row],[持久走]],$AQ$6:$AR$15),LOOKUP(テーブル2[[#This Row],[持久走]],$AQ$20:$AR$29))))</f>
        <v>0</v>
      </c>
      <c r="X443" s="145">
        <f>IF(テーブル2[[#This Row],[ｼｬﾄﾙﾗﾝ]]="",0,(IF(テーブル2[[#This Row],[性別]]="男",LOOKUP(テーブル2[[#This Row],[ｼｬﾄﾙﾗﾝ]],$AS$6:$AT$15),LOOKUP(テーブル2[[#This Row],[ｼｬﾄﾙﾗﾝ]],$AS$20:$AT$29))))</f>
        <v>0</v>
      </c>
      <c r="Y443" s="145">
        <f>IF(テーブル2[[#This Row],[50m走]]="",0,(IF(テーブル2[[#This Row],[性別]]="男",LOOKUP(テーブル2[[#This Row],[50m走]],$AU$6:$AV$15),LOOKUP(テーブル2[[#This Row],[50m走]],$AU$20:$AV$29))))</f>
        <v>0</v>
      </c>
      <c r="Z443" s="145">
        <f>IF(テーブル2[[#This Row],[立幅とび]]="",0,(IF(テーブル2[[#This Row],[性別]]="男",LOOKUP(テーブル2[[#This Row],[立幅とび]],$AW$6:$AX$15),LOOKUP(テーブル2[[#This Row],[立幅とび]],$AW$20:$AX$29))))</f>
        <v>0</v>
      </c>
      <c r="AA443" s="145">
        <f>IF(テーブル2[[#This Row],[ボール投げ]]="",0,(IF(テーブル2[[#This Row],[性別]]="男",LOOKUP(テーブル2[[#This Row],[ボール投げ]],$AY$6:$AZ$15),LOOKUP(テーブル2[[#This Row],[ボール投げ]],$AY$20:$AZ$29))))</f>
        <v>0</v>
      </c>
      <c r="AB443" s="146" t="str">
        <f>IF(テーブル2[[#This Row],[学年]]=1,12,IF(テーブル2[[#This Row],[学年]]=2,13,IF(テーブル2[[#This Row],[学年]]=3,14,"")))</f>
        <v/>
      </c>
      <c r="AC443" s="192" t="str">
        <f>IF(テーブル2[[#This Row],[肥満度数値]]=0,"",LOOKUP(AE443,$AW$39:$AW$44,$AX$39:$AX$44))</f>
        <v/>
      </c>
      <c r="AD44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3" s="77">
        <f>IF(テーブル2[[#This Row],[体重]]="",0,(テーブル2[[#This Row],[体重]]-テーブル2[[#This Row],[標準体重]])/テーブル2[[#This Row],[標準体重]]*100)</f>
        <v>0</v>
      </c>
      <c r="AF443" s="26">
        <f>COUNTA(テーブル2[[#This Row],[握力]:[ボール投げ]])</f>
        <v>0</v>
      </c>
      <c r="AG443" s="1" t="str">
        <f>IF(テーブル2[[#This Row],[判定]]=$BE$10,"○","")</f>
        <v/>
      </c>
      <c r="AH443" s="1" t="str">
        <f>IF(AG443="","",COUNTIF($AG$6:AG443,"○"))</f>
        <v/>
      </c>
    </row>
    <row r="444" spans="1:34" ht="14.25" customHeight="1" x14ac:dyDescent="0.15">
      <c r="A444" s="44">
        <v>439</v>
      </c>
      <c r="B444" s="148"/>
      <c r="C444" s="151"/>
      <c r="D444" s="148"/>
      <c r="E444" s="152"/>
      <c r="F444" s="148"/>
      <c r="G444" s="148"/>
      <c r="H444" s="150"/>
      <c r="I444" s="150"/>
      <c r="J444" s="151"/>
      <c r="K444" s="148"/>
      <c r="L444" s="196"/>
      <c r="M444" s="151"/>
      <c r="N444" s="197"/>
      <c r="O444" s="151"/>
      <c r="P444" s="153"/>
      <c r="Q44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4" s="144" t="str">
        <f>IF(テーブル2[[#This Row],[得点]]=0,"",IF(テーブル2[[#This Row],[年齢]]=17,LOOKUP(Q444,$BH$6:$BH$10,$BE$6:$BE$10),IF(テーブル2[[#This Row],[年齢]]=16,LOOKUP(Q444,$BG$6:$BG$10,$BE$6:$BE$10),IF(テーブル2[[#This Row],[年齢]]=15,LOOKUP(Q444,$BF$6:$BF$10,$BE$6:$BE$10),IF(テーブル2[[#This Row],[年齢]]=14,LOOKUP(Q444,$BD$6:$BD$10,$BE$6:$BE$10),IF(テーブル2[[#This Row],[年齢]]=13,LOOKUP(Q444,$BC$6:$BC$10,$BE$6:$BE$10),LOOKUP(Q444,$BB$6:$BB$10,$BE$6:$BE$10)))))))</f>
        <v/>
      </c>
      <c r="S444" s="145">
        <f>IF(H444="",0,(IF(テーブル2[[#This Row],[性別]]="男",LOOKUP(テーブル2[[#This Row],[握力]],$AI$6:$AJ$15),LOOKUP(テーブル2[[#This Row],[握力]],$AI$20:$AJ$29))))</f>
        <v>0</v>
      </c>
      <c r="T444" s="145">
        <f>IF(テーブル2[[#This Row],[上体]]="",0,(IF(テーブル2[[#This Row],[性別]]="男",LOOKUP(テーブル2[[#This Row],[上体]],$AK$6:$AL$15),LOOKUP(テーブル2[[#This Row],[上体]],$AK$20:$AL$29))))</f>
        <v>0</v>
      </c>
      <c r="U444" s="145">
        <f>IF(テーブル2[[#This Row],[長座]]="",0,(IF(テーブル2[[#This Row],[性別]]="男",LOOKUP(テーブル2[[#This Row],[長座]],$AM$6:$AN$15),LOOKUP(テーブル2[[#This Row],[長座]],$AM$20:$AN$29))))</f>
        <v>0</v>
      </c>
      <c r="V444" s="145">
        <f>IF(テーブル2[[#This Row],[反復]]="",0,(IF(テーブル2[[#This Row],[性別]]="男",LOOKUP(テーブル2[[#This Row],[反復]],$AO$6:$AP$15),LOOKUP(テーブル2[[#This Row],[反復]],$AO$20:$AP$29))))</f>
        <v>0</v>
      </c>
      <c r="W444" s="145">
        <f>IF(テーブル2[[#This Row],[持久走]]="",0,(IF(テーブル2[[#This Row],[性別]]="男",LOOKUP(テーブル2[[#This Row],[持久走]],$AQ$6:$AR$15),LOOKUP(テーブル2[[#This Row],[持久走]],$AQ$20:$AR$29))))</f>
        <v>0</v>
      </c>
      <c r="X444" s="145">
        <f>IF(テーブル2[[#This Row],[ｼｬﾄﾙﾗﾝ]]="",0,(IF(テーブル2[[#This Row],[性別]]="男",LOOKUP(テーブル2[[#This Row],[ｼｬﾄﾙﾗﾝ]],$AS$6:$AT$15),LOOKUP(テーブル2[[#This Row],[ｼｬﾄﾙﾗﾝ]],$AS$20:$AT$29))))</f>
        <v>0</v>
      </c>
      <c r="Y444" s="145">
        <f>IF(テーブル2[[#This Row],[50m走]]="",0,(IF(テーブル2[[#This Row],[性別]]="男",LOOKUP(テーブル2[[#This Row],[50m走]],$AU$6:$AV$15),LOOKUP(テーブル2[[#This Row],[50m走]],$AU$20:$AV$29))))</f>
        <v>0</v>
      </c>
      <c r="Z444" s="145">
        <f>IF(テーブル2[[#This Row],[立幅とび]]="",0,(IF(テーブル2[[#This Row],[性別]]="男",LOOKUP(テーブル2[[#This Row],[立幅とび]],$AW$6:$AX$15),LOOKUP(テーブル2[[#This Row],[立幅とび]],$AW$20:$AX$29))))</f>
        <v>0</v>
      </c>
      <c r="AA444" s="145">
        <f>IF(テーブル2[[#This Row],[ボール投げ]]="",0,(IF(テーブル2[[#This Row],[性別]]="男",LOOKUP(テーブル2[[#This Row],[ボール投げ]],$AY$6:$AZ$15),LOOKUP(テーブル2[[#This Row],[ボール投げ]],$AY$20:$AZ$29))))</f>
        <v>0</v>
      </c>
      <c r="AB444" s="146" t="str">
        <f>IF(テーブル2[[#This Row],[学年]]=1,12,IF(テーブル2[[#This Row],[学年]]=2,13,IF(テーブル2[[#This Row],[学年]]=3,14,"")))</f>
        <v/>
      </c>
      <c r="AC444" s="192" t="str">
        <f>IF(テーブル2[[#This Row],[肥満度数値]]=0,"",LOOKUP(AE444,$AW$39:$AW$44,$AX$39:$AX$44))</f>
        <v/>
      </c>
      <c r="AD44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4" s="77">
        <f>IF(テーブル2[[#This Row],[体重]]="",0,(テーブル2[[#This Row],[体重]]-テーブル2[[#This Row],[標準体重]])/テーブル2[[#This Row],[標準体重]]*100)</f>
        <v>0</v>
      </c>
      <c r="AF444" s="26">
        <f>COUNTA(テーブル2[[#This Row],[握力]:[ボール投げ]])</f>
        <v>0</v>
      </c>
      <c r="AG444" s="1" t="str">
        <f>IF(テーブル2[[#This Row],[判定]]=$BE$10,"○","")</f>
        <v/>
      </c>
      <c r="AH444" s="1" t="str">
        <f>IF(AG444="","",COUNTIF($AG$6:AG444,"○"))</f>
        <v/>
      </c>
    </row>
    <row r="445" spans="1:34" ht="14.25" customHeight="1" x14ac:dyDescent="0.15">
      <c r="A445" s="44">
        <v>440</v>
      </c>
      <c r="B445" s="148"/>
      <c r="C445" s="151"/>
      <c r="D445" s="148"/>
      <c r="E445" s="152"/>
      <c r="F445" s="148"/>
      <c r="G445" s="148"/>
      <c r="H445" s="150"/>
      <c r="I445" s="150"/>
      <c r="J445" s="151"/>
      <c r="K445" s="148"/>
      <c r="L445" s="196"/>
      <c r="M445" s="151"/>
      <c r="N445" s="197"/>
      <c r="O445" s="151"/>
      <c r="P445" s="153"/>
      <c r="Q44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5" s="144" t="str">
        <f>IF(テーブル2[[#This Row],[得点]]=0,"",IF(テーブル2[[#This Row],[年齢]]=17,LOOKUP(Q445,$BH$6:$BH$10,$BE$6:$BE$10),IF(テーブル2[[#This Row],[年齢]]=16,LOOKUP(Q445,$BG$6:$BG$10,$BE$6:$BE$10),IF(テーブル2[[#This Row],[年齢]]=15,LOOKUP(Q445,$BF$6:$BF$10,$BE$6:$BE$10),IF(テーブル2[[#This Row],[年齢]]=14,LOOKUP(Q445,$BD$6:$BD$10,$BE$6:$BE$10),IF(テーブル2[[#This Row],[年齢]]=13,LOOKUP(Q445,$BC$6:$BC$10,$BE$6:$BE$10),LOOKUP(Q445,$BB$6:$BB$10,$BE$6:$BE$10)))))))</f>
        <v/>
      </c>
      <c r="S445" s="145">
        <f>IF(H445="",0,(IF(テーブル2[[#This Row],[性別]]="男",LOOKUP(テーブル2[[#This Row],[握力]],$AI$6:$AJ$15),LOOKUP(テーブル2[[#This Row],[握力]],$AI$20:$AJ$29))))</f>
        <v>0</v>
      </c>
      <c r="T445" s="145">
        <f>IF(テーブル2[[#This Row],[上体]]="",0,(IF(テーブル2[[#This Row],[性別]]="男",LOOKUP(テーブル2[[#This Row],[上体]],$AK$6:$AL$15),LOOKUP(テーブル2[[#This Row],[上体]],$AK$20:$AL$29))))</f>
        <v>0</v>
      </c>
      <c r="U445" s="145">
        <f>IF(テーブル2[[#This Row],[長座]]="",0,(IF(テーブル2[[#This Row],[性別]]="男",LOOKUP(テーブル2[[#This Row],[長座]],$AM$6:$AN$15),LOOKUP(テーブル2[[#This Row],[長座]],$AM$20:$AN$29))))</f>
        <v>0</v>
      </c>
      <c r="V445" s="145">
        <f>IF(テーブル2[[#This Row],[反復]]="",0,(IF(テーブル2[[#This Row],[性別]]="男",LOOKUP(テーブル2[[#This Row],[反復]],$AO$6:$AP$15),LOOKUP(テーブル2[[#This Row],[反復]],$AO$20:$AP$29))))</f>
        <v>0</v>
      </c>
      <c r="W445" s="145">
        <f>IF(テーブル2[[#This Row],[持久走]]="",0,(IF(テーブル2[[#This Row],[性別]]="男",LOOKUP(テーブル2[[#This Row],[持久走]],$AQ$6:$AR$15),LOOKUP(テーブル2[[#This Row],[持久走]],$AQ$20:$AR$29))))</f>
        <v>0</v>
      </c>
      <c r="X445" s="145">
        <f>IF(テーブル2[[#This Row],[ｼｬﾄﾙﾗﾝ]]="",0,(IF(テーブル2[[#This Row],[性別]]="男",LOOKUP(テーブル2[[#This Row],[ｼｬﾄﾙﾗﾝ]],$AS$6:$AT$15),LOOKUP(テーブル2[[#This Row],[ｼｬﾄﾙﾗﾝ]],$AS$20:$AT$29))))</f>
        <v>0</v>
      </c>
      <c r="Y445" s="145">
        <f>IF(テーブル2[[#This Row],[50m走]]="",0,(IF(テーブル2[[#This Row],[性別]]="男",LOOKUP(テーブル2[[#This Row],[50m走]],$AU$6:$AV$15),LOOKUP(テーブル2[[#This Row],[50m走]],$AU$20:$AV$29))))</f>
        <v>0</v>
      </c>
      <c r="Z445" s="145">
        <f>IF(テーブル2[[#This Row],[立幅とび]]="",0,(IF(テーブル2[[#This Row],[性別]]="男",LOOKUP(テーブル2[[#This Row],[立幅とび]],$AW$6:$AX$15),LOOKUP(テーブル2[[#This Row],[立幅とび]],$AW$20:$AX$29))))</f>
        <v>0</v>
      </c>
      <c r="AA445" s="145">
        <f>IF(テーブル2[[#This Row],[ボール投げ]]="",0,(IF(テーブル2[[#This Row],[性別]]="男",LOOKUP(テーブル2[[#This Row],[ボール投げ]],$AY$6:$AZ$15),LOOKUP(テーブル2[[#This Row],[ボール投げ]],$AY$20:$AZ$29))))</f>
        <v>0</v>
      </c>
      <c r="AB445" s="146" t="str">
        <f>IF(テーブル2[[#This Row],[学年]]=1,12,IF(テーブル2[[#This Row],[学年]]=2,13,IF(テーブル2[[#This Row],[学年]]=3,14,"")))</f>
        <v/>
      </c>
      <c r="AC445" s="192" t="str">
        <f>IF(テーブル2[[#This Row],[肥満度数値]]=0,"",LOOKUP(AE445,$AW$39:$AW$44,$AX$39:$AX$44))</f>
        <v/>
      </c>
      <c r="AD44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5" s="77">
        <f>IF(テーブル2[[#This Row],[体重]]="",0,(テーブル2[[#This Row],[体重]]-テーブル2[[#This Row],[標準体重]])/テーブル2[[#This Row],[標準体重]]*100)</f>
        <v>0</v>
      </c>
      <c r="AF445" s="26">
        <f>COUNTA(テーブル2[[#This Row],[握力]:[ボール投げ]])</f>
        <v>0</v>
      </c>
      <c r="AG445" s="1" t="str">
        <f>IF(テーブル2[[#This Row],[判定]]=$BE$10,"○","")</f>
        <v/>
      </c>
      <c r="AH445" s="1" t="str">
        <f>IF(AG445="","",COUNTIF($AG$6:AG445,"○"))</f>
        <v/>
      </c>
    </row>
    <row r="446" spans="1:34" ht="14.25" customHeight="1" x14ac:dyDescent="0.15">
      <c r="A446" s="44">
        <v>441</v>
      </c>
      <c r="B446" s="148"/>
      <c r="C446" s="151"/>
      <c r="D446" s="148"/>
      <c r="E446" s="152"/>
      <c r="F446" s="148"/>
      <c r="G446" s="148"/>
      <c r="H446" s="150"/>
      <c r="I446" s="150"/>
      <c r="J446" s="151"/>
      <c r="K446" s="148"/>
      <c r="L446" s="196"/>
      <c r="M446" s="151"/>
      <c r="N446" s="197"/>
      <c r="O446" s="151"/>
      <c r="P446" s="153"/>
      <c r="Q44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6" s="144" t="str">
        <f>IF(テーブル2[[#This Row],[得点]]=0,"",IF(テーブル2[[#This Row],[年齢]]=17,LOOKUP(Q446,$BH$6:$BH$10,$BE$6:$BE$10),IF(テーブル2[[#This Row],[年齢]]=16,LOOKUP(Q446,$BG$6:$BG$10,$BE$6:$BE$10),IF(テーブル2[[#This Row],[年齢]]=15,LOOKUP(Q446,$BF$6:$BF$10,$BE$6:$BE$10),IF(テーブル2[[#This Row],[年齢]]=14,LOOKUP(Q446,$BD$6:$BD$10,$BE$6:$BE$10),IF(テーブル2[[#This Row],[年齢]]=13,LOOKUP(Q446,$BC$6:$BC$10,$BE$6:$BE$10),LOOKUP(Q446,$BB$6:$BB$10,$BE$6:$BE$10)))))))</f>
        <v/>
      </c>
      <c r="S446" s="145">
        <f>IF(H446="",0,(IF(テーブル2[[#This Row],[性別]]="男",LOOKUP(テーブル2[[#This Row],[握力]],$AI$6:$AJ$15),LOOKUP(テーブル2[[#This Row],[握力]],$AI$20:$AJ$29))))</f>
        <v>0</v>
      </c>
      <c r="T446" s="145">
        <f>IF(テーブル2[[#This Row],[上体]]="",0,(IF(テーブル2[[#This Row],[性別]]="男",LOOKUP(テーブル2[[#This Row],[上体]],$AK$6:$AL$15),LOOKUP(テーブル2[[#This Row],[上体]],$AK$20:$AL$29))))</f>
        <v>0</v>
      </c>
      <c r="U446" s="145">
        <f>IF(テーブル2[[#This Row],[長座]]="",0,(IF(テーブル2[[#This Row],[性別]]="男",LOOKUP(テーブル2[[#This Row],[長座]],$AM$6:$AN$15),LOOKUP(テーブル2[[#This Row],[長座]],$AM$20:$AN$29))))</f>
        <v>0</v>
      </c>
      <c r="V446" s="145">
        <f>IF(テーブル2[[#This Row],[反復]]="",0,(IF(テーブル2[[#This Row],[性別]]="男",LOOKUP(テーブル2[[#This Row],[反復]],$AO$6:$AP$15),LOOKUP(テーブル2[[#This Row],[反復]],$AO$20:$AP$29))))</f>
        <v>0</v>
      </c>
      <c r="W446" s="145">
        <f>IF(テーブル2[[#This Row],[持久走]]="",0,(IF(テーブル2[[#This Row],[性別]]="男",LOOKUP(テーブル2[[#This Row],[持久走]],$AQ$6:$AR$15),LOOKUP(テーブル2[[#This Row],[持久走]],$AQ$20:$AR$29))))</f>
        <v>0</v>
      </c>
      <c r="X446" s="145">
        <f>IF(テーブル2[[#This Row],[ｼｬﾄﾙﾗﾝ]]="",0,(IF(テーブル2[[#This Row],[性別]]="男",LOOKUP(テーブル2[[#This Row],[ｼｬﾄﾙﾗﾝ]],$AS$6:$AT$15),LOOKUP(テーブル2[[#This Row],[ｼｬﾄﾙﾗﾝ]],$AS$20:$AT$29))))</f>
        <v>0</v>
      </c>
      <c r="Y446" s="145">
        <f>IF(テーブル2[[#This Row],[50m走]]="",0,(IF(テーブル2[[#This Row],[性別]]="男",LOOKUP(テーブル2[[#This Row],[50m走]],$AU$6:$AV$15),LOOKUP(テーブル2[[#This Row],[50m走]],$AU$20:$AV$29))))</f>
        <v>0</v>
      </c>
      <c r="Z446" s="145">
        <f>IF(テーブル2[[#This Row],[立幅とび]]="",0,(IF(テーブル2[[#This Row],[性別]]="男",LOOKUP(テーブル2[[#This Row],[立幅とび]],$AW$6:$AX$15),LOOKUP(テーブル2[[#This Row],[立幅とび]],$AW$20:$AX$29))))</f>
        <v>0</v>
      </c>
      <c r="AA446" s="145">
        <f>IF(テーブル2[[#This Row],[ボール投げ]]="",0,(IF(テーブル2[[#This Row],[性別]]="男",LOOKUP(テーブル2[[#This Row],[ボール投げ]],$AY$6:$AZ$15),LOOKUP(テーブル2[[#This Row],[ボール投げ]],$AY$20:$AZ$29))))</f>
        <v>0</v>
      </c>
      <c r="AB446" s="146" t="str">
        <f>IF(テーブル2[[#This Row],[学年]]=1,12,IF(テーブル2[[#This Row],[学年]]=2,13,IF(テーブル2[[#This Row],[学年]]=3,14,"")))</f>
        <v/>
      </c>
      <c r="AC446" s="192" t="str">
        <f>IF(テーブル2[[#This Row],[肥満度数値]]=0,"",LOOKUP(AE446,$AW$39:$AW$44,$AX$39:$AX$44))</f>
        <v/>
      </c>
      <c r="AD44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6" s="77">
        <f>IF(テーブル2[[#This Row],[体重]]="",0,(テーブル2[[#This Row],[体重]]-テーブル2[[#This Row],[標準体重]])/テーブル2[[#This Row],[標準体重]]*100)</f>
        <v>0</v>
      </c>
      <c r="AF446" s="26">
        <f>COUNTA(テーブル2[[#This Row],[握力]:[ボール投げ]])</f>
        <v>0</v>
      </c>
      <c r="AG446" s="1" t="str">
        <f>IF(テーブル2[[#This Row],[判定]]=$BE$10,"○","")</f>
        <v/>
      </c>
      <c r="AH446" s="1" t="str">
        <f>IF(AG446="","",COUNTIF($AG$6:AG446,"○"))</f>
        <v/>
      </c>
    </row>
    <row r="447" spans="1:34" ht="14.25" customHeight="1" x14ac:dyDescent="0.15">
      <c r="A447" s="44">
        <v>442</v>
      </c>
      <c r="B447" s="148"/>
      <c r="C447" s="151"/>
      <c r="D447" s="148"/>
      <c r="E447" s="152"/>
      <c r="F447" s="148"/>
      <c r="G447" s="148"/>
      <c r="H447" s="150"/>
      <c r="I447" s="150"/>
      <c r="J447" s="151"/>
      <c r="K447" s="148"/>
      <c r="L447" s="196"/>
      <c r="M447" s="151"/>
      <c r="N447" s="197"/>
      <c r="O447" s="151"/>
      <c r="P447" s="153"/>
      <c r="Q44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7" s="144" t="str">
        <f>IF(テーブル2[[#This Row],[得点]]=0,"",IF(テーブル2[[#This Row],[年齢]]=17,LOOKUP(Q447,$BH$6:$BH$10,$BE$6:$BE$10),IF(テーブル2[[#This Row],[年齢]]=16,LOOKUP(Q447,$BG$6:$BG$10,$BE$6:$BE$10),IF(テーブル2[[#This Row],[年齢]]=15,LOOKUP(Q447,$BF$6:$BF$10,$BE$6:$BE$10),IF(テーブル2[[#This Row],[年齢]]=14,LOOKUP(Q447,$BD$6:$BD$10,$BE$6:$BE$10),IF(テーブル2[[#This Row],[年齢]]=13,LOOKUP(Q447,$BC$6:$BC$10,$BE$6:$BE$10),LOOKUP(Q447,$BB$6:$BB$10,$BE$6:$BE$10)))))))</f>
        <v/>
      </c>
      <c r="S447" s="145">
        <f>IF(H447="",0,(IF(テーブル2[[#This Row],[性別]]="男",LOOKUP(テーブル2[[#This Row],[握力]],$AI$6:$AJ$15),LOOKUP(テーブル2[[#This Row],[握力]],$AI$20:$AJ$29))))</f>
        <v>0</v>
      </c>
      <c r="T447" s="145">
        <f>IF(テーブル2[[#This Row],[上体]]="",0,(IF(テーブル2[[#This Row],[性別]]="男",LOOKUP(テーブル2[[#This Row],[上体]],$AK$6:$AL$15),LOOKUP(テーブル2[[#This Row],[上体]],$AK$20:$AL$29))))</f>
        <v>0</v>
      </c>
      <c r="U447" s="145">
        <f>IF(テーブル2[[#This Row],[長座]]="",0,(IF(テーブル2[[#This Row],[性別]]="男",LOOKUP(テーブル2[[#This Row],[長座]],$AM$6:$AN$15),LOOKUP(テーブル2[[#This Row],[長座]],$AM$20:$AN$29))))</f>
        <v>0</v>
      </c>
      <c r="V447" s="145">
        <f>IF(テーブル2[[#This Row],[反復]]="",0,(IF(テーブル2[[#This Row],[性別]]="男",LOOKUP(テーブル2[[#This Row],[反復]],$AO$6:$AP$15),LOOKUP(テーブル2[[#This Row],[反復]],$AO$20:$AP$29))))</f>
        <v>0</v>
      </c>
      <c r="W447" s="145">
        <f>IF(テーブル2[[#This Row],[持久走]]="",0,(IF(テーブル2[[#This Row],[性別]]="男",LOOKUP(テーブル2[[#This Row],[持久走]],$AQ$6:$AR$15),LOOKUP(テーブル2[[#This Row],[持久走]],$AQ$20:$AR$29))))</f>
        <v>0</v>
      </c>
      <c r="X447" s="145">
        <f>IF(テーブル2[[#This Row],[ｼｬﾄﾙﾗﾝ]]="",0,(IF(テーブル2[[#This Row],[性別]]="男",LOOKUP(テーブル2[[#This Row],[ｼｬﾄﾙﾗﾝ]],$AS$6:$AT$15),LOOKUP(テーブル2[[#This Row],[ｼｬﾄﾙﾗﾝ]],$AS$20:$AT$29))))</f>
        <v>0</v>
      </c>
      <c r="Y447" s="145">
        <f>IF(テーブル2[[#This Row],[50m走]]="",0,(IF(テーブル2[[#This Row],[性別]]="男",LOOKUP(テーブル2[[#This Row],[50m走]],$AU$6:$AV$15),LOOKUP(テーブル2[[#This Row],[50m走]],$AU$20:$AV$29))))</f>
        <v>0</v>
      </c>
      <c r="Z447" s="145">
        <f>IF(テーブル2[[#This Row],[立幅とび]]="",0,(IF(テーブル2[[#This Row],[性別]]="男",LOOKUP(テーブル2[[#This Row],[立幅とび]],$AW$6:$AX$15),LOOKUP(テーブル2[[#This Row],[立幅とび]],$AW$20:$AX$29))))</f>
        <v>0</v>
      </c>
      <c r="AA447" s="145">
        <f>IF(テーブル2[[#This Row],[ボール投げ]]="",0,(IF(テーブル2[[#This Row],[性別]]="男",LOOKUP(テーブル2[[#This Row],[ボール投げ]],$AY$6:$AZ$15),LOOKUP(テーブル2[[#This Row],[ボール投げ]],$AY$20:$AZ$29))))</f>
        <v>0</v>
      </c>
      <c r="AB447" s="146" t="str">
        <f>IF(テーブル2[[#This Row],[学年]]=1,12,IF(テーブル2[[#This Row],[学年]]=2,13,IF(テーブル2[[#This Row],[学年]]=3,14,"")))</f>
        <v/>
      </c>
      <c r="AC447" s="192" t="str">
        <f>IF(テーブル2[[#This Row],[肥満度数値]]=0,"",LOOKUP(AE447,$AW$39:$AW$44,$AX$39:$AX$44))</f>
        <v/>
      </c>
      <c r="AD44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7" s="77">
        <f>IF(テーブル2[[#This Row],[体重]]="",0,(テーブル2[[#This Row],[体重]]-テーブル2[[#This Row],[標準体重]])/テーブル2[[#This Row],[標準体重]]*100)</f>
        <v>0</v>
      </c>
      <c r="AF447" s="26">
        <f>COUNTA(テーブル2[[#This Row],[握力]:[ボール投げ]])</f>
        <v>0</v>
      </c>
      <c r="AG447" s="1" t="str">
        <f>IF(テーブル2[[#This Row],[判定]]=$BE$10,"○","")</f>
        <v/>
      </c>
      <c r="AH447" s="1" t="str">
        <f>IF(AG447="","",COUNTIF($AG$6:AG447,"○"))</f>
        <v/>
      </c>
    </row>
    <row r="448" spans="1:34" ht="14.25" customHeight="1" x14ac:dyDescent="0.15">
      <c r="A448" s="44">
        <v>443</v>
      </c>
      <c r="B448" s="148"/>
      <c r="C448" s="151"/>
      <c r="D448" s="148"/>
      <c r="E448" s="152"/>
      <c r="F448" s="148"/>
      <c r="G448" s="148"/>
      <c r="H448" s="150"/>
      <c r="I448" s="150"/>
      <c r="J448" s="151"/>
      <c r="K448" s="148"/>
      <c r="L448" s="196"/>
      <c r="M448" s="151"/>
      <c r="N448" s="197"/>
      <c r="O448" s="151"/>
      <c r="P448" s="153"/>
      <c r="Q44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8" s="144" t="str">
        <f>IF(テーブル2[[#This Row],[得点]]=0,"",IF(テーブル2[[#This Row],[年齢]]=17,LOOKUP(Q448,$BH$6:$BH$10,$BE$6:$BE$10),IF(テーブル2[[#This Row],[年齢]]=16,LOOKUP(Q448,$BG$6:$BG$10,$BE$6:$BE$10),IF(テーブル2[[#This Row],[年齢]]=15,LOOKUP(Q448,$BF$6:$BF$10,$BE$6:$BE$10),IF(テーブル2[[#This Row],[年齢]]=14,LOOKUP(Q448,$BD$6:$BD$10,$BE$6:$BE$10),IF(テーブル2[[#This Row],[年齢]]=13,LOOKUP(Q448,$BC$6:$BC$10,$BE$6:$BE$10),LOOKUP(Q448,$BB$6:$BB$10,$BE$6:$BE$10)))))))</f>
        <v/>
      </c>
      <c r="S448" s="145">
        <f>IF(H448="",0,(IF(テーブル2[[#This Row],[性別]]="男",LOOKUP(テーブル2[[#This Row],[握力]],$AI$6:$AJ$15),LOOKUP(テーブル2[[#This Row],[握力]],$AI$20:$AJ$29))))</f>
        <v>0</v>
      </c>
      <c r="T448" s="145">
        <f>IF(テーブル2[[#This Row],[上体]]="",0,(IF(テーブル2[[#This Row],[性別]]="男",LOOKUP(テーブル2[[#This Row],[上体]],$AK$6:$AL$15),LOOKUP(テーブル2[[#This Row],[上体]],$AK$20:$AL$29))))</f>
        <v>0</v>
      </c>
      <c r="U448" s="145">
        <f>IF(テーブル2[[#This Row],[長座]]="",0,(IF(テーブル2[[#This Row],[性別]]="男",LOOKUP(テーブル2[[#This Row],[長座]],$AM$6:$AN$15),LOOKUP(テーブル2[[#This Row],[長座]],$AM$20:$AN$29))))</f>
        <v>0</v>
      </c>
      <c r="V448" s="145">
        <f>IF(テーブル2[[#This Row],[反復]]="",0,(IF(テーブル2[[#This Row],[性別]]="男",LOOKUP(テーブル2[[#This Row],[反復]],$AO$6:$AP$15),LOOKUP(テーブル2[[#This Row],[反復]],$AO$20:$AP$29))))</f>
        <v>0</v>
      </c>
      <c r="W448" s="145">
        <f>IF(テーブル2[[#This Row],[持久走]]="",0,(IF(テーブル2[[#This Row],[性別]]="男",LOOKUP(テーブル2[[#This Row],[持久走]],$AQ$6:$AR$15),LOOKUP(テーブル2[[#This Row],[持久走]],$AQ$20:$AR$29))))</f>
        <v>0</v>
      </c>
      <c r="X448" s="145">
        <f>IF(テーブル2[[#This Row],[ｼｬﾄﾙﾗﾝ]]="",0,(IF(テーブル2[[#This Row],[性別]]="男",LOOKUP(テーブル2[[#This Row],[ｼｬﾄﾙﾗﾝ]],$AS$6:$AT$15),LOOKUP(テーブル2[[#This Row],[ｼｬﾄﾙﾗﾝ]],$AS$20:$AT$29))))</f>
        <v>0</v>
      </c>
      <c r="Y448" s="145">
        <f>IF(テーブル2[[#This Row],[50m走]]="",0,(IF(テーブル2[[#This Row],[性別]]="男",LOOKUP(テーブル2[[#This Row],[50m走]],$AU$6:$AV$15),LOOKUP(テーブル2[[#This Row],[50m走]],$AU$20:$AV$29))))</f>
        <v>0</v>
      </c>
      <c r="Z448" s="145">
        <f>IF(テーブル2[[#This Row],[立幅とび]]="",0,(IF(テーブル2[[#This Row],[性別]]="男",LOOKUP(テーブル2[[#This Row],[立幅とび]],$AW$6:$AX$15),LOOKUP(テーブル2[[#This Row],[立幅とび]],$AW$20:$AX$29))))</f>
        <v>0</v>
      </c>
      <c r="AA448" s="145">
        <f>IF(テーブル2[[#This Row],[ボール投げ]]="",0,(IF(テーブル2[[#This Row],[性別]]="男",LOOKUP(テーブル2[[#This Row],[ボール投げ]],$AY$6:$AZ$15),LOOKUP(テーブル2[[#This Row],[ボール投げ]],$AY$20:$AZ$29))))</f>
        <v>0</v>
      </c>
      <c r="AB448" s="146" t="str">
        <f>IF(テーブル2[[#This Row],[学年]]=1,12,IF(テーブル2[[#This Row],[学年]]=2,13,IF(テーブル2[[#This Row],[学年]]=3,14,"")))</f>
        <v/>
      </c>
      <c r="AC448" s="192" t="str">
        <f>IF(テーブル2[[#This Row],[肥満度数値]]=0,"",LOOKUP(AE448,$AW$39:$AW$44,$AX$39:$AX$44))</f>
        <v/>
      </c>
      <c r="AD44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8" s="77">
        <f>IF(テーブル2[[#This Row],[体重]]="",0,(テーブル2[[#This Row],[体重]]-テーブル2[[#This Row],[標準体重]])/テーブル2[[#This Row],[標準体重]]*100)</f>
        <v>0</v>
      </c>
      <c r="AF448" s="26">
        <f>COUNTA(テーブル2[[#This Row],[握力]:[ボール投げ]])</f>
        <v>0</v>
      </c>
      <c r="AG448" s="1" t="str">
        <f>IF(テーブル2[[#This Row],[判定]]=$BE$10,"○","")</f>
        <v/>
      </c>
      <c r="AH448" s="1" t="str">
        <f>IF(AG448="","",COUNTIF($AG$6:AG448,"○"))</f>
        <v/>
      </c>
    </row>
    <row r="449" spans="1:34" ht="14.25" customHeight="1" x14ac:dyDescent="0.15">
      <c r="A449" s="44">
        <v>444</v>
      </c>
      <c r="B449" s="148"/>
      <c r="C449" s="151"/>
      <c r="D449" s="148"/>
      <c r="E449" s="152"/>
      <c r="F449" s="148"/>
      <c r="G449" s="148"/>
      <c r="H449" s="150"/>
      <c r="I449" s="150"/>
      <c r="J449" s="151"/>
      <c r="K449" s="148"/>
      <c r="L449" s="196"/>
      <c r="M449" s="151"/>
      <c r="N449" s="197"/>
      <c r="O449" s="151"/>
      <c r="P449" s="153"/>
      <c r="Q44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9" s="144" t="str">
        <f>IF(テーブル2[[#This Row],[得点]]=0,"",IF(テーブル2[[#This Row],[年齢]]=17,LOOKUP(Q449,$BH$6:$BH$10,$BE$6:$BE$10),IF(テーブル2[[#This Row],[年齢]]=16,LOOKUP(Q449,$BG$6:$BG$10,$BE$6:$BE$10),IF(テーブル2[[#This Row],[年齢]]=15,LOOKUP(Q449,$BF$6:$BF$10,$BE$6:$BE$10),IF(テーブル2[[#This Row],[年齢]]=14,LOOKUP(Q449,$BD$6:$BD$10,$BE$6:$BE$10),IF(テーブル2[[#This Row],[年齢]]=13,LOOKUP(Q449,$BC$6:$BC$10,$BE$6:$BE$10),LOOKUP(Q449,$BB$6:$BB$10,$BE$6:$BE$10)))))))</f>
        <v/>
      </c>
      <c r="S449" s="145">
        <f>IF(H449="",0,(IF(テーブル2[[#This Row],[性別]]="男",LOOKUP(テーブル2[[#This Row],[握力]],$AI$6:$AJ$15),LOOKUP(テーブル2[[#This Row],[握力]],$AI$20:$AJ$29))))</f>
        <v>0</v>
      </c>
      <c r="T449" s="145">
        <f>IF(テーブル2[[#This Row],[上体]]="",0,(IF(テーブル2[[#This Row],[性別]]="男",LOOKUP(テーブル2[[#This Row],[上体]],$AK$6:$AL$15),LOOKUP(テーブル2[[#This Row],[上体]],$AK$20:$AL$29))))</f>
        <v>0</v>
      </c>
      <c r="U449" s="145">
        <f>IF(テーブル2[[#This Row],[長座]]="",0,(IF(テーブル2[[#This Row],[性別]]="男",LOOKUP(テーブル2[[#This Row],[長座]],$AM$6:$AN$15),LOOKUP(テーブル2[[#This Row],[長座]],$AM$20:$AN$29))))</f>
        <v>0</v>
      </c>
      <c r="V449" s="145">
        <f>IF(テーブル2[[#This Row],[反復]]="",0,(IF(テーブル2[[#This Row],[性別]]="男",LOOKUP(テーブル2[[#This Row],[反復]],$AO$6:$AP$15),LOOKUP(テーブル2[[#This Row],[反復]],$AO$20:$AP$29))))</f>
        <v>0</v>
      </c>
      <c r="W449" s="145">
        <f>IF(テーブル2[[#This Row],[持久走]]="",0,(IF(テーブル2[[#This Row],[性別]]="男",LOOKUP(テーブル2[[#This Row],[持久走]],$AQ$6:$AR$15),LOOKUP(テーブル2[[#This Row],[持久走]],$AQ$20:$AR$29))))</f>
        <v>0</v>
      </c>
      <c r="X449" s="145">
        <f>IF(テーブル2[[#This Row],[ｼｬﾄﾙﾗﾝ]]="",0,(IF(テーブル2[[#This Row],[性別]]="男",LOOKUP(テーブル2[[#This Row],[ｼｬﾄﾙﾗﾝ]],$AS$6:$AT$15),LOOKUP(テーブル2[[#This Row],[ｼｬﾄﾙﾗﾝ]],$AS$20:$AT$29))))</f>
        <v>0</v>
      </c>
      <c r="Y449" s="145">
        <f>IF(テーブル2[[#This Row],[50m走]]="",0,(IF(テーブル2[[#This Row],[性別]]="男",LOOKUP(テーブル2[[#This Row],[50m走]],$AU$6:$AV$15),LOOKUP(テーブル2[[#This Row],[50m走]],$AU$20:$AV$29))))</f>
        <v>0</v>
      </c>
      <c r="Z449" s="145">
        <f>IF(テーブル2[[#This Row],[立幅とび]]="",0,(IF(テーブル2[[#This Row],[性別]]="男",LOOKUP(テーブル2[[#This Row],[立幅とび]],$AW$6:$AX$15),LOOKUP(テーブル2[[#This Row],[立幅とび]],$AW$20:$AX$29))))</f>
        <v>0</v>
      </c>
      <c r="AA449" s="145">
        <f>IF(テーブル2[[#This Row],[ボール投げ]]="",0,(IF(テーブル2[[#This Row],[性別]]="男",LOOKUP(テーブル2[[#This Row],[ボール投げ]],$AY$6:$AZ$15),LOOKUP(テーブル2[[#This Row],[ボール投げ]],$AY$20:$AZ$29))))</f>
        <v>0</v>
      </c>
      <c r="AB449" s="146" t="str">
        <f>IF(テーブル2[[#This Row],[学年]]=1,12,IF(テーブル2[[#This Row],[学年]]=2,13,IF(テーブル2[[#This Row],[学年]]=3,14,"")))</f>
        <v/>
      </c>
      <c r="AC449" s="192" t="str">
        <f>IF(テーブル2[[#This Row],[肥満度数値]]=0,"",LOOKUP(AE449,$AW$39:$AW$44,$AX$39:$AX$44))</f>
        <v/>
      </c>
      <c r="AD44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49" s="77">
        <f>IF(テーブル2[[#This Row],[体重]]="",0,(テーブル2[[#This Row],[体重]]-テーブル2[[#This Row],[標準体重]])/テーブル2[[#This Row],[標準体重]]*100)</f>
        <v>0</v>
      </c>
      <c r="AF449" s="26">
        <f>COUNTA(テーブル2[[#This Row],[握力]:[ボール投げ]])</f>
        <v>0</v>
      </c>
      <c r="AG449" s="1" t="str">
        <f>IF(テーブル2[[#This Row],[判定]]=$BE$10,"○","")</f>
        <v/>
      </c>
      <c r="AH449" s="1" t="str">
        <f>IF(AG449="","",COUNTIF($AG$6:AG449,"○"))</f>
        <v/>
      </c>
    </row>
    <row r="450" spans="1:34" ht="14.25" customHeight="1" x14ac:dyDescent="0.15">
      <c r="A450" s="44">
        <v>445</v>
      </c>
      <c r="B450" s="148"/>
      <c r="C450" s="151"/>
      <c r="D450" s="148"/>
      <c r="E450" s="152"/>
      <c r="F450" s="148"/>
      <c r="G450" s="148"/>
      <c r="H450" s="150"/>
      <c r="I450" s="150"/>
      <c r="J450" s="151"/>
      <c r="K450" s="148"/>
      <c r="L450" s="196"/>
      <c r="M450" s="151"/>
      <c r="N450" s="197"/>
      <c r="O450" s="151"/>
      <c r="P450" s="153"/>
      <c r="Q45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0" s="144" t="str">
        <f>IF(テーブル2[[#This Row],[得点]]=0,"",IF(テーブル2[[#This Row],[年齢]]=17,LOOKUP(Q450,$BH$6:$BH$10,$BE$6:$BE$10),IF(テーブル2[[#This Row],[年齢]]=16,LOOKUP(Q450,$BG$6:$BG$10,$BE$6:$BE$10),IF(テーブル2[[#This Row],[年齢]]=15,LOOKUP(Q450,$BF$6:$BF$10,$BE$6:$BE$10),IF(テーブル2[[#This Row],[年齢]]=14,LOOKUP(Q450,$BD$6:$BD$10,$BE$6:$BE$10),IF(テーブル2[[#This Row],[年齢]]=13,LOOKUP(Q450,$BC$6:$BC$10,$BE$6:$BE$10),LOOKUP(Q450,$BB$6:$BB$10,$BE$6:$BE$10)))))))</f>
        <v/>
      </c>
      <c r="S450" s="145">
        <f>IF(H450="",0,(IF(テーブル2[[#This Row],[性別]]="男",LOOKUP(テーブル2[[#This Row],[握力]],$AI$6:$AJ$15),LOOKUP(テーブル2[[#This Row],[握力]],$AI$20:$AJ$29))))</f>
        <v>0</v>
      </c>
      <c r="T450" s="145">
        <f>IF(テーブル2[[#This Row],[上体]]="",0,(IF(テーブル2[[#This Row],[性別]]="男",LOOKUP(テーブル2[[#This Row],[上体]],$AK$6:$AL$15),LOOKUP(テーブル2[[#This Row],[上体]],$AK$20:$AL$29))))</f>
        <v>0</v>
      </c>
      <c r="U450" s="145">
        <f>IF(テーブル2[[#This Row],[長座]]="",0,(IF(テーブル2[[#This Row],[性別]]="男",LOOKUP(テーブル2[[#This Row],[長座]],$AM$6:$AN$15),LOOKUP(テーブル2[[#This Row],[長座]],$AM$20:$AN$29))))</f>
        <v>0</v>
      </c>
      <c r="V450" s="145">
        <f>IF(テーブル2[[#This Row],[反復]]="",0,(IF(テーブル2[[#This Row],[性別]]="男",LOOKUP(テーブル2[[#This Row],[反復]],$AO$6:$AP$15),LOOKUP(テーブル2[[#This Row],[反復]],$AO$20:$AP$29))))</f>
        <v>0</v>
      </c>
      <c r="W450" s="145">
        <f>IF(テーブル2[[#This Row],[持久走]]="",0,(IF(テーブル2[[#This Row],[性別]]="男",LOOKUP(テーブル2[[#This Row],[持久走]],$AQ$6:$AR$15),LOOKUP(テーブル2[[#This Row],[持久走]],$AQ$20:$AR$29))))</f>
        <v>0</v>
      </c>
      <c r="X450" s="145">
        <f>IF(テーブル2[[#This Row],[ｼｬﾄﾙﾗﾝ]]="",0,(IF(テーブル2[[#This Row],[性別]]="男",LOOKUP(テーブル2[[#This Row],[ｼｬﾄﾙﾗﾝ]],$AS$6:$AT$15),LOOKUP(テーブル2[[#This Row],[ｼｬﾄﾙﾗﾝ]],$AS$20:$AT$29))))</f>
        <v>0</v>
      </c>
      <c r="Y450" s="145">
        <f>IF(テーブル2[[#This Row],[50m走]]="",0,(IF(テーブル2[[#This Row],[性別]]="男",LOOKUP(テーブル2[[#This Row],[50m走]],$AU$6:$AV$15),LOOKUP(テーブル2[[#This Row],[50m走]],$AU$20:$AV$29))))</f>
        <v>0</v>
      </c>
      <c r="Z450" s="145">
        <f>IF(テーブル2[[#This Row],[立幅とび]]="",0,(IF(テーブル2[[#This Row],[性別]]="男",LOOKUP(テーブル2[[#This Row],[立幅とび]],$AW$6:$AX$15),LOOKUP(テーブル2[[#This Row],[立幅とび]],$AW$20:$AX$29))))</f>
        <v>0</v>
      </c>
      <c r="AA450" s="145">
        <f>IF(テーブル2[[#This Row],[ボール投げ]]="",0,(IF(テーブル2[[#This Row],[性別]]="男",LOOKUP(テーブル2[[#This Row],[ボール投げ]],$AY$6:$AZ$15),LOOKUP(テーブル2[[#This Row],[ボール投げ]],$AY$20:$AZ$29))))</f>
        <v>0</v>
      </c>
      <c r="AB450" s="146" t="str">
        <f>IF(テーブル2[[#This Row],[学年]]=1,12,IF(テーブル2[[#This Row],[学年]]=2,13,IF(テーブル2[[#This Row],[学年]]=3,14,"")))</f>
        <v/>
      </c>
      <c r="AC450" s="192" t="str">
        <f>IF(テーブル2[[#This Row],[肥満度数値]]=0,"",LOOKUP(AE450,$AW$39:$AW$44,$AX$39:$AX$44))</f>
        <v/>
      </c>
      <c r="AD45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0" s="77">
        <f>IF(テーブル2[[#This Row],[体重]]="",0,(テーブル2[[#This Row],[体重]]-テーブル2[[#This Row],[標準体重]])/テーブル2[[#This Row],[標準体重]]*100)</f>
        <v>0</v>
      </c>
      <c r="AF450" s="26">
        <f>COUNTA(テーブル2[[#This Row],[握力]:[ボール投げ]])</f>
        <v>0</v>
      </c>
      <c r="AG450" s="1" t="str">
        <f>IF(テーブル2[[#This Row],[判定]]=$BE$10,"○","")</f>
        <v/>
      </c>
      <c r="AH450" s="1" t="str">
        <f>IF(AG450="","",COUNTIF($AG$6:AG450,"○"))</f>
        <v/>
      </c>
    </row>
    <row r="451" spans="1:34" ht="14.25" customHeight="1" x14ac:dyDescent="0.15">
      <c r="A451" s="44">
        <v>446</v>
      </c>
      <c r="B451" s="148"/>
      <c r="C451" s="151"/>
      <c r="D451" s="148"/>
      <c r="E451" s="152"/>
      <c r="F451" s="148"/>
      <c r="G451" s="148"/>
      <c r="H451" s="150"/>
      <c r="I451" s="150"/>
      <c r="J451" s="151"/>
      <c r="K451" s="148"/>
      <c r="L451" s="196"/>
      <c r="M451" s="151"/>
      <c r="N451" s="197"/>
      <c r="O451" s="151"/>
      <c r="P451" s="153"/>
      <c r="Q45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1" s="144" t="str">
        <f>IF(テーブル2[[#This Row],[得点]]=0,"",IF(テーブル2[[#This Row],[年齢]]=17,LOOKUP(Q451,$BH$6:$BH$10,$BE$6:$BE$10),IF(テーブル2[[#This Row],[年齢]]=16,LOOKUP(Q451,$BG$6:$BG$10,$BE$6:$BE$10),IF(テーブル2[[#This Row],[年齢]]=15,LOOKUP(Q451,$BF$6:$BF$10,$BE$6:$BE$10),IF(テーブル2[[#This Row],[年齢]]=14,LOOKUP(Q451,$BD$6:$BD$10,$BE$6:$BE$10),IF(テーブル2[[#This Row],[年齢]]=13,LOOKUP(Q451,$BC$6:$BC$10,$BE$6:$BE$10),LOOKUP(Q451,$BB$6:$BB$10,$BE$6:$BE$10)))))))</f>
        <v/>
      </c>
      <c r="S451" s="145">
        <f>IF(H451="",0,(IF(テーブル2[[#This Row],[性別]]="男",LOOKUP(テーブル2[[#This Row],[握力]],$AI$6:$AJ$15),LOOKUP(テーブル2[[#This Row],[握力]],$AI$20:$AJ$29))))</f>
        <v>0</v>
      </c>
      <c r="T451" s="145">
        <f>IF(テーブル2[[#This Row],[上体]]="",0,(IF(テーブル2[[#This Row],[性別]]="男",LOOKUP(テーブル2[[#This Row],[上体]],$AK$6:$AL$15),LOOKUP(テーブル2[[#This Row],[上体]],$AK$20:$AL$29))))</f>
        <v>0</v>
      </c>
      <c r="U451" s="145">
        <f>IF(テーブル2[[#This Row],[長座]]="",0,(IF(テーブル2[[#This Row],[性別]]="男",LOOKUP(テーブル2[[#This Row],[長座]],$AM$6:$AN$15),LOOKUP(テーブル2[[#This Row],[長座]],$AM$20:$AN$29))))</f>
        <v>0</v>
      </c>
      <c r="V451" s="145">
        <f>IF(テーブル2[[#This Row],[反復]]="",0,(IF(テーブル2[[#This Row],[性別]]="男",LOOKUP(テーブル2[[#This Row],[反復]],$AO$6:$AP$15),LOOKUP(テーブル2[[#This Row],[反復]],$AO$20:$AP$29))))</f>
        <v>0</v>
      </c>
      <c r="W451" s="145">
        <f>IF(テーブル2[[#This Row],[持久走]]="",0,(IF(テーブル2[[#This Row],[性別]]="男",LOOKUP(テーブル2[[#This Row],[持久走]],$AQ$6:$AR$15),LOOKUP(テーブル2[[#This Row],[持久走]],$AQ$20:$AR$29))))</f>
        <v>0</v>
      </c>
      <c r="X451" s="145">
        <f>IF(テーブル2[[#This Row],[ｼｬﾄﾙﾗﾝ]]="",0,(IF(テーブル2[[#This Row],[性別]]="男",LOOKUP(テーブル2[[#This Row],[ｼｬﾄﾙﾗﾝ]],$AS$6:$AT$15),LOOKUP(テーブル2[[#This Row],[ｼｬﾄﾙﾗﾝ]],$AS$20:$AT$29))))</f>
        <v>0</v>
      </c>
      <c r="Y451" s="145">
        <f>IF(テーブル2[[#This Row],[50m走]]="",0,(IF(テーブル2[[#This Row],[性別]]="男",LOOKUP(テーブル2[[#This Row],[50m走]],$AU$6:$AV$15),LOOKUP(テーブル2[[#This Row],[50m走]],$AU$20:$AV$29))))</f>
        <v>0</v>
      </c>
      <c r="Z451" s="145">
        <f>IF(テーブル2[[#This Row],[立幅とび]]="",0,(IF(テーブル2[[#This Row],[性別]]="男",LOOKUP(テーブル2[[#This Row],[立幅とび]],$AW$6:$AX$15),LOOKUP(テーブル2[[#This Row],[立幅とび]],$AW$20:$AX$29))))</f>
        <v>0</v>
      </c>
      <c r="AA451" s="145">
        <f>IF(テーブル2[[#This Row],[ボール投げ]]="",0,(IF(テーブル2[[#This Row],[性別]]="男",LOOKUP(テーブル2[[#This Row],[ボール投げ]],$AY$6:$AZ$15),LOOKUP(テーブル2[[#This Row],[ボール投げ]],$AY$20:$AZ$29))))</f>
        <v>0</v>
      </c>
      <c r="AB451" s="146" t="str">
        <f>IF(テーブル2[[#This Row],[学年]]=1,12,IF(テーブル2[[#This Row],[学年]]=2,13,IF(テーブル2[[#This Row],[学年]]=3,14,"")))</f>
        <v/>
      </c>
      <c r="AC451" s="192" t="str">
        <f>IF(テーブル2[[#This Row],[肥満度数値]]=0,"",LOOKUP(AE451,$AW$39:$AW$44,$AX$39:$AX$44))</f>
        <v/>
      </c>
      <c r="AD45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1" s="77">
        <f>IF(テーブル2[[#This Row],[体重]]="",0,(テーブル2[[#This Row],[体重]]-テーブル2[[#This Row],[標準体重]])/テーブル2[[#This Row],[標準体重]]*100)</f>
        <v>0</v>
      </c>
      <c r="AF451" s="26">
        <f>COUNTA(テーブル2[[#This Row],[握力]:[ボール投げ]])</f>
        <v>0</v>
      </c>
      <c r="AG451" s="1" t="str">
        <f>IF(テーブル2[[#This Row],[判定]]=$BE$10,"○","")</f>
        <v/>
      </c>
      <c r="AH451" s="1" t="str">
        <f>IF(AG451="","",COUNTIF($AG$6:AG451,"○"))</f>
        <v/>
      </c>
    </row>
    <row r="452" spans="1:34" ht="14.25" customHeight="1" x14ac:dyDescent="0.15">
      <c r="A452" s="44">
        <v>447</v>
      </c>
      <c r="B452" s="148"/>
      <c r="C452" s="151"/>
      <c r="D452" s="148"/>
      <c r="E452" s="152"/>
      <c r="F452" s="148"/>
      <c r="G452" s="148"/>
      <c r="H452" s="150"/>
      <c r="I452" s="150"/>
      <c r="J452" s="151"/>
      <c r="K452" s="148"/>
      <c r="L452" s="196"/>
      <c r="M452" s="151"/>
      <c r="N452" s="197"/>
      <c r="O452" s="151"/>
      <c r="P452" s="153"/>
      <c r="Q45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2" s="144" t="str">
        <f>IF(テーブル2[[#This Row],[得点]]=0,"",IF(テーブル2[[#This Row],[年齢]]=17,LOOKUP(Q452,$BH$6:$BH$10,$BE$6:$BE$10),IF(テーブル2[[#This Row],[年齢]]=16,LOOKUP(Q452,$BG$6:$BG$10,$BE$6:$BE$10),IF(テーブル2[[#This Row],[年齢]]=15,LOOKUP(Q452,$BF$6:$BF$10,$BE$6:$BE$10),IF(テーブル2[[#This Row],[年齢]]=14,LOOKUP(Q452,$BD$6:$BD$10,$BE$6:$BE$10),IF(テーブル2[[#This Row],[年齢]]=13,LOOKUP(Q452,$BC$6:$BC$10,$BE$6:$BE$10),LOOKUP(Q452,$BB$6:$BB$10,$BE$6:$BE$10)))))))</f>
        <v/>
      </c>
      <c r="S452" s="145">
        <f>IF(H452="",0,(IF(テーブル2[[#This Row],[性別]]="男",LOOKUP(テーブル2[[#This Row],[握力]],$AI$6:$AJ$15),LOOKUP(テーブル2[[#This Row],[握力]],$AI$20:$AJ$29))))</f>
        <v>0</v>
      </c>
      <c r="T452" s="145">
        <f>IF(テーブル2[[#This Row],[上体]]="",0,(IF(テーブル2[[#This Row],[性別]]="男",LOOKUP(テーブル2[[#This Row],[上体]],$AK$6:$AL$15),LOOKUP(テーブル2[[#This Row],[上体]],$AK$20:$AL$29))))</f>
        <v>0</v>
      </c>
      <c r="U452" s="145">
        <f>IF(テーブル2[[#This Row],[長座]]="",0,(IF(テーブル2[[#This Row],[性別]]="男",LOOKUP(テーブル2[[#This Row],[長座]],$AM$6:$AN$15),LOOKUP(テーブル2[[#This Row],[長座]],$AM$20:$AN$29))))</f>
        <v>0</v>
      </c>
      <c r="V452" s="145">
        <f>IF(テーブル2[[#This Row],[反復]]="",0,(IF(テーブル2[[#This Row],[性別]]="男",LOOKUP(テーブル2[[#This Row],[反復]],$AO$6:$AP$15),LOOKUP(テーブル2[[#This Row],[反復]],$AO$20:$AP$29))))</f>
        <v>0</v>
      </c>
      <c r="W452" s="145">
        <f>IF(テーブル2[[#This Row],[持久走]]="",0,(IF(テーブル2[[#This Row],[性別]]="男",LOOKUP(テーブル2[[#This Row],[持久走]],$AQ$6:$AR$15),LOOKUP(テーブル2[[#This Row],[持久走]],$AQ$20:$AR$29))))</f>
        <v>0</v>
      </c>
      <c r="X452" s="145">
        <f>IF(テーブル2[[#This Row],[ｼｬﾄﾙﾗﾝ]]="",0,(IF(テーブル2[[#This Row],[性別]]="男",LOOKUP(テーブル2[[#This Row],[ｼｬﾄﾙﾗﾝ]],$AS$6:$AT$15),LOOKUP(テーブル2[[#This Row],[ｼｬﾄﾙﾗﾝ]],$AS$20:$AT$29))))</f>
        <v>0</v>
      </c>
      <c r="Y452" s="145">
        <f>IF(テーブル2[[#This Row],[50m走]]="",0,(IF(テーブル2[[#This Row],[性別]]="男",LOOKUP(テーブル2[[#This Row],[50m走]],$AU$6:$AV$15),LOOKUP(テーブル2[[#This Row],[50m走]],$AU$20:$AV$29))))</f>
        <v>0</v>
      </c>
      <c r="Z452" s="145">
        <f>IF(テーブル2[[#This Row],[立幅とび]]="",0,(IF(テーブル2[[#This Row],[性別]]="男",LOOKUP(テーブル2[[#This Row],[立幅とび]],$AW$6:$AX$15),LOOKUP(テーブル2[[#This Row],[立幅とび]],$AW$20:$AX$29))))</f>
        <v>0</v>
      </c>
      <c r="AA452" s="145">
        <f>IF(テーブル2[[#This Row],[ボール投げ]]="",0,(IF(テーブル2[[#This Row],[性別]]="男",LOOKUP(テーブル2[[#This Row],[ボール投げ]],$AY$6:$AZ$15),LOOKUP(テーブル2[[#This Row],[ボール投げ]],$AY$20:$AZ$29))))</f>
        <v>0</v>
      </c>
      <c r="AB452" s="146" t="str">
        <f>IF(テーブル2[[#This Row],[学年]]=1,12,IF(テーブル2[[#This Row],[学年]]=2,13,IF(テーブル2[[#This Row],[学年]]=3,14,"")))</f>
        <v/>
      </c>
      <c r="AC452" s="192" t="str">
        <f>IF(テーブル2[[#This Row],[肥満度数値]]=0,"",LOOKUP(AE452,$AW$39:$AW$44,$AX$39:$AX$44))</f>
        <v/>
      </c>
      <c r="AD45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2" s="77">
        <f>IF(テーブル2[[#This Row],[体重]]="",0,(テーブル2[[#This Row],[体重]]-テーブル2[[#This Row],[標準体重]])/テーブル2[[#This Row],[標準体重]]*100)</f>
        <v>0</v>
      </c>
      <c r="AF452" s="26">
        <f>COUNTA(テーブル2[[#This Row],[握力]:[ボール投げ]])</f>
        <v>0</v>
      </c>
      <c r="AG452" s="1" t="str">
        <f>IF(テーブル2[[#This Row],[判定]]=$BE$10,"○","")</f>
        <v/>
      </c>
      <c r="AH452" s="1" t="str">
        <f>IF(AG452="","",COUNTIF($AG$6:AG452,"○"))</f>
        <v/>
      </c>
    </row>
    <row r="453" spans="1:34" ht="14.25" customHeight="1" x14ac:dyDescent="0.15">
      <c r="A453" s="44">
        <v>448</v>
      </c>
      <c r="B453" s="148"/>
      <c r="C453" s="151"/>
      <c r="D453" s="148"/>
      <c r="E453" s="152"/>
      <c r="F453" s="148"/>
      <c r="G453" s="148"/>
      <c r="H453" s="150"/>
      <c r="I453" s="150"/>
      <c r="J453" s="151"/>
      <c r="K453" s="148"/>
      <c r="L453" s="196"/>
      <c r="M453" s="151"/>
      <c r="N453" s="197"/>
      <c r="O453" s="151"/>
      <c r="P453" s="153"/>
      <c r="Q45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3" s="144" t="str">
        <f>IF(テーブル2[[#This Row],[得点]]=0,"",IF(テーブル2[[#This Row],[年齢]]=17,LOOKUP(Q453,$BH$6:$BH$10,$BE$6:$BE$10),IF(テーブル2[[#This Row],[年齢]]=16,LOOKUP(Q453,$BG$6:$BG$10,$BE$6:$BE$10),IF(テーブル2[[#This Row],[年齢]]=15,LOOKUP(Q453,$BF$6:$BF$10,$BE$6:$BE$10),IF(テーブル2[[#This Row],[年齢]]=14,LOOKUP(Q453,$BD$6:$BD$10,$BE$6:$BE$10),IF(テーブル2[[#This Row],[年齢]]=13,LOOKUP(Q453,$BC$6:$BC$10,$BE$6:$BE$10),LOOKUP(Q453,$BB$6:$BB$10,$BE$6:$BE$10)))))))</f>
        <v/>
      </c>
      <c r="S453" s="145">
        <f>IF(H453="",0,(IF(テーブル2[[#This Row],[性別]]="男",LOOKUP(テーブル2[[#This Row],[握力]],$AI$6:$AJ$15),LOOKUP(テーブル2[[#This Row],[握力]],$AI$20:$AJ$29))))</f>
        <v>0</v>
      </c>
      <c r="T453" s="145">
        <f>IF(テーブル2[[#This Row],[上体]]="",0,(IF(テーブル2[[#This Row],[性別]]="男",LOOKUP(テーブル2[[#This Row],[上体]],$AK$6:$AL$15),LOOKUP(テーブル2[[#This Row],[上体]],$AK$20:$AL$29))))</f>
        <v>0</v>
      </c>
      <c r="U453" s="145">
        <f>IF(テーブル2[[#This Row],[長座]]="",0,(IF(テーブル2[[#This Row],[性別]]="男",LOOKUP(テーブル2[[#This Row],[長座]],$AM$6:$AN$15),LOOKUP(テーブル2[[#This Row],[長座]],$AM$20:$AN$29))))</f>
        <v>0</v>
      </c>
      <c r="V453" s="145">
        <f>IF(テーブル2[[#This Row],[反復]]="",0,(IF(テーブル2[[#This Row],[性別]]="男",LOOKUP(テーブル2[[#This Row],[反復]],$AO$6:$AP$15),LOOKUP(テーブル2[[#This Row],[反復]],$AO$20:$AP$29))))</f>
        <v>0</v>
      </c>
      <c r="W453" s="145">
        <f>IF(テーブル2[[#This Row],[持久走]]="",0,(IF(テーブル2[[#This Row],[性別]]="男",LOOKUP(テーブル2[[#This Row],[持久走]],$AQ$6:$AR$15),LOOKUP(テーブル2[[#This Row],[持久走]],$AQ$20:$AR$29))))</f>
        <v>0</v>
      </c>
      <c r="X453" s="145">
        <f>IF(テーブル2[[#This Row],[ｼｬﾄﾙﾗﾝ]]="",0,(IF(テーブル2[[#This Row],[性別]]="男",LOOKUP(テーブル2[[#This Row],[ｼｬﾄﾙﾗﾝ]],$AS$6:$AT$15),LOOKUP(テーブル2[[#This Row],[ｼｬﾄﾙﾗﾝ]],$AS$20:$AT$29))))</f>
        <v>0</v>
      </c>
      <c r="Y453" s="145">
        <f>IF(テーブル2[[#This Row],[50m走]]="",0,(IF(テーブル2[[#This Row],[性別]]="男",LOOKUP(テーブル2[[#This Row],[50m走]],$AU$6:$AV$15),LOOKUP(テーブル2[[#This Row],[50m走]],$AU$20:$AV$29))))</f>
        <v>0</v>
      </c>
      <c r="Z453" s="145">
        <f>IF(テーブル2[[#This Row],[立幅とび]]="",0,(IF(テーブル2[[#This Row],[性別]]="男",LOOKUP(テーブル2[[#This Row],[立幅とび]],$AW$6:$AX$15),LOOKUP(テーブル2[[#This Row],[立幅とび]],$AW$20:$AX$29))))</f>
        <v>0</v>
      </c>
      <c r="AA453" s="145">
        <f>IF(テーブル2[[#This Row],[ボール投げ]]="",0,(IF(テーブル2[[#This Row],[性別]]="男",LOOKUP(テーブル2[[#This Row],[ボール投げ]],$AY$6:$AZ$15),LOOKUP(テーブル2[[#This Row],[ボール投げ]],$AY$20:$AZ$29))))</f>
        <v>0</v>
      </c>
      <c r="AB453" s="146" t="str">
        <f>IF(テーブル2[[#This Row],[学年]]=1,12,IF(テーブル2[[#This Row],[学年]]=2,13,IF(テーブル2[[#This Row],[学年]]=3,14,"")))</f>
        <v/>
      </c>
      <c r="AC453" s="192" t="str">
        <f>IF(テーブル2[[#This Row],[肥満度数値]]=0,"",LOOKUP(AE453,$AW$39:$AW$44,$AX$39:$AX$44))</f>
        <v/>
      </c>
      <c r="AD45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3" s="77">
        <f>IF(テーブル2[[#This Row],[体重]]="",0,(テーブル2[[#This Row],[体重]]-テーブル2[[#This Row],[標準体重]])/テーブル2[[#This Row],[標準体重]]*100)</f>
        <v>0</v>
      </c>
      <c r="AF453" s="26">
        <f>COUNTA(テーブル2[[#This Row],[握力]:[ボール投げ]])</f>
        <v>0</v>
      </c>
      <c r="AG453" s="1" t="str">
        <f>IF(テーブル2[[#This Row],[判定]]=$BE$10,"○","")</f>
        <v/>
      </c>
      <c r="AH453" s="1" t="str">
        <f>IF(AG453="","",COUNTIF($AG$6:AG453,"○"))</f>
        <v/>
      </c>
    </row>
    <row r="454" spans="1:34" ht="14.25" customHeight="1" x14ac:dyDescent="0.15">
      <c r="A454" s="44">
        <v>449</v>
      </c>
      <c r="B454" s="148"/>
      <c r="C454" s="151"/>
      <c r="D454" s="148"/>
      <c r="E454" s="152"/>
      <c r="F454" s="148"/>
      <c r="G454" s="148"/>
      <c r="H454" s="150"/>
      <c r="I454" s="150"/>
      <c r="J454" s="151"/>
      <c r="K454" s="148"/>
      <c r="L454" s="196"/>
      <c r="M454" s="151"/>
      <c r="N454" s="197"/>
      <c r="O454" s="151"/>
      <c r="P454" s="153"/>
      <c r="Q45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4" s="144" t="str">
        <f>IF(テーブル2[[#This Row],[得点]]=0,"",IF(テーブル2[[#This Row],[年齢]]=17,LOOKUP(Q454,$BH$6:$BH$10,$BE$6:$BE$10),IF(テーブル2[[#This Row],[年齢]]=16,LOOKUP(Q454,$BG$6:$BG$10,$BE$6:$BE$10),IF(テーブル2[[#This Row],[年齢]]=15,LOOKUP(Q454,$BF$6:$BF$10,$BE$6:$BE$10),IF(テーブル2[[#This Row],[年齢]]=14,LOOKUP(Q454,$BD$6:$BD$10,$BE$6:$BE$10),IF(テーブル2[[#This Row],[年齢]]=13,LOOKUP(Q454,$BC$6:$BC$10,$BE$6:$BE$10),LOOKUP(Q454,$BB$6:$BB$10,$BE$6:$BE$10)))))))</f>
        <v/>
      </c>
      <c r="S454" s="145">
        <f>IF(H454="",0,(IF(テーブル2[[#This Row],[性別]]="男",LOOKUP(テーブル2[[#This Row],[握力]],$AI$6:$AJ$15),LOOKUP(テーブル2[[#This Row],[握力]],$AI$20:$AJ$29))))</f>
        <v>0</v>
      </c>
      <c r="T454" s="145">
        <f>IF(テーブル2[[#This Row],[上体]]="",0,(IF(テーブル2[[#This Row],[性別]]="男",LOOKUP(テーブル2[[#This Row],[上体]],$AK$6:$AL$15),LOOKUP(テーブル2[[#This Row],[上体]],$AK$20:$AL$29))))</f>
        <v>0</v>
      </c>
      <c r="U454" s="145">
        <f>IF(テーブル2[[#This Row],[長座]]="",0,(IF(テーブル2[[#This Row],[性別]]="男",LOOKUP(テーブル2[[#This Row],[長座]],$AM$6:$AN$15),LOOKUP(テーブル2[[#This Row],[長座]],$AM$20:$AN$29))))</f>
        <v>0</v>
      </c>
      <c r="V454" s="145">
        <f>IF(テーブル2[[#This Row],[反復]]="",0,(IF(テーブル2[[#This Row],[性別]]="男",LOOKUP(テーブル2[[#This Row],[反復]],$AO$6:$AP$15),LOOKUP(テーブル2[[#This Row],[反復]],$AO$20:$AP$29))))</f>
        <v>0</v>
      </c>
      <c r="W454" s="145">
        <f>IF(テーブル2[[#This Row],[持久走]]="",0,(IF(テーブル2[[#This Row],[性別]]="男",LOOKUP(テーブル2[[#This Row],[持久走]],$AQ$6:$AR$15),LOOKUP(テーブル2[[#This Row],[持久走]],$AQ$20:$AR$29))))</f>
        <v>0</v>
      </c>
      <c r="X454" s="145">
        <f>IF(テーブル2[[#This Row],[ｼｬﾄﾙﾗﾝ]]="",0,(IF(テーブル2[[#This Row],[性別]]="男",LOOKUP(テーブル2[[#This Row],[ｼｬﾄﾙﾗﾝ]],$AS$6:$AT$15),LOOKUP(テーブル2[[#This Row],[ｼｬﾄﾙﾗﾝ]],$AS$20:$AT$29))))</f>
        <v>0</v>
      </c>
      <c r="Y454" s="145">
        <f>IF(テーブル2[[#This Row],[50m走]]="",0,(IF(テーブル2[[#This Row],[性別]]="男",LOOKUP(テーブル2[[#This Row],[50m走]],$AU$6:$AV$15),LOOKUP(テーブル2[[#This Row],[50m走]],$AU$20:$AV$29))))</f>
        <v>0</v>
      </c>
      <c r="Z454" s="145">
        <f>IF(テーブル2[[#This Row],[立幅とび]]="",0,(IF(テーブル2[[#This Row],[性別]]="男",LOOKUP(テーブル2[[#This Row],[立幅とび]],$AW$6:$AX$15),LOOKUP(テーブル2[[#This Row],[立幅とび]],$AW$20:$AX$29))))</f>
        <v>0</v>
      </c>
      <c r="AA454" s="145">
        <f>IF(テーブル2[[#This Row],[ボール投げ]]="",0,(IF(テーブル2[[#This Row],[性別]]="男",LOOKUP(テーブル2[[#This Row],[ボール投げ]],$AY$6:$AZ$15),LOOKUP(テーブル2[[#This Row],[ボール投げ]],$AY$20:$AZ$29))))</f>
        <v>0</v>
      </c>
      <c r="AB454" s="146" t="str">
        <f>IF(テーブル2[[#This Row],[学年]]=1,12,IF(テーブル2[[#This Row],[学年]]=2,13,IF(テーブル2[[#This Row],[学年]]=3,14,"")))</f>
        <v/>
      </c>
      <c r="AC454" s="192" t="str">
        <f>IF(テーブル2[[#This Row],[肥満度数値]]=0,"",LOOKUP(AE454,$AW$39:$AW$44,$AX$39:$AX$44))</f>
        <v/>
      </c>
      <c r="AD45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4" s="77">
        <f>IF(テーブル2[[#This Row],[体重]]="",0,(テーブル2[[#This Row],[体重]]-テーブル2[[#This Row],[標準体重]])/テーブル2[[#This Row],[標準体重]]*100)</f>
        <v>0</v>
      </c>
      <c r="AF454" s="26">
        <f>COUNTA(テーブル2[[#This Row],[握力]:[ボール投げ]])</f>
        <v>0</v>
      </c>
      <c r="AG454" s="1" t="str">
        <f>IF(テーブル2[[#This Row],[判定]]=$BE$10,"○","")</f>
        <v/>
      </c>
      <c r="AH454" s="1" t="str">
        <f>IF(AG454="","",COUNTIF($AG$6:AG454,"○"))</f>
        <v/>
      </c>
    </row>
    <row r="455" spans="1:34" ht="14.25" customHeight="1" x14ac:dyDescent="0.15">
      <c r="A455" s="44">
        <v>450</v>
      </c>
      <c r="B455" s="148"/>
      <c r="C455" s="151"/>
      <c r="D455" s="148"/>
      <c r="E455" s="152"/>
      <c r="F455" s="148"/>
      <c r="G455" s="148"/>
      <c r="H455" s="150"/>
      <c r="I455" s="150"/>
      <c r="J455" s="151"/>
      <c r="K455" s="148"/>
      <c r="L455" s="196"/>
      <c r="M455" s="151"/>
      <c r="N455" s="197"/>
      <c r="O455" s="151"/>
      <c r="P455" s="153"/>
      <c r="Q45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5" s="144" t="str">
        <f>IF(テーブル2[[#This Row],[得点]]=0,"",IF(テーブル2[[#This Row],[年齢]]=17,LOOKUP(Q455,$BH$6:$BH$10,$BE$6:$BE$10),IF(テーブル2[[#This Row],[年齢]]=16,LOOKUP(Q455,$BG$6:$BG$10,$BE$6:$BE$10),IF(テーブル2[[#This Row],[年齢]]=15,LOOKUP(Q455,$BF$6:$BF$10,$BE$6:$BE$10),IF(テーブル2[[#This Row],[年齢]]=14,LOOKUP(Q455,$BD$6:$BD$10,$BE$6:$BE$10),IF(テーブル2[[#This Row],[年齢]]=13,LOOKUP(Q455,$BC$6:$BC$10,$BE$6:$BE$10),LOOKUP(Q455,$BB$6:$BB$10,$BE$6:$BE$10)))))))</f>
        <v/>
      </c>
      <c r="S455" s="145">
        <f>IF(H455="",0,(IF(テーブル2[[#This Row],[性別]]="男",LOOKUP(テーブル2[[#This Row],[握力]],$AI$6:$AJ$15),LOOKUP(テーブル2[[#This Row],[握力]],$AI$20:$AJ$29))))</f>
        <v>0</v>
      </c>
      <c r="T455" s="145">
        <f>IF(テーブル2[[#This Row],[上体]]="",0,(IF(テーブル2[[#This Row],[性別]]="男",LOOKUP(テーブル2[[#This Row],[上体]],$AK$6:$AL$15),LOOKUP(テーブル2[[#This Row],[上体]],$AK$20:$AL$29))))</f>
        <v>0</v>
      </c>
      <c r="U455" s="145">
        <f>IF(テーブル2[[#This Row],[長座]]="",0,(IF(テーブル2[[#This Row],[性別]]="男",LOOKUP(テーブル2[[#This Row],[長座]],$AM$6:$AN$15),LOOKUP(テーブル2[[#This Row],[長座]],$AM$20:$AN$29))))</f>
        <v>0</v>
      </c>
      <c r="V455" s="145">
        <f>IF(テーブル2[[#This Row],[反復]]="",0,(IF(テーブル2[[#This Row],[性別]]="男",LOOKUP(テーブル2[[#This Row],[反復]],$AO$6:$AP$15),LOOKUP(テーブル2[[#This Row],[反復]],$AO$20:$AP$29))))</f>
        <v>0</v>
      </c>
      <c r="W455" s="145">
        <f>IF(テーブル2[[#This Row],[持久走]]="",0,(IF(テーブル2[[#This Row],[性別]]="男",LOOKUP(テーブル2[[#This Row],[持久走]],$AQ$6:$AR$15),LOOKUP(テーブル2[[#This Row],[持久走]],$AQ$20:$AR$29))))</f>
        <v>0</v>
      </c>
      <c r="X455" s="145">
        <f>IF(テーブル2[[#This Row],[ｼｬﾄﾙﾗﾝ]]="",0,(IF(テーブル2[[#This Row],[性別]]="男",LOOKUP(テーブル2[[#This Row],[ｼｬﾄﾙﾗﾝ]],$AS$6:$AT$15),LOOKUP(テーブル2[[#This Row],[ｼｬﾄﾙﾗﾝ]],$AS$20:$AT$29))))</f>
        <v>0</v>
      </c>
      <c r="Y455" s="145">
        <f>IF(テーブル2[[#This Row],[50m走]]="",0,(IF(テーブル2[[#This Row],[性別]]="男",LOOKUP(テーブル2[[#This Row],[50m走]],$AU$6:$AV$15),LOOKUP(テーブル2[[#This Row],[50m走]],$AU$20:$AV$29))))</f>
        <v>0</v>
      </c>
      <c r="Z455" s="145">
        <f>IF(テーブル2[[#This Row],[立幅とび]]="",0,(IF(テーブル2[[#This Row],[性別]]="男",LOOKUP(テーブル2[[#This Row],[立幅とび]],$AW$6:$AX$15),LOOKUP(テーブル2[[#This Row],[立幅とび]],$AW$20:$AX$29))))</f>
        <v>0</v>
      </c>
      <c r="AA455" s="145">
        <f>IF(テーブル2[[#This Row],[ボール投げ]]="",0,(IF(テーブル2[[#This Row],[性別]]="男",LOOKUP(テーブル2[[#This Row],[ボール投げ]],$AY$6:$AZ$15),LOOKUP(テーブル2[[#This Row],[ボール投げ]],$AY$20:$AZ$29))))</f>
        <v>0</v>
      </c>
      <c r="AB455" s="146" t="str">
        <f>IF(テーブル2[[#This Row],[学年]]=1,12,IF(テーブル2[[#This Row],[学年]]=2,13,IF(テーブル2[[#This Row],[学年]]=3,14,"")))</f>
        <v/>
      </c>
      <c r="AC455" s="192" t="str">
        <f>IF(テーブル2[[#This Row],[肥満度数値]]=0,"",LOOKUP(AE455,$AW$39:$AW$44,$AX$39:$AX$44))</f>
        <v/>
      </c>
      <c r="AD45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5" s="77">
        <f>IF(テーブル2[[#This Row],[体重]]="",0,(テーブル2[[#This Row],[体重]]-テーブル2[[#This Row],[標準体重]])/テーブル2[[#This Row],[標準体重]]*100)</f>
        <v>0</v>
      </c>
      <c r="AF455" s="26">
        <f>COUNTA(テーブル2[[#This Row],[握力]:[ボール投げ]])</f>
        <v>0</v>
      </c>
      <c r="AG455" s="1" t="str">
        <f>IF(テーブル2[[#This Row],[判定]]=$BE$10,"○","")</f>
        <v/>
      </c>
      <c r="AH455" s="1" t="str">
        <f>IF(AG455="","",COUNTIF($AG$6:AG455,"○"))</f>
        <v/>
      </c>
    </row>
    <row r="456" spans="1:34" ht="14.25" customHeight="1" x14ac:dyDescent="0.15">
      <c r="A456" s="44">
        <v>451</v>
      </c>
      <c r="B456" s="148"/>
      <c r="C456" s="151"/>
      <c r="D456" s="148"/>
      <c r="E456" s="152"/>
      <c r="F456" s="148"/>
      <c r="G456" s="148"/>
      <c r="H456" s="150"/>
      <c r="I456" s="150"/>
      <c r="J456" s="151"/>
      <c r="K456" s="148"/>
      <c r="L456" s="196"/>
      <c r="M456" s="151"/>
      <c r="N456" s="197"/>
      <c r="O456" s="151"/>
      <c r="P456" s="153"/>
      <c r="Q45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6" s="144" t="str">
        <f>IF(テーブル2[[#This Row],[得点]]=0,"",IF(テーブル2[[#This Row],[年齢]]=17,LOOKUP(Q456,$BH$6:$BH$10,$BE$6:$BE$10),IF(テーブル2[[#This Row],[年齢]]=16,LOOKUP(Q456,$BG$6:$BG$10,$BE$6:$BE$10),IF(テーブル2[[#This Row],[年齢]]=15,LOOKUP(Q456,$BF$6:$BF$10,$BE$6:$BE$10),IF(テーブル2[[#This Row],[年齢]]=14,LOOKUP(Q456,$BD$6:$BD$10,$BE$6:$BE$10),IF(テーブル2[[#This Row],[年齢]]=13,LOOKUP(Q456,$BC$6:$BC$10,$BE$6:$BE$10),LOOKUP(Q456,$BB$6:$BB$10,$BE$6:$BE$10)))))))</f>
        <v/>
      </c>
      <c r="S456" s="145">
        <f>IF(H456="",0,(IF(テーブル2[[#This Row],[性別]]="男",LOOKUP(テーブル2[[#This Row],[握力]],$AI$6:$AJ$15),LOOKUP(テーブル2[[#This Row],[握力]],$AI$20:$AJ$29))))</f>
        <v>0</v>
      </c>
      <c r="T456" s="145">
        <f>IF(テーブル2[[#This Row],[上体]]="",0,(IF(テーブル2[[#This Row],[性別]]="男",LOOKUP(テーブル2[[#This Row],[上体]],$AK$6:$AL$15),LOOKUP(テーブル2[[#This Row],[上体]],$AK$20:$AL$29))))</f>
        <v>0</v>
      </c>
      <c r="U456" s="145">
        <f>IF(テーブル2[[#This Row],[長座]]="",0,(IF(テーブル2[[#This Row],[性別]]="男",LOOKUP(テーブル2[[#This Row],[長座]],$AM$6:$AN$15),LOOKUP(テーブル2[[#This Row],[長座]],$AM$20:$AN$29))))</f>
        <v>0</v>
      </c>
      <c r="V456" s="145">
        <f>IF(テーブル2[[#This Row],[反復]]="",0,(IF(テーブル2[[#This Row],[性別]]="男",LOOKUP(テーブル2[[#This Row],[反復]],$AO$6:$AP$15),LOOKUP(テーブル2[[#This Row],[反復]],$AO$20:$AP$29))))</f>
        <v>0</v>
      </c>
      <c r="W456" s="145">
        <f>IF(テーブル2[[#This Row],[持久走]]="",0,(IF(テーブル2[[#This Row],[性別]]="男",LOOKUP(テーブル2[[#This Row],[持久走]],$AQ$6:$AR$15),LOOKUP(テーブル2[[#This Row],[持久走]],$AQ$20:$AR$29))))</f>
        <v>0</v>
      </c>
      <c r="X456" s="145">
        <f>IF(テーブル2[[#This Row],[ｼｬﾄﾙﾗﾝ]]="",0,(IF(テーブル2[[#This Row],[性別]]="男",LOOKUP(テーブル2[[#This Row],[ｼｬﾄﾙﾗﾝ]],$AS$6:$AT$15),LOOKUP(テーブル2[[#This Row],[ｼｬﾄﾙﾗﾝ]],$AS$20:$AT$29))))</f>
        <v>0</v>
      </c>
      <c r="Y456" s="145">
        <f>IF(テーブル2[[#This Row],[50m走]]="",0,(IF(テーブル2[[#This Row],[性別]]="男",LOOKUP(テーブル2[[#This Row],[50m走]],$AU$6:$AV$15),LOOKUP(テーブル2[[#This Row],[50m走]],$AU$20:$AV$29))))</f>
        <v>0</v>
      </c>
      <c r="Z456" s="145">
        <f>IF(テーブル2[[#This Row],[立幅とび]]="",0,(IF(テーブル2[[#This Row],[性別]]="男",LOOKUP(テーブル2[[#This Row],[立幅とび]],$AW$6:$AX$15),LOOKUP(テーブル2[[#This Row],[立幅とび]],$AW$20:$AX$29))))</f>
        <v>0</v>
      </c>
      <c r="AA456" s="145">
        <f>IF(テーブル2[[#This Row],[ボール投げ]]="",0,(IF(テーブル2[[#This Row],[性別]]="男",LOOKUP(テーブル2[[#This Row],[ボール投げ]],$AY$6:$AZ$15),LOOKUP(テーブル2[[#This Row],[ボール投げ]],$AY$20:$AZ$29))))</f>
        <v>0</v>
      </c>
      <c r="AB456" s="146" t="str">
        <f>IF(テーブル2[[#This Row],[学年]]=1,12,IF(テーブル2[[#This Row],[学年]]=2,13,IF(テーブル2[[#This Row],[学年]]=3,14,"")))</f>
        <v/>
      </c>
      <c r="AC456" s="192" t="str">
        <f>IF(テーブル2[[#This Row],[肥満度数値]]=0,"",LOOKUP(AE456,$AW$39:$AW$44,$AX$39:$AX$44))</f>
        <v/>
      </c>
      <c r="AD45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6" s="77">
        <f>IF(テーブル2[[#This Row],[体重]]="",0,(テーブル2[[#This Row],[体重]]-テーブル2[[#This Row],[標準体重]])/テーブル2[[#This Row],[標準体重]]*100)</f>
        <v>0</v>
      </c>
      <c r="AF456" s="26">
        <f>COUNTA(テーブル2[[#This Row],[握力]:[ボール投げ]])</f>
        <v>0</v>
      </c>
      <c r="AG456" s="1" t="str">
        <f>IF(テーブル2[[#This Row],[判定]]=$BE$10,"○","")</f>
        <v/>
      </c>
      <c r="AH456" s="1" t="str">
        <f>IF(AG456="","",COUNTIF($AG$6:AG456,"○"))</f>
        <v/>
      </c>
    </row>
    <row r="457" spans="1:34" ht="14.25" customHeight="1" x14ac:dyDescent="0.15">
      <c r="A457" s="44">
        <v>452</v>
      </c>
      <c r="B457" s="148"/>
      <c r="C457" s="151"/>
      <c r="D457" s="148"/>
      <c r="E457" s="152"/>
      <c r="F457" s="148"/>
      <c r="G457" s="148"/>
      <c r="H457" s="150"/>
      <c r="I457" s="150"/>
      <c r="J457" s="151"/>
      <c r="K457" s="148"/>
      <c r="L457" s="196"/>
      <c r="M457" s="151"/>
      <c r="N457" s="197"/>
      <c r="O457" s="151"/>
      <c r="P457" s="153"/>
      <c r="Q45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7" s="144" t="str">
        <f>IF(テーブル2[[#This Row],[得点]]=0,"",IF(テーブル2[[#This Row],[年齢]]=17,LOOKUP(Q457,$BH$6:$BH$10,$BE$6:$BE$10),IF(テーブル2[[#This Row],[年齢]]=16,LOOKUP(Q457,$BG$6:$BG$10,$BE$6:$BE$10),IF(テーブル2[[#This Row],[年齢]]=15,LOOKUP(Q457,$BF$6:$BF$10,$BE$6:$BE$10),IF(テーブル2[[#This Row],[年齢]]=14,LOOKUP(Q457,$BD$6:$BD$10,$BE$6:$BE$10),IF(テーブル2[[#This Row],[年齢]]=13,LOOKUP(Q457,$BC$6:$BC$10,$BE$6:$BE$10),LOOKUP(Q457,$BB$6:$BB$10,$BE$6:$BE$10)))))))</f>
        <v/>
      </c>
      <c r="S457" s="145">
        <f>IF(H457="",0,(IF(テーブル2[[#This Row],[性別]]="男",LOOKUP(テーブル2[[#This Row],[握力]],$AI$6:$AJ$15),LOOKUP(テーブル2[[#This Row],[握力]],$AI$20:$AJ$29))))</f>
        <v>0</v>
      </c>
      <c r="T457" s="145">
        <f>IF(テーブル2[[#This Row],[上体]]="",0,(IF(テーブル2[[#This Row],[性別]]="男",LOOKUP(テーブル2[[#This Row],[上体]],$AK$6:$AL$15),LOOKUP(テーブル2[[#This Row],[上体]],$AK$20:$AL$29))))</f>
        <v>0</v>
      </c>
      <c r="U457" s="145">
        <f>IF(テーブル2[[#This Row],[長座]]="",0,(IF(テーブル2[[#This Row],[性別]]="男",LOOKUP(テーブル2[[#This Row],[長座]],$AM$6:$AN$15),LOOKUP(テーブル2[[#This Row],[長座]],$AM$20:$AN$29))))</f>
        <v>0</v>
      </c>
      <c r="V457" s="145">
        <f>IF(テーブル2[[#This Row],[反復]]="",0,(IF(テーブル2[[#This Row],[性別]]="男",LOOKUP(テーブル2[[#This Row],[反復]],$AO$6:$AP$15),LOOKUP(テーブル2[[#This Row],[反復]],$AO$20:$AP$29))))</f>
        <v>0</v>
      </c>
      <c r="W457" s="145">
        <f>IF(テーブル2[[#This Row],[持久走]]="",0,(IF(テーブル2[[#This Row],[性別]]="男",LOOKUP(テーブル2[[#This Row],[持久走]],$AQ$6:$AR$15),LOOKUP(テーブル2[[#This Row],[持久走]],$AQ$20:$AR$29))))</f>
        <v>0</v>
      </c>
      <c r="X457" s="145">
        <f>IF(テーブル2[[#This Row],[ｼｬﾄﾙﾗﾝ]]="",0,(IF(テーブル2[[#This Row],[性別]]="男",LOOKUP(テーブル2[[#This Row],[ｼｬﾄﾙﾗﾝ]],$AS$6:$AT$15),LOOKUP(テーブル2[[#This Row],[ｼｬﾄﾙﾗﾝ]],$AS$20:$AT$29))))</f>
        <v>0</v>
      </c>
      <c r="Y457" s="145">
        <f>IF(テーブル2[[#This Row],[50m走]]="",0,(IF(テーブル2[[#This Row],[性別]]="男",LOOKUP(テーブル2[[#This Row],[50m走]],$AU$6:$AV$15),LOOKUP(テーブル2[[#This Row],[50m走]],$AU$20:$AV$29))))</f>
        <v>0</v>
      </c>
      <c r="Z457" s="145">
        <f>IF(テーブル2[[#This Row],[立幅とび]]="",0,(IF(テーブル2[[#This Row],[性別]]="男",LOOKUP(テーブル2[[#This Row],[立幅とび]],$AW$6:$AX$15),LOOKUP(テーブル2[[#This Row],[立幅とび]],$AW$20:$AX$29))))</f>
        <v>0</v>
      </c>
      <c r="AA457" s="145">
        <f>IF(テーブル2[[#This Row],[ボール投げ]]="",0,(IF(テーブル2[[#This Row],[性別]]="男",LOOKUP(テーブル2[[#This Row],[ボール投げ]],$AY$6:$AZ$15),LOOKUP(テーブル2[[#This Row],[ボール投げ]],$AY$20:$AZ$29))))</f>
        <v>0</v>
      </c>
      <c r="AB457" s="146" t="str">
        <f>IF(テーブル2[[#This Row],[学年]]=1,12,IF(テーブル2[[#This Row],[学年]]=2,13,IF(テーブル2[[#This Row],[学年]]=3,14,"")))</f>
        <v/>
      </c>
      <c r="AC457" s="192" t="str">
        <f>IF(テーブル2[[#This Row],[肥満度数値]]=0,"",LOOKUP(AE457,$AW$39:$AW$44,$AX$39:$AX$44))</f>
        <v/>
      </c>
      <c r="AD45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7" s="77">
        <f>IF(テーブル2[[#This Row],[体重]]="",0,(テーブル2[[#This Row],[体重]]-テーブル2[[#This Row],[標準体重]])/テーブル2[[#This Row],[標準体重]]*100)</f>
        <v>0</v>
      </c>
      <c r="AF457" s="26">
        <f>COUNTA(テーブル2[[#This Row],[握力]:[ボール投げ]])</f>
        <v>0</v>
      </c>
      <c r="AG457" s="1" t="str">
        <f>IF(テーブル2[[#This Row],[判定]]=$BE$10,"○","")</f>
        <v/>
      </c>
      <c r="AH457" s="1" t="str">
        <f>IF(AG457="","",COUNTIF($AG$6:AG457,"○"))</f>
        <v/>
      </c>
    </row>
    <row r="458" spans="1:34" ht="14.25" customHeight="1" x14ac:dyDescent="0.15">
      <c r="A458" s="44">
        <v>453</v>
      </c>
      <c r="B458" s="148"/>
      <c r="C458" s="151"/>
      <c r="D458" s="148"/>
      <c r="E458" s="152"/>
      <c r="F458" s="148"/>
      <c r="G458" s="148"/>
      <c r="H458" s="150"/>
      <c r="I458" s="150"/>
      <c r="J458" s="151"/>
      <c r="K458" s="148"/>
      <c r="L458" s="196"/>
      <c r="M458" s="151"/>
      <c r="N458" s="197"/>
      <c r="O458" s="151"/>
      <c r="P458" s="153"/>
      <c r="Q45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8" s="144" t="str">
        <f>IF(テーブル2[[#This Row],[得点]]=0,"",IF(テーブル2[[#This Row],[年齢]]=17,LOOKUP(Q458,$BH$6:$BH$10,$BE$6:$BE$10),IF(テーブル2[[#This Row],[年齢]]=16,LOOKUP(Q458,$BG$6:$BG$10,$BE$6:$BE$10),IF(テーブル2[[#This Row],[年齢]]=15,LOOKUP(Q458,$BF$6:$BF$10,$BE$6:$BE$10),IF(テーブル2[[#This Row],[年齢]]=14,LOOKUP(Q458,$BD$6:$BD$10,$BE$6:$BE$10),IF(テーブル2[[#This Row],[年齢]]=13,LOOKUP(Q458,$BC$6:$BC$10,$BE$6:$BE$10),LOOKUP(Q458,$BB$6:$BB$10,$BE$6:$BE$10)))))))</f>
        <v/>
      </c>
      <c r="S458" s="145">
        <f>IF(H458="",0,(IF(テーブル2[[#This Row],[性別]]="男",LOOKUP(テーブル2[[#This Row],[握力]],$AI$6:$AJ$15),LOOKUP(テーブル2[[#This Row],[握力]],$AI$20:$AJ$29))))</f>
        <v>0</v>
      </c>
      <c r="T458" s="145">
        <f>IF(テーブル2[[#This Row],[上体]]="",0,(IF(テーブル2[[#This Row],[性別]]="男",LOOKUP(テーブル2[[#This Row],[上体]],$AK$6:$AL$15),LOOKUP(テーブル2[[#This Row],[上体]],$AK$20:$AL$29))))</f>
        <v>0</v>
      </c>
      <c r="U458" s="145">
        <f>IF(テーブル2[[#This Row],[長座]]="",0,(IF(テーブル2[[#This Row],[性別]]="男",LOOKUP(テーブル2[[#This Row],[長座]],$AM$6:$AN$15),LOOKUP(テーブル2[[#This Row],[長座]],$AM$20:$AN$29))))</f>
        <v>0</v>
      </c>
      <c r="V458" s="145">
        <f>IF(テーブル2[[#This Row],[反復]]="",0,(IF(テーブル2[[#This Row],[性別]]="男",LOOKUP(テーブル2[[#This Row],[反復]],$AO$6:$AP$15),LOOKUP(テーブル2[[#This Row],[反復]],$AO$20:$AP$29))))</f>
        <v>0</v>
      </c>
      <c r="W458" s="145">
        <f>IF(テーブル2[[#This Row],[持久走]]="",0,(IF(テーブル2[[#This Row],[性別]]="男",LOOKUP(テーブル2[[#This Row],[持久走]],$AQ$6:$AR$15),LOOKUP(テーブル2[[#This Row],[持久走]],$AQ$20:$AR$29))))</f>
        <v>0</v>
      </c>
      <c r="X458" s="145">
        <f>IF(テーブル2[[#This Row],[ｼｬﾄﾙﾗﾝ]]="",0,(IF(テーブル2[[#This Row],[性別]]="男",LOOKUP(テーブル2[[#This Row],[ｼｬﾄﾙﾗﾝ]],$AS$6:$AT$15),LOOKUP(テーブル2[[#This Row],[ｼｬﾄﾙﾗﾝ]],$AS$20:$AT$29))))</f>
        <v>0</v>
      </c>
      <c r="Y458" s="145">
        <f>IF(テーブル2[[#This Row],[50m走]]="",0,(IF(テーブル2[[#This Row],[性別]]="男",LOOKUP(テーブル2[[#This Row],[50m走]],$AU$6:$AV$15),LOOKUP(テーブル2[[#This Row],[50m走]],$AU$20:$AV$29))))</f>
        <v>0</v>
      </c>
      <c r="Z458" s="145">
        <f>IF(テーブル2[[#This Row],[立幅とび]]="",0,(IF(テーブル2[[#This Row],[性別]]="男",LOOKUP(テーブル2[[#This Row],[立幅とび]],$AW$6:$AX$15),LOOKUP(テーブル2[[#This Row],[立幅とび]],$AW$20:$AX$29))))</f>
        <v>0</v>
      </c>
      <c r="AA458" s="145">
        <f>IF(テーブル2[[#This Row],[ボール投げ]]="",0,(IF(テーブル2[[#This Row],[性別]]="男",LOOKUP(テーブル2[[#This Row],[ボール投げ]],$AY$6:$AZ$15),LOOKUP(テーブル2[[#This Row],[ボール投げ]],$AY$20:$AZ$29))))</f>
        <v>0</v>
      </c>
      <c r="AB458" s="146" t="str">
        <f>IF(テーブル2[[#This Row],[学年]]=1,12,IF(テーブル2[[#This Row],[学年]]=2,13,IF(テーブル2[[#This Row],[学年]]=3,14,"")))</f>
        <v/>
      </c>
      <c r="AC458" s="192" t="str">
        <f>IF(テーブル2[[#This Row],[肥満度数値]]=0,"",LOOKUP(AE458,$AW$39:$AW$44,$AX$39:$AX$44))</f>
        <v/>
      </c>
      <c r="AD45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8" s="77">
        <f>IF(テーブル2[[#This Row],[体重]]="",0,(テーブル2[[#This Row],[体重]]-テーブル2[[#This Row],[標準体重]])/テーブル2[[#This Row],[標準体重]]*100)</f>
        <v>0</v>
      </c>
      <c r="AF458" s="26">
        <f>COUNTA(テーブル2[[#This Row],[握力]:[ボール投げ]])</f>
        <v>0</v>
      </c>
      <c r="AG458" s="1" t="str">
        <f>IF(テーブル2[[#This Row],[判定]]=$BE$10,"○","")</f>
        <v/>
      </c>
      <c r="AH458" s="1" t="str">
        <f>IF(AG458="","",COUNTIF($AG$6:AG458,"○"))</f>
        <v/>
      </c>
    </row>
    <row r="459" spans="1:34" ht="14.25" customHeight="1" x14ac:dyDescent="0.15">
      <c r="A459" s="44">
        <v>454</v>
      </c>
      <c r="B459" s="148"/>
      <c r="C459" s="151"/>
      <c r="D459" s="148"/>
      <c r="E459" s="152"/>
      <c r="F459" s="148"/>
      <c r="G459" s="148"/>
      <c r="H459" s="150"/>
      <c r="I459" s="150"/>
      <c r="J459" s="151"/>
      <c r="K459" s="148"/>
      <c r="L459" s="196"/>
      <c r="M459" s="151"/>
      <c r="N459" s="197"/>
      <c r="O459" s="151"/>
      <c r="P459" s="153"/>
      <c r="Q45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9" s="144" t="str">
        <f>IF(テーブル2[[#This Row],[得点]]=0,"",IF(テーブル2[[#This Row],[年齢]]=17,LOOKUP(Q459,$BH$6:$BH$10,$BE$6:$BE$10),IF(テーブル2[[#This Row],[年齢]]=16,LOOKUP(Q459,$BG$6:$BG$10,$BE$6:$BE$10),IF(テーブル2[[#This Row],[年齢]]=15,LOOKUP(Q459,$BF$6:$BF$10,$BE$6:$BE$10),IF(テーブル2[[#This Row],[年齢]]=14,LOOKUP(Q459,$BD$6:$BD$10,$BE$6:$BE$10),IF(テーブル2[[#This Row],[年齢]]=13,LOOKUP(Q459,$BC$6:$BC$10,$BE$6:$BE$10),LOOKUP(Q459,$BB$6:$BB$10,$BE$6:$BE$10)))))))</f>
        <v/>
      </c>
      <c r="S459" s="145">
        <f>IF(H459="",0,(IF(テーブル2[[#This Row],[性別]]="男",LOOKUP(テーブル2[[#This Row],[握力]],$AI$6:$AJ$15),LOOKUP(テーブル2[[#This Row],[握力]],$AI$20:$AJ$29))))</f>
        <v>0</v>
      </c>
      <c r="T459" s="145">
        <f>IF(テーブル2[[#This Row],[上体]]="",0,(IF(テーブル2[[#This Row],[性別]]="男",LOOKUP(テーブル2[[#This Row],[上体]],$AK$6:$AL$15),LOOKUP(テーブル2[[#This Row],[上体]],$AK$20:$AL$29))))</f>
        <v>0</v>
      </c>
      <c r="U459" s="145">
        <f>IF(テーブル2[[#This Row],[長座]]="",0,(IF(テーブル2[[#This Row],[性別]]="男",LOOKUP(テーブル2[[#This Row],[長座]],$AM$6:$AN$15),LOOKUP(テーブル2[[#This Row],[長座]],$AM$20:$AN$29))))</f>
        <v>0</v>
      </c>
      <c r="V459" s="145">
        <f>IF(テーブル2[[#This Row],[反復]]="",0,(IF(テーブル2[[#This Row],[性別]]="男",LOOKUP(テーブル2[[#This Row],[反復]],$AO$6:$AP$15),LOOKUP(テーブル2[[#This Row],[反復]],$AO$20:$AP$29))))</f>
        <v>0</v>
      </c>
      <c r="W459" s="145">
        <f>IF(テーブル2[[#This Row],[持久走]]="",0,(IF(テーブル2[[#This Row],[性別]]="男",LOOKUP(テーブル2[[#This Row],[持久走]],$AQ$6:$AR$15),LOOKUP(テーブル2[[#This Row],[持久走]],$AQ$20:$AR$29))))</f>
        <v>0</v>
      </c>
      <c r="X459" s="145">
        <f>IF(テーブル2[[#This Row],[ｼｬﾄﾙﾗﾝ]]="",0,(IF(テーブル2[[#This Row],[性別]]="男",LOOKUP(テーブル2[[#This Row],[ｼｬﾄﾙﾗﾝ]],$AS$6:$AT$15),LOOKUP(テーブル2[[#This Row],[ｼｬﾄﾙﾗﾝ]],$AS$20:$AT$29))))</f>
        <v>0</v>
      </c>
      <c r="Y459" s="145">
        <f>IF(テーブル2[[#This Row],[50m走]]="",0,(IF(テーブル2[[#This Row],[性別]]="男",LOOKUP(テーブル2[[#This Row],[50m走]],$AU$6:$AV$15),LOOKUP(テーブル2[[#This Row],[50m走]],$AU$20:$AV$29))))</f>
        <v>0</v>
      </c>
      <c r="Z459" s="145">
        <f>IF(テーブル2[[#This Row],[立幅とび]]="",0,(IF(テーブル2[[#This Row],[性別]]="男",LOOKUP(テーブル2[[#This Row],[立幅とび]],$AW$6:$AX$15),LOOKUP(テーブル2[[#This Row],[立幅とび]],$AW$20:$AX$29))))</f>
        <v>0</v>
      </c>
      <c r="AA459" s="145">
        <f>IF(テーブル2[[#This Row],[ボール投げ]]="",0,(IF(テーブル2[[#This Row],[性別]]="男",LOOKUP(テーブル2[[#This Row],[ボール投げ]],$AY$6:$AZ$15),LOOKUP(テーブル2[[#This Row],[ボール投げ]],$AY$20:$AZ$29))))</f>
        <v>0</v>
      </c>
      <c r="AB459" s="146" t="str">
        <f>IF(テーブル2[[#This Row],[学年]]=1,12,IF(テーブル2[[#This Row],[学年]]=2,13,IF(テーブル2[[#This Row],[学年]]=3,14,"")))</f>
        <v/>
      </c>
      <c r="AC459" s="192" t="str">
        <f>IF(テーブル2[[#This Row],[肥満度数値]]=0,"",LOOKUP(AE459,$AW$39:$AW$44,$AX$39:$AX$44))</f>
        <v/>
      </c>
      <c r="AD45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59" s="77">
        <f>IF(テーブル2[[#This Row],[体重]]="",0,(テーブル2[[#This Row],[体重]]-テーブル2[[#This Row],[標準体重]])/テーブル2[[#This Row],[標準体重]]*100)</f>
        <v>0</v>
      </c>
      <c r="AF459" s="26">
        <f>COUNTA(テーブル2[[#This Row],[握力]:[ボール投げ]])</f>
        <v>0</v>
      </c>
      <c r="AG459" s="1" t="str">
        <f>IF(テーブル2[[#This Row],[判定]]=$BE$10,"○","")</f>
        <v/>
      </c>
      <c r="AH459" s="1" t="str">
        <f>IF(AG459="","",COUNTIF($AG$6:AG459,"○"))</f>
        <v/>
      </c>
    </row>
    <row r="460" spans="1:34" ht="14.25" customHeight="1" x14ac:dyDescent="0.15">
      <c r="A460" s="44">
        <v>455</v>
      </c>
      <c r="B460" s="148"/>
      <c r="C460" s="151"/>
      <c r="D460" s="148"/>
      <c r="E460" s="152"/>
      <c r="F460" s="148"/>
      <c r="G460" s="148"/>
      <c r="H460" s="150"/>
      <c r="I460" s="150"/>
      <c r="J460" s="151"/>
      <c r="K460" s="148"/>
      <c r="L460" s="196"/>
      <c r="M460" s="151"/>
      <c r="N460" s="197"/>
      <c r="O460" s="151"/>
      <c r="P460" s="153"/>
      <c r="Q46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0" s="144" t="str">
        <f>IF(テーブル2[[#This Row],[得点]]=0,"",IF(テーブル2[[#This Row],[年齢]]=17,LOOKUP(Q460,$BH$6:$BH$10,$BE$6:$BE$10),IF(テーブル2[[#This Row],[年齢]]=16,LOOKUP(Q460,$BG$6:$BG$10,$BE$6:$BE$10),IF(テーブル2[[#This Row],[年齢]]=15,LOOKUP(Q460,$BF$6:$BF$10,$BE$6:$BE$10),IF(テーブル2[[#This Row],[年齢]]=14,LOOKUP(Q460,$BD$6:$BD$10,$BE$6:$BE$10),IF(テーブル2[[#This Row],[年齢]]=13,LOOKUP(Q460,$BC$6:$BC$10,$BE$6:$BE$10),LOOKUP(Q460,$BB$6:$BB$10,$BE$6:$BE$10)))))))</f>
        <v/>
      </c>
      <c r="S460" s="145">
        <f>IF(H460="",0,(IF(テーブル2[[#This Row],[性別]]="男",LOOKUP(テーブル2[[#This Row],[握力]],$AI$6:$AJ$15),LOOKUP(テーブル2[[#This Row],[握力]],$AI$20:$AJ$29))))</f>
        <v>0</v>
      </c>
      <c r="T460" s="145">
        <f>IF(テーブル2[[#This Row],[上体]]="",0,(IF(テーブル2[[#This Row],[性別]]="男",LOOKUP(テーブル2[[#This Row],[上体]],$AK$6:$AL$15),LOOKUP(テーブル2[[#This Row],[上体]],$AK$20:$AL$29))))</f>
        <v>0</v>
      </c>
      <c r="U460" s="145">
        <f>IF(テーブル2[[#This Row],[長座]]="",0,(IF(テーブル2[[#This Row],[性別]]="男",LOOKUP(テーブル2[[#This Row],[長座]],$AM$6:$AN$15),LOOKUP(テーブル2[[#This Row],[長座]],$AM$20:$AN$29))))</f>
        <v>0</v>
      </c>
      <c r="V460" s="145">
        <f>IF(テーブル2[[#This Row],[反復]]="",0,(IF(テーブル2[[#This Row],[性別]]="男",LOOKUP(テーブル2[[#This Row],[反復]],$AO$6:$AP$15),LOOKUP(テーブル2[[#This Row],[反復]],$AO$20:$AP$29))))</f>
        <v>0</v>
      </c>
      <c r="W460" s="145">
        <f>IF(テーブル2[[#This Row],[持久走]]="",0,(IF(テーブル2[[#This Row],[性別]]="男",LOOKUP(テーブル2[[#This Row],[持久走]],$AQ$6:$AR$15),LOOKUP(テーブル2[[#This Row],[持久走]],$AQ$20:$AR$29))))</f>
        <v>0</v>
      </c>
      <c r="X460" s="145">
        <f>IF(テーブル2[[#This Row],[ｼｬﾄﾙﾗﾝ]]="",0,(IF(テーブル2[[#This Row],[性別]]="男",LOOKUP(テーブル2[[#This Row],[ｼｬﾄﾙﾗﾝ]],$AS$6:$AT$15),LOOKUP(テーブル2[[#This Row],[ｼｬﾄﾙﾗﾝ]],$AS$20:$AT$29))))</f>
        <v>0</v>
      </c>
      <c r="Y460" s="145">
        <f>IF(テーブル2[[#This Row],[50m走]]="",0,(IF(テーブル2[[#This Row],[性別]]="男",LOOKUP(テーブル2[[#This Row],[50m走]],$AU$6:$AV$15),LOOKUP(テーブル2[[#This Row],[50m走]],$AU$20:$AV$29))))</f>
        <v>0</v>
      </c>
      <c r="Z460" s="145">
        <f>IF(テーブル2[[#This Row],[立幅とび]]="",0,(IF(テーブル2[[#This Row],[性別]]="男",LOOKUP(テーブル2[[#This Row],[立幅とび]],$AW$6:$AX$15),LOOKUP(テーブル2[[#This Row],[立幅とび]],$AW$20:$AX$29))))</f>
        <v>0</v>
      </c>
      <c r="AA460" s="145">
        <f>IF(テーブル2[[#This Row],[ボール投げ]]="",0,(IF(テーブル2[[#This Row],[性別]]="男",LOOKUP(テーブル2[[#This Row],[ボール投げ]],$AY$6:$AZ$15),LOOKUP(テーブル2[[#This Row],[ボール投げ]],$AY$20:$AZ$29))))</f>
        <v>0</v>
      </c>
      <c r="AB460" s="146" t="str">
        <f>IF(テーブル2[[#This Row],[学年]]=1,12,IF(テーブル2[[#This Row],[学年]]=2,13,IF(テーブル2[[#This Row],[学年]]=3,14,"")))</f>
        <v/>
      </c>
      <c r="AC460" s="192" t="str">
        <f>IF(テーブル2[[#This Row],[肥満度数値]]=0,"",LOOKUP(AE460,$AW$39:$AW$44,$AX$39:$AX$44))</f>
        <v/>
      </c>
      <c r="AD46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0" s="77">
        <f>IF(テーブル2[[#This Row],[体重]]="",0,(テーブル2[[#This Row],[体重]]-テーブル2[[#This Row],[標準体重]])/テーブル2[[#This Row],[標準体重]]*100)</f>
        <v>0</v>
      </c>
      <c r="AF460" s="26">
        <f>COUNTA(テーブル2[[#This Row],[握力]:[ボール投げ]])</f>
        <v>0</v>
      </c>
      <c r="AG460" s="1" t="str">
        <f>IF(テーブル2[[#This Row],[判定]]=$BE$10,"○","")</f>
        <v/>
      </c>
      <c r="AH460" s="1" t="str">
        <f>IF(AG460="","",COUNTIF($AG$6:AG460,"○"))</f>
        <v/>
      </c>
    </row>
    <row r="461" spans="1:34" ht="14.25" customHeight="1" x14ac:dyDescent="0.15">
      <c r="A461" s="44">
        <v>456</v>
      </c>
      <c r="B461" s="148"/>
      <c r="C461" s="151"/>
      <c r="D461" s="148"/>
      <c r="E461" s="152"/>
      <c r="F461" s="148"/>
      <c r="G461" s="148"/>
      <c r="H461" s="150"/>
      <c r="I461" s="150"/>
      <c r="J461" s="151"/>
      <c r="K461" s="148"/>
      <c r="L461" s="196"/>
      <c r="M461" s="151"/>
      <c r="N461" s="197"/>
      <c r="O461" s="151"/>
      <c r="P461" s="153"/>
      <c r="Q46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1" s="144" t="str">
        <f>IF(テーブル2[[#This Row],[得点]]=0,"",IF(テーブル2[[#This Row],[年齢]]=17,LOOKUP(Q461,$BH$6:$BH$10,$BE$6:$BE$10),IF(テーブル2[[#This Row],[年齢]]=16,LOOKUP(Q461,$BG$6:$BG$10,$BE$6:$BE$10),IF(テーブル2[[#This Row],[年齢]]=15,LOOKUP(Q461,$BF$6:$BF$10,$BE$6:$BE$10),IF(テーブル2[[#This Row],[年齢]]=14,LOOKUP(Q461,$BD$6:$BD$10,$BE$6:$BE$10),IF(テーブル2[[#This Row],[年齢]]=13,LOOKUP(Q461,$BC$6:$BC$10,$BE$6:$BE$10),LOOKUP(Q461,$BB$6:$BB$10,$BE$6:$BE$10)))))))</f>
        <v/>
      </c>
      <c r="S461" s="145">
        <f>IF(H461="",0,(IF(テーブル2[[#This Row],[性別]]="男",LOOKUP(テーブル2[[#This Row],[握力]],$AI$6:$AJ$15),LOOKUP(テーブル2[[#This Row],[握力]],$AI$20:$AJ$29))))</f>
        <v>0</v>
      </c>
      <c r="T461" s="145">
        <f>IF(テーブル2[[#This Row],[上体]]="",0,(IF(テーブル2[[#This Row],[性別]]="男",LOOKUP(テーブル2[[#This Row],[上体]],$AK$6:$AL$15),LOOKUP(テーブル2[[#This Row],[上体]],$AK$20:$AL$29))))</f>
        <v>0</v>
      </c>
      <c r="U461" s="145">
        <f>IF(テーブル2[[#This Row],[長座]]="",0,(IF(テーブル2[[#This Row],[性別]]="男",LOOKUP(テーブル2[[#This Row],[長座]],$AM$6:$AN$15),LOOKUP(テーブル2[[#This Row],[長座]],$AM$20:$AN$29))))</f>
        <v>0</v>
      </c>
      <c r="V461" s="145">
        <f>IF(テーブル2[[#This Row],[反復]]="",0,(IF(テーブル2[[#This Row],[性別]]="男",LOOKUP(テーブル2[[#This Row],[反復]],$AO$6:$AP$15),LOOKUP(テーブル2[[#This Row],[反復]],$AO$20:$AP$29))))</f>
        <v>0</v>
      </c>
      <c r="W461" s="145">
        <f>IF(テーブル2[[#This Row],[持久走]]="",0,(IF(テーブル2[[#This Row],[性別]]="男",LOOKUP(テーブル2[[#This Row],[持久走]],$AQ$6:$AR$15),LOOKUP(テーブル2[[#This Row],[持久走]],$AQ$20:$AR$29))))</f>
        <v>0</v>
      </c>
      <c r="X461" s="145">
        <f>IF(テーブル2[[#This Row],[ｼｬﾄﾙﾗﾝ]]="",0,(IF(テーブル2[[#This Row],[性別]]="男",LOOKUP(テーブル2[[#This Row],[ｼｬﾄﾙﾗﾝ]],$AS$6:$AT$15),LOOKUP(テーブル2[[#This Row],[ｼｬﾄﾙﾗﾝ]],$AS$20:$AT$29))))</f>
        <v>0</v>
      </c>
      <c r="Y461" s="145">
        <f>IF(テーブル2[[#This Row],[50m走]]="",0,(IF(テーブル2[[#This Row],[性別]]="男",LOOKUP(テーブル2[[#This Row],[50m走]],$AU$6:$AV$15),LOOKUP(テーブル2[[#This Row],[50m走]],$AU$20:$AV$29))))</f>
        <v>0</v>
      </c>
      <c r="Z461" s="145">
        <f>IF(テーブル2[[#This Row],[立幅とび]]="",0,(IF(テーブル2[[#This Row],[性別]]="男",LOOKUP(テーブル2[[#This Row],[立幅とび]],$AW$6:$AX$15),LOOKUP(テーブル2[[#This Row],[立幅とび]],$AW$20:$AX$29))))</f>
        <v>0</v>
      </c>
      <c r="AA461" s="145">
        <f>IF(テーブル2[[#This Row],[ボール投げ]]="",0,(IF(テーブル2[[#This Row],[性別]]="男",LOOKUP(テーブル2[[#This Row],[ボール投げ]],$AY$6:$AZ$15),LOOKUP(テーブル2[[#This Row],[ボール投げ]],$AY$20:$AZ$29))))</f>
        <v>0</v>
      </c>
      <c r="AB461" s="146" t="str">
        <f>IF(テーブル2[[#This Row],[学年]]=1,12,IF(テーブル2[[#This Row],[学年]]=2,13,IF(テーブル2[[#This Row],[学年]]=3,14,"")))</f>
        <v/>
      </c>
      <c r="AC461" s="192" t="str">
        <f>IF(テーブル2[[#This Row],[肥満度数値]]=0,"",LOOKUP(AE461,$AW$39:$AW$44,$AX$39:$AX$44))</f>
        <v/>
      </c>
      <c r="AD46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1" s="77">
        <f>IF(テーブル2[[#This Row],[体重]]="",0,(テーブル2[[#This Row],[体重]]-テーブル2[[#This Row],[標準体重]])/テーブル2[[#This Row],[標準体重]]*100)</f>
        <v>0</v>
      </c>
      <c r="AF461" s="26">
        <f>COUNTA(テーブル2[[#This Row],[握力]:[ボール投げ]])</f>
        <v>0</v>
      </c>
      <c r="AG461" s="1" t="str">
        <f>IF(テーブル2[[#This Row],[判定]]=$BE$10,"○","")</f>
        <v/>
      </c>
      <c r="AH461" s="1" t="str">
        <f>IF(AG461="","",COUNTIF($AG$6:AG461,"○"))</f>
        <v/>
      </c>
    </row>
    <row r="462" spans="1:34" ht="14.25" customHeight="1" x14ac:dyDescent="0.15">
      <c r="A462" s="44">
        <v>457</v>
      </c>
      <c r="B462" s="148"/>
      <c r="C462" s="151"/>
      <c r="D462" s="148"/>
      <c r="E462" s="152"/>
      <c r="F462" s="148"/>
      <c r="G462" s="148"/>
      <c r="H462" s="150"/>
      <c r="I462" s="150"/>
      <c r="J462" s="151"/>
      <c r="K462" s="148"/>
      <c r="L462" s="196"/>
      <c r="M462" s="151"/>
      <c r="N462" s="197"/>
      <c r="O462" s="151"/>
      <c r="P462" s="153"/>
      <c r="Q46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2" s="144" t="str">
        <f>IF(テーブル2[[#This Row],[得点]]=0,"",IF(テーブル2[[#This Row],[年齢]]=17,LOOKUP(Q462,$BH$6:$BH$10,$BE$6:$BE$10),IF(テーブル2[[#This Row],[年齢]]=16,LOOKUP(Q462,$BG$6:$BG$10,$BE$6:$BE$10),IF(テーブル2[[#This Row],[年齢]]=15,LOOKUP(Q462,$BF$6:$BF$10,$BE$6:$BE$10),IF(テーブル2[[#This Row],[年齢]]=14,LOOKUP(Q462,$BD$6:$BD$10,$BE$6:$BE$10),IF(テーブル2[[#This Row],[年齢]]=13,LOOKUP(Q462,$BC$6:$BC$10,$BE$6:$BE$10),LOOKUP(Q462,$BB$6:$BB$10,$BE$6:$BE$10)))))))</f>
        <v/>
      </c>
      <c r="S462" s="145">
        <f>IF(H462="",0,(IF(テーブル2[[#This Row],[性別]]="男",LOOKUP(テーブル2[[#This Row],[握力]],$AI$6:$AJ$15),LOOKUP(テーブル2[[#This Row],[握力]],$AI$20:$AJ$29))))</f>
        <v>0</v>
      </c>
      <c r="T462" s="145">
        <f>IF(テーブル2[[#This Row],[上体]]="",0,(IF(テーブル2[[#This Row],[性別]]="男",LOOKUP(テーブル2[[#This Row],[上体]],$AK$6:$AL$15),LOOKUP(テーブル2[[#This Row],[上体]],$AK$20:$AL$29))))</f>
        <v>0</v>
      </c>
      <c r="U462" s="145">
        <f>IF(テーブル2[[#This Row],[長座]]="",0,(IF(テーブル2[[#This Row],[性別]]="男",LOOKUP(テーブル2[[#This Row],[長座]],$AM$6:$AN$15),LOOKUP(テーブル2[[#This Row],[長座]],$AM$20:$AN$29))))</f>
        <v>0</v>
      </c>
      <c r="V462" s="145">
        <f>IF(テーブル2[[#This Row],[反復]]="",0,(IF(テーブル2[[#This Row],[性別]]="男",LOOKUP(テーブル2[[#This Row],[反復]],$AO$6:$AP$15),LOOKUP(テーブル2[[#This Row],[反復]],$AO$20:$AP$29))))</f>
        <v>0</v>
      </c>
      <c r="W462" s="145">
        <f>IF(テーブル2[[#This Row],[持久走]]="",0,(IF(テーブル2[[#This Row],[性別]]="男",LOOKUP(テーブル2[[#This Row],[持久走]],$AQ$6:$AR$15),LOOKUP(テーブル2[[#This Row],[持久走]],$AQ$20:$AR$29))))</f>
        <v>0</v>
      </c>
      <c r="X462" s="145">
        <f>IF(テーブル2[[#This Row],[ｼｬﾄﾙﾗﾝ]]="",0,(IF(テーブル2[[#This Row],[性別]]="男",LOOKUP(テーブル2[[#This Row],[ｼｬﾄﾙﾗﾝ]],$AS$6:$AT$15),LOOKUP(テーブル2[[#This Row],[ｼｬﾄﾙﾗﾝ]],$AS$20:$AT$29))))</f>
        <v>0</v>
      </c>
      <c r="Y462" s="145">
        <f>IF(テーブル2[[#This Row],[50m走]]="",0,(IF(テーブル2[[#This Row],[性別]]="男",LOOKUP(テーブル2[[#This Row],[50m走]],$AU$6:$AV$15),LOOKUP(テーブル2[[#This Row],[50m走]],$AU$20:$AV$29))))</f>
        <v>0</v>
      </c>
      <c r="Z462" s="145">
        <f>IF(テーブル2[[#This Row],[立幅とび]]="",0,(IF(テーブル2[[#This Row],[性別]]="男",LOOKUP(テーブル2[[#This Row],[立幅とび]],$AW$6:$AX$15),LOOKUP(テーブル2[[#This Row],[立幅とび]],$AW$20:$AX$29))))</f>
        <v>0</v>
      </c>
      <c r="AA462" s="145">
        <f>IF(テーブル2[[#This Row],[ボール投げ]]="",0,(IF(テーブル2[[#This Row],[性別]]="男",LOOKUP(テーブル2[[#This Row],[ボール投げ]],$AY$6:$AZ$15),LOOKUP(テーブル2[[#This Row],[ボール投げ]],$AY$20:$AZ$29))))</f>
        <v>0</v>
      </c>
      <c r="AB462" s="146" t="str">
        <f>IF(テーブル2[[#This Row],[学年]]=1,12,IF(テーブル2[[#This Row],[学年]]=2,13,IF(テーブル2[[#This Row],[学年]]=3,14,"")))</f>
        <v/>
      </c>
      <c r="AC462" s="192" t="str">
        <f>IF(テーブル2[[#This Row],[肥満度数値]]=0,"",LOOKUP(AE462,$AW$39:$AW$44,$AX$39:$AX$44))</f>
        <v/>
      </c>
      <c r="AD46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2" s="77">
        <f>IF(テーブル2[[#This Row],[体重]]="",0,(テーブル2[[#This Row],[体重]]-テーブル2[[#This Row],[標準体重]])/テーブル2[[#This Row],[標準体重]]*100)</f>
        <v>0</v>
      </c>
      <c r="AF462" s="26">
        <f>COUNTA(テーブル2[[#This Row],[握力]:[ボール投げ]])</f>
        <v>0</v>
      </c>
      <c r="AG462" s="1" t="str">
        <f>IF(テーブル2[[#This Row],[判定]]=$BE$10,"○","")</f>
        <v/>
      </c>
      <c r="AH462" s="1" t="str">
        <f>IF(AG462="","",COUNTIF($AG$6:AG462,"○"))</f>
        <v/>
      </c>
    </row>
    <row r="463" spans="1:34" ht="14.25" customHeight="1" x14ac:dyDescent="0.15">
      <c r="A463" s="44">
        <v>458</v>
      </c>
      <c r="B463" s="148"/>
      <c r="C463" s="151"/>
      <c r="D463" s="148"/>
      <c r="E463" s="152"/>
      <c r="F463" s="148"/>
      <c r="G463" s="148"/>
      <c r="H463" s="150"/>
      <c r="I463" s="150"/>
      <c r="J463" s="151"/>
      <c r="K463" s="148"/>
      <c r="L463" s="196"/>
      <c r="M463" s="151"/>
      <c r="N463" s="197"/>
      <c r="O463" s="151"/>
      <c r="P463" s="153"/>
      <c r="Q46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3" s="144" t="str">
        <f>IF(テーブル2[[#This Row],[得点]]=0,"",IF(テーブル2[[#This Row],[年齢]]=17,LOOKUP(Q463,$BH$6:$BH$10,$BE$6:$BE$10),IF(テーブル2[[#This Row],[年齢]]=16,LOOKUP(Q463,$BG$6:$BG$10,$BE$6:$BE$10),IF(テーブル2[[#This Row],[年齢]]=15,LOOKUP(Q463,$BF$6:$BF$10,$BE$6:$BE$10),IF(テーブル2[[#This Row],[年齢]]=14,LOOKUP(Q463,$BD$6:$BD$10,$BE$6:$BE$10),IF(テーブル2[[#This Row],[年齢]]=13,LOOKUP(Q463,$BC$6:$BC$10,$BE$6:$BE$10),LOOKUP(Q463,$BB$6:$BB$10,$BE$6:$BE$10)))))))</f>
        <v/>
      </c>
      <c r="S463" s="145">
        <f>IF(H463="",0,(IF(テーブル2[[#This Row],[性別]]="男",LOOKUP(テーブル2[[#This Row],[握力]],$AI$6:$AJ$15),LOOKUP(テーブル2[[#This Row],[握力]],$AI$20:$AJ$29))))</f>
        <v>0</v>
      </c>
      <c r="T463" s="145">
        <f>IF(テーブル2[[#This Row],[上体]]="",0,(IF(テーブル2[[#This Row],[性別]]="男",LOOKUP(テーブル2[[#This Row],[上体]],$AK$6:$AL$15),LOOKUP(テーブル2[[#This Row],[上体]],$AK$20:$AL$29))))</f>
        <v>0</v>
      </c>
      <c r="U463" s="145">
        <f>IF(テーブル2[[#This Row],[長座]]="",0,(IF(テーブル2[[#This Row],[性別]]="男",LOOKUP(テーブル2[[#This Row],[長座]],$AM$6:$AN$15),LOOKUP(テーブル2[[#This Row],[長座]],$AM$20:$AN$29))))</f>
        <v>0</v>
      </c>
      <c r="V463" s="145">
        <f>IF(テーブル2[[#This Row],[反復]]="",0,(IF(テーブル2[[#This Row],[性別]]="男",LOOKUP(テーブル2[[#This Row],[反復]],$AO$6:$AP$15),LOOKUP(テーブル2[[#This Row],[反復]],$AO$20:$AP$29))))</f>
        <v>0</v>
      </c>
      <c r="W463" s="145">
        <f>IF(テーブル2[[#This Row],[持久走]]="",0,(IF(テーブル2[[#This Row],[性別]]="男",LOOKUP(テーブル2[[#This Row],[持久走]],$AQ$6:$AR$15),LOOKUP(テーブル2[[#This Row],[持久走]],$AQ$20:$AR$29))))</f>
        <v>0</v>
      </c>
      <c r="X463" s="145">
        <f>IF(テーブル2[[#This Row],[ｼｬﾄﾙﾗﾝ]]="",0,(IF(テーブル2[[#This Row],[性別]]="男",LOOKUP(テーブル2[[#This Row],[ｼｬﾄﾙﾗﾝ]],$AS$6:$AT$15),LOOKUP(テーブル2[[#This Row],[ｼｬﾄﾙﾗﾝ]],$AS$20:$AT$29))))</f>
        <v>0</v>
      </c>
      <c r="Y463" s="145">
        <f>IF(テーブル2[[#This Row],[50m走]]="",0,(IF(テーブル2[[#This Row],[性別]]="男",LOOKUP(テーブル2[[#This Row],[50m走]],$AU$6:$AV$15),LOOKUP(テーブル2[[#This Row],[50m走]],$AU$20:$AV$29))))</f>
        <v>0</v>
      </c>
      <c r="Z463" s="145">
        <f>IF(テーブル2[[#This Row],[立幅とび]]="",0,(IF(テーブル2[[#This Row],[性別]]="男",LOOKUP(テーブル2[[#This Row],[立幅とび]],$AW$6:$AX$15),LOOKUP(テーブル2[[#This Row],[立幅とび]],$AW$20:$AX$29))))</f>
        <v>0</v>
      </c>
      <c r="AA463" s="145">
        <f>IF(テーブル2[[#This Row],[ボール投げ]]="",0,(IF(テーブル2[[#This Row],[性別]]="男",LOOKUP(テーブル2[[#This Row],[ボール投げ]],$AY$6:$AZ$15),LOOKUP(テーブル2[[#This Row],[ボール投げ]],$AY$20:$AZ$29))))</f>
        <v>0</v>
      </c>
      <c r="AB463" s="146" t="str">
        <f>IF(テーブル2[[#This Row],[学年]]=1,12,IF(テーブル2[[#This Row],[学年]]=2,13,IF(テーブル2[[#This Row],[学年]]=3,14,"")))</f>
        <v/>
      </c>
      <c r="AC463" s="192" t="str">
        <f>IF(テーブル2[[#This Row],[肥満度数値]]=0,"",LOOKUP(AE463,$AW$39:$AW$44,$AX$39:$AX$44))</f>
        <v/>
      </c>
      <c r="AD46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3" s="77">
        <f>IF(テーブル2[[#This Row],[体重]]="",0,(テーブル2[[#This Row],[体重]]-テーブル2[[#This Row],[標準体重]])/テーブル2[[#This Row],[標準体重]]*100)</f>
        <v>0</v>
      </c>
      <c r="AF463" s="26">
        <f>COUNTA(テーブル2[[#This Row],[握力]:[ボール投げ]])</f>
        <v>0</v>
      </c>
      <c r="AG463" s="1" t="str">
        <f>IF(テーブル2[[#This Row],[判定]]=$BE$10,"○","")</f>
        <v/>
      </c>
      <c r="AH463" s="1" t="str">
        <f>IF(AG463="","",COUNTIF($AG$6:AG463,"○"))</f>
        <v/>
      </c>
    </row>
    <row r="464" spans="1:34" ht="14.25" customHeight="1" x14ac:dyDescent="0.15">
      <c r="A464" s="44">
        <v>459</v>
      </c>
      <c r="B464" s="148"/>
      <c r="C464" s="151"/>
      <c r="D464" s="148"/>
      <c r="E464" s="152"/>
      <c r="F464" s="148"/>
      <c r="G464" s="148"/>
      <c r="H464" s="150"/>
      <c r="I464" s="150"/>
      <c r="J464" s="151"/>
      <c r="K464" s="148"/>
      <c r="L464" s="196"/>
      <c r="M464" s="151"/>
      <c r="N464" s="197"/>
      <c r="O464" s="151"/>
      <c r="P464" s="153"/>
      <c r="Q46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4" s="144" t="str">
        <f>IF(テーブル2[[#This Row],[得点]]=0,"",IF(テーブル2[[#This Row],[年齢]]=17,LOOKUP(Q464,$BH$6:$BH$10,$BE$6:$BE$10),IF(テーブル2[[#This Row],[年齢]]=16,LOOKUP(Q464,$BG$6:$BG$10,$BE$6:$BE$10),IF(テーブル2[[#This Row],[年齢]]=15,LOOKUP(Q464,$BF$6:$BF$10,$BE$6:$BE$10),IF(テーブル2[[#This Row],[年齢]]=14,LOOKUP(Q464,$BD$6:$BD$10,$BE$6:$BE$10),IF(テーブル2[[#This Row],[年齢]]=13,LOOKUP(Q464,$BC$6:$BC$10,$BE$6:$BE$10),LOOKUP(Q464,$BB$6:$BB$10,$BE$6:$BE$10)))))))</f>
        <v/>
      </c>
      <c r="S464" s="145">
        <f>IF(H464="",0,(IF(テーブル2[[#This Row],[性別]]="男",LOOKUP(テーブル2[[#This Row],[握力]],$AI$6:$AJ$15),LOOKUP(テーブル2[[#This Row],[握力]],$AI$20:$AJ$29))))</f>
        <v>0</v>
      </c>
      <c r="T464" s="145">
        <f>IF(テーブル2[[#This Row],[上体]]="",0,(IF(テーブル2[[#This Row],[性別]]="男",LOOKUP(テーブル2[[#This Row],[上体]],$AK$6:$AL$15),LOOKUP(テーブル2[[#This Row],[上体]],$AK$20:$AL$29))))</f>
        <v>0</v>
      </c>
      <c r="U464" s="145">
        <f>IF(テーブル2[[#This Row],[長座]]="",0,(IF(テーブル2[[#This Row],[性別]]="男",LOOKUP(テーブル2[[#This Row],[長座]],$AM$6:$AN$15),LOOKUP(テーブル2[[#This Row],[長座]],$AM$20:$AN$29))))</f>
        <v>0</v>
      </c>
      <c r="V464" s="145">
        <f>IF(テーブル2[[#This Row],[反復]]="",0,(IF(テーブル2[[#This Row],[性別]]="男",LOOKUP(テーブル2[[#This Row],[反復]],$AO$6:$AP$15),LOOKUP(テーブル2[[#This Row],[反復]],$AO$20:$AP$29))))</f>
        <v>0</v>
      </c>
      <c r="W464" s="145">
        <f>IF(テーブル2[[#This Row],[持久走]]="",0,(IF(テーブル2[[#This Row],[性別]]="男",LOOKUP(テーブル2[[#This Row],[持久走]],$AQ$6:$AR$15),LOOKUP(テーブル2[[#This Row],[持久走]],$AQ$20:$AR$29))))</f>
        <v>0</v>
      </c>
      <c r="X464" s="145">
        <f>IF(テーブル2[[#This Row],[ｼｬﾄﾙﾗﾝ]]="",0,(IF(テーブル2[[#This Row],[性別]]="男",LOOKUP(テーブル2[[#This Row],[ｼｬﾄﾙﾗﾝ]],$AS$6:$AT$15),LOOKUP(テーブル2[[#This Row],[ｼｬﾄﾙﾗﾝ]],$AS$20:$AT$29))))</f>
        <v>0</v>
      </c>
      <c r="Y464" s="145">
        <f>IF(テーブル2[[#This Row],[50m走]]="",0,(IF(テーブル2[[#This Row],[性別]]="男",LOOKUP(テーブル2[[#This Row],[50m走]],$AU$6:$AV$15),LOOKUP(テーブル2[[#This Row],[50m走]],$AU$20:$AV$29))))</f>
        <v>0</v>
      </c>
      <c r="Z464" s="145">
        <f>IF(テーブル2[[#This Row],[立幅とび]]="",0,(IF(テーブル2[[#This Row],[性別]]="男",LOOKUP(テーブル2[[#This Row],[立幅とび]],$AW$6:$AX$15),LOOKUP(テーブル2[[#This Row],[立幅とび]],$AW$20:$AX$29))))</f>
        <v>0</v>
      </c>
      <c r="AA464" s="145">
        <f>IF(テーブル2[[#This Row],[ボール投げ]]="",0,(IF(テーブル2[[#This Row],[性別]]="男",LOOKUP(テーブル2[[#This Row],[ボール投げ]],$AY$6:$AZ$15),LOOKUP(テーブル2[[#This Row],[ボール投げ]],$AY$20:$AZ$29))))</f>
        <v>0</v>
      </c>
      <c r="AB464" s="146" t="str">
        <f>IF(テーブル2[[#This Row],[学年]]=1,12,IF(テーブル2[[#This Row],[学年]]=2,13,IF(テーブル2[[#This Row],[学年]]=3,14,"")))</f>
        <v/>
      </c>
      <c r="AC464" s="192" t="str">
        <f>IF(テーブル2[[#This Row],[肥満度数値]]=0,"",LOOKUP(AE464,$AW$39:$AW$44,$AX$39:$AX$44))</f>
        <v/>
      </c>
      <c r="AD46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4" s="77">
        <f>IF(テーブル2[[#This Row],[体重]]="",0,(テーブル2[[#This Row],[体重]]-テーブル2[[#This Row],[標準体重]])/テーブル2[[#This Row],[標準体重]]*100)</f>
        <v>0</v>
      </c>
      <c r="AF464" s="26">
        <f>COUNTA(テーブル2[[#This Row],[握力]:[ボール投げ]])</f>
        <v>0</v>
      </c>
      <c r="AG464" s="1" t="str">
        <f>IF(テーブル2[[#This Row],[判定]]=$BE$10,"○","")</f>
        <v/>
      </c>
      <c r="AH464" s="1" t="str">
        <f>IF(AG464="","",COUNTIF($AG$6:AG464,"○"))</f>
        <v/>
      </c>
    </row>
    <row r="465" spans="1:34" ht="14.25" customHeight="1" x14ac:dyDescent="0.15">
      <c r="A465" s="44">
        <v>460</v>
      </c>
      <c r="B465" s="148"/>
      <c r="C465" s="151"/>
      <c r="D465" s="148"/>
      <c r="E465" s="152"/>
      <c r="F465" s="148"/>
      <c r="G465" s="148"/>
      <c r="H465" s="150"/>
      <c r="I465" s="150"/>
      <c r="J465" s="151"/>
      <c r="K465" s="148"/>
      <c r="L465" s="196"/>
      <c r="M465" s="151"/>
      <c r="N465" s="197"/>
      <c r="O465" s="151"/>
      <c r="P465" s="153"/>
      <c r="Q46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5" s="144" t="str">
        <f>IF(テーブル2[[#This Row],[得点]]=0,"",IF(テーブル2[[#This Row],[年齢]]=17,LOOKUP(Q465,$BH$6:$BH$10,$BE$6:$BE$10),IF(テーブル2[[#This Row],[年齢]]=16,LOOKUP(Q465,$BG$6:$BG$10,$BE$6:$BE$10),IF(テーブル2[[#This Row],[年齢]]=15,LOOKUP(Q465,$BF$6:$BF$10,$BE$6:$BE$10),IF(テーブル2[[#This Row],[年齢]]=14,LOOKUP(Q465,$BD$6:$BD$10,$BE$6:$BE$10),IF(テーブル2[[#This Row],[年齢]]=13,LOOKUP(Q465,$BC$6:$BC$10,$BE$6:$BE$10),LOOKUP(Q465,$BB$6:$BB$10,$BE$6:$BE$10)))))))</f>
        <v/>
      </c>
      <c r="S465" s="145">
        <f>IF(H465="",0,(IF(テーブル2[[#This Row],[性別]]="男",LOOKUP(テーブル2[[#This Row],[握力]],$AI$6:$AJ$15),LOOKUP(テーブル2[[#This Row],[握力]],$AI$20:$AJ$29))))</f>
        <v>0</v>
      </c>
      <c r="T465" s="145">
        <f>IF(テーブル2[[#This Row],[上体]]="",0,(IF(テーブル2[[#This Row],[性別]]="男",LOOKUP(テーブル2[[#This Row],[上体]],$AK$6:$AL$15),LOOKUP(テーブル2[[#This Row],[上体]],$AK$20:$AL$29))))</f>
        <v>0</v>
      </c>
      <c r="U465" s="145">
        <f>IF(テーブル2[[#This Row],[長座]]="",0,(IF(テーブル2[[#This Row],[性別]]="男",LOOKUP(テーブル2[[#This Row],[長座]],$AM$6:$AN$15),LOOKUP(テーブル2[[#This Row],[長座]],$AM$20:$AN$29))))</f>
        <v>0</v>
      </c>
      <c r="V465" s="145">
        <f>IF(テーブル2[[#This Row],[反復]]="",0,(IF(テーブル2[[#This Row],[性別]]="男",LOOKUP(テーブル2[[#This Row],[反復]],$AO$6:$AP$15),LOOKUP(テーブル2[[#This Row],[反復]],$AO$20:$AP$29))))</f>
        <v>0</v>
      </c>
      <c r="W465" s="145">
        <f>IF(テーブル2[[#This Row],[持久走]]="",0,(IF(テーブル2[[#This Row],[性別]]="男",LOOKUP(テーブル2[[#This Row],[持久走]],$AQ$6:$AR$15),LOOKUP(テーブル2[[#This Row],[持久走]],$AQ$20:$AR$29))))</f>
        <v>0</v>
      </c>
      <c r="X465" s="145">
        <f>IF(テーブル2[[#This Row],[ｼｬﾄﾙﾗﾝ]]="",0,(IF(テーブル2[[#This Row],[性別]]="男",LOOKUP(テーブル2[[#This Row],[ｼｬﾄﾙﾗﾝ]],$AS$6:$AT$15),LOOKUP(テーブル2[[#This Row],[ｼｬﾄﾙﾗﾝ]],$AS$20:$AT$29))))</f>
        <v>0</v>
      </c>
      <c r="Y465" s="145">
        <f>IF(テーブル2[[#This Row],[50m走]]="",0,(IF(テーブル2[[#This Row],[性別]]="男",LOOKUP(テーブル2[[#This Row],[50m走]],$AU$6:$AV$15),LOOKUP(テーブル2[[#This Row],[50m走]],$AU$20:$AV$29))))</f>
        <v>0</v>
      </c>
      <c r="Z465" s="145">
        <f>IF(テーブル2[[#This Row],[立幅とび]]="",0,(IF(テーブル2[[#This Row],[性別]]="男",LOOKUP(テーブル2[[#This Row],[立幅とび]],$AW$6:$AX$15),LOOKUP(テーブル2[[#This Row],[立幅とび]],$AW$20:$AX$29))))</f>
        <v>0</v>
      </c>
      <c r="AA465" s="145">
        <f>IF(テーブル2[[#This Row],[ボール投げ]]="",0,(IF(テーブル2[[#This Row],[性別]]="男",LOOKUP(テーブル2[[#This Row],[ボール投げ]],$AY$6:$AZ$15),LOOKUP(テーブル2[[#This Row],[ボール投げ]],$AY$20:$AZ$29))))</f>
        <v>0</v>
      </c>
      <c r="AB465" s="146" t="str">
        <f>IF(テーブル2[[#This Row],[学年]]=1,12,IF(テーブル2[[#This Row],[学年]]=2,13,IF(テーブル2[[#This Row],[学年]]=3,14,"")))</f>
        <v/>
      </c>
      <c r="AC465" s="192" t="str">
        <f>IF(テーブル2[[#This Row],[肥満度数値]]=0,"",LOOKUP(AE465,$AW$39:$AW$44,$AX$39:$AX$44))</f>
        <v/>
      </c>
      <c r="AD46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5" s="77">
        <f>IF(テーブル2[[#This Row],[体重]]="",0,(テーブル2[[#This Row],[体重]]-テーブル2[[#This Row],[標準体重]])/テーブル2[[#This Row],[標準体重]]*100)</f>
        <v>0</v>
      </c>
      <c r="AF465" s="26">
        <f>COUNTA(テーブル2[[#This Row],[握力]:[ボール投げ]])</f>
        <v>0</v>
      </c>
      <c r="AG465" s="1" t="str">
        <f>IF(テーブル2[[#This Row],[判定]]=$BE$10,"○","")</f>
        <v/>
      </c>
      <c r="AH465" s="1" t="str">
        <f>IF(AG465="","",COUNTIF($AG$6:AG465,"○"))</f>
        <v/>
      </c>
    </row>
    <row r="466" spans="1:34" ht="14.25" customHeight="1" x14ac:dyDescent="0.15">
      <c r="A466" s="44">
        <v>461</v>
      </c>
      <c r="B466" s="148"/>
      <c r="C466" s="151"/>
      <c r="D466" s="148"/>
      <c r="E466" s="152"/>
      <c r="F466" s="148"/>
      <c r="G466" s="148"/>
      <c r="H466" s="150"/>
      <c r="I466" s="150"/>
      <c r="J466" s="151"/>
      <c r="K466" s="148"/>
      <c r="L466" s="196"/>
      <c r="M466" s="151"/>
      <c r="N466" s="197"/>
      <c r="O466" s="151"/>
      <c r="P466" s="153"/>
      <c r="Q46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6" s="144" t="str">
        <f>IF(テーブル2[[#This Row],[得点]]=0,"",IF(テーブル2[[#This Row],[年齢]]=17,LOOKUP(Q466,$BH$6:$BH$10,$BE$6:$BE$10),IF(テーブル2[[#This Row],[年齢]]=16,LOOKUP(Q466,$BG$6:$BG$10,$BE$6:$BE$10),IF(テーブル2[[#This Row],[年齢]]=15,LOOKUP(Q466,$BF$6:$BF$10,$BE$6:$BE$10),IF(テーブル2[[#This Row],[年齢]]=14,LOOKUP(Q466,$BD$6:$BD$10,$BE$6:$BE$10),IF(テーブル2[[#This Row],[年齢]]=13,LOOKUP(Q466,$BC$6:$BC$10,$BE$6:$BE$10),LOOKUP(Q466,$BB$6:$BB$10,$BE$6:$BE$10)))))))</f>
        <v/>
      </c>
      <c r="S466" s="145">
        <f>IF(H466="",0,(IF(テーブル2[[#This Row],[性別]]="男",LOOKUP(テーブル2[[#This Row],[握力]],$AI$6:$AJ$15),LOOKUP(テーブル2[[#This Row],[握力]],$AI$20:$AJ$29))))</f>
        <v>0</v>
      </c>
      <c r="T466" s="145">
        <f>IF(テーブル2[[#This Row],[上体]]="",0,(IF(テーブル2[[#This Row],[性別]]="男",LOOKUP(テーブル2[[#This Row],[上体]],$AK$6:$AL$15),LOOKUP(テーブル2[[#This Row],[上体]],$AK$20:$AL$29))))</f>
        <v>0</v>
      </c>
      <c r="U466" s="145">
        <f>IF(テーブル2[[#This Row],[長座]]="",0,(IF(テーブル2[[#This Row],[性別]]="男",LOOKUP(テーブル2[[#This Row],[長座]],$AM$6:$AN$15),LOOKUP(テーブル2[[#This Row],[長座]],$AM$20:$AN$29))))</f>
        <v>0</v>
      </c>
      <c r="V466" s="145">
        <f>IF(テーブル2[[#This Row],[反復]]="",0,(IF(テーブル2[[#This Row],[性別]]="男",LOOKUP(テーブル2[[#This Row],[反復]],$AO$6:$AP$15),LOOKUP(テーブル2[[#This Row],[反復]],$AO$20:$AP$29))))</f>
        <v>0</v>
      </c>
      <c r="W466" s="145">
        <f>IF(テーブル2[[#This Row],[持久走]]="",0,(IF(テーブル2[[#This Row],[性別]]="男",LOOKUP(テーブル2[[#This Row],[持久走]],$AQ$6:$AR$15),LOOKUP(テーブル2[[#This Row],[持久走]],$AQ$20:$AR$29))))</f>
        <v>0</v>
      </c>
      <c r="X466" s="145">
        <f>IF(テーブル2[[#This Row],[ｼｬﾄﾙﾗﾝ]]="",0,(IF(テーブル2[[#This Row],[性別]]="男",LOOKUP(テーブル2[[#This Row],[ｼｬﾄﾙﾗﾝ]],$AS$6:$AT$15),LOOKUP(テーブル2[[#This Row],[ｼｬﾄﾙﾗﾝ]],$AS$20:$AT$29))))</f>
        <v>0</v>
      </c>
      <c r="Y466" s="145">
        <f>IF(テーブル2[[#This Row],[50m走]]="",0,(IF(テーブル2[[#This Row],[性別]]="男",LOOKUP(テーブル2[[#This Row],[50m走]],$AU$6:$AV$15),LOOKUP(テーブル2[[#This Row],[50m走]],$AU$20:$AV$29))))</f>
        <v>0</v>
      </c>
      <c r="Z466" s="145">
        <f>IF(テーブル2[[#This Row],[立幅とび]]="",0,(IF(テーブル2[[#This Row],[性別]]="男",LOOKUP(テーブル2[[#This Row],[立幅とび]],$AW$6:$AX$15),LOOKUP(テーブル2[[#This Row],[立幅とび]],$AW$20:$AX$29))))</f>
        <v>0</v>
      </c>
      <c r="AA466" s="145">
        <f>IF(テーブル2[[#This Row],[ボール投げ]]="",0,(IF(テーブル2[[#This Row],[性別]]="男",LOOKUP(テーブル2[[#This Row],[ボール投げ]],$AY$6:$AZ$15),LOOKUP(テーブル2[[#This Row],[ボール投げ]],$AY$20:$AZ$29))))</f>
        <v>0</v>
      </c>
      <c r="AB466" s="146" t="str">
        <f>IF(テーブル2[[#This Row],[学年]]=1,12,IF(テーブル2[[#This Row],[学年]]=2,13,IF(テーブル2[[#This Row],[学年]]=3,14,"")))</f>
        <v/>
      </c>
      <c r="AC466" s="192" t="str">
        <f>IF(テーブル2[[#This Row],[肥満度数値]]=0,"",LOOKUP(AE466,$AW$39:$AW$44,$AX$39:$AX$44))</f>
        <v/>
      </c>
      <c r="AD46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6" s="77">
        <f>IF(テーブル2[[#This Row],[体重]]="",0,(テーブル2[[#This Row],[体重]]-テーブル2[[#This Row],[標準体重]])/テーブル2[[#This Row],[標準体重]]*100)</f>
        <v>0</v>
      </c>
      <c r="AF466" s="26">
        <f>COUNTA(テーブル2[[#This Row],[握力]:[ボール投げ]])</f>
        <v>0</v>
      </c>
      <c r="AG466" s="1" t="str">
        <f>IF(テーブル2[[#This Row],[判定]]=$BE$10,"○","")</f>
        <v/>
      </c>
      <c r="AH466" s="1" t="str">
        <f>IF(AG466="","",COUNTIF($AG$6:AG466,"○"))</f>
        <v/>
      </c>
    </row>
    <row r="467" spans="1:34" ht="14.25" customHeight="1" x14ac:dyDescent="0.15">
      <c r="A467" s="44">
        <v>462</v>
      </c>
      <c r="B467" s="148"/>
      <c r="C467" s="151"/>
      <c r="D467" s="148"/>
      <c r="E467" s="152"/>
      <c r="F467" s="148"/>
      <c r="G467" s="148"/>
      <c r="H467" s="150"/>
      <c r="I467" s="150"/>
      <c r="J467" s="151"/>
      <c r="K467" s="148"/>
      <c r="L467" s="196"/>
      <c r="M467" s="151"/>
      <c r="N467" s="197"/>
      <c r="O467" s="151"/>
      <c r="P467" s="153"/>
      <c r="Q46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7" s="144" t="str">
        <f>IF(テーブル2[[#This Row],[得点]]=0,"",IF(テーブル2[[#This Row],[年齢]]=17,LOOKUP(Q467,$BH$6:$BH$10,$BE$6:$BE$10),IF(テーブル2[[#This Row],[年齢]]=16,LOOKUP(Q467,$BG$6:$BG$10,$BE$6:$BE$10),IF(テーブル2[[#This Row],[年齢]]=15,LOOKUP(Q467,$BF$6:$BF$10,$BE$6:$BE$10),IF(テーブル2[[#This Row],[年齢]]=14,LOOKUP(Q467,$BD$6:$BD$10,$BE$6:$BE$10),IF(テーブル2[[#This Row],[年齢]]=13,LOOKUP(Q467,$BC$6:$BC$10,$BE$6:$BE$10),LOOKUP(Q467,$BB$6:$BB$10,$BE$6:$BE$10)))))))</f>
        <v/>
      </c>
      <c r="S467" s="145">
        <f>IF(H467="",0,(IF(テーブル2[[#This Row],[性別]]="男",LOOKUP(テーブル2[[#This Row],[握力]],$AI$6:$AJ$15),LOOKUP(テーブル2[[#This Row],[握力]],$AI$20:$AJ$29))))</f>
        <v>0</v>
      </c>
      <c r="T467" s="145">
        <f>IF(テーブル2[[#This Row],[上体]]="",0,(IF(テーブル2[[#This Row],[性別]]="男",LOOKUP(テーブル2[[#This Row],[上体]],$AK$6:$AL$15),LOOKUP(テーブル2[[#This Row],[上体]],$AK$20:$AL$29))))</f>
        <v>0</v>
      </c>
      <c r="U467" s="145">
        <f>IF(テーブル2[[#This Row],[長座]]="",0,(IF(テーブル2[[#This Row],[性別]]="男",LOOKUP(テーブル2[[#This Row],[長座]],$AM$6:$AN$15),LOOKUP(テーブル2[[#This Row],[長座]],$AM$20:$AN$29))))</f>
        <v>0</v>
      </c>
      <c r="V467" s="145">
        <f>IF(テーブル2[[#This Row],[反復]]="",0,(IF(テーブル2[[#This Row],[性別]]="男",LOOKUP(テーブル2[[#This Row],[反復]],$AO$6:$AP$15),LOOKUP(テーブル2[[#This Row],[反復]],$AO$20:$AP$29))))</f>
        <v>0</v>
      </c>
      <c r="W467" s="145">
        <f>IF(テーブル2[[#This Row],[持久走]]="",0,(IF(テーブル2[[#This Row],[性別]]="男",LOOKUP(テーブル2[[#This Row],[持久走]],$AQ$6:$AR$15),LOOKUP(テーブル2[[#This Row],[持久走]],$AQ$20:$AR$29))))</f>
        <v>0</v>
      </c>
      <c r="X467" s="145">
        <f>IF(テーブル2[[#This Row],[ｼｬﾄﾙﾗﾝ]]="",0,(IF(テーブル2[[#This Row],[性別]]="男",LOOKUP(テーブル2[[#This Row],[ｼｬﾄﾙﾗﾝ]],$AS$6:$AT$15),LOOKUP(テーブル2[[#This Row],[ｼｬﾄﾙﾗﾝ]],$AS$20:$AT$29))))</f>
        <v>0</v>
      </c>
      <c r="Y467" s="145">
        <f>IF(テーブル2[[#This Row],[50m走]]="",0,(IF(テーブル2[[#This Row],[性別]]="男",LOOKUP(テーブル2[[#This Row],[50m走]],$AU$6:$AV$15),LOOKUP(テーブル2[[#This Row],[50m走]],$AU$20:$AV$29))))</f>
        <v>0</v>
      </c>
      <c r="Z467" s="145">
        <f>IF(テーブル2[[#This Row],[立幅とび]]="",0,(IF(テーブル2[[#This Row],[性別]]="男",LOOKUP(テーブル2[[#This Row],[立幅とび]],$AW$6:$AX$15),LOOKUP(テーブル2[[#This Row],[立幅とび]],$AW$20:$AX$29))))</f>
        <v>0</v>
      </c>
      <c r="AA467" s="145">
        <f>IF(テーブル2[[#This Row],[ボール投げ]]="",0,(IF(テーブル2[[#This Row],[性別]]="男",LOOKUP(テーブル2[[#This Row],[ボール投げ]],$AY$6:$AZ$15),LOOKUP(テーブル2[[#This Row],[ボール投げ]],$AY$20:$AZ$29))))</f>
        <v>0</v>
      </c>
      <c r="AB467" s="146" t="str">
        <f>IF(テーブル2[[#This Row],[学年]]=1,12,IF(テーブル2[[#This Row],[学年]]=2,13,IF(テーブル2[[#This Row],[学年]]=3,14,"")))</f>
        <v/>
      </c>
      <c r="AC467" s="192" t="str">
        <f>IF(テーブル2[[#This Row],[肥満度数値]]=0,"",LOOKUP(AE467,$AW$39:$AW$44,$AX$39:$AX$44))</f>
        <v/>
      </c>
      <c r="AD46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7" s="77">
        <f>IF(テーブル2[[#This Row],[体重]]="",0,(テーブル2[[#This Row],[体重]]-テーブル2[[#This Row],[標準体重]])/テーブル2[[#This Row],[標準体重]]*100)</f>
        <v>0</v>
      </c>
      <c r="AF467" s="26">
        <f>COUNTA(テーブル2[[#This Row],[握力]:[ボール投げ]])</f>
        <v>0</v>
      </c>
      <c r="AG467" s="1" t="str">
        <f>IF(テーブル2[[#This Row],[判定]]=$BE$10,"○","")</f>
        <v/>
      </c>
      <c r="AH467" s="1" t="str">
        <f>IF(AG467="","",COUNTIF($AG$6:AG467,"○"))</f>
        <v/>
      </c>
    </row>
    <row r="468" spans="1:34" ht="14.25" customHeight="1" x14ac:dyDescent="0.15">
      <c r="A468" s="44">
        <v>463</v>
      </c>
      <c r="B468" s="148"/>
      <c r="C468" s="151"/>
      <c r="D468" s="148"/>
      <c r="E468" s="152"/>
      <c r="F468" s="148"/>
      <c r="G468" s="148"/>
      <c r="H468" s="150"/>
      <c r="I468" s="150"/>
      <c r="J468" s="151"/>
      <c r="K468" s="148"/>
      <c r="L468" s="196"/>
      <c r="M468" s="151"/>
      <c r="N468" s="197"/>
      <c r="O468" s="151"/>
      <c r="P468" s="153"/>
      <c r="Q46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8" s="144" t="str">
        <f>IF(テーブル2[[#This Row],[得点]]=0,"",IF(テーブル2[[#This Row],[年齢]]=17,LOOKUP(Q468,$BH$6:$BH$10,$BE$6:$BE$10),IF(テーブル2[[#This Row],[年齢]]=16,LOOKUP(Q468,$BG$6:$BG$10,$BE$6:$BE$10),IF(テーブル2[[#This Row],[年齢]]=15,LOOKUP(Q468,$BF$6:$BF$10,$BE$6:$BE$10),IF(テーブル2[[#This Row],[年齢]]=14,LOOKUP(Q468,$BD$6:$BD$10,$BE$6:$BE$10),IF(テーブル2[[#This Row],[年齢]]=13,LOOKUP(Q468,$BC$6:$BC$10,$BE$6:$BE$10),LOOKUP(Q468,$BB$6:$BB$10,$BE$6:$BE$10)))))))</f>
        <v/>
      </c>
      <c r="S468" s="145">
        <f>IF(H468="",0,(IF(テーブル2[[#This Row],[性別]]="男",LOOKUP(テーブル2[[#This Row],[握力]],$AI$6:$AJ$15),LOOKUP(テーブル2[[#This Row],[握力]],$AI$20:$AJ$29))))</f>
        <v>0</v>
      </c>
      <c r="T468" s="145">
        <f>IF(テーブル2[[#This Row],[上体]]="",0,(IF(テーブル2[[#This Row],[性別]]="男",LOOKUP(テーブル2[[#This Row],[上体]],$AK$6:$AL$15),LOOKUP(テーブル2[[#This Row],[上体]],$AK$20:$AL$29))))</f>
        <v>0</v>
      </c>
      <c r="U468" s="145">
        <f>IF(テーブル2[[#This Row],[長座]]="",0,(IF(テーブル2[[#This Row],[性別]]="男",LOOKUP(テーブル2[[#This Row],[長座]],$AM$6:$AN$15),LOOKUP(テーブル2[[#This Row],[長座]],$AM$20:$AN$29))))</f>
        <v>0</v>
      </c>
      <c r="V468" s="145">
        <f>IF(テーブル2[[#This Row],[反復]]="",0,(IF(テーブル2[[#This Row],[性別]]="男",LOOKUP(テーブル2[[#This Row],[反復]],$AO$6:$AP$15),LOOKUP(テーブル2[[#This Row],[反復]],$AO$20:$AP$29))))</f>
        <v>0</v>
      </c>
      <c r="W468" s="145">
        <f>IF(テーブル2[[#This Row],[持久走]]="",0,(IF(テーブル2[[#This Row],[性別]]="男",LOOKUP(テーブル2[[#This Row],[持久走]],$AQ$6:$AR$15),LOOKUP(テーブル2[[#This Row],[持久走]],$AQ$20:$AR$29))))</f>
        <v>0</v>
      </c>
      <c r="X468" s="145">
        <f>IF(テーブル2[[#This Row],[ｼｬﾄﾙﾗﾝ]]="",0,(IF(テーブル2[[#This Row],[性別]]="男",LOOKUP(テーブル2[[#This Row],[ｼｬﾄﾙﾗﾝ]],$AS$6:$AT$15),LOOKUP(テーブル2[[#This Row],[ｼｬﾄﾙﾗﾝ]],$AS$20:$AT$29))))</f>
        <v>0</v>
      </c>
      <c r="Y468" s="145">
        <f>IF(テーブル2[[#This Row],[50m走]]="",0,(IF(テーブル2[[#This Row],[性別]]="男",LOOKUP(テーブル2[[#This Row],[50m走]],$AU$6:$AV$15),LOOKUP(テーブル2[[#This Row],[50m走]],$AU$20:$AV$29))))</f>
        <v>0</v>
      </c>
      <c r="Z468" s="145">
        <f>IF(テーブル2[[#This Row],[立幅とび]]="",0,(IF(テーブル2[[#This Row],[性別]]="男",LOOKUP(テーブル2[[#This Row],[立幅とび]],$AW$6:$AX$15),LOOKUP(テーブル2[[#This Row],[立幅とび]],$AW$20:$AX$29))))</f>
        <v>0</v>
      </c>
      <c r="AA468" s="145">
        <f>IF(テーブル2[[#This Row],[ボール投げ]]="",0,(IF(テーブル2[[#This Row],[性別]]="男",LOOKUP(テーブル2[[#This Row],[ボール投げ]],$AY$6:$AZ$15),LOOKUP(テーブル2[[#This Row],[ボール投げ]],$AY$20:$AZ$29))))</f>
        <v>0</v>
      </c>
      <c r="AB468" s="146" t="str">
        <f>IF(テーブル2[[#This Row],[学年]]=1,12,IF(テーブル2[[#This Row],[学年]]=2,13,IF(テーブル2[[#This Row],[学年]]=3,14,"")))</f>
        <v/>
      </c>
      <c r="AC468" s="192" t="str">
        <f>IF(テーブル2[[#This Row],[肥満度数値]]=0,"",LOOKUP(AE468,$AW$39:$AW$44,$AX$39:$AX$44))</f>
        <v/>
      </c>
      <c r="AD46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8" s="77">
        <f>IF(テーブル2[[#This Row],[体重]]="",0,(テーブル2[[#This Row],[体重]]-テーブル2[[#This Row],[標準体重]])/テーブル2[[#This Row],[標準体重]]*100)</f>
        <v>0</v>
      </c>
      <c r="AF468" s="26">
        <f>COUNTA(テーブル2[[#This Row],[握力]:[ボール投げ]])</f>
        <v>0</v>
      </c>
      <c r="AG468" s="1" t="str">
        <f>IF(テーブル2[[#This Row],[判定]]=$BE$10,"○","")</f>
        <v/>
      </c>
      <c r="AH468" s="1" t="str">
        <f>IF(AG468="","",COUNTIF($AG$6:AG468,"○"))</f>
        <v/>
      </c>
    </row>
    <row r="469" spans="1:34" ht="14.25" customHeight="1" x14ac:dyDescent="0.15">
      <c r="A469" s="44">
        <v>464</v>
      </c>
      <c r="B469" s="148"/>
      <c r="C469" s="151"/>
      <c r="D469" s="148"/>
      <c r="E469" s="152"/>
      <c r="F469" s="148"/>
      <c r="G469" s="148"/>
      <c r="H469" s="150"/>
      <c r="I469" s="150"/>
      <c r="J469" s="151"/>
      <c r="K469" s="148"/>
      <c r="L469" s="196"/>
      <c r="M469" s="151"/>
      <c r="N469" s="197"/>
      <c r="O469" s="151"/>
      <c r="P469" s="153"/>
      <c r="Q46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9" s="144" t="str">
        <f>IF(テーブル2[[#This Row],[得点]]=0,"",IF(テーブル2[[#This Row],[年齢]]=17,LOOKUP(Q469,$BH$6:$BH$10,$BE$6:$BE$10),IF(テーブル2[[#This Row],[年齢]]=16,LOOKUP(Q469,$BG$6:$BG$10,$BE$6:$BE$10),IF(テーブル2[[#This Row],[年齢]]=15,LOOKUP(Q469,$BF$6:$BF$10,$BE$6:$BE$10),IF(テーブル2[[#This Row],[年齢]]=14,LOOKUP(Q469,$BD$6:$BD$10,$BE$6:$BE$10),IF(テーブル2[[#This Row],[年齢]]=13,LOOKUP(Q469,$BC$6:$BC$10,$BE$6:$BE$10),LOOKUP(Q469,$BB$6:$BB$10,$BE$6:$BE$10)))))))</f>
        <v/>
      </c>
      <c r="S469" s="145">
        <f>IF(H469="",0,(IF(テーブル2[[#This Row],[性別]]="男",LOOKUP(テーブル2[[#This Row],[握力]],$AI$6:$AJ$15),LOOKUP(テーブル2[[#This Row],[握力]],$AI$20:$AJ$29))))</f>
        <v>0</v>
      </c>
      <c r="T469" s="145">
        <f>IF(テーブル2[[#This Row],[上体]]="",0,(IF(テーブル2[[#This Row],[性別]]="男",LOOKUP(テーブル2[[#This Row],[上体]],$AK$6:$AL$15),LOOKUP(テーブル2[[#This Row],[上体]],$AK$20:$AL$29))))</f>
        <v>0</v>
      </c>
      <c r="U469" s="145">
        <f>IF(テーブル2[[#This Row],[長座]]="",0,(IF(テーブル2[[#This Row],[性別]]="男",LOOKUP(テーブル2[[#This Row],[長座]],$AM$6:$AN$15),LOOKUP(テーブル2[[#This Row],[長座]],$AM$20:$AN$29))))</f>
        <v>0</v>
      </c>
      <c r="V469" s="145">
        <f>IF(テーブル2[[#This Row],[反復]]="",0,(IF(テーブル2[[#This Row],[性別]]="男",LOOKUP(テーブル2[[#This Row],[反復]],$AO$6:$AP$15),LOOKUP(テーブル2[[#This Row],[反復]],$AO$20:$AP$29))))</f>
        <v>0</v>
      </c>
      <c r="W469" s="145">
        <f>IF(テーブル2[[#This Row],[持久走]]="",0,(IF(テーブル2[[#This Row],[性別]]="男",LOOKUP(テーブル2[[#This Row],[持久走]],$AQ$6:$AR$15),LOOKUP(テーブル2[[#This Row],[持久走]],$AQ$20:$AR$29))))</f>
        <v>0</v>
      </c>
      <c r="X469" s="145">
        <f>IF(テーブル2[[#This Row],[ｼｬﾄﾙﾗﾝ]]="",0,(IF(テーブル2[[#This Row],[性別]]="男",LOOKUP(テーブル2[[#This Row],[ｼｬﾄﾙﾗﾝ]],$AS$6:$AT$15),LOOKUP(テーブル2[[#This Row],[ｼｬﾄﾙﾗﾝ]],$AS$20:$AT$29))))</f>
        <v>0</v>
      </c>
      <c r="Y469" s="145">
        <f>IF(テーブル2[[#This Row],[50m走]]="",0,(IF(テーブル2[[#This Row],[性別]]="男",LOOKUP(テーブル2[[#This Row],[50m走]],$AU$6:$AV$15),LOOKUP(テーブル2[[#This Row],[50m走]],$AU$20:$AV$29))))</f>
        <v>0</v>
      </c>
      <c r="Z469" s="145">
        <f>IF(テーブル2[[#This Row],[立幅とび]]="",0,(IF(テーブル2[[#This Row],[性別]]="男",LOOKUP(テーブル2[[#This Row],[立幅とび]],$AW$6:$AX$15),LOOKUP(テーブル2[[#This Row],[立幅とび]],$AW$20:$AX$29))))</f>
        <v>0</v>
      </c>
      <c r="AA469" s="145">
        <f>IF(テーブル2[[#This Row],[ボール投げ]]="",0,(IF(テーブル2[[#This Row],[性別]]="男",LOOKUP(テーブル2[[#This Row],[ボール投げ]],$AY$6:$AZ$15),LOOKUP(テーブル2[[#This Row],[ボール投げ]],$AY$20:$AZ$29))))</f>
        <v>0</v>
      </c>
      <c r="AB469" s="146" t="str">
        <f>IF(テーブル2[[#This Row],[学年]]=1,12,IF(テーブル2[[#This Row],[学年]]=2,13,IF(テーブル2[[#This Row],[学年]]=3,14,"")))</f>
        <v/>
      </c>
      <c r="AC469" s="192" t="str">
        <f>IF(テーブル2[[#This Row],[肥満度数値]]=0,"",LOOKUP(AE469,$AW$39:$AW$44,$AX$39:$AX$44))</f>
        <v/>
      </c>
      <c r="AD46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69" s="77">
        <f>IF(テーブル2[[#This Row],[体重]]="",0,(テーブル2[[#This Row],[体重]]-テーブル2[[#This Row],[標準体重]])/テーブル2[[#This Row],[標準体重]]*100)</f>
        <v>0</v>
      </c>
      <c r="AF469" s="26">
        <f>COUNTA(テーブル2[[#This Row],[握力]:[ボール投げ]])</f>
        <v>0</v>
      </c>
      <c r="AG469" s="1" t="str">
        <f>IF(テーブル2[[#This Row],[判定]]=$BE$10,"○","")</f>
        <v/>
      </c>
      <c r="AH469" s="1" t="str">
        <f>IF(AG469="","",COUNTIF($AG$6:AG469,"○"))</f>
        <v/>
      </c>
    </row>
    <row r="470" spans="1:34" ht="14.25" customHeight="1" x14ac:dyDescent="0.15">
      <c r="A470" s="44">
        <v>465</v>
      </c>
      <c r="B470" s="148"/>
      <c r="C470" s="151"/>
      <c r="D470" s="148"/>
      <c r="E470" s="152"/>
      <c r="F470" s="148"/>
      <c r="G470" s="148"/>
      <c r="H470" s="150"/>
      <c r="I470" s="150"/>
      <c r="J470" s="151"/>
      <c r="K470" s="148"/>
      <c r="L470" s="196"/>
      <c r="M470" s="151"/>
      <c r="N470" s="197"/>
      <c r="O470" s="151"/>
      <c r="P470" s="153"/>
      <c r="Q47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0" s="144" t="str">
        <f>IF(テーブル2[[#This Row],[得点]]=0,"",IF(テーブル2[[#This Row],[年齢]]=17,LOOKUP(Q470,$BH$6:$BH$10,$BE$6:$BE$10),IF(テーブル2[[#This Row],[年齢]]=16,LOOKUP(Q470,$BG$6:$BG$10,$BE$6:$BE$10),IF(テーブル2[[#This Row],[年齢]]=15,LOOKUP(Q470,$BF$6:$BF$10,$BE$6:$BE$10),IF(テーブル2[[#This Row],[年齢]]=14,LOOKUP(Q470,$BD$6:$BD$10,$BE$6:$BE$10),IF(テーブル2[[#This Row],[年齢]]=13,LOOKUP(Q470,$BC$6:$BC$10,$BE$6:$BE$10),LOOKUP(Q470,$BB$6:$BB$10,$BE$6:$BE$10)))))))</f>
        <v/>
      </c>
      <c r="S470" s="145">
        <f>IF(H470="",0,(IF(テーブル2[[#This Row],[性別]]="男",LOOKUP(テーブル2[[#This Row],[握力]],$AI$6:$AJ$15),LOOKUP(テーブル2[[#This Row],[握力]],$AI$20:$AJ$29))))</f>
        <v>0</v>
      </c>
      <c r="T470" s="145">
        <f>IF(テーブル2[[#This Row],[上体]]="",0,(IF(テーブル2[[#This Row],[性別]]="男",LOOKUP(テーブル2[[#This Row],[上体]],$AK$6:$AL$15),LOOKUP(テーブル2[[#This Row],[上体]],$AK$20:$AL$29))))</f>
        <v>0</v>
      </c>
      <c r="U470" s="145">
        <f>IF(テーブル2[[#This Row],[長座]]="",0,(IF(テーブル2[[#This Row],[性別]]="男",LOOKUP(テーブル2[[#This Row],[長座]],$AM$6:$AN$15),LOOKUP(テーブル2[[#This Row],[長座]],$AM$20:$AN$29))))</f>
        <v>0</v>
      </c>
      <c r="V470" s="145">
        <f>IF(テーブル2[[#This Row],[反復]]="",0,(IF(テーブル2[[#This Row],[性別]]="男",LOOKUP(テーブル2[[#This Row],[反復]],$AO$6:$AP$15),LOOKUP(テーブル2[[#This Row],[反復]],$AO$20:$AP$29))))</f>
        <v>0</v>
      </c>
      <c r="W470" s="145">
        <f>IF(テーブル2[[#This Row],[持久走]]="",0,(IF(テーブル2[[#This Row],[性別]]="男",LOOKUP(テーブル2[[#This Row],[持久走]],$AQ$6:$AR$15),LOOKUP(テーブル2[[#This Row],[持久走]],$AQ$20:$AR$29))))</f>
        <v>0</v>
      </c>
      <c r="X470" s="145">
        <f>IF(テーブル2[[#This Row],[ｼｬﾄﾙﾗﾝ]]="",0,(IF(テーブル2[[#This Row],[性別]]="男",LOOKUP(テーブル2[[#This Row],[ｼｬﾄﾙﾗﾝ]],$AS$6:$AT$15),LOOKUP(テーブル2[[#This Row],[ｼｬﾄﾙﾗﾝ]],$AS$20:$AT$29))))</f>
        <v>0</v>
      </c>
      <c r="Y470" s="145">
        <f>IF(テーブル2[[#This Row],[50m走]]="",0,(IF(テーブル2[[#This Row],[性別]]="男",LOOKUP(テーブル2[[#This Row],[50m走]],$AU$6:$AV$15),LOOKUP(テーブル2[[#This Row],[50m走]],$AU$20:$AV$29))))</f>
        <v>0</v>
      </c>
      <c r="Z470" s="145">
        <f>IF(テーブル2[[#This Row],[立幅とび]]="",0,(IF(テーブル2[[#This Row],[性別]]="男",LOOKUP(テーブル2[[#This Row],[立幅とび]],$AW$6:$AX$15),LOOKUP(テーブル2[[#This Row],[立幅とび]],$AW$20:$AX$29))))</f>
        <v>0</v>
      </c>
      <c r="AA470" s="145">
        <f>IF(テーブル2[[#This Row],[ボール投げ]]="",0,(IF(テーブル2[[#This Row],[性別]]="男",LOOKUP(テーブル2[[#This Row],[ボール投げ]],$AY$6:$AZ$15),LOOKUP(テーブル2[[#This Row],[ボール投げ]],$AY$20:$AZ$29))))</f>
        <v>0</v>
      </c>
      <c r="AB470" s="146" t="str">
        <f>IF(テーブル2[[#This Row],[学年]]=1,12,IF(テーブル2[[#This Row],[学年]]=2,13,IF(テーブル2[[#This Row],[学年]]=3,14,"")))</f>
        <v/>
      </c>
      <c r="AC470" s="192" t="str">
        <f>IF(テーブル2[[#This Row],[肥満度数値]]=0,"",LOOKUP(AE470,$AW$39:$AW$44,$AX$39:$AX$44))</f>
        <v/>
      </c>
      <c r="AD47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0" s="77">
        <f>IF(テーブル2[[#This Row],[体重]]="",0,(テーブル2[[#This Row],[体重]]-テーブル2[[#This Row],[標準体重]])/テーブル2[[#This Row],[標準体重]]*100)</f>
        <v>0</v>
      </c>
      <c r="AF470" s="26">
        <f>COUNTA(テーブル2[[#This Row],[握力]:[ボール投げ]])</f>
        <v>0</v>
      </c>
      <c r="AG470" s="1" t="str">
        <f>IF(テーブル2[[#This Row],[判定]]=$BE$10,"○","")</f>
        <v/>
      </c>
      <c r="AH470" s="1" t="str">
        <f>IF(AG470="","",COUNTIF($AG$6:AG470,"○"))</f>
        <v/>
      </c>
    </row>
    <row r="471" spans="1:34" ht="14.25" customHeight="1" x14ac:dyDescent="0.15">
      <c r="A471" s="44">
        <v>466</v>
      </c>
      <c r="B471" s="148"/>
      <c r="C471" s="151"/>
      <c r="D471" s="148"/>
      <c r="E471" s="152"/>
      <c r="F471" s="148"/>
      <c r="G471" s="148"/>
      <c r="H471" s="150"/>
      <c r="I471" s="150"/>
      <c r="J471" s="151"/>
      <c r="K471" s="148"/>
      <c r="L471" s="196"/>
      <c r="M471" s="151"/>
      <c r="N471" s="197"/>
      <c r="O471" s="151"/>
      <c r="P471" s="153"/>
      <c r="Q47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1" s="144" t="str">
        <f>IF(テーブル2[[#This Row],[得点]]=0,"",IF(テーブル2[[#This Row],[年齢]]=17,LOOKUP(Q471,$BH$6:$BH$10,$BE$6:$BE$10),IF(テーブル2[[#This Row],[年齢]]=16,LOOKUP(Q471,$BG$6:$BG$10,$BE$6:$BE$10),IF(テーブル2[[#This Row],[年齢]]=15,LOOKUP(Q471,$BF$6:$BF$10,$BE$6:$BE$10),IF(テーブル2[[#This Row],[年齢]]=14,LOOKUP(Q471,$BD$6:$BD$10,$BE$6:$BE$10),IF(テーブル2[[#This Row],[年齢]]=13,LOOKUP(Q471,$BC$6:$BC$10,$BE$6:$BE$10),LOOKUP(Q471,$BB$6:$BB$10,$BE$6:$BE$10)))))))</f>
        <v/>
      </c>
      <c r="S471" s="145">
        <f>IF(H471="",0,(IF(テーブル2[[#This Row],[性別]]="男",LOOKUP(テーブル2[[#This Row],[握力]],$AI$6:$AJ$15),LOOKUP(テーブル2[[#This Row],[握力]],$AI$20:$AJ$29))))</f>
        <v>0</v>
      </c>
      <c r="T471" s="145">
        <f>IF(テーブル2[[#This Row],[上体]]="",0,(IF(テーブル2[[#This Row],[性別]]="男",LOOKUP(テーブル2[[#This Row],[上体]],$AK$6:$AL$15),LOOKUP(テーブル2[[#This Row],[上体]],$AK$20:$AL$29))))</f>
        <v>0</v>
      </c>
      <c r="U471" s="145">
        <f>IF(テーブル2[[#This Row],[長座]]="",0,(IF(テーブル2[[#This Row],[性別]]="男",LOOKUP(テーブル2[[#This Row],[長座]],$AM$6:$AN$15),LOOKUP(テーブル2[[#This Row],[長座]],$AM$20:$AN$29))))</f>
        <v>0</v>
      </c>
      <c r="V471" s="145">
        <f>IF(テーブル2[[#This Row],[反復]]="",0,(IF(テーブル2[[#This Row],[性別]]="男",LOOKUP(テーブル2[[#This Row],[反復]],$AO$6:$AP$15),LOOKUP(テーブル2[[#This Row],[反復]],$AO$20:$AP$29))))</f>
        <v>0</v>
      </c>
      <c r="W471" s="145">
        <f>IF(テーブル2[[#This Row],[持久走]]="",0,(IF(テーブル2[[#This Row],[性別]]="男",LOOKUP(テーブル2[[#This Row],[持久走]],$AQ$6:$AR$15),LOOKUP(テーブル2[[#This Row],[持久走]],$AQ$20:$AR$29))))</f>
        <v>0</v>
      </c>
      <c r="X471" s="145">
        <f>IF(テーブル2[[#This Row],[ｼｬﾄﾙﾗﾝ]]="",0,(IF(テーブル2[[#This Row],[性別]]="男",LOOKUP(テーブル2[[#This Row],[ｼｬﾄﾙﾗﾝ]],$AS$6:$AT$15),LOOKUP(テーブル2[[#This Row],[ｼｬﾄﾙﾗﾝ]],$AS$20:$AT$29))))</f>
        <v>0</v>
      </c>
      <c r="Y471" s="145">
        <f>IF(テーブル2[[#This Row],[50m走]]="",0,(IF(テーブル2[[#This Row],[性別]]="男",LOOKUP(テーブル2[[#This Row],[50m走]],$AU$6:$AV$15),LOOKUP(テーブル2[[#This Row],[50m走]],$AU$20:$AV$29))))</f>
        <v>0</v>
      </c>
      <c r="Z471" s="145">
        <f>IF(テーブル2[[#This Row],[立幅とび]]="",0,(IF(テーブル2[[#This Row],[性別]]="男",LOOKUP(テーブル2[[#This Row],[立幅とび]],$AW$6:$AX$15),LOOKUP(テーブル2[[#This Row],[立幅とび]],$AW$20:$AX$29))))</f>
        <v>0</v>
      </c>
      <c r="AA471" s="145">
        <f>IF(テーブル2[[#This Row],[ボール投げ]]="",0,(IF(テーブル2[[#This Row],[性別]]="男",LOOKUP(テーブル2[[#This Row],[ボール投げ]],$AY$6:$AZ$15),LOOKUP(テーブル2[[#This Row],[ボール投げ]],$AY$20:$AZ$29))))</f>
        <v>0</v>
      </c>
      <c r="AB471" s="146" t="str">
        <f>IF(テーブル2[[#This Row],[学年]]=1,12,IF(テーブル2[[#This Row],[学年]]=2,13,IF(テーブル2[[#This Row],[学年]]=3,14,"")))</f>
        <v/>
      </c>
      <c r="AC471" s="192" t="str">
        <f>IF(テーブル2[[#This Row],[肥満度数値]]=0,"",LOOKUP(AE471,$AW$39:$AW$44,$AX$39:$AX$44))</f>
        <v/>
      </c>
      <c r="AD47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1" s="77">
        <f>IF(テーブル2[[#This Row],[体重]]="",0,(テーブル2[[#This Row],[体重]]-テーブル2[[#This Row],[標準体重]])/テーブル2[[#This Row],[標準体重]]*100)</f>
        <v>0</v>
      </c>
      <c r="AF471" s="26">
        <f>COUNTA(テーブル2[[#This Row],[握力]:[ボール投げ]])</f>
        <v>0</v>
      </c>
      <c r="AG471" s="1" t="str">
        <f>IF(テーブル2[[#This Row],[判定]]=$BE$10,"○","")</f>
        <v/>
      </c>
      <c r="AH471" s="1" t="str">
        <f>IF(AG471="","",COUNTIF($AG$6:AG471,"○"))</f>
        <v/>
      </c>
    </row>
    <row r="472" spans="1:34" ht="14.25" customHeight="1" x14ac:dyDescent="0.15">
      <c r="A472" s="44">
        <v>467</v>
      </c>
      <c r="B472" s="148"/>
      <c r="C472" s="151"/>
      <c r="D472" s="148"/>
      <c r="E472" s="152"/>
      <c r="F472" s="148"/>
      <c r="G472" s="148"/>
      <c r="H472" s="150"/>
      <c r="I472" s="150"/>
      <c r="J472" s="151"/>
      <c r="K472" s="148"/>
      <c r="L472" s="196"/>
      <c r="M472" s="151"/>
      <c r="N472" s="197"/>
      <c r="O472" s="151"/>
      <c r="P472" s="153"/>
      <c r="Q47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2" s="144" t="str">
        <f>IF(テーブル2[[#This Row],[得点]]=0,"",IF(テーブル2[[#This Row],[年齢]]=17,LOOKUP(Q472,$BH$6:$BH$10,$BE$6:$BE$10),IF(テーブル2[[#This Row],[年齢]]=16,LOOKUP(Q472,$BG$6:$BG$10,$BE$6:$BE$10),IF(テーブル2[[#This Row],[年齢]]=15,LOOKUP(Q472,$BF$6:$BF$10,$BE$6:$BE$10),IF(テーブル2[[#This Row],[年齢]]=14,LOOKUP(Q472,$BD$6:$BD$10,$BE$6:$BE$10),IF(テーブル2[[#This Row],[年齢]]=13,LOOKUP(Q472,$BC$6:$BC$10,$BE$6:$BE$10),LOOKUP(Q472,$BB$6:$BB$10,$BE$6:$BE$10)))))))</f>
        <v/>
      </c>
      <c r="S472" s="145">
        <f>IF(H472="",0,(IF(テーブル2[[#This Row],[性別]]="男",LOOKUP(テーブル2[[#This Row],[握力]],$AI$6:$AJ$15),LOOKUP(テーブル2[[#This Row],[握力]],$AI$20:$AJ$29))))</f>
        <v>0</v>
      </c>
      <c r="T472" s="145">
        <f>IF(テーブル2[[#This Row],[上体]]="",0,(IF(テーブル2[[#This Row],[性別]]="男",LOOKUP(テーブル2[[#This Row],[上体]],$AK$6:$AL$15),LOOKUP(テーブル2[[#This Row],[上体]],$AK$20:$AL$29))))</f>
        <v>0</v>
      </c>
      <c r="U472" s="145">
        <f>IF(テーブル2[[#This Row],[長座]]="",0,(IF(テーブル2[[#This Row],[性別]]="男",LOOKUP(テーブル2[[#This Row],[長座]],$AM$6:$AN$15),LOOKUP(テーブル2[[#This Row],[長座]],$AM$20:$AN$29))))</f>
        <v>0</v>
      </c>
      <c r="V472" s="145">
        <f>IF(テーブル2[[#This Row],[反復]]="",0,(IF(テーブル2[[#This Row],[性別]]="男",LOOKUP(テーブル2[[#This Row],[反復]],$AO$6:$AP$15),LOOKUP(テーブル2[[#This Row],[反復]],$AO$20:$AP$29))))</f>
        <v>0</v>
      </c>
      <c r="W472" s="145">
        <f>IF(テーブル2[[#This Row],[持久走]]="",0,(IF(テーブル2[[#This Row],[性別]]="男",LOOKUP(テーブル2[[#This Row],[持久走]],$AQ$6:$AR$15),LOOKUP(テーブル2[[#This Row],[持久走]],$AQ$20:$AR$29))))</f>
        <v>0</v>
      </c>
      <c r="X472" s="145">
        <f>IF(テーブル2[[#This Row],[ｼｬﾄﾙﾗﾝ]]="",0,(IF(テーブル2[[#This Row],[性別]]="男",LOOKUP(テーブル2[[#This Row],[ｼｬﾄﾙﾗﾝ]],$AS$6:$AT$15),LOOKUP(テーブル2[[#This Row],[ｼｬﾄﾙﾗﾝ]],$AS$20:$AT$29))))</f>
        <v>0</v>
      </c>
      <c r="Y472" s="145">
        <f>IF(テーブル2[[#This Row],[50m走]]="",0,(IF(テーブル2[[#This Row],[性別]]="男",LOOKUP(テーブル2[[#This Row],[50m走]],$AU$6:$AV$15),LOOKUP(テーブル2[[#This Row],[50m走]],$AU$20:$AV$29))))</f>
        <v>0</v>
      </c>
      <c r="Z472" s="145">
        <f>IF(テーブル2[[#This Row],[立幅とび]]="",0,(IF(テーブル2[[#This Row],[性別]]="男",LOOKUP(テーブル2[[#This Row],[立幅とび]],$AW$6:$AX$15),LOOKUP(テーブル2[[#This Row],[立幅とび]],$AW$20:$AX$29))))</f>
        <v>0</v>
      </c>
      <c r="AA472" s="145">
        <f>IF(テーブル2[[#This Row],[ボール投げ]]="",0,(IF(テーブル2[[#This Row],[性別]]="男",LOOKUP(テーブル2[[#This Row],[ボール投げ]],$AY$6:$AZ$15),LOOKUP(テーブル2[[#This Row],[ボール投げ]],$AY$20:$AZ$29))))</f>
        <v>0</v>
      </c>
      <c r="AB472" s="146" t="str">
        <f>IF(テーブル2[[#This Row],[学年]]=1,12,IF(テーブル2[[#This Row],[学年]]=2,13,IF(テーブル2[[#This Row],[学年]]=3,14,"")))</f>
        <v/>
      </c>
      <c r="AC472" s="192" t="str">
        <f>IF(テーブル2[[#This Row],[肥満度数値]]=0,"",LOOKUP(AE472,$AW$39:$AW$44,$AX$39:$AX$44))</f>
        <v/>
      </c>
      <c r="AD47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2" s="77">
        <f>IF(テーブル2[[#This Row],[体重]]="",0,(テーブル2[[#This Row],[体重]]-テーブル2[[#This Row],[標準体重]])/テーブル2[[#This Row],[標準体重]]*100)</f>
        <v>0</v>
      </c>
      <c r="AF472" s="26">
        <f>COUNTA(テーブル2[[#This Row],[握力]:[ボール投げ]])</f>
        <v>0</v>
      </c>
      <c r="AG472" s="1" t="str">
        <f>IF(テーブル2[[#This Row],[判定]]=$BE$10,"○","")</f>
        <v/>
      </c>
      <c r="AH472" s="1" t="str">
        <f>IF(AG472="","",COUNTIF($AG$6:AG472,"○"))</f>
        <v/>
      </c>
    </row>
    <row r="473" spans="1:34" ht="14.25" customHeight="1" x14ac:dyDescent="0.15">
      <c r="A473" s="44">
        <v>468</v>
      </c>
      <c r="B473" s="148"/>
      <c r="C473" s="151"/>
      <c r="D473" s="148"/>
      <c r="E473" s="152"/>
      <c r="F473" s="148"/>
      <c r="G473" s="148"/>
      <c r="H473" s="150"/>
      <c r="I473" s="150"/>
      <c r="J473" s="151"/>
      <c r="K473" s="148"/>
      <c r="L473" s="196"/>
      <c r="M473" s="151"/>
      <c r="N473" s="197"/>
      <c r="O473" s="151"/>
      <c r="P473" s="153"/>
      <c r="Q47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3" s="144" t="str">
        <f>IF(テーブル2[[#This Row],[得点]]=0,"",IF(テーブル2[[#This Row],[年齢]]=17,LOOKUP(Q473,$BH$6:$BH$10,$BE$6:$BE$10),IF(テーブル2[[#This Row],[年齢]]=16,LOOKUP(Q473,$BG$6:$BG$10,$BE$6:$BE$10),IF(テーブル2[[#This Row],[年齢]]=15,LOOKUP(Q473,$BF$6:$BF$10,$BE$6:$BE$10),IF(テーブル2[[#This Row],[年齢]]=14,LOOKUP(Q473,$BD$6:$BD$10,$BE$6:$BE$10),IF(テーブル2[[#This Row],[年齢]]=13,LOOKUP(Q473,$BC$6:$BC$10,$BE$6:$BE$10),LOOKUP(Q473,$BB$6:$BB$10,$BE$6:$BE$10)))))))</f>
        <v/>
      </c>
      <c r="S473" s="145">
        <f>IF(H473="",0,(IF(テーブル2[[#This Row],[性別]]="男",LOOKUP(テーブル2[[#This Row],[握力]],$AI$6:$AJ$15),LOOKUP(テーブル2[[#This Row],[握力]],$AI$20:$AJ$29))))</f>
        <v>0</v>
      </c>
      <c r="T473" s="145">
        <f>IF(テーブル2[[#This Row],[上体]]="",0,(IF(テーブル2[[#This Row],[性別]]="男",LOOKUP(テーブル2[[#This Row],[上体]],$AK$6:$AL$15),LOOKUP(テーブル2[[#This Row],[上体]],$AK$20:$AL$29))))</f>
        <v>0</v>
      </c>
      <c r="U473" s="145">
        <f>IF(テーブル2[[#This Row],[長座]]="",0,(IF(テーブル2[[#This Row],[性別]]="男",LOOKUP(テーブル2[[#This Row],[長座]],$AM$6:$AN$15),LOOKUP(テーブル2[[#This Row],[長座]],$AM$20:$AN$29))))</f>
        <v>0</v>
      </c>
      <c r="V473" s="145">
        <f>IF(テーブル2[[#This Row],[反復]]="",0,(IF(テーブル2[[#This Row],[性別]]="男",LOOKUP(テーブル2[[#This Row],[反復]],$AO$6:$AP$15),LOOKUP(テーブル2[[#This Row],[反復]],$AO$20:$AP$29))))</f>
        <v>0</v>
      </c>
      <c r="W473" s="145">
        <f>IF(テーブル2[[#This Row],[持久走]]="",0,(IF(テーブル2[[#This Row],[性別]]="男",LOOKUP(テーブル2[[#This Row],[持久走]],$AQ$6:$AR$15),LOOKUP(テーブル2[[#This Row],[持久走]],$AQ$20:$AR$29))))</f>
        <v>0</v>
      </c>
      <c r="X473" s="145">
        <f>IF(テーブル2[[#This Row],[ｼｬﾄﾙﾗﾝ]]="",0,(IF(テーブル2[[#This Row],[性別]]="男",LOOKUP(テーブル2[[#This Row],[ｼｬﾄﾙﾗﾝ]],$AS$6:$AT$15),LOOKUP(テーブル2[[#This Row],[ｼｬﾄﾙﾗﾝ]],$AS$20:$AT$29))))</f>
        <v>0</v>
      </c>
      <c r="Y473" s="145">
        <f>IF(テーブル2[[#This Row],[50m走]]="",0,(IF(テーブル2[[#This Row],[性別]]="男",LOOKUP(テーブル2[[#This Row],[50m走]],$AU$6:$AV$15),LOOKUP(テーブル2[[#This Row],[50m走]],$AU$20:$AV$29))))</f>
        <v>0</v>
      </c>
      <c r="Z473" s="145">
        <f>IF(テーブル2[[#This Row],[立幅とび]]="",0,(IF(テーブル2[[#This Row],[性別]]="男",LOOKUP(テーブル2[[#This Row],[立幅とび]],$AW$6:$AX$15),LOOKUP(テーブル2[[#This Row],[立幅とび]],$AW$20:$AX$29))))</f>
        <v>0</v>
      </c>
      <c r="AA473" s="145">
        <f>IF(テーブル2[[#This Row],[ボール投げ]]="",0,(IF(テーブル2[[#This Row],[性別]]="男",LOOKUP(テーブル2[[#This Row],[ボール投げ]],$AY$6:$AZ$15),LOOKUP(テーブル2[[#This Row],[ボール投げ]],$AY$20:$AZ$29))))</f>
        <v>0</v>
      </c>
      <c r="AB473" s="146" t="str">
        <f>IF(テーブル2[[#This Row],[学年]]=1,12,IF(テーブル2[[#This Row],[学年]]=2,13,IF(テーブル2[[#This Row],[学年]]=3,14,"")))</f>
        <v/>
      </c>
      <c r="AC473" s="192" t="str">
        <f>IF(テーブル2[[#This Row],[肥満度数値]]=0,"",LOOKUP(AE473,$AW$39:$AW$44,$AX$39:$AX$44))</f>
        <v/>
      </c>
      <c r="AD47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3" s="77">
        <f>IF(テーブル2[[#This Row],[体重]]="",0,(テーブル2[[#This Row],[体重]]-テーブル2[[#This Row],[標準体重]])/テーブル2[[#This Row],[標準体重]]*100)</f>
        <v>0</v>
      </c>
      <c r="AF473" s="26">
        <f>COUNTA(テーブル2[[#This Row],[握力]:[ボール投げ]])</f>
        <v>0</v>
      </c>
      <c r="AG473" s="1" t="str">
        <f>IF(テーブル2[[#This Row],[判定]]=$BE$10,"○","")</f>
        <v/>
      </c>
      <c r="AH473" s="1" t="str">
        <f>IF(AG473="","",COUNTIF($AG$6:AG473,"○"))</f>
        <v/>
      </c>
    </row>
    <row r="474" spans="1:34" ht="14.25" customHeight="1" x14ac:dyDescent="0.15">
      <c r="A474" s="44">
        <v>469</v>
      </c>
      <c r="B474" s="148"/>
      <c r="C474" s="151"/>
      <c r="D474" s="148"/>
      <c r="E474" s="152"/>
      <c r="F474" s="148"/>
      <c r="G474" s="148"/>
      <c r="H474" s="150"/>
      <c r="I474" s="150"/>
      <c r="J474" s="151"/>
      <c r="K474" s="148"/>
      <c r="L474" s="196"/>
      <c r="M474" s="151"/>
      <c r="N474" s="197"/>
      <c r="O474" s="151"/>
      <c r="P474" s="153"/>
      <c r="Q47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4" s="144" t="str">
        <f>IF(テーブル2[[#This Row],[得点]]=0,"",IF(テーブル2[[#This Row],[年齢]]=17,LOOKUP(Q474,$BH$6:$BH$10,$BE$6:$BE$10),IF(テーブル2[[#This Row],[年齢]]=16,LOOKUP(Q474,$BG$6:$BG$10,$BE$6:$BE$10),IF(テーブル2[[#This Row],[年齢]]=15,LOOKUP(Q474,$BF$6:$BF$10,$BE$6:$BE$10),IF(テーブル2[[#This Row],[年齢]]=14,LOOKUP(Q474,$BD$6:$BD$10,$BE$6:$BE$10),IF(テーブル2[[#This Row],[年齢]]=13,LOOKUP(Q474,$BC$6:$BC$10,$BE$6:$BE$10),LOOKUP(Q474,$BB$6:$BB$10,$BE$6:$BE$10)))))))</f>
        <v/>
      </c>
      <c r="S474" s="145">
        <f>IF(H474="",0,(IF(テーブル2[[#This Row],[性別]]="男",LOOKUP(テーブル2[[#This Row],[握力]],$AI$6:$AJ$15),LOOKUP(テーブル2[[#This Row],[握力]],$AI$20:$AJ$29))))</f>
        <v>0</v>
      </c>
      <c r="T474" s="145">
        <f>IF(テーブル2[[#This Row],[上体]]="",0,(IF(テーブル2[[#This Row],[性別]]="男",LOOKUP(テーブル2[[#This Row],[上体]],$AK$6:$AL$15),LOOKUP(テーブル2[[#This Row],[上体]],$AK$20:$AL$29))))</f>
        <v>0</v>
      </c>
      <c r="U474" s="145">
        <f>IF(テーブル2[[#This Row],[長座]]="",0,(IF(テーブル2[[#This Row],[性別]]="男",LOOKUP(テーブル2[[#This Row],[長座]],$AM$6:$AN$15),LOOKUP(テーブル2[[#This Row],[長座]],$AM$20:$AN$29))))</f>
        <v>0</v>
      </c>
      <c r="V474" s="145">
        <f>IF(テーブル2[[#This Row],[反復]]="",0,(IF(テーブル2[[#This Row],[性別]]="男",LOOKUP(テーブル2[[#This Row],[反復]],$AO$6:$AP$15),LOOKUP(テーブル2[[#This Row],[反復]],$AO$20:$AP$29))))</f>
        <v>0</v>
      </c>
      <c r="W474" s="145">
        <f>IF(テーブル2[[#This Row],[持久走]]="",0,(IF(テーブル2[[#This Row],[性別]]="男",LOOKUP(テーブル2[[#This Row],[持久走]],$AQ$6:$AR$15),LOOKUP(テーブル2[[#This Row],[持久走]],$AQ$20:$AR$29))))</f>
        <v>0</v>
      </c>
      <c r="X474" s="145">
        <f>IF(テーブル2[[#This Row],[ｼｬﾄﾙﾗﾝ]]="",0,(IF(テーブル2[[#This Row],[性別]]="男",LOOKUP(テーブル2[[#This Row],[ｼｬﾄﾙﾗﾝ]],$AS$6:$AT$15),LOOKUP(テーブル2[[#This Row],[ｼｬﾄﾙﾗﾝ]],$AS$20:$AT$29))))</f>
        <v>0</v>
      </c>
      <c r="Y474" s="145">
        <f>IF(テーブル2[[#This Row],[50m走]]="",0,(IF(テーブル2[[#This Row],[性別]]="男",LOOKUP(テーブル2[[#This Row],[50m走]],$AU$6:$AV$15),LOOKUP(テーブル2[[#This Row],[50m走]],$AU$20:$AV$29))))</f>
        <v>0</v>
      </c>
      <c r="Z474" s="145">
        <f>IF(テーブル2[[#This Row],[立幅とび]]="",0,(IF(テーブル2[[#This Row],[性別]]="男",LOOKUP(テーブル2[[#This Row],[立幅とび]],$AW$6:$AX$15),LOOKUP(テーブル2[[#This Row],[立幅とび]],$AW$20:$AX$29))))</f>
        <v>0</v>
      </c>
      <c r="AA474" s="145">
        <f>IF(テーブル2[[#This Row],[ボール投げ]]="",0,(IF(テーブル2[[#This Row],[性別]]="男",LOOKUP(テーブル2[[#This Row],[ボール投げ]],$AY$6:$AZ$15),LOOKUP(テーブル2[[#This Row],[ボール投げ]],$AY$20:$AZ$29))))</f>
        <v>0</v>
      </c>
      <c r="AB474" s="146" t="str">
        <f>IF(テーブル2[[#This Row],[学年]]=1,12,IF(テーブル2[[#This Row],[学年]]=2,13,IF(テーブル2[[#This Row],[学年]]=3,14,"")))</f>
        <v/>
      </c>
      <c r="AC474" s="192" t="str">
        <f>IF(テーブル2[[#This Row],[肥満度数値]]=0,"",LOOKUP(AE474,$AW$39:$AW$44,$AX$39:$AX$44))</f>
        <v/>
      </c>
      <c r="AD47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4" s="77">
        <f>IF(テーブル2[[#This Row],[体重]]="",0,(テーブル2[[#This Row],[体重]]-テーブル2[[#This Row],[標準体重]])/テーブル2[[#This Row],[標準体重]]*100)</f>
        <v>0</v>
      </c>
      <c r="AF474" s="26">
        <f>COUNTA(テーブル2[[#This Row],[握力]:[ボール投げ]])</f>
        <v>0</v>
      </c>
      <c r="AG474" s="1" t="str">
        <f>IF(テーブル2[[#This Row],[判定]]=$BE$10,"○","")</f>
        <v/>
      </c>
      <c r="AH474" s="1" t="str">
        <f>IF(AG474="","",COUNTIF($AG$6:AG474,"○"))</f>
        <v/>
      </c>
    </row>
    <row r="475" spans="1:34" ht="14.25" customHeight="1" x14ac:dyDescent="0.15">
      <c r="A475" s="44">
        <v>470</v>
      </c>
      <c r="B475" s="148"/>
      <c r="C475" s="151"/>
      <c r="D475" s="148"/>
      <c r="E475" s="152"/>
      <c r="F475" s="148"/>
      <c r="G475" s="148"/>
      <c r="H475" s="150"/>
      <c r="I475" s="150"/>
      <c r="J475" s="151"/>
      <c r="K475" s="148"/>
      <c r="L475" s="196"/>
      <c r="M475" s="151"/>
      <c r="N475" s="197"/>
      <c r="O475" s="151"/>
      <c r="P475" s="153"/>
      <c r="Q47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5" s="144" t="str">
        <f>IF(テーブル2[[#This Row],[得点]]=0,"",IF(テーブル2[[#This Row],[年齢]]=17,LOOKUP(Q475,$BH$6:$BH$10,$BE$6:$BE$10),IF(テーブル2[[#This Row],[年齢]]=16,LOOKUP(Q475,$BG$6:$BG$10,$BE$6:$BE$10),IF(テーブル2[[#This Row],[年齢]]=15,LOOKUP(Q475,$BF$6:$BF$10,$BE$6:$BE$10),IF(テーブル2[[#This Row],[年齢]]=14,LOOKUP(Q475,$BD$6:$BD$10,$BE$6:$BE$10),IF(テーブル2[[#This Row],[年齢]]=13,LOOKUP(Q475,$BC$6:$BC$10,$BE$6:$BE$10),LOOKUP(Q475,$BB$6:$BB$10,$BE$6:$BE$10)))))))</f>
        <v/>
      </c>
      <c r="S475" s="145">
        <f>IF(H475="",0,(IF(テーブル2[[#This Row],[性別]]="男",LOOKUP(テーブル2[[#This Row],[握力]],$AI$6:$AJ$15),LOOKUP(テーブル2[[#This Row],[握力]],$AI$20:$AJ$29))))</f>
        <v>0</v>
      </c>
      <c r="T475" s="145">
        <f>IF(テーブル2[[#This Row],[上体]]="",0,(IF(テーブル2[[#This Row],[性別]]="男",LOOKUP(テーブル2[[#This Row],[上体]],$AK$6:$AL$15),LOOKUP(テーブル2[[#This Row],[上体]],$AK$20:$AL$29))))</f>
        <v>0</v>
      </c>
      <c r="U475" s="145">
        <f>IF(テーブル2[[#This Row],[長座]]="",0,(IF(テーブル2[[#This Row],[性別]]="男",LOOKUP(テーブル2[[#This Row],[長座]],$AM$6:$AN$15),LOOKUP(テーブル2[[#This Row],[長座]],$AM$20:$AN$29))))</f>
        <v>0</v>
      </c>
      <c r="V475" s="145">
        <f>IF(テーブル2[[#This Row],[反復]]="",0,(IF(テーブル2[[#This Row],[性別]]="男",LOOKUP(テーブル2[[#This Row],[反復]],$AO$6:$AP$15),LOOKUP(テーブル2[[#This Row],[反復]],$AO$20:$AP$29))))</f>
        <v>0</v>
      </c>
      <c r="W475" s="145">
        <f>IF(テーブル2[[#This Row],[持久走]]="",0,(IF(テーブル2[[#This Row],[性別]]="男",LOOKUP(テーブル2[[#This Row],[持久走]],$AQ$6:$AR$15),LOOKUP(テーブル2[[#This Row],[持久走]],$AQ$20:$AR$29))))</f>
        <v>0</v>
      </c>
      <c r="X475" s="145">
        <f>IF(テーブル2[[#This Row],[ｼｬﾄﾙﾗﾝ]]="",0,(IF(テーブル2[[#This Row],[性別]]="男",LOOKUP(テーブル2[[#This Row],[ｼｬﾄﾙﾗﾝ]],$AS$6:$AT$15),LOOKUP(テーブル2[[#This Row],[ｼｬﾄﾙﾗﾝ]],$AS$20:$AT$29))))</f>
        <v>0</v>
      </c>
      <c r="Y475" s="145">
        <f>IF(テーブル2[[#This Row],[50m走]]="",0,(IF(テーブル2[[#This Row],[性別]]="男",LOOKUP(テーブル2[[#This Row],[50m走]],$AU$6:$AV$15),LOOKUP(テーブル2[[#This Row],[50m走]],$AU$20:$AV$29))))</f>
        <v>0</v>
      </c>
      <c r="Z475" s="145">
        <f>IF(テーブル2[[#This Row],[立幅とび]]="",0,(IF(テーブル2[[#This Row],[性別]]="男",LOOKUP(テーブル2[[#This Row],[立幅とび]],$AW$6:$AX$15),LOOKUP(テーブル2[[#This Row],[立幅とび]],$AW$20:$AX$29))))</f>
        <v>0</v>
      </c>
      <c r="AA475" s="145">
        <f>IF(テーブル2[[#This Row],[ボール投げ]]="",0,(IF(テーブル2[[#This Row],[性別]]="男",LOOKUP(テーブル2[[#This Row],[ボール投げ]],$AY$6:$AZ$15),LOOKUP(テーブル2[[#This Row],[ボール投げ]],$AY$20:$AZ$29))))</f>
        <v>0</v>
      </c>
      <c r="AB475" s="146" t="str">
        <f>IF(テーブル2[[#This Row],[学年]]=1,12,IF(テーブル2[[#This Row],[学年]]=2,13,IF(テーブル2[[#This Row],[学年]]=3,14,"")))</f>
        <v/>
      </c>
      <c r="AC475" s="192" t="str">
        <f>IF(テーブル2[[#This Row],[肥満度数値]]=0,"",LOOKUP(AE475,$AW$39:$AW$44,$AX$39:$AX$44))</f>
        <v/>
      </c>
      <c r="AD47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5" s="77">
        <f>IF(テーブル2[[#This Row],[体重]]="",0,(テーブル2[[#This Row],[体重]]-テーブル2[[#This Row],[標準体重]])/テーブル2[[#This Row],[標準体重]]*100)</f>
        <v>0</v>
      </c>
      <c r="AF475" s="26">
        <f>COUNTA(テーブル2[[#This Row],[握力]:[ボール投げ]])</f>
        <v>0</v>
      </c>
      <c r="AG475" s="1" t="str">
        <f>IF(テーブル2[[#This Row],[判定]]=$BE$10,"○","")</f>
        <v/>
      </c>
      <c r="AH475" s="1" t="str">
        <f>IF(AG475="","",COUNTIF($AG$6:AG475,"○"))</f>
        <v/>
      </c>
    </row>
    <row r="476" spans="1:34" ht="14.25" customHeight="1" x14ac:dyDescent="0.15">
      <c r="A476" s="44">
        <v>471</v>
      </c>
      <c r="B476" s="148"/>
      <c r="C476" s="151"/>
      <c r="D476" s="148"/>
      <c r="E476" s="152"/>
      <c r="F476" s="148"/>
      <c r="G476" s="148"/>
      <c r="H476" s="150"/>
      <c r="I476" s="150"/>
      <c r="J476" s="151"/>
      <c r="K476" s="148"/>
      <c r="L476" s="196"/>
      <c r="M476" s="151"/>
      <c r="N476" s="197"/>
      <c r="O476" s="151"/>
      <c r="P476" s="153"/>
      <c r="Q47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6" s="144" t="str">
        <f>IF(テーブル2[[#This Row],[得点]]=0,"",IF(テーブル2[[#This Row],[年齢]]=17,LOOKUP(Q476,$BH$6:$BH$10,$BE$6:$BE$10),IF(テーブル2[[#This Row],[年齢]]=16,LOOKUP(Q476,$BG$6:$BG$10,$BE$6:$BE$10),IF(テーブル2[[#This Row],[年齢]]=15,LOOKUP(Q476,$BF$6:$BF$10,$BE$6:$BE$10),IF(テーブル2[[#This Row],[年齢]]=14,LOOKUP(Q476,$BD$6:$BD$10,$BE$6:$BE$10),IF(テーブル2[[#This Row],[年齢]]=13,LOOKUP(Q476,$BC$6:$BC$10,$BE$6:$BE$10),LOOKUP(Q476,$BB$6:$BB$10,$BE$6:$BE$10)))))))</f>
        <v/>
      </c>
      <c r="S476" s="145">
        <f>IF(H476="",0,(IF(テーブル2[[#This Row],[性別]]="男",LOOKUP(テーブル2[[#This Row],[握力]],$AI$6:$AJ$15),LOOKUP(テーブル2[[#This Row],[握力]],$AI$20:$AJ$29))))</f>
        <v>0</v>
      </c>
      <c r="T476" s="145">
        <f>IF(テーブル2[[#This Row],[上体]]="",0,(IF(テーブル2[[#This Row],[性別]]="男",LOOKUP(テーブル2[[#This Row],[上体]],$AK$6:$AL$15),LOOKUP(テーブル2[[#This Row],[上体]],$AK$20:$AL$29))))</f>
        <v>0</v>
      </c>
      <c r="U476" s="145">
        <f>IF(テーブル2[[#This Row],[長座]]="",0,(IF(テーブル2[[#This Row],[性別]]="男",LOOKUP(テーブル2[[#This Row],[長座]],$AM$6:$AN$15),LOOKUP(テーブル2[[#This Row],[長座]],$AM$20:$AN$29))))</f>
        <v>0</v>
      </c>
      <c r="V476" s="145">
        <f>IF(テーブル2[[#This Row],[反復]]="",0,(IF(テーブル2[[#This Row],[性別]]="男",LOOKUP(テーブル2[[#This Row],[反復]],$AO$6:$AP$15),LOOKUP(テーブル2[[#This Row],[反復]],$AO$20:$AP$29))))</f>
        <v>0</v>
      </c>
      <c r="W476" s="145">
        <f>IF(テーブル2[[#This Row],[持久走]]="",0,(IF(テーブル2[[#This Row],[性別]]="男",LOOKUP(テーブル2[[#This Row],[持久走]],$AQ$6:$AR$15),LOOKUP(テーブル2[[#This Row],[持久走]],$AQ$20:$AR$29))))</f>
        <v>0</v>
      </c>
      <c r="X476" s="145">
        <f>IF(テーブル2[[#This Row],[ｼｬﾄﾙﾗﾝ]]="",0,(IF(テーブル2[[#This Row],[性別]]="男",LOOKUP(テーブル2[[#This Row],[ｼｬﾄﾙﾗﾝ]],$AS$6:$AT$15),LOOKUP(テーブル2[[#This Row],[ｼｬﾄﾙﾗﾝ]],$AS$20:$AT$29))))</f>
        <v>0</v>
      </c>
      <c r="Y476" s="145">
        <f>IF(テーブル2[[#This Row],[50m走]]="",0,(IF(テーブル2[[#This Row],[性別]]="男",LOOKUP(テーブル2[[#This Row],[50m走]],$AU$6:$AV$15),LOOKUP(テーブル2[[#This Row],[50m走]],$AU$20:$AV$29))))</f>
        <v>0</v>
      </c>
      <c r="Z476" s="145">
        <f>IF(テーブル2[[#This Row],[立幅とび]]="",0,(IF(テーブル2[[#This Row],[性別]]="男",LOOKUP(テーブル2[[#This Row],[立幅とび]],$AW$6:$AX$15),LOOKUP(テーブル2[[#This Row],[立幅とび]],$AW$20:$AX$29))))</f>
        <v>0</v>
      </c>
      <c r="AA476" s="145">
        <f>IF(テーブル2[[#This Row],[ボール投げ]]="",0,(IF(テーブル2[[#This Row],[性別]]="男",LOOKUP(テーブル2[[#This Row],[ボール投げ]],$AY$6:$AZ$15),LOOKUP(テーブル2[[#This Row],[ボール投げ]],$AY$20:$AZ$29))))</f>
        <v>0</v>
      </c>
      <c r="AB476" s="146" t="str">
        <f>IF(テーブル2[[#This Row],[学年]]=1,12,IF(テーブル2[[#This Row],[学年]]=2,13,IF(テーブル2[[#This Row],[学年]]=3,14,"")))</f>
        <v/>
      </c>
      <c r="AC476" s="192" t="str">
        <f>IF(テーブル2[[#This Row],[肥満度数値]]=0,"",LOOKUP(AE476,$AW$39:$AW$44,$AX$39:$AX$44))</f>
        <v/>
      </c>
      <c r="AD47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6" s="77">
        <f>IF(テーブル2[[#This Row],[体重]]="",0,(テーブル2[[#This Row],[体重]]-テーブル2[[#This Row],[標準体重]])/テーブル2[[#This Row],[標準体重]]*100)</f>
        <v>0</v>
      </c>
      <c r="AF476" s="26">
        <f>COUNTA(テーブル2[[#This Row],[握力]:[ボール投げ]])</f>
        <v>0</v>
      </c>
      <c r="AG476" s="1" t="str">
        <f>IF(テーブル2[[#This Row],[判定]]=$BE$10,"○","")</f>
        <v/>
      </c>
      <c r="AH476" s="1" t="str">
        <f>IF(AG476="","",COUNTIF($AG$6:AG476,"○"))</f>
        <v/>
      </c>
    </row>
    <row r="477" spans="1:34" ht="14.25" customHeight="1" x14ac:dyDescent="0.15">
      <c r="A477" s="44">
        <v>472</v>
      </c>
      <c r="B477" s="148"/>
      <c r="C477" s="151"/>
      <c r="D477" s="148"/>
      <c r="E477" s="152"/>
      <c r="F477" s="148"/>
      <c r="G477" s="148"/>
      <c r="H477" s="150"/>
      <c r="I477" s="150"/>
      <c r="J477" s="151"/>
      <c r="K477" s="148"/>
      <c r="L477" s="196"/>
      <c r="M477" s="151"/>
      <c r="N477" s="197"/>
      <c r="O477" s="151"/>
      <c r="P477" s="153"/>
      <c r="Q47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7" s="144" t="str">
        <f>IF(テーブル2[[#This Row],[得点]]=0,"",IF(テーブル2[[#This Row],[年齢]]=17,LOOKUP(Q477,$BH$6:$BH$10,$BE$6:$BE$10),IF(テーブル2[[#This Row],[年齢]]=16,LOOKUP(Q477,$BG$6:$BG$10,$BE$6:$BE$10),IF(テーブル2[[#This Row],[年齢]]=15,LOOKUP(Q477,$BF$6:$BF$10,$BE$6:$BE$10),IF(テーブル2[[#This Row],[年齢]]=14,LOOKUP(Q477,$BD$6:$BD$10,$BE$6:$BE$10),IF(テーブル2[[#This Row],[年齢]]=13,LOOKUP(Q477,$BC$6:$BC$10,$BE$6:$BE$10),LOOKUP(Q477,$BB$6:$BB$10,$BE$6:$BE$10)))))))</f>
        <v/>
      </c>
      <c r="S477" s="145">
        <f>IF(H477="",0,(IF(テーブル2[[#This Row],[性別]]="男",LOOKUP(テーブル2[[#This Row],[握力]],$AI$6:$AJ$15),LOOKUP(テーブル2[[#This Row],[握力]],$AI$20:$AJ$29))))</f>
        <v>0</v>
      </c>
      <c r="T477" s="145">
        <f>IF(テーブル2[[#This Row],[上体]]="",0,(IF(テーブル2[[#This Row],[性別]]="男",LOOKUP(テーブル2[[#This Row],[上体]],$AK$6:$AL$15),LOOKUP(テーブル2[[#This Row],[上体]],$AK$20:$AL$29))))</f>
        <v>0</v>
      </c>
      <c r="U477" s="145">
        <f>IF(テーブル2[[#This Row],[長座]]="",0,(IF(テーブル2[[#This Row],[性別]]="男",LOOKUP(テーブル2[[#This Row],[長座]],$AM$6:$AN$15),LOOKUP(テーブル2[[#This Row],[長座]],$AM$20:$AN$29))))</f>
        <v>0</v>
      </c>
      <c r="V477" s="145">
        <f>IF(テーブル2[[#This Row],[反復]]="",0,(IF(テーブル2[[#This Row],[性別]]="男",LOOKUP(テーブル2[[#This Row],[反復]],$AO$6:$AP$15),LOOKUP(テーブル2[[#This Row],[反復]],$AO$20:$AP$29))))</f>
        <v>0</v>
      </c>
      <c r="W477" s="145">
        <f>IF(テーブル2[[#This Row],[持久走]]="",0,(IF(テーブル2[[#This Row],[性別]]="男",LOOKUP(テーブル2[[#This Row],[持久走]],$AQ$6:$AR$15),LOOKUP(テーブル2[[#This Row],[持久走]],$AQ$20:$AR$29))))</f>
        <v>0</v>
      </c>
      <c r="X477" s="145">
        <f>IF(テーブル2[[#This Row],[ｼｬﾄﾙﾗﾝ]]="",0,(IF(テーブル2[[#This Row],[性別]]="男",LOOKUP(テーブル2[[#This Row],[ｼｬﾄﾙﾗﾝ]],$AS$6:$AT$15),LOOKUP(テーブル2[[#This Row],[ｼｬﾄﾙﾗﾝ]],$AS$20:$AT$29))))</f>
        <v>0</v>
      </c>
      <c r="Y477" s="145">
        <f>IF(テーブル2[[#This Row],[50m走]]="",0,(IF(テーブル2[[#This Row],[性別]]="男",LOOKUP(テーブル2[[#This Row],[50m走]],$AU$6:$AV$15),LOOKUP(テーブル2[[#This Row],[50m走]],$AU$20:$AV$29))))</f>
        <v>0</v>
      </c>
      <c r="Z477" s="145">
        <f>IF(テーブル2[[#This Row],[立幅とび]]="",0,(IF(テーブル2[[#This Row],[性別]]="男",LOOKUP(テーブル2[[#This Row],[立幅とび]],$AW$6:$AX$15),LOOKUP(テーブル2[[#This Row],[立幅とび]],$AW$20:$AX$29))))</f>
        <v>0</v>
      </c>
      <c r="AA477" s="145">
        <f>IF(テーブル2[[#This Row],[ボール投げ]]="",0,(IF(テーブル2[[#This Row],[性別]]="男",LOOKUP(テーブル2[[#This Row],[ボール投げ]],$AY$6:$AZ$15),LOOKUP(テーブル2[[#This Row],[ボール投げ]],$AY$20:$AZ$29))))</f>
        <v>0</v>
      </c>
      <c r="AB477" s="146" t="str">
        <f>IF(テーブル2[[#This Row],[学年]]=1,12,IF(テーブル2[[#This Row],[学年]]=2,13,IF(テーブル2[[#This Row],[学年]]=3,14,"")))</f>
        <v/>
      </c>
      <c r="AC477" s="192" t="str">
        <f>IF(テーブル2[[#This Row],[肥満度数値]]=0,"",LOOKUP(AE477,$AW$39:$AW$44,$AX$39:$AX$44))</f>
        <v/>
      </c>
      <c r="AD47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7" s="77">
        <f>IF(テーブル2[[#This Row],[体重]]="",0,(テーブル2[[#This Row],[体重]]-テーブル2[[#This Row],[標準体重]])/テーブル2[[#This Row],[標準体重]]*100)</f>
        <v>0</v>
      </c>
      <c r="AF477" s="26">
        <f>COUNTA(テーブル2[[#This Row],[握力]:[ボール投げ]])</f>
        <v>0</v>
      </c>
      <c r="AG477" s="1" t="str">
        <f>IF(テーブル2[[#This Row],[判定]]=$BE$10,"○","")</f>
        <v/>
      </c>
      <c r="AH477" s="1" t="str">
        <f>IF(AG477="","",COUNTIF($AG$6:AG477,"○"))</f>
        <v/>
      </c>
    </row>
    <row r="478" spans="1:34" ht="14.25" customHeight="1" x14ac:dyDescent="0.15">
      <c r="A478" s="44">
        <v>473</v>
      </c>
      <c r="B478" s="148"/>
      <c r="C478" s="151"/>
      <c r="D478" s="148"/>
      <c r="E478" s="152"/>
      <c r="F478" s="148"/>
      <c r="G478" s="148"/>
      <c r="H478" s="150"/>
      <c r="I478" s="150"/>
      <c r="J478" s="151"/>
      <c r="K478" s="148"/>
      <c r="L478" s="196"/>
      <c r="M478" s="151"/>
      <c r="N478" s="197"/>
      <c r="O478" s="151"/>
      <c r="P478" s="153"/>
      <c r="Q47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8" s="144" t="str">
        <f>IF(テーブル2[[#This Row],[得点]]=0,"",IF(テーブル2[[#This Row],[年齢]]=17,LOOKUP(Q478,$BH$6:$BH$10,$BE$6:$BE$10),IF(テーブル2[[#This Row],[年齢]]=16,LOOKUP(Q478,$BG$6:$BG$10,$BE$6:$BE$10),IF(テーブル2[[#This Row],[年齢]]=15,LOOKUP(Q478,$BF$6:$BF$10,$BE$6:$BE$10),IF(テーブル2[[#This Row],[年齢]]=14,LOOKUP(Q478,$BD$6:$BD$10,$BE$6:$BE$10),IF(テーブル2[[#This Row],[年齢]]=13,LOOKUP(Q478,$BC$6:$BC$10,$BE$6:$BE$10),LOOKUP(Q478,$BB$6:$BB$10,$BE$6:$BE$10)))))))</f>
        <v/>
      </c>
      <c r="S478" s="145">
        <f>IF(H478="",0,(IF(テーブル2[[#This Row],[性別]]="男",LOOKUP(テーブル2[[#This Row],[握力]],$AI$6:$AJ$15),LOOKUP(テーブル2[[#This Row],[握力]],$AI$20:$AJ$29))))</f>
        <v>0</v>
      </c>
      <c r="T478" s="145">
        <f>IF(テーブル2[[#This Row],[上体]]="",0,(IF(テーブル2[[#This Row],[性別]]="男",LOOKUP(テーブル2[[#This Row],[上体]],$AK$6:$AL$15),LOOKUP(テーブル2[[#This Row],[上体]],$AK$20:$AL$29))))</f>
        <v>0</v>
      </c>
      <c r="U478" s="145">
        <f>IF(テーブル2[[#This Row],[長座]]="",0,(IF(テーブル2[[#This Row],[性別]]="男",LOOKUP(テーブル2[[#This Row],[長座]],$AM$6:$AN$15),LOOKUP(テーブル2[[#This Row],[長座]],$AM$20:$AN$29))))</f>
        <v>0</v>
      </c>
      <c r="V478" s="145">
        <f>IF(テーブル2[[#This Row],[反復]]="",0,(IF(テーブル2[[#This Row],[性別]]="男",LOOKUP(テーブル2[[#This Row],[反復]],$AO$6:$AP$15),LOOKUP(テーブル2[[#This Row],[反復]],$AO$20:$AP$29))))</f>
        <v>0</v>
      </c>
      <c r="W478" s="145">
        <f>IF(テーブル2[[#This Row],[持久走]]="",0,(IF(テーブル2[[#This Row],[性別]]="男",LOOKUP(テーブル2[[#This Row],[持久走]],$AQ$6:$AR$15),LOOKUP(テーブル2[[#This Row],[持久走]],$AQ$20:$AR$29))))</f>
        <v>0</v>
      </c>
      <c r="X478" s="145">
        <f>IF(テーブル2[[#This Row],[ｼｬﾄﾙﾗﾝ]]="",0,(IF(テーブル2[[#This Row],[性別]]="男",LOOKUP(テーブル2[[#This Row],[ｼｬﾄﾙﾗﾝ]],$AS$6:$AT$15),LOOKUP(テーブル2[[#This Row],[ｼｬﾄﾙﾗﾝ]],$AS$20:$AT$29))))</f>
        <v>0</v>
      </c>
      <c r="Y478" s="145">
        <f>IF(テーブル2[[#This Row],[50m走]]="",0,(IF(テーブル2[[#This Row],[性別]]="男",LOOKUP(テーブル2[[#This Row],[50m走]],$AU$6:$AV$15),LOOKUP(テーブル2[[#This Row],[50m走]],$AU$20:$AV$29))))</f>
        <v>0</v>
      </c>
      <c r="Z478" s="145">
        <f>IF(テーブル2[[#This Row],[立幅とび]]="",0,(IF(テーブル2[[#This Row],[性別]]="男",LOOKUP(テーブル2[[#This Row],[立幅とび]],$AW$6:$AX$15),LOOKUP(テーブル2[[#This Row],[立幅とび]],$AW$20:$AX$29))))</f>
        <v>0</v>
      </c>
      <c r="AA478" s="145">
        <f>IF(テーブル2[[#This Row],[ボール投げ]]="",0,(IF(テーブル2[[#This Row],[性別]]="男",LOOKUP(テーブル2[[#This Row],[ボール投げ]],$AY$6:$AZ$15),LOOKUP(テーブル2[[#This Row],[ボール投げ]],$AY$20:$AZ$29))))</f>
        <v>0</v>
      </c>
      <c r="AB478" s="146" t="str">
        <f>IF(テーブル2[[#This Row],[学年]]=1,12,IF(テーブル2[[#This Row],[学年]]=2,13,IF(テーブル2[[#This Row],[学年]]=3,14,"")))</f>
        <v/>
      </c>
      <c r="AC478" s="192" t="str">
        <f>IF(テーブル2[[#This Row],[肥満度数値]]=0,"",LOOKUP(AE478,$AW$39:$AW$44,$AX$39:$AX$44))</f>
        <v/>
      </c>
      <c r="AD47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8" s="77">
        <f>IF(テーブル2[[#This Row],[体重]]="",0,(テーブル2[[#This Row],[体重]]-テーブル2[[#This Row],[標準体重]])/テーブル2[[#This Row],[標準体重]]*100)</f>
        <v>0</v>
      </c>
      <c r="AF478" s="26">
        <f>COUNTA(テーブル2[[#This Row],[握力]:[ボール投げ]])</f>
        <v>0</v>
      </c>
      <c r="AG478" s="1" t="str">
        <f>IF(テーブル2[[#This Row],[判定]]=$BE$10,"○","")</f>
        <v/>
      </c>
      <c r="AH478" s="1" t="str">
        <f>IF(AG478="","",COUNTIF($AG$6:AG478,"○"))</f>
        <v/>
      </c>
    </row>
    <row r="479" spans="1:34" ht="14.25" customHeight="1" x14ac:dyDescent="0.15">
      <c r="A479" s="44">
        <v>474</v>
      </c>
      <c r="B479" s="148"/>
      <c r="C479" s="151"/>
      <c r="D479" s="148"/>
      <c r="E479" s="152"/>
      <c r="F479" s="148"/>
      <c r="G479" s="148"/>
      <c r="H479" s="150"/>
      <c r="I479" s="150"/>
      <c r="J479" s="151"/>
      <c r="K479" s="148"/>
      <c r="L479" s="196"/>
      <c r="M479" s="151"/>
      <c r="N479" s="197"/>
      <c r="O479" s="151"/>
      <c r="P479" s="153"/>
      <c r="Q47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9" s="144" t="str">
        <f>IF(テーブル2[[#This Row],[得点]]=0,"",IF(テーブル2[[#This Row],[年齢]]=17,LOOKUP(Q479,$BH$6:$BH$10,$BE$6:$BE$10),IF(テーブル2[[#This Row],[年齢]]=16,LOOKUP(Q479,$BG$6:$BG$10,$BE$6:$BE$10),IF(テーブル2[[#This Row],[年齢]]=15,LOOKUP(Q479,$BF$6:$BF$10,$BE$6:$BE$10),IF(テーブル2[[#This Row],[年齢]]=14,LOOKUP(Q479,$BD$6:$BD$10,$BE$6:$BE$10),IF(テーブル2[[#This Row],[年齢]]=13,LOOKUP(Q479,$BC$6:$BC$10,$BE$6:$BE$10),LOOKUP(Q479,$BB$6:$BB$10,$BE$6:$BE$10)))))))</f>
        <v/>
      </c>
      <c r="S479" s="145">
        <f>IF(H479="",0,(IF(テーブル2[[#This Row],[性別]]="男",LOOKUP(テーブル2[[#This Row],[握力]],$AI$6:$AJ$15),LOOKUP(テーブル2[[#This Row],[握力]],$AI$20:$AJ$29))))</f>
        <v>0</v>
      </c>
      <c r="T479" s="145">
        <f>IF(テーブル2[[#This Row],[上体]]="",0,(IF(テーブル2[[#This Row],[性別]]="男",LOOKUP(テーブル2[[#This Row],[上体]],$AK$6:$AL$15),LOOKUP(テーブル2[[#This Row],[上体]],$AK$20:$AL$29))))</f>
        <v>0</v>
      </c>
      <c r="U479" s="145">
        <f>IF(テーブル2[[#This Row],[長座]]="",0,(IF(テーブル2[[#This Row],[性別]]="男",LOOKUP(テーブル2[[#This Row],[長座]],$AM$6:$AN$15),LOOKUP(テーブル2[[#This Row],[長座]],$AM$20:$AN$29))))</f>
        <v>0</v>
      </c>
      <c r="V479" s="145">
        <f>IF(テーブル2[[#This Row],[反復]]="",0,(IF(テーブル2[[#This Row],[性別]]="男",LOOKUP(テーブル2[[#This Row],[反復]],$AO$6:$AP$15),LOOKUP(テーブル2[[#This Row],[反復]],$AO$20:$AP$29))))</f>
        <v>0</v>
      </c>
      <c r="W479" s="145">
        <f>IF(テーブル2[[#This Row],[持久走]]="",0,(IF(テーブル2[[#This Row],[性別]]="男",LOOKUP(テーブル2[[#This Row],[持久走]],$AQ$6:$AR$15),LOOKUP(テーブル2[[#This Row],[持久走]],$AQ$20:$AR$29))))</f>
        <v>0</v>
      </c>
      <c r="X479" s="145">
        <f>IF(テーブル2[[#This Row],[ｼｬﾄﾙﾗﾝ]]="",0,(IF(テーブル2[[#This Row],[性別]]="男",LOOKUP(テーブル2[[#This Row],[ｼｬﾄﾙﾗﾝ]],$AS$6:$AT$15),LOOKUP(テーブル2[[#This Row],[ｼｬﾄﾙﾗﾝ]],$AS$20:$AT$29))))</f>
        <v>0</v>
      </c>
      <c r="Y479" s="145">
        <f>IF(テーブル2[[#This Row],[50m走]]="",0,(IF(テーブル2[[#This Row],[性別]]="男",LOOKUP(テーブル2[[#This Row],[50m走]],$AU$6:$AV$15),LOOKUP(テーブル2[[#This Row],[50m走]],$AU$20:$AV$29))))</f>
        <v>0</v>
      </c>
      <c r="Z479" s="145">
        <f>IF(テーブル2[[#This Row],[立幅とび]]="",0,(IF(テーブル2[[#This Row],[性別]]="男",LOOKUP(テーブル2[[#This Row],[立幅とび]],$AW$6:$AX$15),LOOKUP(テーブル2[[#This Row],[立幅とび]],$AW$20:$AX$29))))</f>
        <v>0</v>
      </c>
      <c r="AA479" s="145">
        <f>IF(テーブル2[[#This Row],[ボール投げ]]="",0,(IF(テーブル2[[#This Row],[性別]]="男",LOOKUP(テーブル2[[#This Row],[ボール投げ]],$AY$6:$AZ$15),LOOKUP(テーブル2[[#This Row],[ボール投げ]],$AY$20:$AZ$29))))</f>
        <v>0</v>
      </c>
      <c r="AB479" s="146" t="str">
        <f>IF(テーブル2[[#This Row],[学年]]=1,12,IF(テーブル2[[#This Row],[学年]]=2,13,IF(テーブル2[[#This Row],[学年]]=3,14,"")))</f>
        <v/>
      </c>
      <c r="AC479" s="192" t="str">
        <f>IF(テーブル2[[#This Row],[肥満度数値]]=0,"",LOOKUP(AE479,$AW$39:$AW$44,$AX$39:$AX$44))</f>
        <v/>
      </c>
      <c r="AD47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79" s="77">
        <f>IF(テーブル2[[#This Row],[体重]]="",0,(テーブル2[[#This Row],[体重]]-テーブル2[[#This Row],[標準体重]])/テーブル2[[#This Row],[標準体重]]*100)</f>
        <v>0</v>
      </c>
      <c r="AF479" s="26">
        <f>COUNTA(テーブル2[[#This Row],[握力]:[ボール投げ]])</f>
        <v>0</v>
      </c>
      <c r="AG479" s="1" t="str">
        <f>IF(テーブル2[[#This Row],[判定]]=$BE$10,"○","")</f>
        <v/>
      </c>
      <c r="AH479" s="1" t="str">
        <f>IF(AG479="","",COUNTIF($AG$6:AG479,"○"))</f>
        <v/>
      </c>
    </row>
    <row r="480" spans="1:34" ht="14.25" customHeight="1" x14ac:dyDescent="0.15">
      <c r="A480" s="44">
        <v>475</v>
      </c>
      <c r="B480" s="148"/>
      <c r="C480" s="151"/>
      <c r="D480" s="148"/>
      <c r="E480" s="152"/>
      <c r="F480" s="148"/>
      <c r="G480" s="148"/>
      <c r="H480" s="150"/>
      <c r="I480" s="150"/>
      <c r="J480" s="151"/>
      <c r="K480" s="148"/>
      <c r="L480" s="196"/>
      <c r="M480" s="151"/>
      <c r="N480" s="197"/>
      <c r="O480" s="151"/>
      <c r="P480" s="153"/>
      <c r="Q48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0" s="144" t="str">
        <f>IF(テーブル2[[#This Row],[得点]]=0,"",IF(テーブル2[[#This Row],[年齢]]=17,LOOKUP(Q480,$BH$6:$BH$10,$BE$6:$BE$10),IF(テーブル2[[#This Row],[年齢]]=16,LOOKUP(Q480,$BG$6:$BG$10,$BE$6:$BE$10),IF(テーブル2[[#This Row],[年齢]]=15,LOOKUP(Q480,$BF$6:$BF$10,$BE$6:$BE$10),IF(テーブル2[[#This Row],[年齢]]=14,LOOKUP(Q480,$BD$6:$BD$10,$BE$6:$BE$10),IF(テーブル2[[#This Row],[年齢]]=13,LOOKUP(Q480,$BC$6:$BC$10,$BE$6:$BE$10),LOOKUP(Q480,$BB$6:$BB$10,$BE$6:$BE$10)))))))</f>
        <v/>
      </c>
      <c r="S480" s="145">
        <f>IF(H480="",0,(IF(テーブル2[[#This Row],[性別]]="男",LOOKUP(テーブル2[[#This Row],[握力]],$AI$6:$AJ$15),LOOKUP(テーブル2[[#This Row],[握力]],$AI$20:$AJ$29))))</f>
        <v>0</v>
      </c>
      <c r="T480" s="145">
        <f>IF(テーブル2[[#This Row],[上体]]="",0,(IF(テーブル2[[#This Row],[性別]]="男",LOOKUP(テーブル2[[#This Row],[上体]],$AK$6:$AL$15),LOOKUP(テーブル2[[#This Row],[上体]],$AK$20:$AL$29))))</f>
        <v>0</v>
      </c>
      <c r="U480" s="145">
        <f>IF(テーブル2[[#This Row],[長座]]="",0,(IF(テーブル2[[#This Row],[性別]]="男",LOOKUP(テーブル2[[#This Row],[長座]],$AM$6:$AN$15),LOOKUP(テーブル2[[#This Row],[長座]],$AM$20:$AN$29))))</f>
        <v>0</v>
      </c>
      <c r="V480" s="145">
        <f>IF(テーブル2[[#This Row],[反復]]="",0,(IF(テーブル2[[#This Row],[性別]]="男",LOOKUP(テーブル2[[#This Row],[反復]],$AO$6:$AP$15),LOOKUP(テーブル2[[#This Row],[反復]],$AO$20:$AP$29))))</f>
        <v>0</v>
      </c>
      <c r="W480" s="145">
        <f>IF(テーブル2[[#This Row],[持久走]]="",0,(IF(テーブル2[[#This Row],[性別]]="男",LOOKUP(テーブル2[[#This Row],[持久走]],$AQ$6:$AR$15),LOOKUP(テーブル2[[#This Row],[持久走]],$AQ$20:$AR$29))))</f>
        <v>0</v>
      </c>
      <c r="X480" s="145">
        <f>IF(テーブル2[[#This Row],[ｼｬﾄﾙﾗﾝ]]="",0,(IF(テーブル2[[#This Row],[性別]]="男",LOOKUP(テーブル2[[#This Row],[ｼｬﾄﾙﾗﾝ]],$AS$6:$AT$15),LOOKUP(テーブル2[[#This Row],[ｼｬﾄﾙﾗﾝ]],$AS$20:$AT$29))))</f>
        <v>0</v>
      </c>
      <c r="Y480" s="145">
        <f>IF(テーブル2[[#This Row],[50m走]]="",0,(IF(テーブル2[[#This Row],[性別]]="男",LOOKUP(テーブル2[[#This Row],[50m走]],$AU$6:$AV$15),LOOKUP(テーブル2[[#This Row],[50m走]],$AU$20:$AV$29))))</f>
        <v>0</v>
      </c>
      <c r="Z480" s="145">
        <f>IF(テーブル2[[#This Row],[立幅とび]]="",0,(IF(テーブル2[[#This Row],[性別]]="男",LOOKUP(テーブル2[[#This Row],[立幅とび]],$AW$6:$AX$15),LOOKUP(テーブル2[[#This Row],[立幅とび]],$AW$20:$AX$29))))</f>
        <v>0</v>
      </c>
      <c r="AA480" s="145">
        <f>IF(テーブル2[[#This Row],[ボール投げ]]="",0,(IF(テーブル2[[#This Row],[性別]]="男",LOOKUP(テーブル2[[#This Row],[ボール投げ]],$AY$6:$AZ$15),LOOKUP(テーブル2[[#This Row],[ボール投げ]],$AY$20:$AZ$29))))</f>
        <v>0</v>
      </c>
      <c r="AB480" s="146" t="str">
        <f>IF(テーブル2[[#This Row],[学年]]=1,12,IF(テーブル2[[#This Row],[学年]]=2,13,IF(テーブル2[[#This Row],[学年]]=3,14,"")))</f>
        <v/>
      </c>
      <c r="AC480" s="192" t="str">
        <f>IF(テーブル2[[#This Row],[肥満度数値]]=0,"",LOOKUP(AE480,$AW$39:$AW$44,$AX$39:$AX$44))</f>
        <v/>
      </c>
      <c r="AD48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0" s="77">
        <f>IF(テーブル2[[#This Row],[体重]]="",0,(テーブル2[[#This Row],[体重]]-テーブル2[[#This Row],[標準体重]])/テーブル2[[#This Row],[標準体重]]*100)</f>
        <v>0</v>
      </c>
      <c r="AF480" s="26">
        <f>COUNTA(テーブル2[[#This Row],[握力]:[ボール投げ]])</f>
        <v>0</v>
      </c>
      <c r="AG480" s="1" t="str">
        <f>IF(テーブル2[[#This Row],[判定]]=$BE$10,"○","")</f>
        <v/>
      </c>
      <c r="AH480" s="1" t="str">
        <f>IF(AG480="","",COUNTIF($AG$6:AG480,"○"))</f>
        <v/>
      </c>
    </row>
    <row r="481" spans="1:34" ht="14.25" customHeight="1" x14ac:dyDescent="0.15">
      <c r="A481" s="44">
        <v>476</v>
      </c>
      <c r="B481" s="148"/>
      <c r="C481" s="151"/>
      <c r="D481" s="148"/>
      <c r="E481" s="152"/>
      <c r="F481" s="148"/>
      <c r="G481" s="148"/>
      <c r="H481" s="150"/>
      <c r="I481" s="150"/>
      <c r="J481" s="151"/>
      <c r="K481" s="148"/>
      <c r="L481" s="196"/>
      <c r="M481" s="151"/>
      <c r="N481" s="197"/>
      <c r="O481" s="151"/>
      <c r="P481" s="153"/>
      <c r="Q48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1" s="144" t="str">
        <f>IF(テーブル2[[#This Row],[得点]]=0,"",IF(テーブル2[[#This Row],[年齢]]=17,LOOKUP(Q481,$BH$6:$BH$10,$BE$6:$BE$10),IF(テーブル2[[#This Row],[年齢]]=16,LOOKUP(Q481,$BG$6:$BG$10,$BE$6:$BE$10),IF(テーブル2[[#This Row],[年齢]]=15,LOOKUP(Q481,$BF$6:$BF$10,$BE$6:$BE$10),IF(テーブル2[[#This Row],[年齢]]=14,LOOKUP(Q481,$BD$6:$BD$10,$BE$6:$BE$10),IF(テーブル2[[#This Row],[年齢]]=13,LOOKUP(Q481,$BC$6:$BC$10,$BE$6:$BE$10),LOOKUP(Q481,$BB$6:$BB$10,$BE$6:$BE$10)))))))</f>
        <v/>
      </c>
      <c r="S481" s="145">
        <f>IF(H481="",0,(IF(テーブル2[[#This Row],[性別]]="男",LOOKUP(テーブル2[[#This Row],[握力]],$AI$6:$AJ$15),LOOKUP(テーブル2[[#This Row],[握力]],$AI$20:$AJ$29))))</f>
        <v>0</v>
      </c>
      <c r="T481" s="145">
        <f>IF(テーブル2[[#This Row],[上体]]="",0,(IF(テーブル2[[#This Row],[性別]]="男",LOOKUP(テーブル2[[#This Row],[上体]],$AK$6:$AL$15),LOOKUP(テーブル2[[#This Row],[上体]],$AK$20:$AL$29))))</f>
        <v>0</v>
      </c>
      <c r="U481" s="145">
        <f>IF(テーブル2[[#This Row],[長座]]="",0,(IF(テーブル2[[#This Row],[性別]]="男",LOOKUP(テーブル2[[#This Row],[長座]],$AM$6:$AN$15),LOOKUP(テーブル2[[#This Row],[長座]],$AM$20:$AN$29))))</f>
        <v>0</v>
      </c>
      <c r="V481" s="145">
        <f>IF(テーブル2[[#This Row],[反復]]="",0,(IF(テーブル2[[#This Row],[性別]]="男",LOOKUP(テーブル2[[#This Row],[反復]],$AO$6:$AP$15),LOOKUP(テーブル2[[#This Row],[反復]],$AO$20:$AP$29))))</f>
        <v>0</v>
      </c>
      <c r="W481" s="145">
        <f>IF(テーブル2[[#This Row],[持久走]]="",0,(IF(テーブル2[[#This Row],[性別]]="男",LOOKUP(テーブル2[[#This Row],[持久走]],$AQ$6:$AR$15),LOOKUP(テーブル2[[#This Row],[持久走]],$AQ$20:$AR$29))))</f>
        <v>0</v>
      </c>
      <c r="X481" s="145">
        <f>IF(テーブル2[[#This Row],[ｼｬﾄﾙﾗﾝ]]="",0,(IF(テーブル2[[#This Row],[性別]]="男",LOOKUP(テーブル2[[#This Row],[ｼｬﾄﾙﾗﾝ]],$AS$6:$AT$15),LOOKUP(テーブル2[[#This Row],[ｼｬﾄﾙﾗﾝ]],$AS$20:$AT$29))))</f>
        <v>0</v>
      </c>
      <c r="Y481" s="145">
        <f>IF(テーブル2[[#This Row],[50m走]]="",0,(IF(テーブル2[[#This Row],[性別]]="男",LOOKUP(テーブル2[[#This Row],[50m走]],$AU$6:$AV$15),LOOKUP(テーブル2[[#This Row],[50m走]],$AU$20:$AV$29))))</f>
        <v>0</v>
      </c>
      <c r="Z481" s="145">
        <f>IF(テーブル2[[#This Row],[立幅とび]]="",0,(IF(テーブル2[[#This Row],[性別]]="男",LOOKUP(テーブル2[[#This Row],[立幅とび]],$AW$6:$AX$15),LOOKUP(テーブル2[[#This Row],[立幅とび]],$AW$20:$AX$29))))</f>
        <v>0</v>
      </c>
      <c r="AA481" s="145">
        <f>IF(テーブル2[[#This Row],[ボール投げ]]="",0,(IF(テーブル2[[#This Row],[性別]]="男",LOOKUP(テーブル2[[#This Row],[ボール投げ]],$AY$6:$AZ$15),LOOKUP(テーブル2[[#This Row],[ボール投げ]],$AY$20:$AZ$29))))</f>
        <v>0</v>
      </c>
      <c r="AB481" s="146" t="str">
        <f>IF(テーブル2[[#This Row],[学年]]=1,12,IF(テーブル2[[#This Row],[学年]]=2,13,IF(テーブル2[[#This Row],[学年]]=3,14,"")))</f>
        <v/>
      </c>
      <c r="AC481" s="192" t="str">
        <f>IF(テーブル2[[#This Row],[肥満度数値]]=0,"",LOOKUP(AE481,$AW$39:$AW$44,$AX$39:$AX$44))</f>
        <v/>
      </c>
      <c r="AD48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1" s="77">
        <f>IF(テーブル2[[#This Row],[体重]]="",0,(テーブル2[[#This Row],[体重]]-テーブル2[[#This Row],[標準体重]])/テーブル2[[#This Row],[標準体重]]*100)</f>
        <v>0</v>
      </c>
      <c r="AF481" s="26">
        <f>COUNTA(テーブル2[[#This Row],[握力]:[ボール投げ]])</f>
        <v>0</v>
      </c>
      <c r="AG481" s="1" t="str">
        <f>IF(テーブル2[[#This Row],[判定]]=$BE$10,"○","")</f>
        <v/>
      </c>
      <c r="AH481" s="1" t="str">
        <f>IF(AG481="","",COUNTIF($AG$6:AG481,"○"))</f>
        <v/>
      </c>
    </row>
    <row r="482" spans="1:34" ht="14.25" customHeight="1" x14ac:dyDescent="0.15">
      <c r="A482" s="44">
        <v>477</v>
      </c>
      <c r="B482" s="148"/>
      <c r="C482" s="151"/>
      <c r="D482" s="148"/>
      <c r="E482" s="152"/>
      <c r="F482" s="148"/>
      <c r="G482" s="148"/>
      <c r="H482" s="150"/>
      <c r="I482" s="150"/>
      <c r="J482" s="151"/>
      <c r="K482" s="148"/>
      <c r="L482" s="196"/>
      <c r="M482" s="151"/>
      <c r="N482" s="197"/>
      <c r="O482" s="151"/>
      <c r="P482" s="153"/>
      <c r="Q48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2" s="144" t="str">
        <f>IF(テーブル2[[#This Row],[得点]]=0,"",IF(テーブル2[[#This Row],[年齢]]=17,LOOKUP(Q482,$BH$6:$BH$10,$BE$6:$BE$10),IF(テーブル2[[#This Row],[年齢]]=16,LOOKUP(Q482,$BG$6:$BG$10,$BE$6:$BE$10),IF(テーブル2[[#This Row],[年齢]]=15,LOOKUP(Q482,$BF$6:$BF$10,$BE$6:$BE$10),IF(テーブル2[[#This Row],[年齢]]=14,LOOKUP(Q482,$BD$6:$BD$10,$BE$6:$BE$10),IF(テーブル2[[#This Row],[年齢]]=13,LOOKUP(Q482,$BC$6:$BC$10,$BE$6:$BE$10),LOOKUP(Q482,$BB$6:$BB$10,$BE$6:$BE$10)))))))</f>
        <v/>
      </c>
      <c r="S482" s="145">
        <f>IF(H482="",0,(IF(テーブル2[[#This Row],[性別]]="男",LOOKUP(テーブル2[[#This Row],[握力]],$AI$6:$AJ$15),LOOKUP(テーブル2[[#This Row],[握力]],$AI$20:$AJ$29))))</f>
        <v>0</v>
      </c>
      <c r="T482" s="145">
        <f>IF(テーブル2[[#This Row],[上体]]="",0,(IF(テーブル2[[#This Row],[性別]]="男",LOOKUP(テーブル2[[#This Row],[上体]],$AK$6:$AL$15),LOOKUP(テーブル2[[#This Row],[上体]],$AK$20:$AL$29))))</f>
        <v>0</v>
      </c>
      <c r="U482" s="145">
        <f>IF(テーブル2[[#This Row],[長座]]="",0,(IF(テーブル2[[#This Row],[性別]]="男",LOOKUP(テーブル2[[#This Row],[長座]],$AM$6:$AN$15),LOOKUP(テーブル2[[#This Row],[長座]],$AM$20:$AN$29))))</f>
        <v>0</v>
      </c>
      <c r="V482" s="145">
        <f>IF(テーブル2[[#This Row],[反復]]="",0,(IF(テーブル2[[#This Row],[性別]]="男",LOOKUP(テーブル2[[#This Row],[反復]],$AO$6:$AP$15),LOOKUP(テーブル2[[#This Row],[反復]],$AO$20:$AP$29))))</f>
        <v>0</v>
      </c>
      <c r="W482" s="145">
        <f>IF(テーブル2[[#This Row],[持久走]]="",0,(IF(テーブル2[[#This Row],[性別]]="男",LOOKUP(テーブル2[[#This Row],[持久走]],$AQ$6:$AR$15),LOOKUP(テーブル2[[#This Row],[持久走]],$AQ$20:$AR$29))))</f>
        <v>0</v>
      </c>
      <c r="X482" s="145">
        <f>IF(テーブル2[[#This Row],[ｼｬﾄﾙﾗﾝ]]="",0,(IF(テーブル2[[#This Row],[性別]]="男",LOOKUP(テーブル2[[#This Row],[ｼｬﾄﾙﾗﾝ]],$AS$6:$AT$15),LOOKUP(テーブル2[[#This Row],[ｼｬﾄﾙﾗﾝ]],$AS$20:$AT$29))))</f>
        <v>0</v>
      </c>
      <c r="Y482" s="145">
        <f>IF(テーブル2[[#This Row],[50m走]]="",0,(IF(テーブル2[[#This Row],[性別]]="男",LOOKUP(テーブル2[[#This Row],[50m走]],$AU$6:$AV$15),LOOKUP(テーブル2[[#This Row],[50m走]],$AU$20:$AV$29))))</f>
        <v>0</v>
      </c>
      <c r="Z482" s="145">
        <f>IF(テーブル2[[#This Row],[立幅とび]]="",0,(IF(テーブル2[[#This Row],[性別]]="男",LOOKUP(テーブル2[[#This Row],[立幅とび]],$AW$6:$AX$15),LOOKUP(テーブル2[[#This Row],[立幅とび]],$AW$20:$AX$29))))</f>
        <v>0</v>
      </c>
      <c r="AA482" s="145">
        <f>IF(テーブル2[[#This Row],[ボール投げ]]="",0,(IF(テーブル2[[#This Row],[性別]]="男",LOOKUP(テーブル2[[#This Row],[ボール投げ]],$AY$6:$AZ$15),LOOKUP(テーブル2[[#This Row],[ボール投げ]],$AY$20:$AZ$29))))</f>
        <v>0</v>
      </c>
      <c r="AB482" s="146" t="str">
        <f>IF(テーブル2[[#This Row],[学年]]=1,12,IF(テーブル2[[#This Row],[学年]]=2,13,IF(テーブル2[[#This Row],[学年]]=3,14,"")))</f>
        <v/>
      </c>
      <c r="AC482" s="192" t="str">
        <f>IF(テーブル2[[#This Row],[肥満度数値]]=0,"",LOOKUP(AE482,$AW$39:$AW$44,$AX$39:$AX$44))</f>
        <v/>
      </c>
      <c r="AD48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2" s="77">
        <f>IF(テーブル2[[#This Row],[体重]]="",0,(テーブル2[[#This Row],[体重]]-テーブル2[[#This Row],[標準体重]])/テーブル2[[#This Row],[標準体重]]*100)</f>
        <v>0</v>
      </c>
      <c r="AF482" s="26">
        <f>COUNTA(テーブル2[[#This Row],[握力]:[ボール投げ]])</f>
        <v>0</v>
      </c>
      <c r="AG482" s="1" t="str">
        <f>IF(テーブル2[[#This Row],[判定]]=$BE$10,"○","")</f>
        <v/>
      </c>
      <c r="AH482" s="1" t="str">
        <f>IF(AG482="","",COUNTIF($AG$6:AG482,"○"))</f>
        <v/>
      </c>
    </row>
    <row r="483" spans="1:34" ht="14.25" customHeight="1" x14ac:dyDescent="0.15">
      <c r="A483" s="44">
        <v>478</v>
      </c>
      <c r="B483" s="148"/>
      <c r="C483" s="151"/>
      <c r="D483" s="148"/>
      <c r="E483" s="152"/>
      <c r="F483" s="148"/>
      <c r="G483" s="148"/>
      <c r="H483" s="150"/>
      <c r="I483" s="150"/>
      <c r="J483" s="151"/>
      <c r="K483" s="148"/>
      <c r="L483" s="196"/>
      <c r="M483" s="151"/>
      <c r="N483" s="197"/>
      <c r="O483" s="151"/>
      <c r="P483" s="153"/>
      <c r="Q48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3" s="144" t="str">
        <f>IF(テーブル2[[#This Row],[得点]]=0,"",IF(テーブル2[[#This Row],[年齢]]=17,LOOKUP(Q483,$BH$6:$BH$10,$BE$6:$BE$10),IF(テーブル2[[#This Row],[年齢]]=16,LOOKUP(Q483,$BG$6:$BG$10,$BE$6:$BE$10),IF(テーブル2[[#This Row],[年齢]]=15,LOOKUP(Q483,$BF$6:$BF$10,$BE$6:$BE$10),IF(テーブル2[[#This Row],[年齢]]=14,LOOKUP(Q483,$BD$6:$BD$10,$BE$6:$BE$10),IF(テーブル2[[#This Row],[年齢]]=13,LOOKUP(Q483,$BC$6:$BC$10,$BE$6:$BE$10),LOOKUP(Q483,$BB$6:$BB$10,$BE$6:$BE$10)))))))</f>
        <v/>
      </c>
      <c r="S483" s="145">
        <f>IF(H483="",0,(IF(テーブル2[[#This Row],[性別]]="男",LOOKUP(テーブル2[[#This Row],[握力]],$AI$6:$AJ$15),LOOKUP(テーブル2[[#This Row],[握力]],$AI$20:$AJ$29))))</f>
        <v>0</v>
      </c>
      <c r="T483" s="145">
        <f>IF(テーブル2[[#This Row],[上体]]="",0,(IF(テーブル2[[#This Row],[性別]]="男",LOOKUP(テーブル2[[#This Row],[上体]],$AK$6:$AL$15),LOOKUP(テーブル2[[#This Row],[上体]],$AK$20:$AL$29))))</f>
        <v>0</v>
      </c>
      <c r="U483" s="145">
        <f>IF(テーブル2[[#This Row],[長座]]="",0,(IF(テーブル2[[#This Row],[性別]]="男",LOOKUP(テーブル2[[#This Row],[長座]],$AM$6:$AN$15),LOOKUP(テーブル2[[#This Row],[長座]],$AM$20:$AN$29))))</f>
        <v>0</v>
      </c>
      <c r="V483" s="145">
        <f>IF(テーブル2[[#This Row],[反復]]="",0,(IF(テーブル2[[#This Row],[性別]]="男",LOOKUP(テーブル2[[#This Row],[反復]],$AO$6:$AP$15),LOOKUP(テーブル2[[#This Row],[反復]],$AO$20:$AP$29))))</f>
        <v>0</v>
      </c>
      <c r="W483" s="145">
        <f>IF(テーブル2[[#This Row],[持久走]]="",0,(IF(テーブル2[[#This Row],[性別]]="男",LOOKUP(テーブル2[[#This Row],[持久走]],$AQ$6:$AR$15),LOOKUP(テーブル2[[#This Row],[持久走]],$AQ$20:$AR$29))))</f>
        <v>0</v>
      </c>
      <c r="X483" s="145">
        <f>IF(テーブル2[[#This Row],[ｼｬﾄﾙﾗﾝ]]="",0,(IF(テーブル2[[#This Row],[性別]]="男",LOOKUP(テーブル2[[#This Row],[ｼｬﾄﾙﾗﾝ]],$AS$6:$AT$15),LOOKUP(テーブル2[[#This Row],[ｼｬﾄﾙﾗﾝ]],$AS$20:$AT$29))))</f>
        <v>0</v>
      </c>
      <c r="Y483" s="145">
        <f>IF(テーブル2[[#This Row],[50m走]]="",0,(IF(テーブル2[[#This Row],[性別]]="男",LOOKUP(テーブル2[[#This Row],[50m走]],$AU$6:$AV$15),LOOKUP(テーブル2[[#This Row],[50m走]],$AU$20:$AV$29))))</f>
        <v>0</v>
      </c>
      <c r="Z483" s="145">
        <f>IF(テーブル2[[#This Row],[立幅とび]]="",0,(IF(テーブル2[[#This Row],[性別]]="男",LOOKUP(テーブル2[[#This Row],[立幅とび]],$AW$6:$AX$15),LOOKUP(テーブル2[[#This Row],[立幅とび]],$AW$20:$AX$29))))</f>
        <v>0</v>
      </c>
      <c r="AA483" s="145">
        <f>IF(テーブル2[[#This Row],[ボール投げ]]="",0,(IF(テーブル2[[#This Row],[性別]]="男",LOOKUP(テーブル2[[#This Row],[ボール投げ]],$AY$6:$AZ$15),LOOKUP(テーブル2[[#This Row],[ボール投げ]],$AY$20:$AZ$29))))</f>
        <v>0</v>
      </c>
      <c r="AB483" s="146" t="str">
        <f>IF(テーブル2[[#This Row],[学年]]=1,12,IF(テーブル2[[#This Row],[学年]]=2,13,IF(テーブル2[[#This Row],[学年]]=3,14,"")))</f>
        <v/>
      </c>
      <c r="AC483" s="192" t="str">
        <f>IF(テーブル2[[#This Row],[肥満度数値]]=0,"",LOOKUP(AE483,$AW$39:$AW$44,$AX$39:$AX$44))</f>
        <v/>
      </c>
      <c r="AD48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3" s="77">
        <f>IF(テーブル2[[#This Row],[体重]]="",0,(テーブル2[[#This Row],[体重]]-テーブル2[[#This Row],[標準体重]])/テーブル2[[#This Row],[標準体重]]*100)</f>
        <v>0</v>
      </c>
      <c r="AF483" s="26">
        <f>COUNTA(テーブル2[[#This Row],[握力]:[ボール投げ]])</f>
        <v>0</v>
      </c>
      <c r="AG483" s="1" t="str">
        <f>IF(テーブル2[[#This Row],[判定]]=$BE$10,"○","")</f>
        <v/>
      </c>
      <c r="AH483" s="1" t="str">
        <f>IF(AG483="","",COUNTIF($AG$6:AG483,"○"))</f>
        <v/>
      </c>
    </row>
    <row r="484" spans="1:34" ht="14.25" customHeight="1" x14ac:dyDescent="0.15">
      <c r="A484" s="44">
        <v>479</v>
      </c>
      <c r="B484" s="148"/>
      <c r="C484" s="151"/>
      <c r="D484" s="148"/>
      <c r="E484" s="152"/>
      <c r="F484" s="148"/>
      <c r="G484" s="148"/>
      <c r="H484" s="150"/>
      <c r="I484" s="150"/>
      <c r="J484" s="151"/>
      <c r="K484" s="148"/>
      <c r="L484" s="196"/>
      <c r="M484" s="151"/>
      <c r="N484" s="197"/>
      <c r="O484" s="151"/>
      <c r="P484" s="153"/>
      <c r="Q48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4" s="144" t="str">
        <f>IF(テーブル2[[#This Row],[得点]]=0,"",IF(テーブル2[[#This Row],[年齢]]=17,LOOKUP(Q484,$BH$6:$BH$10,$BE$6:$BE$10),IF(テーブル2[[#This Row],[年齢]]=16,LOOKUP(Q484,$BG$6:$BG$10,$BE$6:$BE$10),IF(テーブル2[[#This Row],[年齢]]=15,LOOKUP(Q484,$BF$6:$BF$10,$BE$6:$BE$10),IF(テーブル2[[#This Row],[年齢]]=14,LOOKUP(Q484,$BD$6:$BD$10,$BE$6:$BE$10),IF(テーブル2[[#This Row],[年齢]]=13,LOOKUP(Q484,$BC$6:$BC$10,$BE$6:$BE$10),LOOKUP(Q484,$BB$6:$BB$10,$BE$6:$BE$10)))))))</f>
        <v/>
      </c>
      <c r="S484" s="145">
        <f>IF(H484="",0,(IF(テーブル2[[#This Row],[性別]]="男",LOOKUP(テーブル2[[#This Row],[握力]],$AI$6:$AJ$15),LOOKUP(テーブル2[[#This Row],[握力]],$AI$20:$AJ$29))))</f>
        <v>0</v>
      </c>
      <c r="T484" s="145">
        <f>IF(テーブル2[[#This Row],[上体]]="",0,(IF(テーブル2[[#This Row],[性別]]="男",LOOKUP(テーブル2[[#This Row],[上体]],$AK$6:$AL$15),LOOKUP(テーブル2[[#This Row],[上体]],$AK$20:$AL$29))))</f>
        <v>0</v>
      </c>
      <c r="U484" s="145">
        <f>IF(テーブル2[[#This Row],[長座]]="",0,(IF(テーブル2[[#This Row],[性別]]="男",LOOKUP(テーブル2[[#This Row],[長座]],$AM$6:$AN$15),LOOKUP(テーブル2[[#This Row],[長座]],$AM$20:$AN$29))))</f>
        <v>0</v>
      </c>
      <c r="V484" s="145">
        <f>IF(テーブル2[[#This Row],[反復]]="",0,(IF(テーブル2[[#This Row],[性別]]="男",LOOKUP(テーブル2[[#This Row],[反復]],$AO$6:$AP$15),LOOKUP(テーブル2[[#This Row],[反復]],$AO$20:$AP$29))))</f>
        <v>0</v>
      </c>
      <c r="W484" s="145">
        <f>IF(テーブル2[[#This Row],[持久走]]="",0,(IF(テーブル2[[#This Row],[性別]]="男",LOOKUP(テーブル2[[#This Row],[持久走]],$AQ$6:$AR$15),LOOKUP(テーブル2[[#This Row],[持久走]],$AQ$20:$AR$29))))</f>
        <v>0</v>
      </c>
      <c r="X484" s="145">
        <f>IF(テーブル2[[#This Row],[ｼｬﾄﾙﾗﾝ]]="",0,(IF(テーブル2[[#This Row],[性別]]="男",LOOKUP(テーブル2[[#This Row],[ｼｬﾄﾙﾗﾝ]],$AS$6:$AT$15),LOOKUP(テーブル2[[#This Row],[ｼｬﾄﾙﾗﾝ]],$AS$20:$AT$29))))</f>
        <v>0</v>
      </c>
      <c r="Y484" s="145">
        <f>IF(テーブル2[[#This Row],[50m走]]="",0,(IF(テーブル2[[#This Row],[性別]]="男",LOOKUP(テーブル2[[#This Row],[50m走]],$AU$6:$AV$15),LOOKUP(テーブル2[[#This Row],[50m走]],$AU$20:$AV$29))))</f>
        <v>0</v>
      </c>
      <c r="Z484" s="145">
        <f>IF(テーブル2[[#This Row],[立幅とび]]="",0,(IF(テーブル2[[#This Row],[性別]]="男",LOOKUP(テーブル2[[#This Row],[立幅とび]],$AW$6:$AX$15),LOOKUP(テーブル2[[#This Row],[立幅とび]],$AW$20:$AX$29))))</f>
        <v>0</v>
      </c>
      <c r="AA484" s="145">
        <f>IF(テーブル2[[#This Row],[ボール投げ]]="",0,(IF(テーブル2[[#This Row],[性別]]="男",LOOKUP(テーブル2[[#This Row],[ボール投げ]],$AY$6:$AZ$15),LOOKUP(テーブル2[[#This Row],[ボール投げ]],$AY$20:$AZ$29))))</f>
        <v>0</v>
      </c>
      <c r="AB484" s="146" t="str">
        <f>IF(テーブル2[[#This Row],[学年]]=1,12,IF(テーブル2[[#This Row],[学年]]=2,13,IF(テーブル2[[#This Row],[学年]]=3,14,"")))</f>
        <v/>
      </c>
      <c r="AC484" s="192" t="str">
        <f>IF(テーブル2[[#This Row],[肥満度数値]]=0,"",LOOKUP(AE484,$AW$39:$AW$44,$AX$39:$AX$44))</f>
        <v/>
      </c>
      <c r="AD48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4" s="77">
        <f>IF(テーブル2[[#This Row],[体重]]="",0,(テーブル2[[#This Row],[体重]]-テーブル2[[#This Row],[標準体重]])/テーブル2[[#This Row],[標準体重]]*100)</f>
        <v>0</v>
      </c>
      <c r="AF484" s="26">
        <f>COUNTA(テーブル2[[#This Row],[握力]:[ボール投げ]])</f>
        <v>0</v>
      </c>
      <c r="AG484" s="1" t="str">
        <f>IF(テーブル2[[#This Row],[判定]]=$BE$10,"○","")</f>
        <v/>
      </c>
      <c r="AH484" s="1" t="str">
        <f>IF(AG484="","",COUNTIF($AG$6:AG484,"○"))</f>
        <v/>
      </c>
    </row>
    <row r="485" spans="1:34" ht="14.25" customHeight="1" x14ac:dyDescent="0.15">
      <c r="A485" s="44">
        <v>480</v>
      </c>
      <c r="B485" s="148"/>
      <c r="C485" s="151"/>
      <c r="D485" s="148"/>
      <c r="E485" s="152"/>
      <c r="F485" s="148"/>
      <c r="G485" s="148"/>
      <c r="H485" s="150"/>
      <c r="I485" s="150"/>
      <c r="J485" s="151"/>
      <c r="K485" s="148"/>
      <c r="L485" s="196"/>
      <c r="M485" s="151"/>
      <c r="N485" s="197"/>
      <c r="O485" s="151"/>
      <c r="P485" s="153"/>
      <c r="Q48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5" s="144" t="str">
        <f>IF(テーブル2[[#This Row],[得点]]=0,"",IF(テーブル2[[#This Row],[年齢]]=17,LOOKUP(Q485,$BH$6:$BH$10,$BE$6:$BE$10),IF(テーブル2[[#This Row],[年齢]]=16,LOOKUP(Q485,$BG$6:$BG$10,$BE$6:$BE$10),IF(テーブル2[[#This Row],[年齢]]=15,LOOKUP(Q485,$BF$6:$BF$10,$BE$6:$BE$10),IF(テーブル2[[#This Row],[年齢]]=14,LOOKUP(Q485,$BD$6:$BD$10,$BE$6:$BE$10),IF(テーブル2[[#This Row],[年齢]]=13,LOOKUP(Q485,$BC$6:$BC$10,$BE$6:$BE$10),LOOKUP(Q485,$BB$6:$BB$10,$BE$6:$BE$10)))))))</f>
        <v/>
      </c>
      <c r="S485" s="145">
        <f>IF(H485="",0,(IF(テーブル2[[#This Row],[性別]]="男",LOOKUP(テーブル2[[#This Row],[握力]],$AI$6:$AJ$15),LOOKUP(テーブル2[[#This Row],[握力]],$AI$20:$AJ$29))))</f>
        <v>0</v>
      </c>
      <c r="T485" s="145">
        <f>IF(テーブル2[[#This Row],[上体]]="",0,(IF(テーブル2[[#This Row],[性別]]="男",LOOKUP(テーブル2[[#This Row],[上体]],$AK$6:$AL$15),LOOKUP(テーブル2[[#This Row],[上体]],$AK$20:$AL$29))))</f>
        <v>0</v>
      </c>
      <c r="U485" s="145">
        <f>IF(テーブル2[[#This Row],[長座]]="",0,(IF(テーブル2[[#This Row],[性別]]="男",LOOKUP(テーブル2[[#This Row],[長座]],$AM$6:$AN$15),LOOKUP(テーブル2[[#This Row],[長座]],$AM$20:$AN$29))))</f>
        <v>0</v>
      </c>
      <c r="V485" s="145">
        <f>IF(テーブル2[[#This Row],[反復]]="",0,(IF(テーブル2[[#This Row],[性別]]="男",LOOKUP(テーブル2[[#This Row],[反復]],$AO$6:$AP$15),LOOKUP(テーブル2[[#This Row],[反復]],$AO$20:$AP$29))))</f>
        <v>0</v>
      </c>
      <c r="W485" s="145">
        <f>IF(テーブル2[[#This Row],[持久走]]="",0,(IF(テーブル2[[#This Row],[性別]]="男",LOOKUP(テーブル2[[#This Row],[持久走]],$AQ$6:$AR$15),LOOKUP(テーブル2[[#This Row],[持久走]],$AQ$20:$AR$29))))</f>
        <v>0</v>
      </c>
      <c r="X485" s="145">
        <f>IF(テーブル2[[#This Row],[ｼｬﾄﾙﾗﾝ]]="",0,(IF(テーブル2[[#This Row],[性別]]="男",LOOKUP(テーブル2[[#This Row],[ｼｬﾄﾙﾗﾝ]],$AS$6:$AT$15),LOOKUP(テーブル2[[#This Row],[ｼｬﾄﾙﾗﾝ]],$AS$20:$AT$29))))</f>
        <v>0</v>
      </c>
      <c r="Y485" s="145">
        <f>IF(テーブル2[[#This Row],[50m走]]="",0,(IF(テーブル2[[#This Row],[性別]]="男",LOOKUP(テーブル2[[#This Row],[50m走]],$AU$6:$AV$15),LOOKUP(テーブル2[[#This Row],[50m走]],$AU$20:$AV$29))))</f>
        <v>0</v>
      </c>
      <c r="Z485" s="145">
        <f>IF(テーブル2[[#This Row],[立幅とび]]="",0,(IF(テーブル2[[#This Row],[性別]]="男",LOOKUP(テーブル2[[#This Row],[立幅とび]],$AW$6:$AX$15),LOOKUP(テーブル2[[#This Row],[立幅とび]],$AW$20:$AX$29))))</f>
        <v>0</v>
      </c>
      <c r="AA485" s="145">
        <f>IF(テーブル2[[#This Row],[ボール投げ]]="",0,(IF(テーブル2[[#This Row],[性別]]="男",LOOKUP(テーブル2[[#This Row],[ボール投げ]],$AY$6:$AZ$15),LOOKUP(テーブル2[[#This Row],[ボール投げ]],$AY$20:$AZ$29))))</f>
        <v>0</v>
      </c>
      <c r="AB485" s="146" t="str">
        <f>IF(テーブル2[[#This Row],[学年]]=1,12,IF(テーブル2[[#This Row],[学年]]=2,13,IF(テーブル2[[#This Row],[学年]]=3,14,"")))</f>
        <v/>
      </c>
      <c r="AC485" s="192" t="str">
        <f>IF(テーブル2[[#This Row],[肥満度数値]]=0,"",LOOKUP(AE485,$AW$39:$AW$44,$AX$39:$AX$44))</f>
        <v/>
      </c>
      <c r="AD48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5" s="77">
        <f>IF(テーブル2[[#This Row],[体重]]="",0,(テーブル2[[#This Row],[体重]]-テーブル2[[#This Row],[標準体重]])/テーブル2[[#This Row],[標準体重]]*100)</f>
        <v>0</v>
      </c>
      <c r="AF485" s="26">
        <f>COUNTA(テーブル2[[#This Row],[握力]:[ボール投げ]])</f>
        <v>0</v>
      </c>
      <c r="AG485" s="1" t="str">
        <f>IF(テーブル2[[#This Row],[判定]]=$BE$10,"○","")</f>
        <v/>
      </c>
      <c r="AH485" s="1" t="str">
        <f>IF(AG485="","",COUNTIF($AG$6:AG485,"○"))</f>
        <v/>
      </c>
    </row>
    <row r="486" spans="1:34" ht="14.25" customHeight="1" x14ac:dyDescent="0.15">
      <c r="A486" s="44">
        <v>481</v>
      </c>
      <c r="B486" s="148"/>
      <c r="C486" s="151"/>
      <c r="D486" s="148"/>
      <c r="E486" s="152"/>
      <c r="F486" s="148"/>
      <c r="G486" s="148"/>
      <c r="H486" s="150"/>
      <c r="I486" s="150"/>
      <c r="J486" s="151"/>
      <c r="K486" s="148"/>
      <c r="L486" s="196"/>
      <c r="M486" s="151"/>
      <c r="N486" s="197"/>
      <c r="O486" s="151"/>
      <c r="P486" s="153"/>
      <c r="Q48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6" s="144" t="str">
        <f>IF(テーブル2[[#This Row],[得点]]=0,"",IF(テーブル2[[#This Row],[年齢]]=17,LOOKUP(Q486,$BH$6:$BH$10,$BE$6:$BE$10),IF(テーブル2[[#This Row],[年齢]]=16,LOOKUP(Q486,$BG$6:$BG$10,$BE$6:$BE$10),IF(テーブル2[[#This Row],[年齢]]=15,LOOKUP(Q486,$BF$6:$BF$10,$BE$6:$BE$10),IF(テーブル2[[#This Row],[年齢]]=14,LOOKUP(Q486,$BD$6:$BD$10,$BE$6:$BE$10),IF(テーブル2[[#This Row],[年齢]]=13,LOOKUP(Q486,$BC$6:$BC$10,$BE$6:$BE$10),LOOKUP(Q486,$BB$6:$BB$10,$BE$6:$BE$10)))))))</f>
        <v/>
      </c>
      <c r="S486" s="145">
        <f>IF(H486="",0,(IF(テーブル2[[#This Row],[性別]]="男",LOOKUP(テーブル2[[#This Row],[握力]],$AI$6:$AJ$15),LOOKUP(テーブル2[[#This Row],[握力]],$AI$20:$AJ$29))))</f>
        <v>0</v>
      </c>
      <c r="T486" s="145">
        <f>IF(テーブル2[[#This Row],[上体]]="",0,(IF(テーブル2[[#This Row],[性別]]="男",LOOKUP(テーブル2[[#This Row],[上体]],$AK$6:$AL$15),LOOKUP(テーブル2[[#This Row],[上体]],$AK$20:$AL$29))))</f>
        <v>0</v>
      </c>
      <c r="U486" s="145">
        <f>IF(テーブル2[[#This Row],[長座]]="",0,(IF(テーブル2[[#This Row],[性別]]="男",LOOKUP(テーブル2[[#This Row],[長座]],$AM$6:$AN$15),LOOKUP(テーブル2[[#This Row],[長座]],$AM$20:$AN$29))))</f>
        <v>0</v>
      </c>
      <c r="V486" s="145">
        <f>IF(テーブル2[[#This Row],[反復]]="",0,(IF(テーブル2[[#This Row],[性別]]="男",LOOKUP(テーブル2[[#This Row],[反復]],$AO$6:$AP$15),LOOKUP(テーブル2[[#This Row],[反復]],$AO$20:$AP$29))))</f>
        <v>0</v>
      </c>
      <c r="W486" s="145">
        <f>IF(テーブル2[[#This Row],[持久走]]="",0,(IF(テーブル2[[#This Row],[性別]]="男",LOOKUP(テーブル2[[#This Row],[持久走]],$AQ$6:$AR$15),LOOKUP(テーブル2[[#This Row],[持久走]],$AQ$20:$AR$29))))</f>
        <v>0</v>
      </c>
      <c r="X486" s="145">
        <f>IF(テーブル2[[#This Row],[ｼｬﾄﾙﾗﾝ]]="",0,(IF(テーブル2[[#This Row],[性別]]="男",LOOKUP(テーブル2[[#This Row],[ｼｬﾄﾙﾗﾝ]],$AS$6:$AT$15),LOOKUP(テーブル2[[#This Row],[ｼｬﾄﾙﾗﾝ]],$AS$20:$AT$29))))</f>
        <v>0</v>
      </c>
      <c r="Y486" s="145">
        <f>IF(テーブル2[[#This Row],[50m走]]="",0,(IF(テーブル2[[#This Row],[性別]]="男",LOOKUP(テーブル2[[#This Row],[50m走]],$AU$6:$AV$15),LOOKUP(テーブル2[[#This Row],[50m走]],$AU$20:$AV$29))))</f>
        <v>0</v>
      </c>
      <c r="Z486" s="145">
        <f>IF(テーブル2[[#This Row],[立幅とび]]="",0,(IF(テーブル2[[#This Row],[性別]]="男",LOOKUP(テーブル2[[#This Row],[立幅とび]],$AW$6:$AX$15),LOOKUP(テーブル2[[#This Row],[立幅とび]],$AW$20:$AX$29))))</f>
        <v>0</v>
      </c>
      <c r="AA486" s="145">
        <f>IF(テーブル2[[#This Row],[ボール投げ]]="",0,(IF(テーブル2[[#This Row],[性別]]="男",LOOKUP(テーブル2[[#This Row],[ボール投げ]],$AY$6:$AZ$15),LOOKUP(テーブル2[[#This Row],[ボール投げ]],$AY$20:$AZ$29))))</f>
        <v>0</v>
      </c>
      <c r="AB486" s="146" t="str">
        <f>IF(テーブル2[[#This Row],[学年]]=1,12,IF(テーブル2[[#This Row],[学年]]=2,13,IF(テーブル2[[#This Row],[学年]]=3,14,"")))</f>
        <v/>
      </c>
      <c r="AC486" s="192" t="str">
        <f>IF(テーブル2[[#This Row],[肥満度数値]]=0,"",LOOKUP(AE486,$AW$39:$AW$44,$AX$39:$AX$44))</f>
        <v/>
      </c>
      <c r="AD48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6" s="77">
        <f>IF(テーブル2[[#This Row],[体重]]="",0,(テーブル2[[#This Row],[体重]]-テーブル2[[#This Row],[標準体重]])/テーブル2[[#This Row],[標準体重]]*100)</f>
        <v>0</v>
      </c>
      <c r="AF486" s="26">
        <f>COUNTA(テーブル2[[#This Row],[握力]:[ボール投げ]])</f>
        <v>0</v>
      </c>
      <c r="AG486" s="1" t="str">
        <f>IF(テーブル2[[#This Row],[判定]]=$BE$10,"○","")</f>
        <v/>
      </c>
      <c r="AH486" s="1" t="str">
        <f>IF(AG486="","",COUNTIF($AG$6:AG486,"○"))</f>
        <v/>
      </c>
    </row>
    <row r="487" spans="1:34" ht="14.25" customHeight="1" x14ac:dyDescent="0.15">
      <c r="A487" s="44">
        <v>482</v>
      </c>
      <c r="B487" s="148"/>
      <c r="C487" s="151"/>
      <c r="D487" s="148"/>
      <c r="E487" s="152"/>
      <c r="F487" s="148"/>
      <c r="G487" s="148"/>
      <c r="H487" s="150"/>
      <c r="I487" s="150"/>
      <c r="J487" s="151"/>
      <c r="K487" s="148"/>
      <c r="L487" s="196"/>
      <c r="M487" s="151"/>
      <c r="N487" s="197"/>
      <c r="O487" s="151"/>
      <c r="P487" s="153"/>
      <c r="Q48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7" s="144" t="str">
        <f>IF(テーブル2[[#This Row],[得点]]=0,"",IF(テーブル2[[#This Row],[年齢]]=17,LOOKUP(Q487,$BH$6:$BH$10,$BE$6:$BE$10),IF(テーブル2[[#This Row],[年齢]]=16,LOOKUP(Q487,$BG$6:$BG$10,$BE$6:$BE$10),IF(テーブル2[[#This Row],[年齢]]=15,LOOKUP(Q487,$BF$6:$BF$10,$BE$6:$BE$10),IF(テーブル2[[#This Row],[年齢]]=14,LOOKUP(Q487,$BD$6:$BD$10,$BE$6:$BE$10),IF(テーブル2[[#This Row],[年齢]]=13,LOOKUP(Q487,$BC$6:$BC$10,$BE$6:$BE$10),LOOKUP(Q487,$BB$6:$BB$10,$BE$6:$BE$10)))))))</f>
        <v/>
      </c>
      <c r="S487" s="145">
        <f>IF(H487="",0,(IF(テーブル2[[#This Row],[性別]]="男",LOOKUP(テーブル2[[#This Row],[握力]],$AI$6:$AJ$15),LOOKUP(テーブル2[[#This Row],[握力]],$AI$20:$AJ$29))))</f>
        <v>0</v>
      </c>
      <c r="T487" s="145">
        <f>IF(テーブル2[[#This Row],[上体]]="",0,(IF(テーブル2[[#This Row],[性別]]="男",LOOKUP(テーブル2[[#This Row],[上体]],$AK$6:$AL$15),LOOKUP(テーブル2[[#This Row],[上体]],$AK$20:$AL$29))))</f>
        <v>0</v>
      </c>
      <c r="U487" s="145">
        <f>IF(テーブル2[[#This Row],[長座]]="",0,(IF(テーブル2[[#This Row],[性別]]="男",LOOKUP(テーブル2[[#This Row],[長座]],$AM$6:$AN$15),LOOKUP(テーブル2[[#This Row],[長座]],$AM$20:$AN$29))))</f>
        <v>0</v>
      </c>
      <c r="V487" s="145">
        <f>IF(テーブル2[[#This Row],[反復]]="",0,(IF(テーブル2[[#This Row],[性別]]="男",LOOKUP(テーブル2[[#This Row],[反復]],$AO$6:$AP$15),LOOKUP(テーブル2[[#This Row],[反復]],$AO$20:$AP$29))))</f>
        <v>0</v>
      </c>
      <c r="W487" s="145">
        <f>IF(テーブル2[[#This Row],[持久走]]="",0,(IF(テーブル2[[#This Row],[性別]]="男",LOOKUP(テーブル2[[#This Row],[持久走]],$AQ$6:$AR$15),LOOKUP(テーブル2[[#This Row],[持久走]],$AQ$20:$AR$29))))</f>
        <v>0</v>
      </c>
      <c r="X487" s="145">
        <f>IF(テーブル2[[#This Row],[ｼｬﾄﾙﾗﾝ]]="",0,(IF(テーブル2[[#This Row],[性別]]="男",LOOKUP(テーブル2[[#This Row],[ｼｬﾄﾙﾗﾝ]],$AS$6:$AT$15),LOOKUP(テーブル2[[#This Row],[ｼｬﾄﾙﾗﾝ]],$AS$20:$AT$29))))</f>
        <v>0</v>
      </c>
      <c r="Y487" s="145">
        <f>IF(テーブル2[[#This Row],[50m走]]="",0,(IF(テーブル2[[#This Row],[性別]]="男",LOOKUP(テーブル2[[#This Row],[50m走]],$AU$6:$AV$15),LOOKUP(テーブル2[[#This Row],[50m走]],$AU$20:$AV$29))))</f>
        <v>0</v>
      </c>
      <c r="Z487" s="145">
        <f>IF(テーブル2[[#This Row],[立幅とび]]="",0,(IF(テーブル2[[#This Row],[性別]]="男",LOOKUP(テーブル2[[#This Row],[立幅とび]],$AW$6:$AX$15),LOOKUP(テーブル2[[#This Row],[立幅とび]],$AW$20:$AX$29))))</f>
        <v>0</v>
      </c>
      <c r="AA487" s="145">
        <f>IF(テーブル2[[#This Row],[ボール投げ]]="",0,(IF(テーブル2[[#This Row],[性別]]="男",LOOKUP(テーブル2[[#This Row],[ボール投げ]],$AY$6:$AZ$15),LOOKUP(テーブル2[[#This Row],[ボール投げ]],$AY$20:$AZ$29))))</f>
        <v>0</v>
      </c>
      <c r="AB487" s="146" t="str">
        <f>IF(テーブル2[[#This Row],[学年]]=1,12,IF(テーブル2[[#This Row],[学年]]=2,13,IF(テーブル2[[#This Row],[学年]]=3,14,"")))</f>
        <v/>
      </c>
      <c r="AC487" s="192" t="str">
        <f>IF(テーブル2[[#This Row],[肥満度数値]]=0,"",LOOKUP(AE487,$AW$39:$AW$44,$AX$39:$AX$44))</f>
        <v/>
      </c>
      <c r="AD48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7" s="77">
        <f>IF(テーブル2[[#This Row],[体重]]="",0,(テーブル2[[#This Row],[体重]]-テーブル2[[#This Row],[標準体重]])/テーブル2[[#This Row],[標準体重]]*100)</f>
        <v>0</v>
      </c>
      <c r="AF487" s="26">
        <f>COUNTA(テーブル2[[#This Row],[握力]:[ボール投げ]])</f>
        <v>0</v>
      </c>
      <c r="AG487" s="1" t="str">
        <f>IF(テーブル2[[#This Row],[判定]]=$BE$10,"○","")</f>
        <v/>
      </c>
      <c r="AH487" s="1" t="str">
        <f>IF(AG487="","",COUNTIF($AG$6:AG487,"○"))</f>
        <v/>
      </c>
    </row>
    <row r="488" spans="1:34" ht="14.25" customHeight="1" x14ac:dyDescent="0.15">
      <c r="A488" s="44">
        <v>483</v>
      </c>
      <c r="B488" s="148"/>
      <c r="C488" s="151"/>
      <c r="D488" s="148"/>
      <c r="E488" s="152"/>
      <c r="F488" s="148"/>
      <c r="G488" s="148"/>
      <c r="H488" s="150"/>
      <c r="I488" s="150"/>
      <c r="J488" s="151"/>
      <c r="K488" s="148"/>
      <c r="L488" s="196"/>
      <c r="M488" s="151"/>
      <c r="N488" s="197"/>
      <c r="O488" s="151"/>
      <c r="P488" s="153"/>
      <c r="Q48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8" s="144" t="str">
        <f>IF(テーブル2[[#This Row],[得点]]=0,"",IF(テーブル2[[#This Row],[年齢]]=17,LOOKUP(Q488,$BH$6:$BH$10,$BE$6:$BE$10),IF(テーブル2[[#This Row],[年齢]]=16,LOOKUP(Q488,$BG$6:$BG$10,$BE$6:$BE$10),IF(テーブル2[[#This Row],[年齢]]=15,LOOKUP(Q488,$BF$6:$BF$10,$BE$6:$BE$10),IF(テーブル2[[#This Row],[年齢]]=14,LOOKUP(Q488,$BD$6:$BD$10,$BE$6:$BE$10),IF(テーブル2[[#This Row],[年齢]]=13,LOOKUP(Q488,$BC$6:$BC$10,$BE$6:$BE$10),LOOKUP(Q488,$BB$6:$BB$10,$BE$6:$BE$10)))))))</f>
        <v/>
      </c>
      <c r="S488" s="145">
        <f>IF(H488="",0,(IF(テーブル2[[#This Row],[性別]]="男",LOOKUP(テーブル2[[#This Row],[握力]],$AI$6:$AJ$15),LOOKUP(テーブル2[[#This Row],[握力]],$AI$20:$AJ$29))))</f>
        <v>0</v>
      </c>
      <c r="T488" s="145">
        <f>IF(テーブル2[[#This Row],[上体]]="",0,(IF(テーブル2[[#This Row],[性別]]="男",LOOKUP(テーブル2[[#This Row],[上体]],$AK$6:$AL$15),LOOKUP(テーブル2[[#This Row],[上体]],$AK$20:$AL$29))))</f>
        <v>0</v>
      </c>
      <c r="U488" s="145">
        <f>IF(テーブル2[[#This Row],[長座]]="",0,(IF(テーブル2[[#This Row],[性別]]="男",LOOKUP(テーブル2[[#This Row],[長座]],$AM$6:$AN$15),LOOKUP(テーブル2[[#This Row],[長座]],$AM$20:$AN$29))))</f>
        <v>0</v>
      </c>
      <c r="V488" s="145">
        <f>IF(テーブル2[[#This Row],[反復]]="",0,(IF(テーブル2[[#This Row],[性別]]="男",LOOKUP(テーブル2[[#This Row],[反復]],$AO$6:$AP$15),LOOKUP(テーブル2[[#This Row],[反復]],$AO$20:$AP$29))))</f>
        <v>0</v>
      </c>
      <c r="W488" s="145">
        <f>IF(テーブル2[[#This Row],[持久走]]="",0,(IF(テーブル2[[#This Row],[性別]]="男",LOOKUP(テーブル2[[#This Row],[持久走]],$AQ$6:$AR$15),LOOKUP(テーブル2[[#This Row],[持久走]],$AQ$20:$AR$29))))</f>
        <v>0</v>
      </c>
      <c r="X488" s="145">
        <f>IF(テーブル2[[#This Row],[ｼｬﾄﾙﾗﾝ]]="",0,(IF(テーブル2[[#This Row],[性別]]="男",LOOKUP(テーブル2[[#This Row],[ｼｬﾄﾙﾗﾝ]],$AS$6:$AT$15),LOOKUP(テーブル2[[#This Row],[ｼｬﾄﾙﾗﾝ]],$AS$20:$AT$29))))</f>
        <v>0</v>
      </c>
      <c r="Y488" s="145">
        <f>IF(テーブル2[[#This Row],[50m走]]="",0,(IF(テーブル2[[#This Row],[性別]]="男",LOOKUP(テーブル2[[#This Row],[50m走]],$AU$6:$AV$15),LOOKUP(テーブル2[[#This Row],[50m走]],$AU$20:$AV$29))))</f>
        <v>0</v>
      </c>
      <c r="Z488" s="145">
        <f>IF(テーブル2[[#This Row],[立幅とび]]="",0,(IF(テーブル2[[#This Row],[性別]]="男",LOOKUP(テーブル2[[#This Row],[立幅とび]],$AW$6:$AX$15),LOOKUP(テーブル2[[#This Row],[立幅とび]],$AW$20:$AX$29))))</f>
        <v>0</v>
      </c>
      <c r="AA488" s="145">
        <f>IF(テーブル2[[#This Row],[ボール投げ]]="",0,(IF(テーブル2[[#This Row],[性別]]="男",LOOKUP(テーブル2[[#This Row],[ボール投げ]],$AY$6:$AZ$15),LOOKUP(テーブル2[[#This Row],[ボール投げ]],$AY$20:$AZ$29))))</f>
        <v>0</v>
      </c>
      <c r="AB488" s="146" t="str">
        <f>IF(テーブル2[[#This Row],[学年]]=1,12,IF(テーブル2[[#This Row],[学年]]=2,13,IF(テーブル2[[#This Row],[学年]]=3,14,"")))</f>
        <v/>
      </c>
      <c r="AC488" s="192" t="str">
        <f>IF(テーブル2[[#This Row],[肥満度数値]]=0,"",LOOKUP(AE488,$AW$39:$AW$44,$AX$39:$AX$44))</f>
        <v/>
      </c>
      <c r="AD48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8" s="77">
        <f>IF(テーブル2[[#This Row],[体重]]="",0,(テーブル2[[#This Row],[体重]]-テーブル2[[#This Row],[標準体重]])/テーブル2[[#This Row],[標準体重]]*100)</f>
        <v>0</v>
      </c>
      <c r="AF488" s="26">
        <f>COUNTA(テーブル2[[#This Row],[握力]:[ボール投げ]])</f>
        <v>0</v>
      </c>
      <c r="AG488" s="1" t="str">
        <f>IF(テーブル2[[#This Row],[判定]]=$BE$10,"○","")</f>
        <v/>
      </c>
      <c r="AH488" s="1" t="str">
        <f>IF(AG488="","",COUNTIF($AG$6:AG488,"○"))</f>
        <v/>
      </c>
    </row>
    <row r="489" spans="1:34" ht="14.25" customHeight="1" x14ac:dyDescent="0.15">
      <c r="A489" s="44">
        <v>484</v>
      </c>
      <c r="B489" s="148"/>
      <c r="C489" s="151"/>
      <c r="D489" s="148"/>
      <c r="E489" s="152"/>
      <c r="F489" s="148"/>
      <c r="G489" s="148"/>
      <c r="H489" s="150"/>
      <c r="I489" s="150"/>
      <c r="J489" s="151"/>
      <c r="K489" s="148"/>
      <c r="L489" s="196"/>
      <c r="M489" s="151"/>
      <c r="N489" s="197"/>
      <c r="O489" s="151"/>
      <c r="P489" s="153"/>
      <c r="Q48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9" s="144" t="str">
        <f>IF(テーブル2[[#This Row],[得点]]=0,"",IF(テーブル2[[#This Row],[年齢]]=17,LOOKUP(Q489,$BH$6:$BH$10,$BE$6:$BE$10),IF(テーブル2[[#This Row],[年齢]]=16,LOOKUP(Q489,$BG$6:$BG$10,$BE$6:$BE$10),IF(テーブル2[[#This Row],[年齢]]=15,LOOKUP(Q489,$BF$6:$BF$10,$BE$6:$BE$10),IF(テーブル2[[#This Row],[年齢]]=14,LOOKUP(Q489,$BD$6:$BD$10,$BE$6:$BE$10),IF(テーブル2[[#This Row],[年齢]]=13,LOOKUP(Q489,$BC$6:$BC$10,$BE$6:$BE$10),LOOKUP(Q489,$BB$6:$BB$10,$BE$6:$BE$10)))))))</f>
        <v/>
      </c>
      <c r="S489" s="145">
        <f>IF(H489="",0,(IF(テーブル2[[#This Row],[性別]]="男",LOOKUP(テーブル2[[#This Row],[握力]],$AI$6:$AJ$15),LOOKUP(テーブル2[[#This Row],[握力]],$AI$20:$AJ$29))))</f>
        <v>0</v>
      </c>
      <c r="T489" s="145">
        <f>IF(テーブル2[[#This Row],[上体]]="",0,(IF(テーブル2[[#This Row],[性別]]="男",LOOKUP(テーブル2[[#This Row],[上体]],$AK$6:$AL$15),LOOKUP(テーブル2[[#This Row],[上体]],$AK$20:$AL$29))))</f>
        <v>0</v>
      </c>
      <c r="U489" s="145">
        <f>IF(テーブル2[[#This Row],[長座]]="",0,(IF(テーブル2[[#This Row],[性別]]="男",LOOKUP(テーブル2[[#This Row],[長座]],$AM$6:$AN$15),LOOKUP(テーブル2[[#This Row],[長座]],$AM$20:$AN$29))))</f>
        <v>0</v>
      </c>
      <c r="V489" s="145">
        <f>IF(テーブル2[[#This Row],[反復]]="",0,(IF(テーブル2[[#This Row],[性別]]="男",LOOKUP(テーブル2[[#This Row],[反復]],$AO$6:$AP$15),LOOKUP(テーブル2[[#This Row],[反復]],$AO$20:$AP$29))))</f>
        <v>0</v>
      </c>
      <c r="W489" s="145">
        <f>IF(テーブル2[[#This Row],[持久走]]="",0,(IF(テーブル2[[#This Row],[性別]]="男",LOOKUP(テーブル2[[#This Row],[持久走]],$AQ$6:$AR$15),LOOKUP(テーブル2[[#This Row],[持久走]],$AQ$20:$AR$29))))</f>
        <v>0</v>
      </c>
      <c r="X489" s="145">
        <f>IF(テーブル2[[#This Row],[ｼｬﾄﾙﾗﾝ]]="",0,(IF(テーブル2[[#This Row],[性別]]="男",LOOKUP(テーブル2[[#This Row],[ｼｬﾄﾙﾗﾝ]],$AS$6:$AT$15),LOOKUP(テーブル2[[#This Row],[ｼｬﾄﾙﾗﾝ]],$AS$20:$AT$29))))</f>
        <v>0</v>
      </c>
      <c r="Y489" s="145">
        <f>IF(テーブル2[[#This Row],[50m走]]="",0,(IF(テーブル2[[#This Row],[性別]]="男",LOOKUP(テーブル2[[#This Row],[50m走]],$AU$6:$AV$15),LOOKUP(テーブル2[[#This Row],[50m走]],$AU$20:$AV$29))))</f>
        <v>0</v>
      </c>
      <c r="Z489" s="145">
        <f>IF(テーブル2[[#This Row],[立幅とび]]="",0,(IF(テーブル2[[#This Row],[性別]]="男",LOOKUP(テーブル2[[#This Row],[立幅とび]],$AW$6:$AX$15),LOOKUP(テーブル2[[#This Row],[立幅とび]],$AW$20:$AX$29))))</f>
        <v>0</v>
      </c>
      <c r="AA489" s="145">
        <f>IF(テーブル2[[#This Row],[ボール投げ]]="",0,(IF(テーブル2[[#This Row],[性別]]="男",LOOKUP(テーブル2[[#This Row],[ボール投げ]],$AY$6:$AZ$15),LOOKUP(テーブル2[[#This Row],[ボール投げ]],$AY$20:$AZ$29))))</f>
        <v>0</v>
      </c>
      <c r="AB489" s="146" t="str">
        <f>IF(テーブル2[[#This Row],[学年]]=1,12,IF(テーブル2[[#This Row],[学年]]=2,13,IF(テーブル2[[#This Row],[学年]]=3,14,"")))</f>
        <v/>
      </c>
      <c r="AC489" s="192" t="str">
        <f>IF(テーブル2[[#This Row],[肥満度数値]]=0,"",LOOKUP(AE489,$AW$39:$AW$44,$AX$39:$AX$44))</f>
        <v/>
      </c>
      <c r="AD48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89" s="77">
        <f>IF(テーブル2[[#This Row],[体重]]="",0,(テーブル2[[#This Row],[体重]]-テーブル2[[#This Row],[標準体重]])/テーブル2[[#This Row],[標準体重]]*100)</f>
        <v>0</v>
      </c>
      <c r="AF489" s="26">
        <f>COUNTA(テーブル2[[#This Row],[握力]:[ボール投げ]])</f>
        <v>0</v>
      </c>
      <c r="AG489" s="1" t="str">
        <f>IF(テーブル2[[#This Row],[判定]]=$BE$10,"○","")</f>
        <v/>
      </c>
      <c r="AH489" s="1" t="str">
        <f>IF(AG489="","",COUNTIF($AG$6:AG489,"○"))</f>
        <v/>
      </c>
    </row>
    <row r="490" spans="1:34" ht="14.25" customHeight="1" x14ac:dyDescent="0.15">
      <c r="A490" s="44">
        <v>485</v>
      </c>
      <c r="B490" s="148"/>
      <c r="C490" s="151"/>
      <c r="D490" s="148"/>
      <c r="E490" s="152"/>
      <c r="F490" s="148"/>
      <c r="G490" s="148"/>
      <c r="H490" s="150"/>
      <c r="I490" s="150"/>
      <c r="J490" s="151"/>
      <c r="K490" s="148"/>
      <c r="L490" s="196"/>
      <c r="M490" s="151"/>
      <c r="N490" s="197"/>
      <c r="O490" s="151"/>
      <c r="P490" s="153"/>
      <c r="Q49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0" s="144" t="str">
        <f>IF(テーブル2[[#This Row],[得点]]=0,"",IF(テーブル2[[#This Row],[年齢]]=17,LOOKUP(Q490,$BH$6:$BH$10,$BE$6:$BE$10),IF(テーブル2[[#This Row],[年齢]]=16,LOOKUP(Q490,$BG$6:$BG$10,$BE$6:$BE$10),IF(テーブル2[[#This Row],[年齢]]=15,LOOKUP(Q490,$BF$6:$BF$10,$BE$6:$BE$10),IF(テーブル2[[#This Row],[年齢]]=14,LOOKUP(Q490,$BD$6:$BD$10,$BE$6:$BE$10),IF(テーブル2[[#This Row],[年齢]]=13,LOOKUP(Q490,$BC$6:$BC$10,$BE$6:$BE$10),LOOKUP(Q490,$BB$6:$BB$10,$BE$6:$BE$10)))))))</f>
        <v/>
      </c>
      <c r="S490" s="145">
        <f>IF(H490="",0,(IF(テーブル2[[#This Row],[性別]]="男",LOOKUP(テーブル2[[#This Row],[握力]],$AI$6:$AJ$15),LOOKUP(テーブル2[[#This Row],[握力]],$AI$20:$AJ$29))))</f>
        <v>0</v>
      </c>
      <c r="T490" s="145">
        <f>IF(テーブル2[[#This Row],[上体]]="",0,(IF(テーブル2[[#This Row],[性別]]="男",LOOKUP(テーブル2[[#This Row],[上体]],$AK$6:$AL$15),LOOKUP(テーブル2[[#This Row],[上体]],$AK$20:$AL$29))))</f>
        <v>0</v>
      </c>
      <c r="U490" s="145">
        <f>IF(テーブル2[[#This Row],[長座]]="",0,(IF(テーブル2[[#This Row],[性別]]="男",LOOKUP(テーブル2[[#This Row],[長座]],$AM$6:$AN$15),LOOKUP(テーブル2[[#This Row],[長座]],$AM$20:$AN$29))))</f>
        <v>0</v>
      </c>
      <c r="V490" s="145">
        <f>IF(テーブル2[[#This Row],[反復]]="",0,(IF(テーブル2[[#This Row],[性別]]="男",LOOKUP(テーブル2[[#This Row],[反復]],$AO$6:$AP$15),LOOKUP(テーブル2[[#This Row],[反復]],$AO$20:$AP$29))))</f>
        <v>0</v>
      </c>
      <c r="W490" s="145">
        <f>IF(テーブル2[[#This Row],[持久走]]="",0,(IF(テーブル2[[#This Row],[性別]]="男",LOOKUP(テーブル2[[#This Row],[持久走]],$AQ$6:$AR$15),LOOKUP(テーブル2[[#This Row],[持久走]],$AQ$20:$AR$29))))</f>
        <v>0</v>
      </c>
      <c r="X490" s="145">
        <f>IF(テーブル2[[#This Row],[ｼｬﾄﾙﾗﾝ]]="",0,(IF(テーブル2[[#This Row],[性別]]="男",LOOKUP(テーブル2[[#This Row],[ｼｬﾄﾙﾗﾝ]],$AS$6:$AT$15),LOOKUP(テーブル2[[#This Row],[ｼｬﾄﾙﾗﾝ]],$AS$20:$AT$29))))</f>
        <v>0</v>
      </c>
      <c r="Y490" s="145">
        <f>IF(テーブル2[[#This Row],[50m走]]="",0,(IF(テーブル2[[#This Row],[性別]]="男",LOOKUP(テーブル2[[#This Row],[50m走]],$AU$6:$AV$15),LOOKUP(テーブル2[[#This Row],[50m走]],$AU$20:$AV$29))))</f>
        <v>0</v>
      </c>
      <c r="Z490" s="145">
        <f>IF(テーブル2[[#This Row],[立幅とび]]="",0,(IF(テーブル2[[#This Row],[性別]]="男",LOOKUP(テーブル2[[#This Row],[立幅とび]],$AW$6:$AX$15),LOOKUP(テーブル2[[#This Row],[立幅とび]],$AW$20:$AX$29))))</f>
        <v>0</v>
      </c>
      <c r="AA490" s="145">
        <f>IF(テーブル2[[#This Row],[ボール投げ]]="",0,(IF(テーブル2[[#This Row],[性別]]="男",LOOKUP(テーブル2[[#This Row],[ボール投げ]],$AY$6:$AZ$15),LOOKUP(テーブル2[[#This Row],[ボール投げ]],$AY$20:$AZ$29))))</f>
        <v>0</v>
      </c>
      <c r="AB490" s="146" t="str">
        <f>IF(テーブル2[[#This Row],[学年]]=1,12,IF(テーブル2[[#This Row],[学年]]=2,13,IF(テーブル2[[#This Row],[学年]]=3,14,"")))</f>
        <v/>
      </c>
      <c r="AC490" s="192" t="str">
        <f>IF(テーブル2[[#This Row],[肥満度数値]]=0,"",LOOKUP(AE490,$AW$39:$AW$44,$AX$39:$AX$44))</f>
        <v/>
      </c>
      <c r="AD49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0" s="77">
        <f>IF(テーブル2[[#This Row],[体重]]="",0,(テーブル2[[#This Row],[体重]]-テーブル2[[#This Row],[標準体重]])/テーブル2[[#This Row],[標準体重]]*100)</f>
        <v>0</v>
      </c>
      <c r="AF490" s="26">
        <f>COUNTA(テーブル2[[#This Row],[握力]:[ボール投げ]])</f>
        <v>0</v>
      </c>
      <c r="AG490" s="1" t="str">
        <f>IF(テーブル2[[#This Row],[判定]]=$BE$10,"○","")</f>
        <v/>
      </c>
      <c r="AH490" s="1" t="str">
        <f>IF(AG490="","",COUNTIF($AG$6:AG490,"○"))</f>
        <v/>
      </c>
    </row>
    <row r="491" spans="1:34" ht="14.25" customHeight="1" x14ac:dyDescent="0.15">
      <c r="A491" s="44">
        <v>486</v>
      </c>
      <c r="B491" s="148"/>
      <c r="C491" s="151"/>
      <c r="D491" s="148"/>
      <c r="E491" s="152"/>
      <c r="F491" s="148"/>
      <c r="G491" s="148"/>
      <c r="H491" s="150"/>
      <c r="I491" s="150"/>
      <c r="J491" s="151"/>
      <c r="K491" s="148"/>
      <c r="L491" s="196"/>
      <c r="M491" s="151"/>
      <c r="N491" s="197"/>
      <c r="O491" s="151"/>
      <c r="P491" s="153"/>
      <c r="Q49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1" s="144" t="str">
        <f>IF(テーブル2[[#This Row],[得点]]=0,"",IF(テーブル2[[#This Row],[年齢]]=17,LOOKUP(Q491,$BH$6:$BH$10,$BE$6:$BE$10),IF(テーブル2[[#This Row],[年齢]]=16,LOOKUP(Q491,$BG$6:$BG$10,$BE$6:$BE$10),IF(テーブル2[[#This Row],[年齢]]=15,LOOKUP(Q491,$BF$6:$BF$10,$BE$6:$BE$10),IF(テーブル2[[#This Row],[年齢]]=14,LOOKUP(Q491,$BD$6:$BD$10,$BE$6:$BE$10),IF(テーブル2[[#This Row],[年齢]]=13,LOOKUP(Q491,$BC$6:$BC$10,$BE$6:$BE$10),LOOKUP(Q491,$BB$6:$BB$10,$BE$6:$BE$10)))))))</f>
        <v/>
      </c>
      <c r="S491" s="145">
        <f>IF(H491="",0,(IF(テーブル2[[#This Row],[性別]]="男",LOOKUP(テーブル2[[#This Row],[握力]],$AI$6:$AJ$15),LOOKUP(テーブル2[[#This Row],[握力]],$AI$20:$AJ$29))))</f>
        <v>0</v>
      </c>
      <c r="T491" s="145">
        <f>IF(テーブル2[[#This Row],[上体]]="",0,(IF(テーブル2[[#This Row],[性別]]="男",LOOKUP(テーブル2[[#This Row],[上体]],$AK$6:$AL$15),LOOKUP(テーブル2[[#This Row],[上体]],$AK$20:$AL$29))))</f>
        <v>0</v>
      </c>
      <c r="U491" s="145">
        <f>IF(テーブル2[[#This Row],[長座]]="",0,(IF(テーブル2[[#This Row],[性別]]="男",LOOKUP(テーブル2[[#This Row],[長座]],$AM$6:$AN$15),LOOKUP(テーブル2[[#This Row],[長座]],$AM$20:$AN$29))))</f>
        <v>0</v>
      </c>
      <c r="V491" s="145">
        <f>IF(テーブル2[[#This Row],[反復]]="",0,(IF(テーブル2[[#This Row],[性別]]="男",LOOKUP(テーブル2[[#This Row],[反復]],$AO$6:$AP$15),LOOKUP(テーブル2[[#This Row],[反復]],$AO$20:$AP$29))))</f>
        <v>0</v>
      </c>
      <c r="W491" s="145">
        <f>IF(テーブル2[[#This Row],[持久走]]="",0,(IF(テーブル2[[#This Row],[性別]]="男",LOOKUP(テーブル2[[#This Row],[持久走]],$AQ$6:$AR$15),LOOKUP(テーブル2[[#This Row],[持久走]],$AQ$20:$AR$29))))</f>
        <v>0</v>
      </c>
      <c r="X491" s="145">
        <f>IF(テーブル2[[#This Row],[ｼｬﾄﾙﾗﾝ]]="",0,(IF(テーブル2[[#This Row],[性別]]="男",LOOKUP(テーブル2[[#This Row],[ｼｬﾄﾙﾗﾝ]],$AS$6:$AT$15),LOOKUP(テーブル2[[#This Row],[ｼｬﾄﾙﾗﾝ]],$AS$20:$AT$29))))</f>
        <v>0</v>
      </c>
      <c r="Y491" s="145">
        <f>IF(テーブル2[[#This Row],[50m走]]="",0,(IF(テーブル2[[#This Row],[性別]]="男",LOOKUP(テーブル2[[#This Row],[50m走]],$AU$6:$AV$15),LOOKUP(テーブル2[[#This Row],[50m走]],$AU$20:$AV$29))))</f>
        <v>0</v>
      </c>
      <c r="Z491" s="145">
        <f>IF(テーブル2[[#This Row],[立幅とび]]="",0,(IF(テーブル2[[#This Row],[性別]]="男",LOOKUP(テーブル2[[#This Row],[立幅とび]],$AW$6:$AX$15),LOOKUP(テーブル2[[#This Row],[立幅とび]],$AW$20:$AX$29))))</f>
        <v>0</v>
      </c>
      <c r="AA491" s="145">
        <f>IF(テーブル2[[#This Row],[ボール投げ]]="",0,(IF(テーブル2[[#This Row],[性別]]="男",LOOKUP(テーブル2[[#This Row],[ボール投げ]],$AY$6:$AZ$15),LOOKUP(テーブル2[[#This Row],[ボール投げ]],$AY$20:$AZ$29))))</f>
        <v>0</v>
      </c>
      <c r="AB491" s="146" t="str">
        <f>IF(テーブル2[[#This Row],[学年]]=1,12,IF(テーブル2[[#This Row],[学年]]=2,13,IF(テーブル2[[#This Row],[学年]]=3,14,"")))</f>
        <v/>
      </c>
      <c r="AC491" s="192" t="str">
        <f>IF(テーブル2[[#This Row],[肥満度数値]]=0,"",LOOKUP(AE491,$AW$39:$AW$44,$AX$39:$AX$44))</f>
        <v/>
      </c>
      <c r="AD49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1" s="77">
        <f>IF(テーブル2[[#This Row],[体重]]="",0,(テーブル2[[#This Row],[体重]]-テーブル2[[#This Row],[標準体重]])/テーブル2[[#This Row],[標準体重]]*100)</f>
        <v>0</v>
      </c>
      <c r="AF491" s="26">
        <f>COUNTA(テーブル2[[#This Row],[握力]:[ボール投げ]])</f>
        <v>0</v>
      </c>
      <c r="AG491" s="1" t="str">
        <f>IF(テーブル2[[#This Row],[判定]]=$BE$10,"○","")</f>
        <v/>
      </c>
      <c r="AH491" s="1" t="str">
        <f>IF(AG491="","",COUNTIF($AG$6:AG491,"○"))</f>
        <v/>
      </c>
    </row>
    <row r="492" spans="1:34" ht="14.25" customHeight="1" x14ac:dyDescent="0.15">
      <c r="A492" s="44">
        <v>487</v>
      </c>
      <c r="B492" s="148"/>
      <c r="C492" s="151"/>
      <c r="D492" s="148"/>
      <c r="E492" s="152"/>
      <c r="F492" s="148"/>
      <c r="G492" s="148"/>
      <c r="H492" s="150"/>
      <c r="I492" s="150"/>
      <c r="J492" s="151"/>
      <c r="K492" s="148"/>
      <c r="L492" s="196"/>
      <c r="M492" s="151"/>
      <c r="N492" s="197"/>
      <c r="O492" s="151"/>
      <c r="P492" s="153"/>
      <c r="Q49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2" s="144" t="str">
        <f>IF(テーブル2[[#This Row],[得点]]=0,"",IF(テーブル2[[#This Row],[年齢]]=17,LOOKUP(Q492,$BH$6:$BH$10,$BE$6:$BE$10),IF(テーブル2[[#This Row],[年齢]]=16,LOOKUP(Q492,$BG$6:$BG$10,$BE$6:$BE$10),IF(テーブル2[[#This Row],[年齢]]=15,LOOKUP(Q492,$BF$6:$BF$10,$BE$6:$BE$10),IF(テーブル2[[#This Row],[年齢]]=14,LOOKUP(Q492,$BD$6:$BD$10,$BE$6:$BE$10),IF(テーブル2[[#This Row],[年齢]]=13,LOOKUP(Q492,$BC$6:$BC$10,$BE$6:$BE$10),LOOKUP(Q492,$BB$6:$BB$10,$BE$6:$BE$10)))))))</f>
        <v/>
      </c>
      <c r="S492" s="145">
        <f>IF(H492="",0,(IF(テーブル2[[#This Row],[性別]]="男",LOOKUP(テーブル2[[#This Row],[握力]],$AI$6:$AJ$15),LOOKUP(テーブル2[[#This Row],[握力]],$AI$20:$AJ$29))))</f>
        <v>0</v>
      </c>
      <c r="T492" s="145">
        <f>IF(テーブル2[[#This Row],[上体]]="",0,(IF(テーブル2[[#This Row],[性別]]="男",LOOKUP(テーブル2[[#This Row],[上体]],$AK$6:$AL$15),LOOKUP(テーブル2[[#This Row],[上体]],$AK$20:$AL$29))))</f>
        <v>0</v>
      </c>
      <c r="U492" s="145">
        <f>IF(テーブル2[[#This Row],[長座]]="",0,(IF(テーブル2[[#This Row],[性別]]="男",LOOKUP(テーブル2[[#This Row],[長座]],$AM$6:$AN$15),LOOKUP(テーブル2[[#This Row],[長座]],$AM$20:$AN$29))))</f>
        <v>0</v>
      </c>
      <c r="V492" s="145">
        <f>IF(テーブル2[[#This Row],[反復]]="",0,(IF(テーブル2[[#This Row],[性別]]="男",LOOKUP(テーブル2[[#This Row],[反復]],$AO$6:$AP$15),LOOKUP(テーブル2[[#This Row],[反復]],$AO$20:$AP$29))))</f>
        <v>0</v>
      </c>
      <c r="W492" s="145">
        <f>IF(テーブル2[[#This Row],[持久走]]="",0,(IF(テーブル2[[#This Row],[性別]]="男",LOOKUP(テーブル2[[#This Row],[持久走]],$AQ$6:$AR$15),LOOKUP(テーブル2[[#This Row],[持久走]],$AQ$20:$AR$29))))</f>
        <v>0</v>
      </c>
      <c r="X492" s="145">
        <f>IF(テーブル2[[#This Row],[ｼｬﾄﾙﾗﾝ]]="",0,(IF(テーブル2[[#This Row],[性別]]="男",LOOKUP(テーブル2[[#This Row],[ｼｬﾄﾙﾗﾝ]],$AS$6:$AT$15),LOOKUP(テーブル2[[#This Row],[ｼｬﾄﾙﾗﾝ]],$AS$20:$AT$29))))</f>
        <v>0</v>
      </c>
      <c r="Y492" s="145">
        <f>IF(テーブル2[[#This Row],[50m走]]="",0,(IF(テーブル2[[#This Row],[性別]]="男",LOOKUP(テーブル2[[#This Row],[50m走]],$AU$6:$AV$15),LOOKUP(テーブル2[[#This Row],[50m走]],$AU$20:$AV$29))))</f>
        <v>0</v>
      </c>
      <c r="Z492" s="145">
        <f>IF(テーブル2[[#This Row],[立幅とび]]="",0,(IF(テーブル2[[#This Row],[性別]]="男",LOOKUP(テーブル2[[#This Row],[立幅とび]],$AW$6:$AX$15),LOOKUP(テーブル2[[#This Row],[立幅とび]],$AW$20:$AX$29))))</f>
        <v>0</v>
      </c>
      <c r="AA492" s="145">
        <f>IF(テーブル2[[#This Row],[ボール投げ]]="",0,(IF(テーブル2[[#This Row],[性別]]="男",LOOKUP(テーブル2[[#This Row],[ボール投げ]],$AY$6:$AZ$15),LOOKUP(テーブル2[[#This Row],[ボール投げ]],$AY$20:$AZ$29))))</f>
        <v>0</v>
      </c>
      <c r="AB492" s="146" t="str">
        <f>IF(テーブル2[[#This Row],[学年]]=1,12,IF(テーブル2[[#This Row],[学年]]=2,13,IF(テーブル2[[#This Row],[学年]]=3,14,"")))</f>
        <v/>
      </c>
      <c r="AC492" s="192" t="str">
        <f>IF(テーブル2[[#This Row],[肥満度数値]]=0,"",LOOKUP(AE492,$AW$39:$AW$44,$AX$39:$AX$44))</f>
        <v/>
      </c>
      <c r="AD49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2" s="77">
        <f>IF(テーブル2[[#This Row],[体重]]="",0,(テーブル2[[#This Row],[体重]]-テーブル2[[#This Row],[標準体重]])/テーブル2[[#This Row],[標準体重]]*100)</f>
        <v>0</v>
      </c>
      <c r="AF492" s="26">
        <f>COUNTA(テーブル2[[#This Row],[握力]:[ボール投げ]])</f>
        <v>0</v>
      </c>
      <c r="AG492" s="1" t="str">
        <f>IF(テーブル2[[#This Row],[判定]]=$BE$10,"○","")</f>
        <v/>
      </c>
      <c r="AH492" s="1" t="str">
        <f>IF(AG492="","",COUNTIF($AG$6:AG492,"○"))</f>
        <v/>
      </c>
    </row>
    <row r="493" spans="1:34" ht="14.25" customHeight="1" x14ac:dyDescent="0.15">
      <c r="A493" s="44">
        <v>488</v>
      </c>
      <c r="B493" s="148"/>
      <c r="C493" s="151"/>
      <c r="D493" s="148"/>
      <c r="E493" s="152"/>
      <c r="F493" s="148"/>
      <c r="G493" s="148"/>
      <c r="H493" s="150"/>
      <c r="I493" s="150"/>
      <c r="J493" s="151"/>
      <c r="K493" s="148"/>
      <c r="L493" s="196"/>
      <c r="M493" s="151"/>
      <c r="N493" s="197"/>
      <c r="O493" s="151"/>
      <c r="P493" s="153"/>
      <c r="Q49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3" s="144" t="str">
        <f>IF(テーブル2[[#This Row],[得点]]=0,"",IF(テーブル2[[#This Row],[年齢]]=17,LOOKUP(Q493,$BH$6:$BH$10,$BE$6:$BE$10),IF(テーブル2[[#This Row],[年齢]]=16,LOOKUP(Q493,$BG$6:$BG$10,$BE$6:$BE$10),IF(テーブル2[[#This Row],[年齢]]=15,LOOKUP(Q493,$BF$6:$BF$10,$BE$6:$BE$10),IF(テーブル2[[#This Row],[年齢]]=14,LOOKUP(Q493,$BD$6:$BD$10,$BE$6:$BE$10),IF(テーブル2[[#This Row],[年齢]]=13,LOOKUP(Q493,$BC$6:$BC$10,$BE$6:$BE$10),LOOKUP(Q493,$BB$6:$BB$10,$BE$6:$BE$10)))))))</f>
        <v/>
      </c>
      <c r="S493" s="145">
        <f>IF(H493="",0,(IF(テーブル2[[#This Row],[性別]]="男",LOOKUP(テーブル2[[#This Row],[握力]],$AI$6:$AJ$15),LOOKUP(テーブル2[[#This Row],[握力]],$AI$20:$AJ$29))))</f>
        <v>0</v>
      </c>
      <c r="T493" s="145">
        <f>IF(テーブル2[[#This Row],[上体]]="",0,(IF(テーブル2[[#This Row],[性別]]="男",LOOKUP(テーブル2[[#This Row],[上体]],$AK$6:$AL$15),LOOKUP(テーブル2[[#This Row],[上体]],$AK$20:$AL$29))))</f>
        <v>0</v>
      </c>
      <c r="U493" s="145">
        <f>IF(テーブル2[[#This Row],[長座]]="",0,(IF(テーブル2[[#This Row],[性別]]="男",LOOKUP(テーブル2[[#This Row],[長座]],$AM$6:$AN$15),LOOKUP(テーブル2[[#This Row],[長座]],$AM$20:$AN$29))))</f>
        <v>0</v>
      </c>
      <c r="V493" s="145">
        <f>IF(テーブル2[[#This Row],[反復]]="",0,(IF(テーブル2[[#This Row],[性別]]="男",LOOKUP(テーブル2[[#This Row],[反復]],$AO$6:$AP$15),LOOKUP(テーブル2[[#This Row],[反復]],$AO$20:$AP$29))))</f>
        <v>0</v>
      </c>
      <c r="W493" s="145">
        <f>IF(テーブル2[[#This Row],[持久走]]="",0,(IF(テーブル2[[#This Row],[性別]]="男",LOOKUP(テーブル2[[#This Row],[持久走]],$AQ$6:$AR$15),LOOKUP(テーブル2[[#This Row],[持久走]],$AQ$20:$AR$29))))</f>
        <v>0</v>
      </c>
      <c r="X493" s="145">
        <f>IF(テーブル2[[#This Row],[ｼｬﾄﾙﾗﾝ]]="",0,(IF(テーブル2[[#This Row],[性別]]="男",LOOKUP(テーブル2[[#This Row],[ｼｬﾄﾙﾗﾝ]],$AS$6:$AT$15),LOOKUP(テーブル2[[#This Row],[ｼｬﾄﾙﾗﾝ]],$AS$20:$AT$29))))</f>
        <v>0</v>
      </c>
      <c r="Y493" s="145">
        <f>IF(テーブル2[[#This Row],[50m走]]="",0,(IF(テーブル2[[#This Row],[性別]]="男",LOOKUP(テーブル2[[#This Row],[50m走]],$AU$6:$AV$15),LOOKUP(テーブル2[[#This Row],[50m走]],$AU$20:$AV$29))))</f>
        <v>0</v>
      </c>
      <c r="Z493" s="145">
        <f>IF(テーブル2[[#This Row],[立幅とび]]="",0,(IF(テーブル2[[#This Row],[性別]]="男",LOOKUP(テーブル2[[#This Row],[立幅とび]],$AW$6:$AX$15),LOOKUP(テーブル2[[#This Row],[立幅とび]],$AW$20:$AX$29))))</f>
        <v>0</v>
      </c>
      <c r="AA493" s="145">
        <f>IF(テーブル2[[#This Row],[ボール投げ]]="",0,(IF(テーブル2[[#This Row],[性別]]="男",LOOKUP(テーブル2[[#This Row],[ボール投げ]],$AY$6:$AZ$15),LOOKUP(テーブル2[[#This Row],[ボール投げ]],$AY$20:$AZ$29))))</f>
        <v>0</v>
      </c>
      <c r="AB493" s="146" t="str">
        <f>IF(テーブル2[[#This Row],[学年]]=1,12,IF(テーブル2[[#This Row],[学年]]=2,13,IF(テーブル2[[#This Row],[学年]]=3,14,"")))</f>
        <v/>
      </c>
      <c r="AC493" s="192" t="str">
        <f>IF(テーブル2[[#This Row],[肥満度数値]]=0,"",LOOKUP(AE493,$AW$39:$AW$44,$AX$39:$AX$44))</f>
        <v/>
      </c>
      <c r="AD49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3" s="77">
        <f>IF(テーブル2[[#This Row],[体重]]="",0,(テーブル2[[#This Row],[体重]]-テーブル2[[#This Row],[標準体重]])/テーブル2[[#This Row],[標準体重]]*100)</f>
        <v>0</v>
      </c>
      <c r="AF493" s="26">
        <f>COUNTA(テーブル2[[#This Row],[握力]:[ボール投げ]])</f>
        <v>0</v>
      </c>
      <c r="AG493" s="1" t="str">
        <f>IF(テーブル2[[#This Row],[判定]]=$BE$10,"○","")</f>
        <v/>
      </c>
      <c r="AH493" s="1" t="str">
        <f>IF(AG493="","",COUNTIF($AG$6:AG493,"○"))</f>
        <v/>
      </c>
    </row>
    <row r="494" spans="1:34" ht="14.25" customHeight="1" x14ac:dyDescent="0.15">
      <c r="A494" s="44">
        <v>489</v>
      </c>
      <c r="B494" s="148"/>
      <c r="C494" s="151"/>
      <c r="D494" s="148"/>
      <c r="E494" s="152"/>
      <c r="F494" s="148"/>
      <c r="G494" s="148"/>
      <c r="H494" s="150"/>
      <c r="I494" s="150"/>
      <c r="J494" s="151"/>
      <c r="K494" s="148"/>
      <c r="L494" s="196"/>
      <c r="M494" s="151"/>
      <c r="N494" s="197"/>
      <c r="O494" s="151"/>
      <c r="P494" s="153"/>
      <c r="Q49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4" s="144" t="str">
        <f>IF(テーブル2[[#This Row],[得点]]=0,"",IF(テーブル2[[#This Row],[年齢]]=17,LOOKUP(Q494,$BH$6:$BH$10,$BE$6:$BE$10),IF(テーブル2[[#This Row],[年齢]]=16,LOOKUP(Q494,$BG$6:$BG$10,$BE$6:$BE$10),IF(テーブル2[[#This Row],[年齢]]=15,LOOKUP(Q494,$BF$6:$BF$10,$BE$6:$BE$10),IF(テーブル2[[#This Row],[年齢]]=14,LOOKUP(Q494,$BD$6:$BD$10,$BE$6:$BE$10),IF(テーブル2[[#This Row],[年齢]]=13,LOOKUP(Q494,$BC$6:$BC$10,$BE$6:$BE$10),LOOKUP(Q494,$BB$6:$BB$10,$BE$6:$BE$10)))))))</f>
        <v/>
      </c>
      <c r="S494" s="145">
        <f>IF(H494="",0,(IF(テーブル2[[#This Row],[性別]]="男",LOOKUP(テーブル2[[#This Row],[握力]],$AI$6:$AJ$15),LOOKUP(テーブル2[[#This Row],[握力]],$AI$20:$AJ$29))))</f>
        <v>0</v>
      </c>
      <c r="T494" s="145">
        <f>IF(テーブル2[[#This Row],[上体]]="",0,(IF(テーブル2[[#This Row],[性別]]="男",LOOKUP(テーブル2[[#This Row],[上体]],$AK$6:$AL$15),LOOKUP(テーブル2[[#This Row],[上体]],$AK$20:$AL$29))))</f>
        <v>0</v>
      </c>
      <c r="U494" s="145">
        <f>IF(テーブル2[[#This Row],[長座]]="",0,(IF(テーブル2[[#This Row],[性別]]="男",LOOKUP(テーブル2[[#This Row],[長座]],$AM$6:$AN$15),LOOKUP(テーブル2[[#This Row],[長座]],$AM$20:$AN$29))))</f>
        <v>0</v>
      </c>
      <c r="V494" s="145">
        <f>IF(テーブル2[[#This Row],[反復]]="",0,(IF(テーブル2[[#This Row],[性別]]="男",LOOKUP(テーブル2[[#This Row],[反復]],$AO$6:$AP$15),LOOKUP(テーブル2[[#This Row],[反復]],$AO$20:$AP$29))))</f>
        <v>0</v>
      </c>
      <c r="W494" s="145">
        <f>IF(テーブル2[[#This Row],[持久走]]="",0,(IF(テーブル2[[#This Row],[性別]]="男",LOOKUP(テーブル2[[#This Row],[持久走]],$AQ$6:$AR$15),LOOKUP(テーブル2[[#This Row],[持久走]],$AQ$20:$AR$29))))</f>
        <v>0</v>
      </c>
      <c r="X494" s="145">
        <f>IF(テーブル2[[#This Row],[ｼｬﾄﾙﾗﾝ]]="",0,(IF(テーブル2[[#This Row],[性別]]="男",LOOKUP(テーブル2[[#This Row],[ｼｬﾄﾙﾗﾝ]],$AS$6:$AT$15),LOOKUP(テーブル2[[#This Row],[ｼｬﾄﾙﾗﾝ]],$AS$20:$AT$29))))</f>
        <v>0</v>
      </c>
      <c r="Y494" s="145">
        <f>IF(テーブル2[[#This Row],[50m走]]="",0,(IF(テーブル2[[#This Row],[性別]]="男",LOOKUP(テーブル2[[#This Row],[50m走]],$AU$6:$AV$15),LOOKUP(テーブル2[[#This Row],[50m走]],$AU$20:$AV$29))))</f>
        <v>0</v>
      </c>
      <c r="Z494" s="145">
        <f>IF(テーブル2[[#This Row],[立幅とび]]="",0,(IF(テーブル2[[#This Row],[性別]]="男",LOOKUP(テーブル2[[#This Row],[立幅とび]],$AW$6:$AX$15),LOOKUP(テーブル2[[#This Row],[立幅とび]],$AW$20:$AX$29))))</f>
        <v>0</v>
      </c>
      <c r="AA494" s="145">
        <f>IF(テーブル2[[#This Row],[ボール投げ]]="",0,(IF(テーブル2[[#This Row],[性別]]="男",LOOKUP(テーブル2[[#This Row],[ボール投げ]],$AY$6:$AZ$15),LOOKUP(テーブル2[[#This Row],[ボール投げ]],$AY$20:$AZ$29))))</f>
        <v>0</v>
      </c>
      <c r="AB494" s="146" t="str">
        <f>IF(テーブル2[[#This Row],[学年]]=1,12,IF(テーブル2[[#This Row],[学年]]=2,13,IF(テーブル2[[#This Row],[学年]]=3,14,"")))</f>
        <v/>
      </c>
      <c r="AC494" s="192" t="str">
        <f>IF(テーブル2[[#This Row],[肥満度数値]]=0,"",LOOKUP(AE494,$AW$39:$AW$44,$AX$39:$AX$44))</f>
        <v/>
      </c>
      <c r="AD49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4" s="77">
        <f>IF(テーブル2[[#This Row],[体重]]="",0,(テーブル2[[#This Row],[体重]]-テーブル2[[#This Row],[標準体重]])/テーブル2[[#This Row],[標準体重]]*100)</f>
        <v>0</v>
      </c>
      <c r="AF494" s="26">
        <f>COUNTA(テーブル2[[#This Row],[握力]:[ボール投げ]])</f>
        <v>0</v>
      </c>
      <c r="AG494" s="1" t="str">
        <f>IF(テーブル2[[#This Row],[判定]]=$BE$10,"○","")</f>
        <v/>
      </c>
      <c r="AH494" s="1" t="str">
        <f>IF(AG494="","",COUNTIF($AG$6:AG494,"○"))</f>
        <v/>
      </c>
    </row>
    <row r="495" spans="1:34" ht="14.25" customHeight="1" x14ac:dyDescent="0.15">
      <c r="A495" s="44">
        <v>490</v>
      </c>
      <c r="B495" s="148"/>
      <c r="C495" s="151"/>
      <c r="D495" s="148"/>
      <c r="E495" s="152"/>
      <c r="F495" s="148"/>
      <c r="G495" s="148"/>
      <c r="H495" s="150"/>
      <c r="I495" s="150"/>
      <c r="J495" s="151"/>
      <c r="K495" s="148"/>
      <c r="L495" s="196"/>
      <c r="M495" s="151"/>
      <c r="N495" s="197"/>
      <c r="O495" s="151"/>
      <c r="P495" s="153"/>
      <c r="Q49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5" s="144" t="str">
        <f>IF(テーブル2[[#This Row],[得点]]=0,"",IF(テーブル2[[#This Row],[年齢]]=17,LOOKUP(Q495,$BH$6:$BH$10,$BE$6:$BE$10),IF(テーブル2[[#This Row],[年齢]]=16,LOOKUP(Q495,$BG$6:$BG$10,$BE$6:$BE$10),IF(テーブル2[[#This Row],[年齢]]=15,LOOKUP(Q495,$BF$6:$BF$10,$BE$6:$BE$10),IF(テーブル2[[#This Row],[年齢]]=14,LOOKUP(Q495,$BD$6:$BD$10,$BE$6:$BE$10),IF(テーブル2[[#This Row],[年齢]]=13,LOOKUP(Q495,$BC$6:$BC$10,$BE$6:$BE$10),LOOKUP(Q495,$BB$6:$BB$10,$BE$6:$BE$10)))))))</f>
        <v/>
      </c>
      <c r="S495" s="145">
        <f>IF(H495="",0,(IF(テーブル2[[#This Row],[性別]]="男",LOOKUP(テーブル2[[#This Row],[握力]],$AI$6:$AJ$15),LOOKUP(テーブル2[[#This Row],[握力]],$AI$20:$AJ$29))))</f>
        <v>0</v>
      </c>
      <c r="T495" s="145">
        <f>IF(テーブル2[[#This Row],[上体]]="",0,(IF(テーブル2[[#This Row],[性別]]="男",LOOKUP(テーブル2[[#This Row],[上体]],$AK$6:$AL$15),LOOKUP(テーブル2[[#This Row],[上体]],$AK$20:$AL$29))))</f>
        <v>0</v>
      </c>
      <c r="U495" s="145">
        <f>IF(テーブル2[[#This Row],[長座]]="",0,(IF(テーブル2[[#This Row],[性別]]="男",LOOKUP(テーブル2[[#This Row],[長座]],$AM$6:$AN$15),LOOKUP(テーブル2[[#This Row],[長座]],$AM$20:$AN$29))))</f>
        <v>0</v>
      </c>
      <c r="V495" s="145">
        <f>IF(テーブル2[[#This Row],[反復]]="",0,(IF(テーブル2[[#This Row],[性別]]="男",LOOKUP(テーブル2[[#This Row],[反復]],$AO$6:$AP$15),LOOKUP(テーブル2[[#This Row],[反復]],$AO$20:$AP$29))))</f>
        <v>0</v>
      </c>
      <c r="W495" s="145">
        <f>IF(テーブル2[[#This Row],[持久走]]="",0,(IF(テーブル2[[#This Row],[性別]]="男",LOOKUP(テーブル2[[#This Row],[持久走]],$AQ$6:$AR$15),LOOKUP(テーブル2[[#This Row],[持久走]],$AQ$20:$AR$29))))</f>
        <v>0</v>
      </c>
      <c r="X495" s="145">
        <f>IF(テーブル2[[#This Row],[ｼｬﾄﾙﾗﾝ]]="",0,(IF(テーブル2[[#This Row],[性別]]="男",LOOKUP(テーブル2[[#This Row],[ｼｬﾄﾙﾗﾝ]],$AS$6:$AT$15),LOOKUP(テーブル2[[#This Row],[ｼｬﾄﾙﾗﾝ]],$AS$20:$AT$29))))</f>
        <v>0</v>
      </c>
      <c r="Y495" s="145">
        <f>IF(テーブル2[[#This Row],[50m走]]="",0,(IF(テーブル2[[#This Row],[性別]]="男",LOOKUP(テーブル2[[#This Row],[50m走]],$AU$6:$AV$15),LOOKUP(テーブル2[[#This Row],[50m走]],$AU$20:$AV$29))))</f>
        <v>0</v>
      </c>
      <c r="Z495" s="145">
        <f>IF(テーブル2[[#This Row],[立幅とび]]="",0,(IF(テーブル2[[#This Row],[性別]]="男",LOOKUP(テーブル2[[#This Row],[立幅とび]],$AW$6:$AX$15),LOOKUP(テーブル2[[#This Row],[立幅とび]],$AW$20:$AX$29))))</f>
        <v>0</v>
      </c>
      <c r="AA495" s="145">
        <f>IF(テーブル2[[#This Row],[ボール投げ]]="",0,(IF(テーブル2[[#This Row],[性別]]="男",LOOKUP(テーブル2[[#This Row],[ボール投げ]],$AY$6:$AZ$15),LOOKUP(テーブル2[[#This Row],[ボール投げ]],$AY$20:$AZ$29))))</f>
        <v>0</v>
      </c>
      <c r="AB495" s="146" t="str">
        <f>IF(テーブル2[[#This Row],[学年]]=1,12,IF(テーブル2[[#This Row],[学年]]=2,13,IF(テーブル2[[#This Row],[学年]]=3,14,"")))</f>
        <v/>
      </c>
      <c r="AC495" s="192" t="str">
        <f>IF(テーブル2[[#This Row],[肥満度数値]]=0,"",LOOKUP(AE495,$AW$39:$AW$44,$AX$39:$AX$44))</f>
        <v/>
      </c>
      <c r="AD49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5" s="77">
        <f>IF(テーブル2[[#This Row],[体重]]="",0,(テーブル2[[#This Row],[体重]]-テーブル2[[#This Row],[標準体重]])/テーブル2[[#This Row],[標準体重]]*100)</f>
        <v>0</v>
      </c>
      <c r="AF495" s="26">
        <f>COUNTA(テーブル2[[#This Row],[握力]:[ボール投げ]])</f>
        <v>0</v>
      </c>
      <c r="AG495" s="1" t="str">
        <f>IF(テーブル2[[#This Row],[判定]]=$BE$10,"○","")</f>
        <v/>
      </c>
      <c r="AH495" s="1" t="str">
        <f>IF(AG495="","",COUNTIF($AG$6:AG495,"○"))</f>
        <v/>
      </c>
    </row>
    <row r="496" spans="1:34" ht="14.25" customHeight="1" x14ac:dyDescent="0.15">
      <c r="A496" s="44">
        <v>491</v>
      </c>
      <c r="B496" s="148"/>
      <c r="C496" s="151"/>
      <c r="D496" s="148"/>
      <c r="E496" s="152"/>
      <c r="F496" s="148"/>
      <c r="G496" s="148"/>
      <c r="H496" s="150"/>
      <c r="I496" s="150"/>
      <c r="J496" s="151"/>
      <c r="K496" s="148"/>
      <c r="L496" s="196"/>
      <c r="M496" s="151"/>
      <c r="N496" s="197"/>
      <c r="O496" s="151"/>
      <c r="P496" s="153"/>
      <c r="Q496"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6" s="144" t="str">
        <f>IF(テーブル2[[#This Row],[得点]]=0,"",IF(テーブル2[[#This Row],[年齢]]=17,LOOKUP(Q496,$BH$6:$BH$10,$BE$6:$BE$10),IF(テーブル2[[#This Row],[年齢]]=16,LOOKUP(Q496,$BG$6:$BG$10,$BE$6:$BE$10),IF(テーブル2[[#This Row],[年齢]]=15,LOOKUP(Q496,$BF$6:$BF$10,$BE$6:$BE$10),IF(テーブル2[[#This Row],[年齢]]=14,LOOKUP(Q496,$BD$6:$BD$10,$BE$6:$BE$10),IF(テーブル2[[#This Row],[年齢]]=13,LOOKUP(Q496,$BC$6:$BC$10,$BE$6:$BE$10),LOOKUP(Q496,$BB$6:$BB$10,$BE$6:$BE$10)))))))</f>
        <v/>
      </c>
      <c r="S496" s="145">
        <f>IF(H496="",0,(IF(テーブル2[[#This Row],[性別]]="男",LOOKUP(テーブル2[[#This Row],[握力]],$AI$6:$AJ$15),LOOKUP(テーブル2[[#This Row],[握力]],$AI$20:$AJ$29))))</f>
        <v>0</v>
      </c>
      <c r="T496" s="145">
        <f>IF(テーブル2[[#This Row],[上体]]="",0,(IF(テーブル2[[#This Row],[性別]]="男",LOOKUP(テーブル2[[#This Row],[上体]],$AK$6:$AL$15),LOOKUP(テーブル2[[#This Row],[上体]],$AK$20:$AL$29))))</f>
        <v>0</v>
      </c>
      <c r="U496" s="145">
        <f>IF(テーブル2[[#This Row],[長座]]="",0,(IF(テーブル2[[#This Row],[性別]]="男",LOOKUP(テーブル2[[#This Row],[長座]],$AM$6:$AN$15),LOOKUP(テーブル2[[#This Row],[長座]],$AM$20:$AN$29))))</f>
        <v>0</v>
      </c>
      <c r="V496" s="145">
        <f>IF(テーブル2[[#This Row],[反復]]="",0,(IF(テーブル2[[#This Row],[性別]]="男",LOOKUP(テーブル2[[#This Row],[反復]],$AO$6:$AP$15),LOOKUP(テーブル2[[#This Row],[反復]],$AO$20:$AP$29))))</f>
        <v>0</v>
      </c>
      <c r="W496" s="145">
        <f>IF(テーブル2[[#This Row],[持久走]]="",0,(IF(テーブル2[[#This Row],[性別]]="男",LOOKUP(テーブル2[[#This Row],[持久走]],$AQ$6:$AR$15),LOOKUP(テーブル2[[#This Row],[持久走]],$AQ$20:$AR$29))))</f>
        <v>0</v>
      </c>
      <c r="X496" s="145">
        <f>IF(テーブル2[[#This Row],[ｼｬﾄﾙﾗﾝ]]="",0,(IF(テーブル2[[#This Row],[性別]]="男",LOOKUP(テーブル2[[#This Row],[ｼｬﾄﾙﾗﾝ]],$AS$6:$AT$15),LOOKUP(テーブル2[[#This Row],[ｼｬﾄﾙﾗﾝ]],$AS$20:$AT$29))))</f>
        <v>0</v>
      </c>
      <c r="Y496" s="145">
        <f>IF(テーブル2[[#This Row],[50m走]]="",0,(IF(テーブル2[[#This Row],[性別]]="男",LOOKUP(テーブル2[[#This Row],[50m走]],$AU$6:$AV$15),LOOKUP(テーブル2[[#This Row],[50m走]],$AU$20:$AV$29))))</f>
        <v>0</v>
      </c>
      <c r="Z496" s="145">
        <f>IF(テーブル2[[#This Row],[立幅とび]]="",0,(IF(テーブル2[[#This Row],[性別]]="男",LOOKUP(テーブル2[[#This Row],[立幅とび]],$AW$6:$AX$15),LOOKUP(テーブル2[[#This Row],[立幅とび]],$AW$20:$AX$29))))</f>
        <v>0</v>
      </c>
      <c r="AA496" s="145">
        <f>IF(テーブル2[[#This Row],[ボール投げ]]="",0,(IF(テーブル2[[#This Row],[性別]]="男",LOOKUP(テーブル2[[#This Row],[ボール投げ]],$AY$6:$AZ$15),LOOKUP(テーブル2[[#This Row],[ボール投げ]],$AY$20:$AZ$29))))</f>
        <v>0</v>
      </c>
      <c r="AB496" s="146" t="str">
        <f>IF(テーブル2[[#This Row],[学年]]=1,12,IF(テーブル2[[#This Row],[学年]]=2,13,IF(テーブル2[[#This Row],[学年]]=3,14,"")))</f>
        <v/>
      </c>
      <c r="AC496" s="192" t="str">
        <f>IF(テーブル2[[#This Row],[肥満度数値]]=0,"",LOOKUP(AE496,$AW$39:$AW$44,$AX$39:$AX$44))</f>
        <v/>
      </c>
      <c r="AD496"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6" s="77">
        <f>IF(テーブル2[[#This Row],[体重]]="",0,(テーブル2[[#This Row],[体重]]-テーブル2[[#This Row],[標準体重]])/テーブル2[[#This Row],[標準体重]]*100)</f>
        <v>0</v>
      </c>
      <c r="AF496" s="26">
        <f>COUNTA(テーブル2[[#This Row],[握力]:[ボール投げ]])</f>
        <v>0</v>
      </c>
      <c r="AG496" s="1" t="str">
        <f>IF(テーブル2[[#This Row],[判定]]=$BE$10,"○","")</f>
        <v/>
      </c>
      <c r="AH496" s="1" t="str">
        <f>IF(AG496="","",COUNTIF($AG$6:AG496,"○"))</f>
        <v/>
      </c>
    </row>
    <row r="497" spans="1:34" ht="14.25" customHeight="1" x14ac:dyDescent="0.15">
      <c r="A497" s="44">
        <v>492</v>
      </c>
      <c r="B497" s="148"/>
      <c r="C497" s="151"/>
      <c r="D497" s="148"/>
      <c r="E497" s="152"/>
      <c r="F497" s="148"/>
      <c r="G497" s="148"/>
      <c r="H497" s="150"/>
      <c r="I497" s="150"/>
      <c r="J497" s="151"/>
      <c r="K497" s="148"/>
      <c r="L497" s="196"/>
      <c r="M497" s="151"/>
      <c r="N497" s="197"/>
      <c r="O497" s="151"/>
      <c r="P497" s="153"/>
      <c r="Q497"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7" s="144" t="str">
        <f>IF(テーブル2[[#This Row],[得点]]=0,"",IF(テーブル2[[#This Row],[年齢]]=17,LOOKUP(Q497,$BH$6:$BH$10,$BE$6:$BE$10),IF(テーブル2[[#This Row],[年齢]]=16,LOOKUP(Q497,$BG$6:$BG$10,$BE$6:$BE$10),IF(テーブル2[[#This Row],[年齢]]=15,LOOKUP(Q497,$BF$6:$BF$10,$BE$6:$BE$10),IF(テーブル2[[#This Row],[年齢]]=14,LOOKUP(Q497,$BD$6:$BD$10,$BE$6:$BE$10),IF(テーブル2[[#This Row],[年齢]]=13,LOOKUP(Q497,$BC$6:$BC$10,$BE$6:$BE$10),LOOKUP(Q497,$BB$6:$BB$10,$BE$6:$BE$10)))))))</f>
        <v/>
      </c>
      <c r="S497" s="145">
        <f>IF(H497="",0,(IF(テーブル2[[#This Row],[性別]]="男",LOOKUP(テーブル2[[#This Row],[握力]],$AI$6:$AJ$15),LOOKUP(テーブル2[[#This Row],[握力]],$AI$20:$AJ$29))))</f>
        <v>0</v>
      </c>
      <c r="T497" s="145">
        <f>IF(テーブル2[[#This Row],[上体]]="",0,(IF(テーブル2[[#This Row],[性別]]="男",LOOKUP(テーブル2[[#This Row],[上体]],$AK$6:$AL$15),LOOKUP(テーブル2[[#This Row],[上体]],$AK$20:$AL$29))))</f>
        <v>0</v>
      </c>
      <c r="U497" s="145">
        <f>IF(テーブル2[[#This Row],[長座]]="",0,(IF(テーブル2[[#This Row],[性別]]="男",LOOKUP(テーブル2[[#This Row],[長座]],$AM$6:$AN$15),LOOKUP(テーブル2[[#This Row],[長座]],$AM$20:$AN$29))))</f>
        <v>0</v>
      </c>
      <c r="V497" s="145">
        <f>IF(テーブル2[[#This Row],[反復]]="",0,(IF(テーブル2[[#This Row],[性別]]="男",LOOKUP(テーブル2[[#This Row],[反復]],$AO$6:$AP$15),LOOKUP(テーブル2[[#This Row],[反復]],$AO$20:$AP$29))))</f>
        <v>0</v>
      </c>
      <c r="W497" s="145">
        <f>IF(テーブル2[[#This Row],[持久走]]="",0,(IF(テーブル2[[#This Row],[性別]]="男",LOOKUP(テーブル2[[#This Row],[持久走]],$AQ$6:$AR$15),LOOKUP(テーブル2[[#This Row],[持久走]],$AQ$20:$AR$29))))</f>
        <v>0</v>
      </c>
      <c r="X497" s="145">
        <f>IF(テーブル2[[#This Row],[ｼｬﾄﾙﾗﾝ]]="",0,(IF(テーブル2[[#This Row],[性別]]="男",LOOKUP(テーブル2[[#This Row],[ｼｬﾄﾙﾗﾝ]],$AS$6:$AT$15),LOOKUP(テーブル2[[#This Row],[ｼｬﾄﾙﾗﾝ]],$AS$20:$AT$29))))</f>
        <v>0</v>
      </c>
      <c r="Y497" s="145">
        <f>IF(テーブル2[[#This Row],[50m走]]="",0,(IF(テーブル2[[#This Row],[性別]]="男",LOOKUP(テーブル2[[#This Row],[50m走]],$AU$6:$AV$15),LOOKUP(テーブル2[[#This Row],[50m走]],$AU$20:$AV$29))))</f>
        <v>0</v>
      </c>
      <c r="Z497" s="145">
        <f>IF(テーブル2[[#This Row],[立幅とび]]="",0,(IF(テーブル2[[#This Row],[性別]]="男",LOOKUP(テーブル2[[#This Row],[立幅とび]],$AW$6:$AX$15),LOOKUP(テーブル2[[#This Row],[立幅とび]],$AW$20:$AX$29))))</f>
        <v>0</v>
      </c>
      <c r="AA497" s="145">
        <f>IF(テーブル2[[#This Row],[ボール投げ]]="",0,(IF(テーブル2[[#This Row],[性別]]="男",LOOKUP(テーブル2[[#This Row],[ボール投げ]],$AY$6:$AZ$15),LOOKUP(テーブル2[[#This Row],[ボール投げ]],$AY$20:$AZ$29))))</f>
        <v>0</v>
      </c>
      <c r="AB497" s="146" t="str">
        <f>IF(テーブル2[[#This Row],[学年]]=1,12,IF(テーブル2[[#This Row],[学年]]=2,13,IF(テーブル2[[#This Row],[学年]]=3,14,"")))</f>
        <v/>
      </c>
      <c r="AC497" s="192" t="str">
        <f>IF(テーブル2[[#This Row],[肥満度数値]]=0,"",LOOKUP(AE497,$AW$39:$AW$44,$AX$39:$AX$44))</f>
        <v/>
      </c>
      <c r="AD497"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7" s="77">
        <f>IF(テーブル2[[#This Row],[体重]]="",0,(テーブル2[[#This Row],[体重]]-テーブル2[[#This Row],[標準体重]])/テーブル2[[#This Row],[標準体重]]*100)</f>
        <v>0</v>
      </c>
      <c r="AF497" s="26">
        <f>COUNTA(テーブル2[[#This Row],[握力]:[ボール投げ]])</f>
        <v>0</v>
      </c>
      <c r="AG497" s="1" t="str">
        <f>IF(テーブル2[[#This Row],[判定]]=$BE$10,"○","")</f>
        <v/>
      </c>
      <c r="AH497" s="1" t="str">
        <f>IF(AG497="","",COUNTIF($AG$6:AG497,"○"))</f>
        <v/>
      </c>
    </row>
    <row r="498" spans="1:34" ht="14.25" customHeight="1" x14ac:dyDescent="0.15">
      <c r="A498" s="44">
        <v>493</v>
      </c>
      <c r="B498" s="148"/>
      <c r="C498" s="151"/>
      <c r="D498" s="148"/>
      <c r="E498" s="152"/>
      <c r="F498" s="148"/>
      <c r="G498" s="148"/>
      <c r="H498" s="150"/>
      <c r="I498" s="150"/>
      <c r="J498" s="151"/>
      <c r="K498" s="148"/>
      <c r="L498" s="196"/>
      <c r="M498" s="151"/>
      <c r="N498" s="197"/>
      <c r="O498" s="151"/>
      <c r="P498" s="153"/>
      <c r="Q498"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8" s="144" t="str">
        <f>IF(テーブル2[[#This Row],[得点]]=0,"",IF(テーブル2[[#This Row],[年齢]]=17,LOOKUP(Q498,$BH$6:$BH$10,$BE$6:$BE$10),IF(テーブル2[[#This Row],[年齢]]=16,LOOKUP(Q498,$BG$6:$BG$10,$BE$6:$BE$10),IF(テーブル2[[#This Row],[年齢]]=15,LOOKUP(Q498,$BF$6:$BF$10,$BE$6:$BE$10),IF(テーブル2[[#This Row],[年齢]]=14,LOOKUP(Q498,$BD$6:$BD$10,$BE$6:$BE$10),IF(テーブル2[[#This Row],[年齢]]=13,LOOKUP(Q498,$BC$6:$BC$10,$BE$6:$BE$10),LOOKUP(Q498,$BB$6:$BB$10,$BE$6:$BE$10)))))))</f>
        <v/>
      </c>
      <c r="S498" s="145">
        <f>IF(H498="",0,(IF(テーブル2[[#This Row],[性別]]="男",LOOKUP(テーブル2[[#This Row],[握力]],$AI$6:$AJ$15),LOOKUP(テーブル2[[#This Row],[握力]],$AI$20:$AJ$29))))</f>
        <v>0</v>
      </c>
      <c r="T498" s="145">
        <f>IF(テーブル2[[#This Row],[上体]]="",0,(IF(テーブル2[[#This Row],[性別]]="男",LOOKUP(テーブル2[[#This Row],[上体]],$AK$6:$AL$15),LOOKUP(テーブル2[[#This Row],[上体]],$AK$20:$AL$29))))</f>
        <v>0</v>
      </c>
      <c r="U498" s="145">
        <f>IF(テーブル2[[#This Row],[長座]]="",0,(IF(テーブル2[[#This Row],[性別]]="男",LOOKUP(テーブル2[[#This Row],[長座]],$AM$6:$AN$15),LOOKUP(テーブル2[[#This Row],[長座]],$AM$20:$AN$29))))</f>
        <v>0</v>
      </c>
      <c r="V498" s="145">
        <f>IF(テーブル2[[#This Row],[反復]]="",0,(IF(テーブル2[[#This Row],[性別]]="男",LOOKUP(テーブル2[[#This Row],[反復]],$AO$6:$AP$15),LOOKUP(テーブル2[[#This Row],[反復]],$AO$20:$AP$29))))</f>
        <v>0</v>
      </c>
      <c r="W498" s="145">
        <f>IF(テーブル2[[#This Row],[持久走]]="",0,(IF(テーブル2[[#This Row],[性別]]="男",LOOKUP(テーブル2[[#This Row],[持久走]],$AQ$6:$AR$15),LOOKUP(テーブル2[[#This Row],[持久走]],$AQ$20:$AR$29))))</f>
        <v>0</v>
      </c>
      <c r="X498" s="145">
        <f>IF(テーブル2[[#This Row],[ｼｬﾄﾙﾗﾝ]]="",0,(IF(テーブル2[[#This Row],[性別]]="男",LOOKUP(テーブル2[[#This Row],[ｼｬﾄﾙﾗﾝ]],$AS$6:$AT$15),LOOKUP(テーブル2[[#This Row],[ｼｬﾄﾙﾗﾝ]],$AS$20:$AT$29))))</f>
        <v>0</v>
      </c>
      <c r="Y498" s="145">
        <f>IF(テーブル2[[#This Row],[50m走]]="",0,(IF(テーブル2[[#This Row],[性別]]="男",LOOKUP(テーブル2[[#This Row],[50m走]],$AU$6:$AV$15),LOOKUP(テーブル2[[#This Row],[50m走]],$AU$20:$AV$29))))</f>
        <v>0</v>
      </c>
      <c r="Z498" s="145">
        <f>IF(テーブル2[[#This Row],[立幅とび]]="",0,(IF(テーブル2[[#This Row],[性別]]="男",LOOKUP(テーブル2[[#This Row],[立幅とび]],$AW$6:$AX$15),LOOKUP(テーブル2[[#This Row],[立幅とび]],$AW$20:$AX$29))))</f>
        <v>0</v>
      </c>
      <c r="AA498" s="145">
        <f>IF(テーブル2[[#This Row],[ボール投げ]]="",0,(IF(テーブル2[[#This Row],[性別]]="男",LOOKUP(テーブル2[[#This Row],[ボール投げ]],$AY$6:$AZ$15),LOOKUP(テーブル2[[#This Row],[ボール投げ]],$AY$20:$AZ$29))))</f>
        <v>0</v>
      </c>
      <c r="AB498" s="146" t="str">
        <f>IF(テーブル2[[#This Row],[学年]]=1,12,IF(テーブル2[[#This Row],[学年]]=2,13,IF(テーブル2[[#This Row],[学年]]=3,14,"")))</f>
        <v/>
      </c>
      <c r="AC498" s="192" t="str">
        <f>IF(テーブル2[[#This Row],[肥満度数値]]=0,"",LOOKUP(AE498,$AW$39:$AW$44,$AX$39:$AX$44))</f>
        <v/>
      </c>
      <c r="AD498"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8" s="77">
        <f>IF(テーブル2[[#This Row],[体重]]="",0,(テーブル2[[#This Row],[体重]]-テーブル2[[#This Row],[標準体重]])/テーブル2[[#This Row],[標準体重]]*100)</f>
        <v>0</v>
      </c>
      <c r="AF498" s="26">
        <f>COUNTA(テーブル2[[#This Row],[握力]:[ボール投げ]])</f>
        <v>0</v>
      </c>
      <c r="AG498" s="1" t="str">
        <f>IF(テーブル2[[#This Row],[判定]]=$BE$10,"○","")</f>
        <v/>
      </c>
      <c r="AH498" s="1" t="str">
        <f>IF(AG498="","",COUNTIF($AG$6:AG498,"○"))</f>
        <v/>
      </c>
    </row>
    <row r="499" spans="1:34" ht="14.25" customHeight="1" x14ac:dyDescent="0.15">
      <c r="A499" s="44">
        <v>494</v>
      </c>
      <c r="B499" s="148"/>
      <c r="C499" s="151"/>
      <c r="D499" s="148"/>
      <c r="E499" s="152"/>
      <c r="F499" s="148"/>
      <c r="G499" s="148"/>
      <c r="H499" s="150"/>
      <c r="I499" s="150"/>
      <c r="J499" s="151"/>
      <c r="K499" s="148"/>
      <c r="L499" s="196"/>
      <c r="M499" s="151"/>
      <c r="N499" s="197"/>
      <c r="O499" s="151"/>
      <c r="P499" s="153"/>
      <c r="Q499"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9" s="144" t="str">
        <f>IF(テーブル2[[#This Row],[得点]]=0,"",IF(テーブル2[[#This Row],[年齢]]=17,LOOKUP(Q499,$BH$6:$BH$10,$BE$6:$BE$10),IF(テーブル2[[#This Row],[年齢]]=16,LOOKUP(Q499,$BG$6:$BG$10,$BE$6:$BE$10),IF(テーブル2[[#This Row],[年齢]]=15,LOOKUP(Q499,$BF$6:$BF$10,$BE$6:$BE$10),IF(テーブル2[[#This Row],[年齢]]=14,LOOKUP(Q499,$BD$6:$BD$10,$BE$6:$BE$10),IF(テーブル2[[#This Row],[年齢]]=13,LOOKUP(Q499,$BC$6:$BC$10,$BE$6:$BE$10),LOOKUP(Q499,$BB$6:$BB$10,$BE$6:$BE$10)))))))</f>
        <v/>
      </c>
      <c r="S499" s="145">
        <f>IF(H499="",0,(IF(テーブル2[[#This Row],[性別]]="男",LOOKUP(テーブル2[[#This Row],[握力]],$AI$6:$AJ$15),LOOKUP(テーブル2[[#This Row],[握力]],$AI$20:$AJ$29))))</f>
        <v>0</v>
      </c>
      <c r="T499" s="145">
        <f>IF(テーブル2[[#This Row],[上体]]="",0,(IF(テーブル2[[#This Row],[性別]]="男",LOOKUP(テーブル2[[#This Row],[上体]],$AK$6:$AL$15),LOOKUP(テーブル2[[#This Row],[上体]],$AK$20:$AL$29))))</f>
        <v>0</v>
      </c>
      <c r="U499" s="145">
        <f>IF(テーブル2[[#This Row],[長座]]="",0,(IF(テーブル2[[#This Row],[性別]]="男",LOOKUP(テーブル2[[#This Row],[長座]],$AM$6:$AN$15),LOOKUP(テーブル2[[#This Row],[長座]],$AM$20:$AN$29))))</f>
        <v>0</v>
      </c>
      <c r="V499" s="145">
        <f>IF(テーブル2[[#This Row],[反復]]="",0,(IF(テーブル2[[#This Row],[性別]]="男",LOOKUP(テーブル2[[#This Row],[反復]],$AO$6:$AP$15),LOOKUP(テーブル2[[#This Row],[反復]],$AO$20:$AP$29))))</f>
        <v>0</v>
      </c>
      <c r="W499" s="145">
        <f>IF(テーブル2[[#This Row],[持久走]]="",0,(IF(テーブル2[[#This Row],[性別]]="男",LOOKUP(テーブル2[[#This Row],[持久走]],$AQ$6:$AR$15),LOOKUP(テーブル2[[#This Row],[持久走]],$AQ$20:$AR$29))))</f>
        <v>0</v>
      </c>
      <c r="X499" s="145">
        <f>IF(テーブル2[[#This Row],[ｼｬﾄﾙﾗﾝ]]="",0,(IF(テーブル2[[#This Row],[性別]]="男",LOOKUP(テーブル2[[#This Row],[ｼｬﾄﾙﾗﾝ]],$AS$6:$AT$15),LOOKUP(テーブル2[[#This Row],[ｼｬﾄﾙﾗﾝ]],$AS$20:$AT$29))))</f>
        <v>0</v>
      </c>
      <c r="Y499" s="145">
        <f>IF(テーブル2[[#This Row],[50m走]]="",0,(IF(テーブル2[[#This Row],[性別]]="男",LOOKUP(テーブル2[[#This Row],[50m走]],$AU$6:$AV$15),LOOKUP(テーブル2[[#This Row],[50m走]],$AU$20:$AV$29))))</f>
        <v>0</v>
      </c>
      <c r="Z499" s="145">
        <f>IF(テーブル2[[#This Row],[立幅とび]]="",0,(IF(テーブル2[[#This Row],[性別]]="男",LOOKUP(テーブル2[[#This Row],[立幅とび]],$AW$6:$AX$15),LOOKUP(テーブル2[[#This Row],[立幅とび]],$AW$20:$AX$29))))</f>
        <v>0</v>
      </c>
      <c r="AA499" s="145">
        <f>IF(テーブル2[[#This Row],[ボール投げ]]="",0,(IF(テーブル2[[#This Row],[性別]]="男",LOOKUP(テーブル2[[#This Row],[ボール投げ]],$AY$6:$AZ$15),LOOKUP(テーブル2[[#This Row],[ボール投げ]],$AY$20:$AZ$29))))</f>
        <v>0</v>
      </c>
      <c r="AB499" s="146" t="str">
        <f>IF(テーブル2[[#This Row],[学年]]=1,12,IF(テーブル2[[#This Row],[学年]]=2,13,IF(テーブル2[[#This Row],[学年]]=3,14,"")))</f>
        <v/>
      </c>
      <c r="AC499" s="192" t="str">
        <f>IF(テーブル2[[#This Row],[肥満度数値]]=0,"",LOOKUP(AE499,$AW$39:$AW$44,$AX$39:$AX$44))</f>
        <v/>
      </c>
      <c r="AD499"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499" s="77">
        <f>IF(テーブル2[[#This Row],[体重]]="",0,(テーブル2[[#This Row],[体重]]-テーブル2[[#This Row],[標準体重]])/テーブル2[[#This Row],[標準体重]]*100)</f>
        <v>0</v>
      </c>
      <c r="AF499" s="26">
        <f>COUNTA(テーブル2[[#This Row],[握力]:[ボール投げ]])</f>
        <v>0</v>
      </c>
      <c r="AG499" s="1" t="str">
        <f>IF(テーブル2[[#This Row],[判定]]=$BE$10,"○","")</f>
        <v/>
      </c>
      <c r="AH499" s="1" t="str">
        <f>IF(AG499="","",COUNTIF($AG$6:AG499,"○"))</f>
        <v/>
      </c>
    </row>
    <row r="500" spans="1:34" ht="14.25" customHeight="1" x14ac:dyDescent="0.15">
      <c r="A500" s="44">
        <v>495</v>
      </c>
      <c r="B500" s="148"/>
      <c r="C500" s="151"/>
      <c r="D500" s="148"/>
      <c r="E500" s="152"/>
      <c r="F500" s="148"/>
      <c r="G500" s="148"/>
      <c r="H500" s="150"/>
      <c r="I500" s="150"/>
      <c r="J500" s="151"/>
      <c r="K500" s="148"/>
      <c r="L500" s="196"/>
      <c r="M500" s="151"/>
      <c r="N500" s="197"/>
      <c r="O500" s="151"/>
      <c r="P500" s="153"/>
      <c r="Q500"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0" s="144" t="str">
        <f>IF(テーブル2[[#This Row],[得点]]=0,"",IF(テーブル2[[#This Row],[年齢]]=17,LOOKUP(Q500,$BH$6:$BH$10,$BE$6:$BE$10),IF(テーブル2[[#This Row],[年齢]]=16,LOOKUP(Q500,$BG$6:$BG$10,$BE$6:$BE$10),IF(テーブル2[[#This Row],[年齢]]=15,LOOKUP(Q500,$BF$6:$BF$10,$BE$6:$BE$10),IF(テーブル2[[#This Row],[年齢]]=14,LOOKUP(Q500,$BD$6:$BD$10,$BE$6:$BE$10),IF(テーブル2[[#This Row],[年齢]]=13,LOOKUP(Q500,$BC$6:$BC$10,$BE$6:$BE$10),LOOKUP(Q500,$BB$6:$BB$10,$BE$6:$BE$10)))))))</f>
        <v/>
      </c>
      <c r="S500" s="145">
        <f>IF(H500="",0,(IF(テーブル2[[#This Row],[性別]]="男",LOOKUP(テーブル2[[#This Row],[握力]],$AI$6:$AJ$15),LOOKUP(テーブル2[[#This Row],[握力]],$AI$20:$AJ$29))))</f>
        <v>0</v>
      </c>
      <c r="T500" s="145">
        <f>IF(テーブル2[[#This Row],[上体]]="",0,(IF(テーブル2[[#This Row],[性別]]="男",LOOKUP(テーブル2[[#This Row],[上体]],$AK$6:$AL$15),LOOKUP(テーブル2[[#This Row],[上体]],$AK$20:$AL$29))))</f>
        <v>0</v>
      </c>
      <c r="U500" s="145">
        <f>IF(テーブル2[[#This Row],[長座]]="",0,(IF(テーブル2[[#This Row],[性別]]="男",LOOKUP(テーブル2[[#This Row],[長座]],$AM$6:$AN$15),LOOKUP(テーブル2[[#This Row],[長座]],$AM$20:$AN$29))))</f>
        <v>0</v>
      </c>
      <c r="V500" s="145">
        <f>IF(テーブル2[[#This Row],[反復]]="",0,(IF(テーブル2[[#This Row],[性別]]="男",LOOKUP(テーブル2[[#This Row],[反復]],$AO$6:$AP$15),LOOKUP(テーブル2[[#This Row],[反復]],$AO$20:$AP$29))))</f>
        <v>0</v>
      </c>
      <c r="W500" s="145">
        <f>IF(テーブル2[[#This Row],[持久走]]="",0,(IF(テーブル2[[#This Row],[性別]]="男",LOOKUP(テーブル2[[#This Row],[持久走]],$AQ$6:$AR$15),LOOKUP(テーブル2[[#This Row],[持久走]],$AQ$20:$AR$29))))</f>
        <v>0</v>
      </c>
      <c r="X500" s="145">
        <f>IF(テーブル2[[#This Row],[ｼｬﾄﾙﾗﾝ]]="",0,(IF(テーブル2[[#This Row],[性別]]="男",LOOKUP(テーブル2[[#This Row],[ｼｬﾄﾙﾗﾝ]],$AS$6:$AT$15),LOOKUP(テーブル2[[#This Row],[ｼｬﾄﾙﾗﾝ]],$AS$20:$AT$29))))</f>
        <v>0</v>
      </c>
      <c r="Y500" s="145">
        <f>IF(テーブル2[[#This Row],[50m走]]="",0,(IF(テーブル2[[#This Row],[性別]]="男",LOOKUP(テーブル2[[#This Row],[50m走]],$AU$6:$AV$15),LOOKUP(テーブル2[[#This Row],[50m走]],$AU$20:$AV$29))))</f>
        <v>0</v>
      </c>
      <c r="Z500" s="145">
        <f>IF(テーブル2[[#This Row],[立幅とび]]="",0,(IF(テーブル2[[#This Row],[性別]]="男",LOOKUP(テーブル2[[#This Row],[立幅とび]],$AW$6:$AX$15),LOOKUP(テーブル2[[#This Row],[立幅とび]],$AW$20:$AX$29))))</f>
        <v>0</v>
      </c>
      <c r="AA500" s="145">
        <f>IF(テーブル2[[#This Row],[ボール投げ]]="",0,(IF(テーブル2[[#This Row],[性別]]="男",LOOKUP(テーブル2[[#This Row],[ボール投げ]],$AY$6:$AZ$15),LOOKUP(テーブル2[[#This Row],[ボール投げ]],$AY$20:$AZ$29))))</f>
        <v>0</v>
      </c>
      <c r="AB500" s="146" t="str">
        <f>IF(テーブル2[[#This Row],[学年]]=1,12,IF(テーブル2[[#This Row],[学年]]=2,13,IF(テーブル2[[#This Row],[学年]]=3,14,"")))</f>
        <v/>
      </c>
      <c r="AC500" s="192" t="str">
        <f>IF(テーブル2[[#This Row],[肥満度数値]]=0,"",LOOKUP(AE500,$AW$39:$AW$44,$AX$39:$AX$44))</f>
        <v/>
      </c>
      <c r="AD500"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0" s="77">
        <f>IF(テーブル2[[#This Row],[体重]]="",0,(テーブル2[[#This Row],[体重]]-テーブル2[[#This Row],[標準体重]])/テーブル2[[#This Row],[標準体重]]*100)</f>
        <v>0</v>
      </c>
      <c r="AF500" s="26">
        <f>COUNTA(テーブル2[[#This Row],[握力]:[ボール投げ]])</f>
        <v>0</v>
      </c>
      <c r="AG500" s="1" t="str">
        <f>IF(テーブル2[[#This Row],[判定]]=$BE$10,"○","")</f>
        <v/>
      </c>
      <c r="AH500" s="1" t="str">
        <f>IF(AG500="","",COUNTIF($AG$6:AG500,"○"))</f>
        <v/>
      </c>
    </row>
    <row r="501" spans="1:34" ht="14.25" customHeight="1" x14ac:dyDescent="0.15">
      <c r="A501" s="44">
        <v>496</v>
      </c>
      <c r="B501" s="148"/>
      <c r="C501" s="151"/>
      <c r="D501" s="148"/>
      <c r="E501" s="152"/>
      <c r="F501" s="148"/>
      <c r="G501" s="148"/>
      <c r="H501" s="150"/>
      <c r="I501" s="150"/>
      <c r="J501" s="151"/>
      <c r="K501" s="148"/>
      <c r="L501" s="196"/>
      <c r="M501" s="151"/>
      <c r="N501" s="197"/>
      <c r="O501" s="151"/>
      <c r="P501" s="153"/>
      <c r="Q501"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1" s="144" t="str">
        <f>IF(テーブル2[[#This Row],[得点]]=0,"",IF(テーブル2[[#This Row],[年齢]]=17,LOOKUP(Q501,$BH$6:$BH$10,$BE$6:$BE$10),IF(テーブル2[[#This Row],[年齢]]=16,LOOKUP(Q501,$BG$6:$BG$10,$BE$6:$BE$10),IF(テーブル2[[#This Row],[年齢]]=15,LOOKUP(Q501,$BF$6:$BF$10,$BE$6:$BE$10),IF(テーブル2[[#This Row],[年齢]]=14,LOOKUP(Q501,$BD$6:$BD$10,$BE$6:$BE$10),IF(テーブル2[[#This Row],[年齢]]=13,LOOKUP(Q501,$BC$6:$BC$10,$BE$6:$BE$10),LOOKUP(Q501,$BB$6:$BB$10,$BE$6:$BE$10)))))))</f>
        <v/>
      </c>
      <c r="S501" s="145">
        <f>IF(H501="",0,(IF(テーブル2[[#This Row],[性別]]="男",LOOKUP(テーブル2[[#This Row],[握力]],$AI$6:$AJ$15),LOOKUP(テーブル2[[#This Row],[握力]],$AI$20:$AJ$29))))</f>
        <v>0</v>
      </c>
      <c r="T501" s="145">
        <f>IF(テーブル2[[#This Row],[上体]]="",0,(IF(テーブル2[[#This Row],[性別]]="男",LOOKUP(テーブル2[[#This Row],[上体]],$AK$6:$AL$15),LOOKUP(テーブル2[[#This Row],[上体]],$AK$20:$AL$29))))</f>
        <v>0</v>
      </c>
      <c r="U501" s="145">
        <f>IF(テーブル2[[#This Row],[長座]]="",0,(IF(テーブル2[[#This Row],[性別]]="男",LOOKUP(テーブル2[[#This Row],[長座]],$AM$6:$AN$15),LOOKUP(テーブル2[[#This Row],[長座]],$AM$20:$AN$29))))</f>
        <v>0</v>
      </c>
      <c r="V501" s="145">
        <f>IF(テーブル2[[#This Row],[反復]]="",0,(IF(テーブル2[[#This Row],[性別]]="男",LOOKUP(テーブル2[[#This Row],[反復]],$AO$6:$AP$15),LOOKUP(テーブル2[[#This Row],[反復]],$AO$20:$AP$29))))</f>
        <v>0</v>
      </c>
      <c r="W501" s="145">
        <f>IF(テーブル2[[#This Row],[持久走]]="",0,(IF(テーブル2[[#This Row],[性別]]="男",LOOKUP(テーブル2[[#This Row],[持久走]],$AQ$6:$AR$15),LOOKUP(テーブル2[[#This Row],[持久走]],$AQ$20:$AR$29))))</f>
        <v>0</v>
      </c>
      <c r="X501" s="145">
        <f>IF(テーブル2[[#This Row],[ｼｬﾄﾙﾗﾝ]]="",0,(IF(テーブル2[[#This Row],[性別]]="男",LOOKUP(テーブル2[[#This Row],[ｼｬﾄﾙﾗﾝ]],$AS$6:$AT$15),LOOKUP(テーブル2[[#This Row],[ｼｬﾄﾙﾗﾝ]],$AS$20:$AT$29))))</f>
        <v>0</v>
      </c>
      <c r="Y501" s="145">
        <f>IF(テーブル2[[#This Row],[50m走]]="",0,(IF(テーブル2[[#This Row],[性別]]="男",LOOKUP(テーブル2[[#This Row],[50m走]],$AU$6:$AV$15),LOOKUP(テーブル2[[#This Row],[50m走]],$AU$20:$AV$29))))</f>
        <v>0</v>
      </c>
      <c r="Z501" s="145">
        <f>IF(テーブル2[[#This Row],[立幅とび]]="",0,(IF(テーブル2[[#This Row],[性別]]="男",LOOKUP(テーブル2[[#This Row],[立幅とび]],$AW$6:$AX$15),LOOKUP(テーブル2[[#This Row],[立幅とび]],$AW$20:$AX$29))))</f>
        <v>0</v>
      </c>
      <c r="AA501" s="145">
        <f>IF(テーブル2[[#This Row],[ボール投げ]]="",0,(IF(テーブル2[[#This Row],[性別]]="男",LOOKUP(テーブル2[[#This Row],[ボール投げ]],$AY$6:$AZ$15),LOOKUP(テーブル2[[#This Row],[ボール投げ]],$AY$20:$AZ$29))))</f>
        <v>0</v>
      </c>
      <c r="AB501" s="146" t="str">
        <f>IF(テーブル2[[#This Row],[学年]]=1,12,IF(テーブル2[[#This Row],[学年]]=2,13,IF(テーブル2[[#This Row],[学年]]=3,14,"")))</f>
        <v/>
      </c>
      <c r="AC501" s="192" t="str">
        <f>IF(テーブル2[[#This Row],[肥満度数値]]=0,"",LOOKUP(AE501,$AW$39:$AW$44,$AX$39:$AX$44))</f>
        <v/>
      </c>
      <c r="AD501"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1" s="77">
        <f>IF(テーブル2[[#This Row],[体重]]="",0,(テーブル2[[#This Row],[体重]]-テーブル2[[#This Row],[標準体重]])/テーブル2[[#This Row],[標準体重]]*100)</f>
        <v>0</v>
      </c>
      <c r="AF501" s="26">
        <f>COUNTA(テーブル2[[#This Row],[握力]:[ボール投げ]])</f>
        <v>0</v>
      </c>
      <c r="AG501" s="1" t="str">
        <f>IF(テーブル2[[#This Row],[判定]]=$BE$10,"○","")</f>
        <v/>
      </c>
      <c r="AH501" s="1" t="str">
        <f>IF(AG501="","",COUNTIF($AG$6:AG501,"○"))</f>
        <v/>
      </c>
    </row>
    <row r="502" spans="1:34" ht="14.25" customHeight="1" x14ac:dyDescent="0.15">
      <c r="A502" s="44">
        <v>497</v>
      </c>
      <c r="B502" s="148"/>
      <c r="C502" s="151"/>
      <c r="D502" s="148"/>
      <c r="E502" s="152"/>
      <c r="F502" s="148"/>
      <c r="G502" s="148"/>
      <c r="H502" s="150"/>
      <c r="I502" s="150"/>
      <c r="J502" s="151"/>
      <c r="K502" s="148"/>
      <c r="L502" s="196"/>
      <c r="M502" s="151"/>
      <c r="N502" s="197"/>
      <c r="O502" s="151"/>
      <c r="P502" s="153"/>
      <c r="Q502"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2" s="144" t="str">
        <f>IF(テーブル2[[#This Row],[得点]]=0,"",IF(テーブル2[[#This Row],[年齢]]=17,LOOKUP(Q502,$BH$6:$BH$10,$BE$6:$BE$10),IF(テーブル2[[#This Row],[年齢]]=16,LOOKUP(Q502,$BG$6:$BG$10,$BE$6:$BE$10),IF(テーブル2[[#This Row],[年齢]]=15,LOOKUP(Q502,$BF$6:$BF$10,$BE$6:$BE$10),IF(テーブル2[[#This Row],[年齢]]=14,LOOKUP(Q502,$BD$6:$BD$10,$BE$6:$BE$10),IF(テーブル2[[#This Row],[年齢]]=13,LOOKUP(Q502,$BC$6:$BC$10,$BE$6:$BE$10),LOOKUP(Q502,$BB$6:$BB$10,$BE$6:$BE$10)))))))</f>
        <v/>
      </c>
      <c r="S502" s="145">
        <f>IF(H502="",0,(IF(テーブル2[[#This Row],[性別]]="男",LOOKUP(テーブル2[[#This Row],[握力]],$AI$6:$AJ$15),LOOKUP(テーブル2[[#This Row],[握力]],$AI$20:$AJ$29))))</f>
        <v>0</v>
      </c>
      <c r="T502" s="145">
        <f>IF(テーブル2[[#This Row],[上体]]="",0,(IF(テーブル2[[#This Row],[性別]]="男",LOOKUP(テーブル2[[#This Row],[上体]],$AK$6:$AL$15),LOOKUP(テーブル2[[#This Row],[上体]],$AK$20:$AL$29))))</f>
        <v>0</v>
      </c>
      <c r="U502" s="145">
        <f>IF(テーブル2[[#This Row],[長座]]="",0,(IF(テーブル2[[#This Row],[性別]]="男",LOOKUP(テーブル2[[#This Row],[長座]],$AM$6:$AN$15),LOOKUP(テーブル2[[#This Row],[長座]],$AM$20:$AN$29))))</f>
        <v>0</v>
      </c>
      <c r="V502" s="145">
        <f>IF(テーブル2[[#This Row],[反復]]="",0,(IF(テーブル2[[#This Row],[性別]]="男",LOOKUP(テーブル2[[#This Row],[反復]],$AO$6:$AP$15),LOOKUP(テーブル2[[#This Row],[反復]],$AO$20:$AP$29))))</f>
        <v>0</v>
      </c>
      <c r="W502" s="145">
        <f>IF(テーブル2[[#This Row],[持久走]]="",0,(IF(テーブル2[[#This Row],[性別]]="男",LOOKUP(テーブル2[[#This Row],[持久走]],$AQ$6:$AR$15),LOOKUP(テーブル2[[#This Row],[持久走]],$AQ$20:$AR$29))))</f>
        <v>0</v>
      </c>
      <c r="X502" s="145">
        <f>IF(テーブル2[[#This Row],[ｼｬﾄﾙﾗﾝ]]="",0,(IF(テーブル2[[#This Row],[性別]]="男",LOOKUP(テーブル2[[#This Row],[ｼｬﾄﾙﾗﾝ]],$AS$6:$AT$15),LOOKUP(テーブル2[[#This Row],[ｼｬﾄﾙﾗﾝ]],$AS$20:$AT$29))))</f>
        <v>0</v>
      </c>
      <c r="Y502" s="145">
        <f>IF(テーブル2[[#This Row],[50m走]]="",0,(IF(テーブル2[[#This Row],[性別]]="男",LOOKUP(テーブル2[[#This Row],[50m走]],$AU$6:$AV$15),LOOKUP(テーブル2[[#This Row],[50m走]],$AU$20:$AV$29))))</f>
        <v>0</v>
      </c>
      <c r="Z502" s="145">
        <f>IF(テーブル2[[#This Row],[立幅とび]]="",0,(IF(テーブル2[[#This Row],[性別]]="男",LOOKUP(テーブル2[[#This Row],[立幅とび]],$AW$6:$AX$15),LOOKUP(テーブル2[[#This Row],[立幅とび]],$AW$20:$AX$29))))</f>
        <v>0</v>
      </c>
      <c r="AA502" s="145">
        <f>IF(テーブル2[[#This Row],[ボール投げ]]="",0,(IF(テーブル2[[#This Row],[性別]]="男",LOOKUP(テーブル2[[#This Row],[ボール投げ]],$AY$6:$AZ$15),LOOKUP(テーブル2[[#This Row],[ボール投げ]],$AY$20:$AZ$29))))</f>
        <v>0</v>
      </c>
      <c r="AB502" s="146" t="str">
        <f>IF(テーブル2[[#This Row],[学年]]=1,12,IF(テーブル2[[#This Row],[学年]]=2,13,IF(テーブル2[[#This Row],[学年]]=3,14,"")))</f>
        <v/>
      </c>
      <c r="AC502" s="192" t="str">
        <f>IF(テーブル2[[#This Row],[肥満度数値]]=0,"",LOOKUP(AE502,$AW$39:$AW$44,$AX$39:$AX$44))</f>
        <v/>
      </c>
      <c r="AD502"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2" s="77">
        <f>IF(テーブル2[[#This Row],[体重]]="",0,(テーブル2[[#This Row],[体重]]-テーブル2[[#This Row],[標準体重]])/テーブル2[[#This Row],[標準体重]]*100)</f>
        <v>0</v>
      </c>
      <c r="AF502" s="26">
        <f>COUNTA(テーブル2[[#This Row],[握力]:[ボール投げ]])</f>
        <v>0</v>
      </c>
      <c r="AG502" s="1" t="str">
        <f>IF(テーブル2[[#This Row],[判定]]=$BE$10,"○","")</f>
        <v/>
      </c>
      <c r="AH502" s="1" t="str">
        <f>IF(AG502="","",COUNTIF($AG$6:AG502,"○"))</f>
        <v/>
      </c>
    </row>
    <row r="503" spans="1:34" ht="14.25" customHeight="1" x14ac:dyDescent="0.15">
      <c r="A503" s="44">
        <v>498</v>
      </c>
      <c r="B503" s="148"/>
      <c r="C503" s="151"/>
      <c r="D503" s="148"/>
      <c r="E503" s="152"/>
      <c r="F503" s="148"/>
      <c r="G503" s="148"/>
      <c r="H503" s="150"/>
      <c r="I503" s="150"/>
      <c r="J503" s="151"/>
      <c r="K503" s="148"/>
      <c r="L503" s="196"/>
      <c r="M503" s="151"/>
      <c r="N503" s="197"/>
      <c r="O503" s="151"/>
      <c r="P503" s="153"/>
      <c r="Q503"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3" s="144" t="str">
        <f>IF(テーブル2[[#This Row],[得点]]=0,"",IF(テーブル2[[#This Row],[年齢]]=17,LOOKUP(Q503,$BH$6:$BH$10,$BE$6:$BE$10),IF(テーブル2[[#This Row],[年齢]]=16,LOOKUP(Q503,$BG$6:$BG$10,$BE$6:$BE$10),IF(テーブル2[[#This Row],[年齢]]=15,LOOKUP(Q503,$BF$6:$BF$10,$BE$6:$BE$10),IF(テーブル2[[#This Row],[年齢]]=14,LOOKUP(Q503,$BD$6:$BD$10,$BE$6:$BE$10),IF(テーブル2[[#This Row],[年齢]]=13,LOOKUP(Q503,$BC$6:$BC$10,$BE$6:$BE$10),LOOKUP(Q503,$BB$6:$BB$10,$BE$6:$BE$10)))))))</f>
        <v/>
      </c>
      <c r="S503" s="145">
        <f>IF(H503="",0,(IF(テーブル2[[#This Row],[性別]]="男",LOOKUP(テーブル2[[#This Row],[握力]],$AI$6:$AJ$15),LOOKUP(テーブル2[[#This Row],[握力]],$AI$20:$AJ$29))))</f>
        <v>0</v>
      </c>
      <c r="T503" s="145">
        <f>IF(テーブル2[[#This Row],[上体]]="",0,(IF(テーブル2[[#This Row],[性別]]="男",LOOKUP(テーブル2[[#This Row],[上体]],$AK$6:$AL$15),LOOKUP(テーブル2[[#This Row],[上体]],$AK$20:$AL$29))))</f>
        <v>0</v>
      </c>
      <c r="U503" s="145">
        <f>IF(テーブル2[[#This Row],[長座]]="",0,(IF(テーブル2[[#This Row],[性別]]="男",LOOKUP(テーブル2[[#This Row],[長座]],$AM$6:$AN$15),LOOKUP(テーブル2[[#This Row],[長座]],$AM$20:$AN$29))))</f>
        <v>0</v>
      </c>
      <c r="V503" s="145">
        <f>IF(テーブル2[[#This Row],[反復]]="",0,(IF(テーブル2[[#This Row],[性別]]="男",LOOKUP(テーブル2[[#This Row],[反復]],$AO$6:$AP$15),LOOKUP(テーブル2[[#This Row],[反復]],$AO$20:$AP$29))))</f>
        <v>0</v>
      </c>
      <c r="W503" s="145">
        <f>IF(テーブル2[[#This Row],[持久走]]="",0,(IF(テーブル2[[#This Row],[性別]]="男",LOOKUP(テーブル2[[#This Row],[持久走]],$AQ$6:$AR$15),LOOKUP(テーブル2[[#This Row],[持久走]],$AQ$20:$AR$29))))</f>
        <v>0</v>
      </c>
      <c r="X503" s="145">
        <f>IF(テーブル2[[#This Row],[ｼｬﾄﾙﾗﾝ]]="",0,(IF(テーブル2[[#This Row],[性別]]="男",LOOKUP(テーブル2[[#This Row],[ｼｬﾄﾙﾗﾝ]],$AS$6:$AT$15),LOOKUP(テーブル2[[#This Row],[ｼｬﾄﾙﾗﾝ]],$AS$20:$AT$29))))</f>
        <v>0</v>
      </c>
      <c r="Y503" s="145">
        <f>IF(テーブル2[[#This Row],[50m走]]="",0,(IF(テーブル2[[#This Row],[性別]]="男",LOOKUP(テーブル2[[#This Row],[50m走]],$AU$6:$AV$15),LOOKUP(テーブル2[[#This Row],[50m走]],$AU$20:$AV$29))))</f>
        <v>0</v>
      </c>
      <c r="Z503" s="145">
        <f>IF(テーブル2[[#This Row],[立幅とび]]="",0,(IF(テーブル2[[#This Row],[性別]]="男",LOOKUP(テーブル2[[#This Row],[立幅とび]],$AW$6:$AX$15),LOOKUP(テーブル2[[#This Row],[立幅とび]],$AW$20:$AX$29))))</f>
        <v>0</v>
      </c>
      <c r="AA503" s="145">
        <f>IF(テーブル2[[#This Row],[ボール投げ]]="",0,(IF(テーブル2[[#This Row],[性別]]="男",LOOKUP(テーブル2[[#This Row],[ボール投げ]],$AY$6:$AZ$15),LOOKUP(テーブル2[[#This Row],[ボール投げ]],$AY$20:$AZ$29))))</f>
        <v>0</v>
      </c>
      <c r="AB503" s="146" t="str">
        <f>IF(テーブル2[[#This Row],[学年]]=1,12,IF(テーブル2[[#This Row],[学年]]=2,13,IF(テーブル2[[#This Row],[学年]]=3,14,"")))</f>
        <v/>
      </c>
      <c r="AC503" s="192" t="str">
        <f>IF(テーブル2[[#This Row],[肥満度数値]]=0,"",LOOKUP(AE503,$AW$39:$AW$44,$AX$39:$AX$44))</f>
        <v/>
      </c>
      <c r="AD503"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3" s="77">
        <f>IF(テーブル2[[#This Row],[体重]]="",0,(テーブル2[[#This Row],[体重]]-テーブル2[[#This Row],[標準体重]])/テーブル2[[#This Row],[標準体重]]*100)</f>
        <v>0</v>
      </c>
      <c r="AF503" s="26">
        <f>COUNTA(テーブル2[[#This Row],[握力]:[ボール投げ]])</f>
        <v>0</v>
      </c>
      <c r="AG503" s="1" t="str">
        <f>IF(テーブル2[[#This Row],[判定]]=$BE$10,"○","")</f>
        <v/>
      </c>
      <c r="AH503" s="1" t="str">
        <f>IF(AG503="","",COUNTIF($AG$6:AG503,"○"))</f>
        <v/>
      </c>
    </row>
    <row r="504" spans="1:34" ht="14.25" customHeight="1" x14ac:dyDescent="0.15">
      <c r="A504" s="44">
        <v>499</v>
      </c>
      <c r="B504" s="148"/>
      <c r="C504" s="151"/>
      <c r="D504" s="148"/>
      <c r="E504" s="152"/>
      <c r="F504" s="148"/>
      <c r="G504" s="148"/>
      <c r="H504" s="150"/>
      <c r="I504" s="150"/>
      <c r="J504" s="151"/>
      <c r="K504" s="148"/>
      <c r="L504" s="196"/>
      <c r="M504" s="151"/>
      <c r="N504" s="197"/>
      <c r="O504" s="151"/>
      <c r="P504" s="153"/>
      <c r="Q504"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4" s="144" t="str">
        <f>IF(テーブル2[[#This Row],[得点]]=0,"",IF(テーブル2[[#This Row],[年齢]]=17,LOOKUP(Q504,$BH$6:$BH$10,$BE$6:$BE$10),IF(テーブル2[[#This Row],[年齢]]=16,LOOKUP(Q504,$BG$6:$BG$10,$BE$6:$BE$10),IF(テーブル2[[#This Row],[年齢]]=15,LOOKUP(Q504,$BF$6:$BF$10,$BE$6:$BE$10),IF(テーブル2[[#This Row],[年齢]]=14,LOOKUP(Q504,$BD$6:$BD$10,$BE$6:$BE$10),IF(テーブル2[[#This Row],[年齢]]=13,LOOKUP(Q504,$BC$6:$BC$10,$BE$6:$BE$10),LOOKUP(Q504,$BB$6:$BB$10,$BE$6:$BE$10)))))))</f>
        <v/>
      </c>
      <c r="S504" s="145">
        <f>IF(H504="",0,(IF(テーブル2[[#This Row],[性別]]="男",LOOKUP(テーブル2[[#This Row],[握力]],$AI$6:$AJ$15),LOOKUP(テーブル2[[#This Row],[握力]],$AI$20:$AJ$29))))</f>
        <v>0</v>
      </c>
      <c r="T504" s="145">
        <f>IF(テーブル2[[#This Row],[上体]]="",0,(IF(テーブル2[[#This Row],[性別]]="男",LOOKUP(テーブル2[[#This Row],[上体]],$AK$6:$AL$15),LOOKUP(テーブル2[[#This Row],[上体]],$AK$20:$AL$29))))</f>
        <v>0</v>
      </c>
      <c r="U504" s="145">
        <f>IF(テーブル2[[#This Row],[長座]]="",0,(IF(テーブル2[[#This Row],[性別]]="男",LOOKUP(テーブル2[[#This Row],[長座]],$AM$6:$AN$15),LOOKUP(テーブル2[[#This Row],[長座]],$AM$20:$AN$29))))</f>
        <v>0</v>
      </c>
      <c r="V504" s="145">
        <f>IF(テーブル2[[#This Row],[反復]]="",0,(IF(テーブル2[[#This Row],[性別]]="男",LOOKUP(テーブル2[[#This Row],[反復]],$AO$6:$AP$15),LOOKUP(テーブル2[[#This Row],[反復]],$AO$20:$AP$29))))</f>
        <v>0</v>
      </c>
      <c r="W504" s="145">
        <f>IF(テーブル2[[#This Row],[持久走]]="",0,(IF(テーブル2[[#This Row],[性別]]="男",LOOKUP(テーブル2[[#This Row],[持久走]],$AQ$6:$AR$15),LOOKUP(テーブル2[[#This Row],[持久走]],$AQ$20:$AR$29))))</f>
        <v>0</v>
      </c>
      <c r="X504" s="145">
        <f>IF(テーブル2[[#This Row],[ｼｬﾄﾙﾗﾝ]]="",0,(IF(テーブル2[[#This Row],[性別]]="男",LOOKUP(テーブル2[[#This Row],[ｼｬﾄﾙﾗﾝ]],$AS$6:$AT$15),LOOKUP(テーブル2[[#This Row],[ｼｬﾄﾙﾗﾝ]],$AS$20:$AT$29))))</f>
        <v>0</v>
      </c>
      <c r="Y504" s="145">
        <f>IF(テーブル2[[#This Row],[50m走]]="",0,(IF(テーブル2[[#This Row],[性別]]="男",LOOKUP(テーブル2[[#This Row],[50m走]],$AU$6:$AV$15),LOOKUP(テーブル2[[#This Row],[50m走]],$AU$20:$AV$29))))</f>
        <v>0</v>
      </c>
      <c r="Z504" s="145">
        <f>IF(テーブル2[[#This Row],[立幅とび]]="",0,(IF(テーブル2[[#This Row],[性別]]="男",LOOKUP(テーブル2[[#This Row],[立幅とび]],$AW$6:$AX$15),LOOKUP(テーブル2[[#This Row],[立幅とび]],$AW$20:$AX$29))))</f>
        <v>0</v>
      </c>
      <c r="AA504" s="145">
        <f>IF(テーブル2[[#This Row],[ボール投げ]]="",0,(IF(テーブル2[[#This Row],[性別]]="男",LOOKUP(テーブル2[[#This Row],[ボール投げ]],$AY$6:$AZ$15),LOOKUP(テーブル2[[#This Row],[ボール投げ]],$AY$20:$AZ$29))))</f>
        <v>0</v>
      </c>
      <c r="AB504" s="146" t="str">
        <f>IF(テーブル2[[#This Row],[学年]]=1,12,IF(テーブル2[[#This Row],[学年]]=2,13,IF(テーブル2[[#This Row],[学年]]=3,14,"")))</f>
        <v/>
      </c>
      <c r="AC504" s="192" t="str">
        <f>IF(テーブル2[[#This Row],[肥満度数値]]=0,"",LOOKUP(AE504,$AW$39:$AW$44,$AX$39:$AX$44))</f>
        <v/>
      </c>
      <c r="AD504"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4" s="77">
        <f>IF(テーブル2[[#This Row],[体重]]="",0,(テーブル2[[#This Row],[体重]]-テーブル2[[#This Row],[標準体重]])/テーブル2[[#This Row],[標準体重]]*100)</f>
        <v>0</v>
      </c>
      <c r="AF504" s="26">
        <f>COUNTA(テーブル2[[#This Row],[握力]:[ボール投げ]])</f>
        <v>0</v>
      </c>
      <c r="AG504" s="1" t="str">
        <f>IF(テーブル2[[#This Row],[判定]]=$BE$10,"○","")</f>
        <v/>
      </c>
      <c r="AH504" s="1" t="str">
        <f>IF(AG504="","",COUNTIF($AG$6:AG504,"○"))</f>
        <v/>
      </c>
    </row>
    <row r="505" spans="1:34" ht="14.25" customHeight="1" x14ac:dyDescent="0.15">
      <c r="A505" s="44">
        <v>500</v>
      </c>
      <c r="B505" s="148"/>
      <c r="C505" s="151"/>
      <c r="D505" s="148"/>
      <c r="E505" s="152"/>
      <c r="F505" s="148"/>
      <c r="G505" s="148"/>
      <c r="H505" s="150"/>
      <c r="I505" s="150"/>
      <c r="J505" s="151"/>
      <c r="K505" s="148"/>
      <c r="L505" s="196"/>
      <c r="M505" s="151"/>
      <c r="N505" s="197"/>
      <c r="O505" s="151"/>
      <c r="P505" s="153"/>
      <c r="Q505" s="147">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5" s="144" t="str">
        <f>IF(テーブル2[[#This Row],[得点]]=0,"",IF(テーブル2[[#This Row],[年齢]]=17,LOOKUP(Q505,$BH$6:$BH$10,$BE$6:$BE$10),IF(テーブル2[[#This Row],[年齢]]=16,LOOKUP(Q505,$BG$6:$BG$10,$BE$6:$BE$10),IF(テーブル2[[#This Row],[年齢]]=15,LOOKUP(Q505,$BF$6:$BF$10,$BE$6:$BE$10),IF(テーブル2[[#This Row],[年齢]]=14,LOOKUP(Q505,$BD$6:$BD$10,$BE$6:$BE$10),IF(テーブル2[[#This Row],[年齢]]=13,LOOKUP(Q505,$BC$6:$BC$10,$BE$6:$BE$10),LOOKUP(Q505,$BB$6:$BB$10,$BE$6:$BE$10)))))))</f>
        <v/>
      </c>
      <c r="S505" s="145">
        <f>IF(H505="",0,(IF(テーブル2[[#This Row],[性別]]="男",LOOKUP(テーブル2[[#This Row],[握力]],$AI$6:$AJ$15),LOOKUP(テーブル2[[#This Row],[握力]],$AI$20:$AJ$29))))</f>
        <v>0</v>
      </c>
      <c r="T505" s="145">
        <f>IF(テーブル2[[#This Row],[上体]]="",0,(IF(テーブル2[[#This Row],[性別]]="男",LOOKUP(テーブル2[[#This Row],[上体]],$AK$6:$AL$15),LOOKUP(テーブル2[[#This Row],[上体]],$AK$20:$AL$29))))</f>
        <v>0</v>
      </c>
      <c r="U505" s="145">
        <f>IF(テーブル2[[#This Row],[長座]]="",0,(IF(テーブル2[[#This Row],[性別]]="男",LOOKUP(テーブル2[[#This Row],[長座]],$AM$6:$AN$15),LOOKUP(テーブル2[[#This Row],[長座]],$AM$20:$AN$29))))</f>
        <v>0</v>
      </c>
      <c r="V505" s="145">
        <f>IF(テーブル2[[#This Row],[反復]]="",0,(IF(テーブル2[[#This Row],[性別]]="男",LOOKUP(テーブル2[[#This Row],[反復]],$AO$6:$AP$15),LOOKUP(テーブル2[[#This Row],[反復]],$AO$20:$AP$29))))</f>
        <v>0</v>
      </c>
      <c r="W505" s="145">
        <f>IF(テーブル2[[#This Row],[持久走]]="",0,(IF(テーブル2[[#This Row],[性別]]="男",LOOKUP(テーブル2[[#This Row],[持久走]],$AQ$6:$AR$15),LOOKUP(テーブル2[[#This Row],[持久走]],$AQ$20:$AR$29))))</f>
        <v>0</v>
      </c>
      <c r="X505" s="145">
        <f>IF(テーブル2[[#This Row],[ｼｬﾄﾙﾗﾝ]]="",0,(IF(テーブル2[[#This Row],[性別]]="男",LOOKUP(テーブル2[[#This Row],[ｼｬﾄﾙﾗﾝ]],$AS$6:$AT$15),LOOKUP(テーブル2[[#This Row],[ｼｬﾄﾙﾗﾝ]],$AS$20:$AT$29))))</f>
        <v>0</v>
      </c>
      <c r="Y505" s="145">
        <f>IF(テーブル2[[#This Row],[50m走]]="",0,(IF(テーブル2[[#This Row],[性別]]="男",LOOKUP(テーブル2[[#This Row],[50m走]],$AU$6:$AV$15),LOOKUP(テーブル2[[#This Row],[50m走]],$AU$20:$AV$29))))</f>
        <v>0</v>
      </c>
      <c r="Z505" s="145">
        <f>IF(テーブル2[[#This Row],[立幅とび]]="",0,(IF(テーブル2[[#This Row],[性別]]="男",LOOKUP(テーブル2[[#This Row],[立幅とび]],$AW$6:$AX$15),LOOKUP(テーブル2[[#This Row],[立幅とび]],$AW$20:$AX$29))))</f>
        <v>0</v>
      </c>
      <c r="AA505" s="145">
        <f>IF(テーブル2[[#This Row],[ボール投げ]]="",0,(IF(テーブル2[[#This Row],[性別]]="男",LOOKUP(テーブル2[[#This Row],[ボール投げ]],$AY$6:$AZ$15),LOOKUP(テーブル2[[#This Row],[ボール投げ]],$AY$20:$AZ$29))))</f>
        <v>0</v>
      </c>
      <c r="AB505" s="146" t="str">
        <f>IF(テーブル2[[#This Row],[学年]]=1,12,IF(テーブル2[[#This Row],[学年]]=2,13,IF(テーブル2[[#This Row],[学年]]=3,14,"")))</f>
        <v/>
      </c>
      <c r="AC505" s="192" t="str">
        <f>IF(テーブル2[[#This Row],[肥満度数値]]=0,"",LOOKUP(AE505,$AW$39:$AW$44,$AX$39:$AX$44))</f>
        <v/>
      </c>
      <c r="AD505" s="201">
        <f>IF(テーブル2[[#This Row],[体重]]="",0,IF(テーブル2[[#This Row],[性別]]="男",IF(テーブル2[[#This Row],[年齢]]=14,(0.832*テーブル2[[#This Row],[身長]]-83.695),IF(テーブル2[[#This Row],[年齢]]=13,(0.815*テーブル2[[#This Row],[身長]]-81.348),IF(テーブル2[[#This Row],[年齢]]=12,(0.783*テーブル2[[#This Row],[身長]]-75.642),0))),IF(テーブル2[[#This Row],[年齢]]=14,(0.594*テーブル2[[#This Row],[身長]]-43.264),IF(テーブル2[[#This Row],[年齢]]=13,(0.655*テーブル2[[#This Row],[身長]]-54.234),IF(テーブル2[[#This Row],[年齢]]=12,(0.796*テーブル2[[#This Row],[身長]]-76.934))))))</f>
        <v>0</v>
      </c>
      <c r="AE505" s="77">
        <f>IF(テーブル2[[#This Row],[体重]]="",0,(テーブル2[[#This Row],[体重]]-テーブル2[[#This Row],[標準体重]])/テーブル2[[#This Row],[標準体重]]*100)</f>
        <v>0</v>
      </c>
      <c r="AF505" s="26">
        <f>COUNTA(テーブル2[[#This Row],[握力]:[ボール投げ]])</f>
        <v>0</v>
      </c>
      <c r="AG505" s="1" t="str">
        <f>IF(テーブル2[[#This Row],[判定]]=$BE$10,"○","")</f>
        <v/>
      </c>
      <c r="AH505" s="1" t="str">
        <f>IF(AG505="","",COUNTIF($AG$6:AG505,"○"))</f>
        <v/>
      </c>
    </row>
  </sheetData>
  <sheetProtection algorithmName="SHA-512" hashValue="cPGRuJnJX4p5ZWbYMc0/zNsXObyEQuQWhXHBemZjs2jdY5yTdWmM8WpUc+3F1ERKxRwaitj6v/SNGVa6M/hUxg==" saltValue="4J2igwTU+ZTimNdNEZPUIQ==" spinCount="100000" sheet="1" objects="1" scenarios="1"/>
  <sortState ref="S10:AH14">
    <sortCondition ref="U10"/>
  </sortState>
  <mergeCells count="8">
    <mergeCell ref="C2:D3"/>
    <mergeCell ref="A1:AC1"/>
    <mergeCell ref="BB20:BB21"/>
    <mergeCell ref="BC20:BD20"/>
    <mergeCell ref="BE20:BF20"/>
    <mergeCell ref="E2:H3"/>
    <mergeCell ref="L2:L3"/>
    <mergeCell ref="M2:Q3"/>
  </mergeCells>
  <phoneticPr fontId="1"/>
  <conditionalFormatting sqref="L6:L505">
    <cfRule type="cellIs" dxfId="13" priority="18" operator="notBetween">
      <formula>120</formula>
      <formula>1200</formula>
    </cfRule>
  </conditionalFormatting>
  <conditionalFormatting sqref="H6:I505">
    <cfRule type="cellIs" dxfId="12" priority="16" operator="notBetween">
      <formula>1</formula>
      <formula>70</formula>
    </cfRule>
  </conditionalFormatting>
  <conditionalFormatting sqref="I6:I505">
    <cfRule type="cellIs" dxfId="11" priority="15" operator="notBetween">
      <formula>1</formula>
      <formula>60</formula>
    </cfRule>
  </conditionalFormatting>
  <conditionalFormatting sqref="J6:J505">
    <cfRule type="cellIs" dxfId="10" priority="14" operator="notBetween">
      <formula>1</formula>
      <formula>100</formula>
    </cfRule>
  </conditionalFormatting>
  <conditionalFormatting sqref="K6:K505">
    <cfRule type="cellIs" dxfId="9" priority="13" operator="notBetween">
      <formula>1</formula>
      <formula>80</formula>
    </cfRule>
  </conditionalFormatting>
  <conditionalFormatting sqref="M6:M505">
    <cfRule type="cellIs" dxfId="8" priority="9" operator="notBetween">
      <formula>1</formula>
      <formula>150</formula>
    </cfRule>
  </conditionalFormatting>
  <conditionalFormatting sqref="N6:N505">
    <cfRule type="cellIs" dxfId="7" priority="8" operator="notBetween">
      <formula>5</formula>
      <formula>20</formula>
    </cfRule>
  </conditionalFormatting>
  <conditionalFormatting sqref="O6:O505">
    <cfRule type="expression" dxfId="6" priority="2">
      <formula>O6-INT(O6)&gt;0</formula>
    </cfRule>
    <cfRule type="cellIs" dxfId="5" priority="6" operator="notBetween">
      <formula>1</formula>
      <formula>300</formula>
    </cfRule>
  </conditionalFormatting>
  <conditionalFormatting sqref="P6:P505">
    <cfRule type="expression" dxfId="4" priority="4">
      <formula>P6-INT(P6)&gt;0</formula>
    </cfRule>
    <cfRule type="cellIs" dxfId="3" priority="7" operator="notBetween">
      <formula>1</formula>
      <formula>50</formula>
    </cfRule>
  </conditionalFormatting>
  <conditionalFormatting sqref="B6:P505">
    <cfRule type="containsBlanks" dxfId="2" priority="3">
      <formula>LEN(TRIM(B6))=0</formula>
    </cfRule>
  </conditionalFormatting>
  <conditionalFormatting sqref="H6:M505">
    <cfRule type="expression" dxfId="1" priority="1">
      <formula>H6-INT(H6)&gt;0</formula>
    </cfRule>
  </conditionalFormatting>
  <dataValidations count="8">
    <dataValidation type="whole" allowBlank="1" showInputMessage="1" showErrorMessage="1" sqref="H6:H505">
      <formula1>0</formula1>
      <formula2>99</formula2>
    </dataValidation>
    <dataValidation type="whole" allowBlank="1" showInputMessage="1" showErrorMessage="1" sqref="K6:K505">
      <formula1>0</formula1>
      <formula2>80</formula2>
    </dataValidation>
    <dataValidation type="whole" allowBlank="1" showInputMessage="1" showErrorMessage="1" sqref="J6:J505">
      <formula1>0</formula1>
      <formula2>120</formula2>
    </dataValidation>
    <dataValidation type="whole" allowBlank="1" showInputMessage="1" showErrorMessage="1" sqref="L6:L505">
      <formula1>0</formula1>
      <formula2>1200</formula2>
    </dataValidation>
    <dataValidation type="whole" allowBlank="1" showInputMessage="1" showErrorMessage="1" sqref="M6:M505">
      <formula1>0</formula1>
      <formula2>180</formula2>
    </dataValidation>
    <dataValidation type="decimal" allowBlank="1" showInputMessage="1" showErrorMessage="1" sqref="N6:N505">
      <formula1>5.3</formula1>
      <formula2>20</formula2>
    </dataValidation>
    <dataValidation type="whole" allowBlank="1" showInputMessage="1" showErrorMessage="1" sqref="O6:O505">
      <formula1>0</formula1>
      <formula2>400</formula2>
    </dataValidation>
    <dataValidation type="whole" allowBlank="1" showInputMessage="1" showErrorMessage="1" sqref="P6:P505 I6:I505">
      <formula1>0</formula1>
      <formula2>60</formula2>
    </dataValidation>
  </dataValidations>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U20"/>
  <sheetViews>
    <sheetView zoomScale="80" zoomScaleNormal="80" workbookViewId="0">
      <selection activeCell="Q3" sqref="Q3"/>
    </sheetView>
  </sheetViews>
  <sheetFormatPr defaultRowHeight="13.5" x14ac:dyDescent="0.15"/>
  <cols>
    <col min="1" max="4" width="4.25" customWidth="1"/>
    <col min="5" max="12" width="5.125" customWidth="1"/>
    <col min="13" max="13" width="4.875" customWidth="1"/>
    <col min="14" max="14" width="5.125" customWidth="1"/>
    <col min="15" max="15" width="3.5" bestFit="1" customWidth="1"/>
    <col min="16" max="16" width="3.375" bestFit="1" customWidth="1"/>
    <col min="17" max="17" width="3.75" customWidth="1"/>
    <col min="18" max="18" width="3.375" bestFit="1" customWidth="1"/>
    <col min="19" max="19" width="3.75" customWidth="1"/>
    <col min="20" max="20" width="3.5" bestFit="1" customWidth="1"/>
    <col min="21" max="21" width="5.125" customWidth="1"/>
  </cols>
  <sheetData>
    <row r="1" spans="1:20" ht="29.25" customHeight="1" x14ac:dyDescent="0.15">
      <c r="A1" s="258" t="s">
        <v>49</v>
      </c>
      <c r="B1" s="258"/>
      <c r="C1" s="258"/>
      <c r="D1" s="258"/>
      <c r="E1" s="258"/>
      <c r="F1" s="258"/>
      <c r="G1" s="258"/>
      <c r="H1" s="258"/>
      <c r="I1" s="258"/>
      <c r="J1" s="258"/>
      <c r="K1" s="258"/>
      <c r="L1" s="258"/>
      <c r="M1" s="258"/>
      <c r="N1" s="258"/>
      <c r="O1" s="258"/>
      <c r="P1" s="258"/>
      <c r="Q1" s="258"/>
      <c r="R1" s="258"/>
      <c r="S1" s="258"/>
      <c r="T1" s="258"/>
    </row>
    <row r="2" spans="1:20" ht="24.75" customHeight="1" x14ac:dyDescent="0.15">
      <c r="A2" s="22"/>
      <c r="B2" s="22"/>
      <c r="C2" s="22"/>
      <c r="D2" s="22"/>
      <c r="E2" s="22"/>
      <c r="F2" s="22"/>
      <c r="G2" s="22"/>
      <c r="H2" s="22"/>
      <c r="I2" s="22"/>
      <c r="J2" s="22"/>
      <c r="K2" s="22"/>
      <c r="L2" s="22"/>
      <c r="M2" s="22"/>
      <c r="N2" s="22"/>
      <c r="O2" s="22"/>
      <c r="P2" s="22"/>
      <c r="Q2" s="22"/>
      <c r="R2" s="22"/>
      <c r="S2" s="22"/>
      <c r="T2" s="22"/>
    </row>
    <row r="3" spans="1:20" ht="29.25" customHeight="1" x14ac:dyDescent="0.15">
      <c r="A3" s="4"/>
      <c r="B3" s="5"/>
      <c r="C3" s="5"/>
      <c r="D3" s="5"/>
      <c r="E3" s="5"/>
      <c r="F3" s="5"/>
      <c r="G3" s="256"/>
      <c r="H3" s="256"/>
      <c r="I3" s="5"/>
      <c r="J3" s="5"/>
      <c r="K3" s="5"/>
      <c r="L3" s="5"/>
      <c r="M3" s="5"/>
      <c r="N3" s="5" t="s">
        <v>1190</v>
      </c>
      <c r="O3" s="5">
        <v>2</v>
      </c>
      <c r="P3" s="20" t="s">
        <v>76</v>
      </c>
      <c r="Q3" s="154"/>
      <c r="R3" s="5" t="s">
        <v>77</v>
      </c>
      <c r="S3" s="154"/>
      <c r="T3" s="21" t="s">
        <v>78</v>
      </c>
    </row>
    <row r="4" spans="1:20" ht="29.25" customHeight="1" x14ac:dyDescent="0.15">
      <c r="A4" s="4"/>
      <c r="B4" s="5"/>
      <c r="C4" s="5"/>
      <c r="D4" s="5"/>
      <c r="E4" s="5"/>
      <c r="F4" s="5"/>
      <c r="G4" s="5"/>
      <c r="H4" s="5"/>
      <c r="I4" s="5"/>
      <c r="J4" s="5"/>
      <c r="K4" s="5"/>
      <c r="L4" s="5"/>
      <c r="M4" s="5"/>
      <c r="N4" s="5"/>
      <c r="O4" s="5"/>
      <c r="P4" s="20"/>
      <c r="Q4" s="20"/>
      <c r="R4" s="5"/>
      <c r="S4" s="20"/>
      <c r="T4" s="5"/>
    </row>
    <row r="5" spans="1:20" ht="29.25" customHeight="1" x14ac:dyDescent="0.15">
      <c r="A5" s="9" t="s">
        <v>47</v>
      </c>
      <c r="B5" s="8"/>
      <c r="C5" s="5"/>
      <c r="D5" s="5"/>
      <c r="E5" s="5"/>
      <c r="F5" s="5"/>
      <c r="G5" s="5"/>
      <c r="H5" s="5"/>
      <c r="I5" s="5"/>
      <c r="J5" s="5"/>
      <c r="K5" s="5"/>
      <c r="L5" s="5"/>
      <c r="M5" s="5"/>
      <c r="N5" s="5"/>
      <c r="O5" s="5"/>
      <c r="P5" s="20"/>
      <c r="Q5" s="20"/>
      <c r="R5" s="5"/>
      <c r="S5" s="20"/>
      <c r="T5" s="5"/>
    </row>
    <row r="6" spans="1:20" ht="29.25" customHeight="1" x14ac:dyDescent="0.15">
      <c r="A6" s="4"/>
      <c r="B6" s="5"/>
      <c r="C6" s="5"/>
      <c r="D6" s="5"/>
      <c r="E6" s="5"/>
      <c r="F6" s="5"/>
      <c r="G6" s="5"/>
      <c r="H6" s="5"/>
      <c r="I6" s="5"/>
      <c r="J6" s="5"/>
      <c r="K6" s="5"/>
      <c r="L6" s="5"/>
      <c r="M6" s="5"/>
      <c r="N6" s="5"/>
      <c r="O6" s="5"/>
      <c r="P6" s="20"/>
      <c r="Q6" s="20"/>
      <c r="R6" s="5"/>
      <c r="S6" s="20"/>
      <c r="T6" s="5"/>
    </row>
    <row r="7" spans="1:20" ht="29.25" customHeight="1" x14ac:dyDescent="0.15">
      <c r="A7" s="4"/>
      <c r="B7" s="5"/>
      <c r="C7" s="5"/>
      <c r="D7" s="5"/>
      <c r="E7" s="5"/>
      <c r="F7" s="5"/>
      <c r="G7" s="5"/>
      <c r="J7" s="259" t="s">
        <v>45</v>
      </c>
      <c r="K7" s="259"/>
      <c r="L7" s="260">
        <f>入力シート!E2</f>
        <v>0</v>
      </c>
      <c r="M7" s="260"/>
      <c r="N7" s="260"/>
      <c r="O7" s="260"/>
      <c r="P7" s="260"/>
      <c r="Q7" s="260"/>
      <c r="R7" s="260"/>
      <c r="S7" s="260"/>
      <c r="T7" s="260"/>
    </row>
    <row r="8" spans="1:20" ht="29.25" customHeight="1" x14ac:dyDescent="0.15">
      <c r="A8" s="4"/>
      <c r="B8" s="5"/>
      <c r="C8" s="5"/>
      <c r="D8" s="5"/>
      <c r="E8" s="5"/>
      <c r="F8" s="5"/>
      <c r="G8" s="5"/>
      <c r="J8" s="259" t="s">
        <v>46</v>
      </c>
      <c r="K8" s="259"/>
      <c r="L8" s="257">
        <f>入力シート!M2</f>
        <v>0</v>
      </c>
      <c r="M8" s="257"/>
      <c r="N8" s="257"/>
      <c r="O8" s="257"/>
      <c r="P8" s="257"/>
      <c r="Q8" s="257"/>
      <c r="R8" s="257"/>
      <c r="S8" s="257"/>
      <c r="T8" s="257"/>
    </row>
    <row r="9" spans="1:20" ht="29.25" customHeight="1" x14ac:dyDescent="0.15">
      <c r="A9" s="4"/>
      <c r="B9" s="6"/>
      <c r="C9" s="6"/>
      <c r="D9" s="6"/>
      <c r="E9" s="6"/>
      <c r="F9" s="6"/>
      <c r="G9" s="6"/>
      <c r="J9" s="10"/>
      <c r="K9" s="10"/>
      <c r="L9" s="7"/>
      <c r="M9" s="7"/>
      <c r="N9" s="7"/>
      <c r="O9" s="7"/>
      <c r="P9" s="23"/>
      <c r="Q9" s="23"/>
      <c r="R9" s="7"/>
      <c r="S9" s="23"/>
      <c r="T9" s="7"/>
    </row>
    <row r="10" spans="1:20" ht="29.25" customHeight="1" x14ac:dyDescent="0.15">
      <c r="A10" s="4"/>
      <c r="B10" s="5"/>
      <c r="C10" s="5"/>
      <c r="D10" s="5"/>
      <c r="E10" s="5"/>
      <c r="F10" s="5"/>
      <c r="G10" s="5"/>
      <c r="H10" s="5"/>
      <c r="I10" s="5"/>
      <c r="J10" s="5"/>
      <c r="K10" s="5"/>
      <c r="L10" s="5"/>
      <c r="M10" s="5"/>
      <c r="N10" s="5"/>
      <c r="O10" s="5"/>
      <c r="P10" s="20"/>
      <c r="Q10" s="20"/>
      <c r="R10" s="5"/>
      <c r="S10" s="20"/>
      <c r="T10" s="5"/>
    </row>
    <row r="11" spans="1:20" ht="29.25" customHeight="1" x14ac:dyDescent="0.15">
      <c r="A11" s="4"/>
      <c r="B11" s="257" t="s">
        <v>50</v>
      </c>
      <c r="C11" s="257"/>
      <c r="D11" s="257"/>
      <c r="E11" s="257"/>
      <c r="F11" s="257"/>
      <c r="G11" s="257"/>
      <c r="H11" s="257"/>
      <c r="I11" s="257"/>
      <c r="J11" s="257"/>
      <c r="K11" s="257"/>
      <c r="L11" s="257"/>
      <c r="M11" s="257"/>
      <c r="N11" s="257"/>
      <c r="O11" s="257"/>
      <c r="P11" s="257"/>
      <c r="Q11" s="257"/>
      <c r="R11" s="257"/>
      <c r="S11" s="21"/>
      <c r="T11" s="5"/>
    </row>
    <row r="19" spans="4:21" x14ac:dyDescent="0.15">
      <c r="D19" s="255" t="s">
        <v>51</v>
      </c>
      <c r="E19" s="255"/>
      <c r="F19" s="255"/>
      <c r="G19" s="255"/>
      <c r="H19" s="255"/>
      <c r="I19" s="255"/>
      <c r="J19" s="256">
        <f>COUNTIF(入力シート!R6:R505,"A")</f>
        <v>0</v>
      </c>
      <c r="K19" s="256"/>
      <c r="L19" s="257" t="s">
        <v>48</v>
      </c>
      <c r="M19" s="8"/>
      <c r="N19" s="8"/>
      <c r="O19" s="8"/>
      <c r="P19" s="8"/>
      <c r="Q19" s="8"/>
      <c r="R19" s="8"/>
      <c r="S19" s="8"/>
      <c r="T19" s="8"/>
      <c r="U19" s="8"/>
    </row>
    <row r="20" spans="4:21" x14ac:dyDescent="0.15">
      <c r="D20" s="255"/>
      <c r="E20" s="255"/>
      <c r="F20" s="255"/>
      <c r="G20" s="255"/>
      <c r="H20" s="255"/>
      <c r="I20" s="255"/>
      <c r="J20" s="256"/>
      <c r="K20" s="256"/>
      <c r="L20" s="257"/>
      <c r="M20" s="8"/>
      <c r="N20" s="8"/>
      <c r="O20" s="8"/>
      <c r="P20" s="8"/>
      <c r="Q20" s="8"/>
      <c r="R20" s="8"/>
      <c r="S20" s="8"/>
      <c r="T20" s="8"/>
      <c r="U20" s="8"/>
    </row>
  </sheetData>
  <sheetProtection algorithmName="SHA-512" hashValue="UpsM6npk1Ios4X6LhJEjIx3Loci0SsVivsDlgTj/k4Fw0wSjGMCEVDu0ykfmkMGFMPkHNpWo/LhxQ37b6QSoxQ==" saltValue="WYDO+L25DEsqXm34gZRfeA=="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formula1>"4,5,6,7,8,9,10,11,12"</formula1>
    </dataValidation>
    <dataValidation type="list" allowBlank="1" showInputMessage="1" showErrorMessage="1" sqref="S3">
      <formula1>"1,2,3,4,5,6,7,8,9,10,11,12,13,14,15,16,17,18,19,20,21,22,23,24,25,26,27,28,29,30,31"</formula1>
    </dataValidation>
    <dataValidation type="list" allowBlank="1" showInputMessage="1" showErrorMessage="1" sqref="O3">
      <formula1>"2,3,4,5,6,7,8,9,10,11,12"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P314"/>
  <sheetViews>
    <sheetView showGridLines="0" showZeros="0" zoomScale="90" zoomScaleNormal="90" workbookViewId="0">
      <selection activeCell="A315" sqref="A315:XFD514"/>
    </sheetView>
  </sheetViews>
  <sheetFormatPr defaultRowHeight="13.5" x14ac:dyDescent="0.15"/>
  <cols>
    <col min="1" max="1" width="7.25" style="12" customWidth="1"/>
    <col min="2" max="2" width="13.125" style="12" customWidth="1"/>
    <col min="3" max="4" width="5.25" style="12" customWidth="1"/>
    <col min="5" max="9" width="6.125" style="12" customWidth="1"/>
    <col min="10" max="10" width="6.125" style="28" customWidth="1"/>
    <col min="11" max="14" width="6.125" style="12" customWidth="1"/>
    <col min="15" max="15" width="3.75" style="12" customWidth="1"/>
    <col min="16" max="16" width="5.875" style="12" customWidth="1"/>
    <col min="17" max="252" width="9" style="12"/>
    <col min="253" max="253" width="3.5" style="12" bestFit="1" customWidth="1"/>
    <col min="254" max="254" width="13.125" style="12" customWidth="1"/>
    <col min="255" max="266" width="5.25" style="12" customWidth="1"/>
    <col min="267" max="267" width="3.75" style="12" customWidth="1"/>
    <col min="268" max="268" width="2.625" style="12" customWidth="1"/>
    <col min="269" max="271" width="3.75" style="12" customWidth="1"/>
    <col min="272" max="272" width="5.875" style="12" customWidth="1"/>
    <col min="273" max="508" width="9" style="12"/>
    <col min="509" max="509" width="3.5" style="12" bestFit="1" customWidth="1"/>
    <col min="510" max="510" width="13.125" style="12" customWidth="1"/>
    <col min="511" max="522" width="5.25" style="12" customWidth="1"/>
    <col min="523" max="523" width="3.75" style="12" customWidth="1"/>
    <col min="524" max="524" width="2.625" style="12" customWidth="1"/>
    <col min="525" max="527" width="3.75" style="12" customWidth="1"/>
    <col min="528" max="528" width="5.875" style="12" customWidth="1"/>
    <col min="529" max="764" width="9" style="12"/>
    <col min="765" max="765" width="3.5" style="12" bestFit="1" customWidth="1"/>
    <col min="766" max="766" width="13.125" style="12" customWidth="1"/>
    <col min="767" max="778" width="5.25" style="12" customWidth="1"/>
    <col min="779" max="779" width="3.75" style="12" customWidth="1"/>
    <col min="780" max="780" width="2.625" style="12" customWidth="1"/>
    <col min="781" max="783" width="3.75" style="12" customWidth="1"/>
    <col min="784" max="784" width="5.875" style="12" customWidth="1"/>
    <col min="785" max="1020" width="9" style="12"/>
    <col min="1021" max="1021" width="3.5" style="12" bestFit="1" customWidth="1"/>
    <col min="1022" max="1022" width="13.125" style="12" customWidth="1"/>
    <col min="1023" max="1034" width="5.25" style="12" customWidth="1"/>
    <col min="1035" max="1035" width="3.75" style="12" customWidth="1"/>
    <col min="1036" max="1036" width="2.625" style="12" customWidth="1"/>
    <col min="1037" max="1039" width="3.75" style="12" customWidth="1"/>
    <col min="1040" max="1040" width="5.875" style="12" customWidth="1"/>
    <col min="1041" max="1276" width="9" style="12"/>
    <col min="1277" max="1277" width="3.5" style="12" bestFit="1" customWidth="1"/>
    <col min="1278" max="1278" width="13.125" style="12" customWidth="1"/>
    <col min="1279" max="1290" width="5.25" style="12" customWidth="1"/>
    <col min="1291" max="1291" width="3.75" style="12" customWidth="1"/>
    <col min="1292" max="1292" width="2.625" style="12" customWidth="1"/>
    <col min="1293" max="1295" width="3.75" style="12" customWidth="1"/>
    <col min="1296" max="1296" width="5.875" style="12" customWidth="1"/>
    <col min="1297" max="1532" width="9" style="12"/>
    <col min="1533" max="1533" width="3.5" style="12" bestFit="1" customWidth="1"/>
    <col min="1534" max="1534" width="13.125" style="12" customWidth="1"/>
    <col min="1535" max="1546" width="5.25" style="12" customWidth="1"/>
    <col min="1547" max="1547" width="3.75" style="12" customWidth="1"/>
    <col min="1548" max="1548" width="2.625" style="12" customWidth="1"/>
    <col min="1549" max="1551" width="3.75" style="12" customWidth="1"/>
    <col min="1552" max="1552" width="5.875" style="12" customWidth="1"/>
    <col min="1553" max="1788" width="9" style="12"/>
    <col min="1789" max="1789" width="3.5" style="12" bestFit="1" customWidth="1"/>
    <col min="1790" max="1790" width="13.125" style="12" customWidth="1"/>
    <col min="1791" max="1802" width="5.25" style="12" customWidth="1"/>
    <col min="1803" max="1803" width="3.75" style="12" customWidth="1"/>
    <col min="1804" max="1804" width="2.625" style="12" customWidth="1"/>
    <col min="1805" max="1807" width="3.75" style="12" customWidth="1"/>
    <col min="1808" max="1808" width="5.875" style="12" customWidth="1"/>
    <col min="1809" max="2044" width="9" style="12"/>
    <col min="2045" max="2045" width="3.5" style="12" bestFit="1" customWidth="1"/>
    <col min="2046" max="2046" width="13.125" style="12" customWidth="1"/>
    <col min="2047" max="2058" width="5.25" style="12" customWidth="1"/>
    <col min="2059" max="2059" width="3.75" style="12" customWidth="1"/>
    <col min="2060" max="2060" width="2.625" style="12" customWidth="1"/>
    <col min="2061" max="2063" width="3.75" style="12" customWidth="1"/>
    <col min="2064" max="2064" width="5.875" style="12" customWidth="1"/>
    <col min="2065" max="2300" width="9" style="12"/>
    <col min="2301" max="2301" width="3.5" style="12" bestFit="1" customWidth="1"/>
    <col min="2302" max="2302" width="13.125" style="12" customWidth="1"/>
    <col min="2303" max="2314" width="5.25" style="12" customWidth="1"/>
    <col min="2315" max="2315" width="3.75" style="12" customWidth="1"/>
    <col min="2316" max="2316" width="2.625" style="12" customWidth="1"/>
    <col min="2317" max="2319" width="3.75" style="12" customWidth="1"/>
    <col min="2320" max="2320" width="5.875" style="12" customWidth="1"/>
    <col min="2321" max="2556" width="9" style="12"/>
    <col min="2557" max="2557" width="3.5" style="12" bestFit="1" customWidth="1"/>
    <col min="2558" max="2558" width="13.125" style="12" customWidth="1"/>
    <col min="2559" max="2570" width="5.25" style="12" customWidth="1"/>
    <col min="2571" max="2571" width="3.75" style="12" customWidth="1"/>
    <col min="2572" max="2572" width="2.625" style="12" customWidth="1"/>
    <col min="2573" max="2575" width="3.75" style="12" customWidth="1"/>
    <col min="2576" max="2576" width="5.875" style="12" customWidth="1"/>
    <col min="2577" max="2812" width="9" style="12"/>
    <col min="2813" max="2813" width="3.5" style="12" bestFit="1" customWidth="1"/>
    <col min="2814" max="2814" width="13.125" style="12" customWidth="1"/>
    <col min="2815" max="2826" width="5.25" style="12" customWidth="1"/>
    <col min="2827" max="2827" width="3.75" style="12" customWidth="1"/>
    <col min="2828" max="2828" width="2.625" style="12" customWidth="1"/>
    <col min="2829" max="2831" width="3.75" style="12" customWidth="1"/>
    <col min="2832" max="2832" width="5.875" style="12" customWidth="1"/>
    <col min="2833" max="3068" width="9" style="12"/>
    <col min="3069" max="3069" width="3.5" style="12" bestFit="1" customWidth="1"/>
    <col min="3070" max="3070" width="13.125" style="12" customWidth="1"/>
    <col min="3071" max="3082" width="5.25" style="12" customWidth="1"/>
    <col min="3083" max="3083" width="3.75" style="12" customWidth="1"/>
    <col min="3084" max="3084" width="2.625" style="12" customWidth="1"/>
    <col min="3085" max="3087" width="3.75" style="12" customWidth="1"/>
    <col min="3088" max="3088" width="5.875" style="12" customWidth="1"/>
    <col min="3089" max="3324" width="9" style="12"/>
    <col min="3325" max="3325" width="3.5" style="12" bestFit="1" customWidth="1"/>
    <col min="3326" max="3326" width="13.125" style="12" customWidth="1"/>
    <col min="3327" max="3338" width="5.25" style="12" customWidth="1"/>
    <col min="3339" max="3339" width="3.75" style="12" customWidth="1"/>
    <col min="3340" max="3340" width="2.625" style="12" customWidth="1"/>
    <col min="3341" max="3343" width="3.75" style="12" customWidth="1"/>
    <col min="3344" max="3344" width="5.875" style="12" customWidth="1"/>
    <col min="3345" max="3580" width="9" style="12"/>
    <col min="3581" max="3581" width="3.5" style="12" bestFit="1" customWidth="1"/>
    <col min="3582" max="3582" width="13.125" style="12" customWidth="1"/>
    <col min="3583" max="3594" width="5.25" style="12" customWidth="1"/>
    <col min="3595" max="3595" width="3.75" style="12" customWidth="1"/>
    <col min="3596" max="3596" width="2.625" style="12" customWidth="1"/>
    <col min="3597" max="3599" width="3.75" style="12" customWidth="1"/>
    <col min="3600" max="3600" width="5.875" style="12" customWidth="1"/>
    <col min="3601" max="3836" width="9" style="12"/>
    <col min="3837" max="3837" width="3.5" style="12" bestFit="1" customWidth="1"/>
    <col min="3838" max="3838" width="13.125" style="12" customWidth="1"/>
    <col min="3839" max="3850" width="5.25" style="12" customWidth="1"/>
    <col min="3851" max="3851" width="3.75" style="12" customWidth="1"/>
    <col min="3852" max="3852" width="2.625" style="12" customWidth="1"/>
    <col min="3853" max="3855" width="3.75" style="12" customWidth="1"/>
    <col min="3856" max="3856" width="5.875" style="12" customWidth="1"/>
    <col min="3857" max="4092" width="9" style="12"/>
    <col min="4093" max="4093" width="3.5" style="12" bestFit="1" customWidth="1"/>
    <col min="4094" max="4094" width="13.125" style="12" customWidth="1"/>
    <col min="4095" max="4106" width="5.25" style="12" customWidth="1"/>
    <col min="4107" max="4107" width="3.75" style="12" customWidth="1"/>
    <col min="4108" max="4108" width="2.625" style="12" customWidth="1"/>
    <col min="4109" max="4111" width="3.75" style="12" customWidth="1"/>
    <col min="4112" max="4112" width="5.875" style="12" customWidth="1"/>
    <col min="4113" max="4348" width="9" style="12"/>
    <col min="4349" max="4349" width="3.5" style="12" bestFit="1" customWidth="1"/>
    <col min="4350" max="4350" width="13.125" style="12" customWidth="1"/>
    <col min="4351" max="4362" width="5.25" style="12" customWidth="1"/>
    <col min="4363" max="4363" width="3.75" style="12" customWidth="1"/>
    <col min="4364" max="4364" width="2.625" style="12" customWidth="1"/>
    <col min="4365" max="4367" width="3.75" style="12" customWidth="1"/>
    <col min="4368" max="4368" width="5.875" style="12" customWidth="1"/>
    <col min="4369" max="4604" width="9" style="12"/>
    <col min="4605" max="4605" width="3.5" style="12" bestFit="1" customWidth="1"/>
    <col min="4606" max="4606" width="13.125" style="12" customWidth="1"/>
    <col min="4607" max="4618" width="5.25" style="12" customWidth="1"/>
    <col min="4619" max="4619" width="3.75" style="12" customWidth="1"/>
    <col min="4620" max="4620" width="2.625" style="12" customWidth="1"/>
    <col min="4621" max="4623" width="3.75" style="12" customWidth="1"/>
    <col min="4624" max="4624" width="5.875" style="12" customWidth="1"/>
    <col min="4625" max="4860" width="9" style="12"/>
    <col min="4861" max="4861" width="3.5" style="12" bestFit="1" customWidth="1"/>
    <col min="4862" max="4862" width="13.125" style="12" customWidth="1"/>
    <col min="4863" max="4874" width="5.25" style="12" customWidth="1"/>
    <col min="4875" max="4875" width="3.75" style="12" customWidth="1"/>
    <col min="4876" max="4876" width="2.625" style="12" customWidth="1"/>
    <col min="4877" max="4879" width="3.75" style="12" customWidth="1"/>
    <col min="4880" max="4880" width="5.875" style="12" customWidth="1"/>
    <col min="4881" max="5116" width="9" style="12"/>
    <col min="5117" max="5117" width="3.5" style="12" bestFit="1" customWidth="1"/>
    <col min="5118" max="5118" width="13.125" style="12" customWidth="1"/>
    <col min="5119" max="5130" width="5.25" style="12" customWidth="1"/>
    <col min="5131" max="5131" width="3.75" style="12" customWidth="1"/>
    <col min="5132" max="5132" width="2.625" style="12" customWidth="1"/>
    <col min="5133" max="5135" width="3.75" style="12" customWidth="1"/>
    <col min="5136" max="5136" width="5.875" style="12" customWidth="1"/>
    <col min="5137" max="5372" width="9" style="12"/>
    <col min="5373" max="5373" width="3.5" style="12" bestFit="1" customWidth="1"/>
    <col min="5374" max="5374" width="13.125" style="12" customWidth="1"/>
    <col min="5375" max="5386" width="5.25" style="12" customWidth="1"/>
    <col min="5387" max="5387" width="3.75" style="12" customWidth="1"/>
    <col min="5388" max="5388" width="2.625" style="12" customWidth="1"/>
    <col min="5389" max="5391" width="3.75" style="12" customWidth="1"/>
    <col min="5392" max="5392" width="5.875" style="12" customWidth="1"/>
    <col min="5393" max="5628" width="9" style="12"/>
    <col min="5629" max="5629" width="3.5" style="12" bestFit="1" customWidth="1"/>
    <col min="5630" max="5630" width="13.125" style="12" customWidth="1"/>
    <col min="5631" max="5642" width="5.25" style="12" customWidth="1"/>
    <col min="5643" max="5643" width="3.75" style="12" customWidth="1"/>
    <col min="5644" max="5644" width="2.625" style="12" customWidth="1"/>
    <col min="5645" max="5647" width="3.75" style="12" customWidth="1"/>
    <col min="5648" max="5648" width="5.875" style="12" customWidth="1"/>
    <col min="5649" max="5884" width="9" style="12"/>
    <col min="5885" max="5885" width="3.5" style="12" bestFit="1" customWidth="1"/>
    <col min="5886" max="5886" width="13.125" style="12" customWidth="1"/>
    <col min="5887" max="5898" width="5.25" style="12" customWidth="1"/>
    <col min="5899" max="5899" width="3.75" style="12" customWidth="1"/>
    <col min="5900" max="5900" width="2.625" style="12" customWidth="1"/>
    <col min="5901" max="5903" width="3.75" style="12" customWidth="1"/>
    <col min="5904" max="5904" width="5.875" style="12" customWidth="1"/>
    <col min="5905" max="6140" width="9" style="12"/>
    <col min="6141" max="6141" width="3.5" style="12" bestFit="1" customWidth="1"/>
    <col min="6142" max="6142" width="13.125" style="12" customWidth="1"/>
    <col min="6143" max="6154" width="5.25" style="12" customWidth="1"/>
    <col min="6155" max="6155" width="3.75" style="12" customWidth="1"/>
    <col min="6156" max="6156" width="2.625" style="12" customWidth="1"/>
    <col min="6157" max="6159" width="3.75" style="12" customWidth="1"/>
    <col min="6160" max="6160" width="5.875" style="12" customWidth="1"/>
    <col min="6161" max="6396" width="9" style="12"/>
    <col min="6397" max="6397" width="3.5" style="12" bestFit="1" customWidth="1"/>
    <col min="6398" max="6398" width="13.125" style="12" customWidth="1"/>
    <col min="6399" max="6410" width="5.25" style="12" customWidth="1"/>
    <col min="6411" max="6411" width="3.75" style="12" customWidth="1"/>
    <col min="6412" max="6412" width="2.625" style="12" customWidth="1"/>
    <col min="6413" max="6415" width="3.75" style="12" customWidth="1"/>
    <col min="6416" max="6416" width="5.875" style="12" customWidth="1"/>
    <col min="6417" max="6652" width="9" style="12"/>
    <col min="6653" max="6653" width="3.5" style="12" bestFit="1" customWidth="1"/>
    <col min="6654" max="6654" width="13.125" style="12" customWidth="1"/>
    <col min="6655" max="6666" width="5.25" style="12" customWidth="1"/>
    <col min="6667" max="6667" width="3.75" style="12" customWidth="1"/>
    <col min="6668" max="6668" width="2.625" style="12" customWidth="1"/>
    <col min="6669" max="6671" width="3.75" style="12" customWidth="1"/>
    <col min="6672" max="6672" width="5.875" style="12" customWidth="1"/>
    <col min="6673" max="6908" width="9" style="12"/>
    <col min="6909" max="6909" width="3.5" style="12" bestFit="1" customWidth="1"/>
    <col min="6910" max="6910" width="13.125" style="12" customWidth="1"/>
    <col min="6911" max="6922" width="5.25" style="12" customWidth="1"/>
    <col min="6923" max="6923" width="3.75" style="12" customWidth="1"/>
    <col min="6924" max="6924" width="2.625" style="12" customWidth="1"/>
    <col min="6925" max="6927" width="3.75" style="12" customWidth="1"/>
    <col min="6928" max="6928" width="5.875" style="12" customWidth="1"/>
    <col min="6929" max="7164" width="9" style="12"/>
    <col min="7165" max="7165" width="3.5" style="12" bestFit="1" customWidth="1"/>
    <col min="7166" max="7166" width="13.125" style="12" customWidth="1"/>
    <col min="7167" max="7178" width="5.25" style="12" customWidth="1"/>
    <col min="7179" max="7179" width="3.75" style="12" customWidth="1"/>
    <col min="7180" max="7180" width="2.625" style="12" customWidth="1"/>
    <col min="7181" max="7183" width="3.75" style="12" customWidth="1"/>
    <col min="7184" max="7184" width="5.875" style="12" customWidth="1"/>
    <col min="7185" max="7420" width="9" style="12"/>
    <col min="7421" max="7421" width="3.5" style="12" bestFit="1" customWidth="1"/>
    <col min="7422" max="7422" width="13.125" style="12" customWidth="1"/>
    <col min="7423" max="7434" width="5.25" style="12" customWidth="1"/>
    <col min="7435" max="7435" width="3.75" style="12" customWidth="1"/>
    <col min="7436" max="7436" width="2.625" style="12" customWidth="1"/>
    <col min="7437" max="7439" width="3.75" style="12" customWidth="1"/>
    <col min="7440" max="7440" width="5.875" style="12" customWidth="1"/>
    <col min="7441" max="7676" width="9" style="12"/>
    <col min="7677" max="7677" width="3.5" style="12" bestFit="1" customWidth="1"/>
    <col min="7678" max="7678" width="13.125" style="12" customWidth="1"/>
    <col min="7679" max="7690" width="5.25" style="12" customWidth="1"/>
    <col min="7691" max="7691" width="3.75" style="12" customWidth="1"/>
    <col min="7692" max="7692" width="2.625" style="12" customWidth="1"/>
    <col min="7693" max="7695" width="3.75" style="12" customWidth="1"/>
    <col min="7696" max="7696" width="5.875" style="12" customWidth="1"/>
    <col min="7697" max="7932" width="9" style="12"/>
    <col min="7933" max="7933" width="3.5" style="12" bestFit="1" customWidth="1"/>
    <col min="7934" max="7934" width="13.125" style="12" customWidth="1"/>
    <col min="7935" max="7946" width="5.25" style="12" customWidth="1"/>
    <col min="7947" max="7947" width="3.75" style="12" customWidth="1"/>
    <col min="7948" max="7948" width="2.625" style="12" customWidth="1"/>
    <col min="7949" max="7951" width="3.75" style="12" customWidth="1"/>
    <col min="7952" max="7952" width="5.875" style="12" customWidth="1"/>
    <col min="7953" max="8188" width="9" style="12"/>
    <col min="8189" max="8189" width="3.5" style="12" bestFit="1" customWidth="1"/>
    <col min="8190" max="8190" width="13.125" style="12" customWidth="1"/>
    <col min="8191" max="8202" width="5.25" style="12" customWidth="1"/>
    <col min="8203" max="8203" width="3.75" style="12" customWidth="1"/>
    <col min="8204" max="8204" width="2.625" style="12" customWidth="1"/>
    <col min="8205" max="8207" width="3.75" style="12" customWidth="1"/>
    <col min="8208" max="8208" width="5.875" style="12" customWidth="1"/>
    <col min="8209" max="8444" width="9" style="12"/>
    <col min="8445" max="8445" width="3.5" style="12" bestFit="1" customWidth="1"/>
    <col min="8446" max="8446" width="13.125" style="12" customWidth="1"/>
    <col min="8447" max="8458" width="5.25" style="12" customWidth="1"/>
    <col min="8459" max="8459" width="3.75" style="12" customWidth="1"/>
    <col min="8460" max="8460" width="2.625" style="12" customWidth="1"/>
    <col min="8461" max="8463" width="3.75" style="12" customWidth="1"/>
    <col min="8464" max="8464" width="5.875" style="12" customWidth="1"/>
    <col min="8465" max="8700" width="9" style="12"/>
    <col min="8701" max="8701" width="3.5" style="12" bestFit="1" customWidth="1"/>
    <col min="8702" max="8702" width="13.125" style="12" customWidth="1"/>
    <col min="8703" max="8714" width="5.25" style="12" customWidth="1"/>
    <col min="8715" max="8715" width="3.75" style="12" customWidth="1"/>
    <col min="8716" max="8716" width="2.625" style="12" customWidth="1"/>
    <col min="8717" max="8719" width="3.75" style="12" customWidth="1"/>
    <col min="8720" max="8720" width="5.875" style="12" customWidth="1"/>
    <col min="8721" max="8956" width="9" style="12"/>
    <col min="8957" max="8957" width="3.5" style="12" bestFit="1" customWidth="1"/>
    <col min="8958" max="8958" width="13.125" style="12" customWidth="1"/>
    <col min="8959" max="8970" width="5.25" style="12" customWidth="1"/>
    <col min="8971" max="8971" width="3.75" style="12" customWidth="1"/>
    <col min="8972" max="8972" width="2.625" style="12" customWidth="1"/>
    <col min="8973" max="8975" width="3.75" style="12" customWidth="1"/>
    <col min="8976" max="8976" width="5.875" style="12" customWidth="1"/>
    <col min="8977" max="9212" width="9" style="12"/>
    <col min="9213" max="9213" width="3.5" style="12" bestFit="1" customWidth="1"/>
    <col min="9214" max="9214" width="13.125" style="12" customWidth="1"/>
    <col min="9215" max="9226" width="5.25" style="12" customWidth="1"/>
    <col min="9227" max="9227" width="3.75" style="12" customWidth="1"/>
    <col min="9228" max="9228" width="2.625" style="12" customWidth="1"/>
    <col min="9229" max="9231" width="3.75" style="12" customWidth="1"/>
    <col min="9232" max="9232" width="5.875" style="12" customWidth="1"/>
    <col min="9233" max="9468" width="9" style="12"/>
    <col min="9469" max="9469" width="3.5" style="12" bestFit="1" customWidth="1"/>
    <col min="9470" max="9470" width="13.125" style="12" customWidth="1"/>
    <col min="9471" max="9482" width="5.25" style="12" customWidth="1"/>
    <col min="9483" max="9483" width="3.75" style="12" customWidth="1"/>
    <col min="9484" max="9484" width="2.625" style="12" customWidth="1"/>
    <col min="9485" max="9487" width="3.75" style="12" customWidth="1"/>
    <col min="9488" max="9488" width="5.875" style="12" customWidth="1"/>
    <col min="9489" max="9724" width="9" style="12"/>
    <col min="9725" max="9725" width="3.5" style="12" bestFit="1" customWidth="1"/>
    <col min="9726" max="9726" width="13.125" style="12" customWidth="1"/>
    <col min="9727" max="9738" width="5.25" style="12" customWidth="1"/>
    <col min="9739" max="9739" width="3.75" style="12" customWidth="1"/>
    <col min="9740" max="9740" width="2.625" style="12" customWidth="1"/>
    <col min="9741" max="9743" width="3.75" style="12" customWidth="1"/>
    <col min="9744" max="9744" width="5.875" style="12" customWidth="1"/>
    <col min="9745" max="9980" width="9" style="12"/>
    <col min="9981" max="9981" width="3.5" style="12" bestFit="1" customWidth="1"/>
    <col min="9982" max="9982" width="13.125" style="12" customWidth="1"/>
    <col min="9983" max="9994" width="5.25" style="12" customWidth="1"/>
    <col min="9995" max="9995" width="3.75" style="12" customWidth="1"/>
    <col min="9996" max="9996" width="2.625" style="12" customWidth="1"/>
    <col min="9997" max="9999" width="3.75" style="12" customWidth="1"/>
    <col min="10000" max="10000" width="5.875" style="12" customWidth="1"/>
    <col min="10001" max="10236" width="9" style="12"/>
    <col min="10237" max="10237" width="3.5" style="12" bestFit="1" customWidth="1"/>
    <col min="10238" max="10238" width="13.125" style="12" customWidth="1"/>
    <col min="10239" max="10250" width="5.25" style="12" customWidth="1"/>
    <col min="10251" max="10251" width="3.75" style="12" customWidth="1"/>
    <col min="10252" max="10252" width="2.625" style="12" customWidth="1"/>
    <col min="10253" max="10255" width="3.75" style="12" customWidth="1"/>
    <col min="10256" max="10256" width="5.875" style="12" customWidth="1"/>
    <col min="10257" max="10492" width="9" style="12"/>
    <col min="10493" max="10493" width="3.5" style="12" bestFit="1" customWidth="1"/>
    <col min="10494" max="10494" width="13.125" style="12" customWidth="1"/>
    <col min="10495" max="10506" width="5.25" style="12" customWidth="1"/>
    <col min="10507" max="10507" width="3.75" style="12" customWidth="1"/>
    <col min="10508" max="10508" width="2.625" style="12" customWidth="1"/>
    <col min="10509" max="10511" width="3.75" style="12" customWidth="1"/>
    <col min="10512" max="10512" width="5.875" style="12" customWidth="1"/>
    <col min="10513" max="10748" width="9" style="12"/>
    <col min="10749" max="10749" width="3.5" style="12" bestFit="1" customWidth="1"/>
    <col min="10750" max="10750" width="13.125" style="12" customWidth="1"/>
    <col min="10751" max="10762" width="5.25" style="12" customWidth="1"/>
    <col min="10763" max="10763" width="3.75" style="12" customWidth="1"/>
    <col min="10764" max="10764" width="2.625" style="12" customWidth="1"/>
    <col min="10765" max="10767" width="3.75" style="12" customWidth="1"/>
    <col min="10768" max="10768" width="5.875" style="12" customWidth="1"/>
    <col min="10769" max="11004" width="9" style="12"/>
    <col min="11005" max="11005" width="3.5" style="12" bestFit="1" customWidth="1"/>
    <col min="11006" max="11006" width="13.125" style="12" customWidth="1"/>
    <col min="11007" max="11018" width="5.25" style="12" customWidth="1"/>
    <col min="11019" max="11019" width="3.75" style="12" customWidth="1"/>
    <col min="11020" max="11020" width="2.625" style="12" customWidth="1"/>
    <col min="11021" max="11023" width="3.75" style="12" customWidth="1"/>
    <col min="11024" max="11024" width="5.875" style="12" customWidth="1"/>
    <col min="11025" max="11260" width="9" style="12"/>
    <col min="11261" max="11261" width="3.5" style="12" bestFit="1" customWidth="1"/>
    <col min="11262" max="11262" width="13.125" style="12" customWidth="1"/>
    <col min="11263" max="11274" width="5.25" style="12" customWidth="1"/>
    <col min="11275" max="11275" width="3.75" style="12" customWidth="1"/>
    <col min="11276" max="11276" width="2.625" style="12" customWidth="1"/>
    <col min="11277" max="11279" width="3.75" style="12" customWidth="1"/>
    <col min="11280" max="11280" width="5.875" style="12" customWidth="1"/>
    <col min="11281" max="11516" width="9" style="12"/>
    <col min="11517" max="11517" width="3.5" style="12" bestFit="1" customWidth="1"/>
    <col min="11518" max="11518" width="13.125" style="12" customWidth="1"/>
    <col min="11519" max="11530" width="5.25" style="12" customWidth="1"/>
    <col min="11531" max="11531" width="3.75" style="12" customWidth="1"/>
    <col min="11532" max="11532" width="2.625" style="12" customWidth="1"/>
    <col min="11533" max="11535" width="3.75" style="12" customWidth="1"/>
    <col min="11536" max="11536" width="5.875" style="12" customWidth="1"/>
    <col min="11537" max="11772" width="9" style="12"/>
    <col min="11773" max="11773" width="3.5" style="12" bestFit="1" customWidth="1"/>
    <col min="11774" max="11774" width="13.125" style="12" customWidth="1"/>
    <col min="11775" max="11786" width="5.25" style="12" customWidth="1"/>
    <col min="11787" max="11787" width="3.75" style="12" customWidth="1"/>
    <col min="11788" max="11788" width="2.625" style="12" customWidth="1"/>
    <col min="11789" max="11791" width="3.75" style="12" customWidth="1"/>
    <col min="11792" max="11792" width="5.875" style="12" customWidth="1"/>
    <col min="11793" max="12028" width="9" style="12"/>
    <col min="12029" max="12029" width="3.5" style="12" bestFit="1" customWidth="1"/>
    <col min="12030" max="12030" width="13.125" style="12" customWidth="1"/>
    <col min="12031" max="12042" width="5.25" style="12" customWidth="1"/>
    <col min="12043" max="12043" width="3.75" style="12" customWidth="1"/>
    <col min="12044" max="12044" width="2.625" style="12" customWidth="1"/>
    <col min="12045" max="12047" width="3.75" style="12" customWidth="1"/>
    <col min="12048" max="12048" width="5.875" style="12" customWidth="1"/>
    <col min="12049" max="12284" width="9" style="12"/>
    <col min="12285" max="12285" width="3.5" style="12" bestFit="1" customWidth="1"/>
    <col min="12286" max="12286" width="13.125" style="12" customWidth="1"/>
    <col min="12287" max="12298" width="5.25" style="12" customWidth="1"/>
    <col min="12299" max="12299" width="3.75" style="12" customWidth="1"/>
    <col min="12300" max="12300" width="2.625" style="12" customWidth="1"/>
    <col min="12301" max="12303" width="3.75" style="12" customWidth="1"/>
    <col min="12304" max="12304" width="5.875" style="12" customWidth="1"/>
    <col min="12305" max="12540" width="9" style="12"/>
    <col min="12541" max="12541" width="3.5" style="12" bestFit="1" customWidth="1"/>
    <col min="12542" max="12542" width="13.125" style="12" customWidth="1"/>
    <col min="12543" max="12554" width="5.25" style="12" customWidth="1"/>
    <col min="12555" max="12555" width="3.75" style="12" customWidth="1"/>
    <col min="12556" max="12556" width="2.625" style="12" customWidth="1"/>
    <col min="12557" max="12559" width="3.75" style="12" customWidth="1"/>
    <col min="12560" max="12560" width="5.875" style="12" customWidth="1"/>
    <col min="12561" max="12796" width="9" style="12"/>
    <col min="12797" max="12797" width="3.5" style="12" bestFit="1" customWidth="1"/>
    <col min="12798" max="12798" width="13.125" style="12" customWidth="1"/>
    <col min="12799" max="12810" width="5.25" style="12" customWidth="1"/>
    <col min="12811" max="12811" width="3.75" style="12" customWidth="1"/>
    <col min="12812" max="12812" width="2.625" style="12" customWidth="1"/>
    <col min="12813" max="12815" width="3.75" style="12" customWidth="1"/>
    <col min="12816" max="12816" width="5.875" style="12" customWidth="1"/>
    <col min="12817" max="13052" width="9" style="12"/>
    <col min="13053" max="13053" width="3.5" style="12" bestFit="1" customWidth="1"/>
    <col min="13054" max="13054" width="13.125" style="12" customWidth="1"/>
    <col min="13055" max="13066" width="5.25" style="12" customWidth="1"/>
    <col min="13067" max="13067" width="3.75" style="12" customWidth="1"/>
    <col min="13068" max="13068" width="2.625" style="12" customWidth="1"/>
    <col min="13069" max="13071" width="3.75" style="12" customWidth="1"/>
    <col min="13072" max="13072" width="5.875" style="12" customWidth="1"/>
    <col min="13073" max="13308" width="9" style="12"/>
    <col min="13309" max="13309" width="3.5" style="12" bestFit="1" customWidth="1"/>
    <col min="13310" max="13310" width="13.125" style="12" customWidth="1"/>
    <col min="13311" max="13322" width="5.25" style="12" customWidth="1"/>
    <col min="13323" max="13323" width="3.75" style="12" customWidth="1"/>
    <col min="13324" max="13324" width="2.625" style="12" customWidth="1"/>
    <col min="13325" max="13327" width="3.75" style="12" customWidth="1"/>
    <col min="13328" max="13328" width="5.875" style="12" customWidth="1"/>
    <col min="13329" max="13564" width="9" style="12"/>
    <col min="13565" max="13565" width="3.5" style="12" bestFit="1" customWidth="1"/>
    <col min="13566" max="13566" width="13.125" style="12" customWidth="1"/>
    <col min="13567" max="13578" width="5.25" style="12" customWidth="1"/>
    <col min="13579" max="13579" width="3.75" style="12" customWidth="1"/>
    <col min="13580" max="13580" width="2.625" style="12" customWidth="1"/>
    <col min="13581" max="13583" width="3.75" style="12" customWidth="1"/>
    <col min="13584" max="13584" width="5.875" style="12" customWidth="1"/>
    <col min="13585" max="13820" width="9" style="12"/>
    <col min="13821" max="13821" width="3.5" style="12" bestFit="1" customWidth="1"/>
    <col min="13822" max="13822" width="13.125" style="12" customWidth="1"/>
    <col min="13823" max="13834" width="5.25" style="12" customWidth="1"/>
    <col min="13835" max="13835" width="3.75" style="12" customWidth="1"/>
    <col min="13836" max="13836" width="2.625" style="12" customWidth="1"/>
    <col min="13837" max="13839" width="3.75" style="12" customWidth="1"/>
    <col min="13840" max="13840" width="5.875" style="12" customWidth="1"/>
    <col min="13841" max="14076" width="9" style="12"/>
    <col min="14077" max="14077" width="3.5" style="12" bestFit="1" customWidth="1"/>
    <col min="14078" max="14078" width="13.125" style="12" customWidth="1"/>
    <col min="14079" max="14090" width="5.25" style="12" customWidth="1"/>
    <col min="14091" max="14091" width="3.75" style="12" customWidth="1"/>
    <col min="14092" max="14092" width="2.625" style="12" customWidth="1"/>
    <col min="14093" max="14095" width="3.75" style="12" customWidth="1"/>
    <col min="14096" max="14096" width="5.875" style="12" customWidth="1"/>
    <col min="14097" max="14332" width="9" style="12"/>
    <col min="14333" max="14333" width="3.5" style="12" bestFit="1" customWidth="1"/>
    <col min="14334" max="14334" width="13.125" style="12" customWidth="1"/>
    <col min="14335" max="14346" width="5.25" style="12" customWidth="1"/>
    <col min="14347" max="14347" width="3.75" style="12" customWidth="1"/>
    <col min="14348" max="14348" width="2.625" style="12" customWidth="1"/>
    <col min="14349" max="14351" width="3.75" style="12" customWidth="1"/>
    <col min="14352" max="14352" width="5.875" style="12" customWidth="1"/>
    <col min="14353" max="14588" width="9" style="12"/>
    <col min="14589" max="14589" width="3.5" style="12" bestFit="1" customWidth="1"/>
    <col min="14590" max="14590" width="13.125" style="12" customWidth="1"/>
    <col min="14591" max="14602" width="5.25" style="12" customWidth="1"/>
    <col min="14603" max="14603" width="3.75" style="12" customWidth="1"/>
    <col min="14604" max="14604" width="2.625" style="12" customWidth="1"/>
    <col min="14605" max="14607" width="3.75" style="12" customWidth="1"/>
    <col min="14608" max="14608" width="5.875" style="12" customWidth="1"/>
    <col min="14609" max="14844" width="9" style="12"/>
    <col min="14845" max="14845" width="3.5" style="12" bestFit="1" customWidth="1"/>
    <col min="14846" max="14846" width="13.125" style="12" customWidth="1"/>
    <col min="14847" max="14858" width="5.25" style="12" customWidth="1"/>
    <col min="14859" max="14859" width="3.75" style="12" customWidth="1"/>
    <col min="14860" max="14860" width="2.625" style="12" customWidth="1"/>
    <col min="14861" max="14863" width="3.75" style="12" customWidth="1"/>
    <col min="14864" max="14864" width="5.875" style="12" customWidth="1"/>
    <col min="14865" max="15100" width="9" style="12"/>
    <col min="15101" max="15101" width="3.5" style="12" bestFit="1" customWidth="1"/>
    <col min="15102" max="15102" width="13.125" style="12" customWidth="1"/>
    <col min="15103" max="15114" width="5.25" style="12" customWidth="1"/>
    <col min="15115" max="15115" width="3.75" style="12" customWidth="1"/>
    <col min="15116" max="15116" width="2.625" style="12" customWidth="1"/>
    <col min="15117" max="15119" width="3.75" style="12" customWidth="1"/>
    <col min="15120" max="15120" width="5.875" style="12" customWidth="1"/>
    <col min="15121" max="15356" width="9" style="12"/>
    <col min="15357" max="15357" width="3.5" style="12" bestFit="1" customWidth="1"/>
    <col min="15358" max="15358" width="13.125" style="12" customWidth="1"/>
    <col min="15359" max="15370" width="5.25" style="12" customWidth="1"/>
    <col min="15371" max="15371" width="3.75" style="12" customWidth="1"/>
    <col min="15372" max="15372" width="2.625" style="12" customWidth="1"/>
    <col min="15373" max="15375" width="3.75" style="12" customWidth="1"/>
    <col min="15376" max="15376" width="5.875" style="12" customWidth="1"/>
    <col min="15377" max="15612" width="9" style="12"/>
    <col min="15613" max="15613" width="3.5" style="12" bestFit="1" customWidth="1"/>
    <col min="15614" max="15614" width="13.125" style="12" customWidth="1"/>
    <col min="15615" max="15626" width="5.25" style="12" customWidth="1"/>
    <col min="15627" max="15627" width="3.75" style="12" customWidth="1"/>
    <col min="15628" max="15628" width="2.625" style="12" customWidth="1"/>
    <col min="15629" max="15631" width="3.75" style="12" customWidth="1"/>
    <col min="15632" max="15632" width="5.875" style="12" customWidth="1"/>
    <col min="15633" max="15868" width="9" style="12"/>
    <col min="15869" max="15869" width="3.5" style="12" bestFit="1" customWidth="1"/>
    <col min="15870" max="15870" width="13.125" style="12" customWidth="1"/>
    <col min="15871" max="15882" width="5.25" style="12" customWidth="1"/>
    <col min="15883" max="15883" width="3.75" style="12" customWidth="1"/>
    <col min="15884" max="15884" width="2.625" style="12" customWidth="1"/>
    <col min="15885" max="15887" width="3.75" style="12" customWidth="1"/>
    <col min="15888" max="15888" width="5.875" style="12" customWidth="1"/>
    <col min="15889" max="16124" width="9" style="12"/>
    <col min="16125" max="16125" width="3.5" style="12" bestFit="1" customWidth="1"/>
    <col min="16126" max="16126" width="13.125" style="12" customWidth="1"/>
    <col min="16127" max="16138" width="5.25" style="12" customWidth="1"/>
    <col min="16139" max="16139" width="3.75" style="12" customWidth="1"/>
    <col min="16140" max="16140" width="2.625" style="12" customWidth="1"/>
    <col min="16141" max="16143" width="3.75" style="12" customWidth="1"/>
    <col min="16144" max="16144" width="5.875" style="12" customWidth="1"/>
    <col min="16145" max="16384" width="9" style="12"/>
  </cols>
  <sheetData>
    <row r="1" spans="1:16" x14ac:dyDescent="0.15">
      <c r="A1" s="11" t="s">
        <v>52</v>
      </c>
    </row>
    <row r="2" spans="1:16" ht="20.25" customHeight="1" x14ac:dyDescent="0.15">
      <c r="A2" s="264" t="s">
        <v>53</v>
      </c>
      <c r="B2" s="264"/>
      <c r="C2" s="264"/>
      <c r="D2" s="264"/>
      <c r="E2" s="264"/>
      <c r="F2" s="264"/>
      <c r="G2" s="264"/>
      <c r="H2" s="264"/>
      <c r="I2" s="264"/>
      <c r="J2" s="264"/>
      <c r="K2" s="264"/>
      <c r="L2" s="264"/>
      <c r="M2" s="264"/>
      <c r="N2" s="264"/>
      <c r="O2" s="14"/>
      <c r="P2" s="14"/>
    </row>
    <row r="3" spans="1:16" s="15" customFormat="1" ht="11.25" customHeight="1" x14ac:dyDescent="0.15">
      <c r="A3" s="13"/>
      <c r="B3" s="13"/>
      <c r="C3" s="13"/>
      <c r="D3" s="13"/>
      <c r="E3" s="13"/>
      <c r="F3" s="13"/>
      <c r="G3" s="13"/>
      <c r="H3" s="13"/>
      <c r="I3" s="13"/>
      <c r="J3" s="30"/>
      <c r="K3" s="13"/>
      <c r="L3" s="13"/>
      <c r="M3" s="13"/>
      <c r="N3" s="13"/>
      <c r="O3" s="14"/>
      <c r="P3" s="14"/>
    </row>
    <row r="4" spans="1:16" ht="14.25" x14ac:dyDescent="0.15">
      <c r="A4" s="11"/>
      <c r="G4" s="15"/>
      <c r="I4" s="268" t="s">
        <v>1191</v>
      </c>
      <c r="J4" s="268"/>
      <c r="K4" s="155"/>
      <c r="L4" s="50" t="s">
        <v>87</v>
      </c>
      <c r="M4" s="155"/>
      <c r="N4" s="51" t="s">
        <v>89</v>
      </c>
    </row>
    <row r="5" spans="1:16" x14ac:dyDescent="0.15">
      <c r="A5" s="11"/>
    </row>
    <row r="6" spans="1:16" x14ac:dyDescent="0.15">
      <c r="A6" s="263" t="s">
        <v>47</v>
      </c>
      <c r="B6" s="263"/>
      <c r="C6" s="263"/>
    </row>
    <row r="7" spans="1:16" x14ac:dyDescent="0.15">
      <c r="A7" s="11"/>
    </row>
    <row r="8" spans="1:16" ht="19.5" customHeight="1" x14ac:dyDescent="0.15">
      <c r="A8" s="11"/>
      <c r="G8" s="267" t="s">
        <v>45</v>
      </c>
      <c r="H8" s="267"/>
      <c r="I8" s="265">
        <f>入力シート!E2</f>
        <v>0</v>
      </c>
      <c r="J8" s="265"/>
      <c r="K8" s="265"/>
      <c r="L8" s="265"/>
      <c r="M8" s="265"/>
      <c r="N8" s="265"/>
      <c r="O8" s="16"/>
    </row>
    <row r="9" spans="1:16" ht="19.5" customHeight="1" x14ac:dyDescent="0.15">
      <c r="A9" s="11"/>
      <c r="G9" s="267" t="s">
        <v>46</v>
      </c>
      <c r="H9" s="267"/>
      <c r="I9" s="266">
        <f>入力シート!M2</f>
        <v>0</v>
      </c>
      <c r="J9" s="266"/>
      <c r="K9" s="266"/>
      <c r="L9" s="266"/>
      <c r="M9" s="266"/>
      <c r="N9" s="266"/>
    </row>
    <row r="10" spans="1:16" ht="9" customHeight="1" x14ac:dyDescent="0.15">
      <c r="A10" s="11"/>
    </row>
    <row r="11" spans="1:16" x14ac:dyDescent="0.15">
      <c r="A11" s="11"/>
      <c r="B11" s="11" t="s">
        <v>54</v>
      </c>
    </row>
    <row r="12" spans="1:16" ht="10.5" customHeight="1" x14ac:dyDescent="0.15"/>
    <row r="13" spans="1:16" ht="21" customHeight="1" x14ac:dyDescent="0.15">
      <c r="A13" s="117"/>
      <c r="B13" s="118"/>
      <c r="C13" s="119"/>
      <c r="D13" s="119"/>
      <c r="E13" s="261" t="s">
        <v>56</v>
      </c>
      <c r="F13" s="262"/>
      <c r="G13" s="262"/>
      <c r="H13" s="262"/>
      <c r="I13" s="262"/>
      <c r="J13" s="262"/>
      <c r="K13" s="262"/>
      <c r="L13" s="262"/>
      <c r="M13" s="262"/>
      <c r="N13" s="120"/>
    </row>
    <row r="14" spans="1:16" ht="33" customHeight="1" x14ac:dyDescent="0.15">
      <c r="A14" s="126" t="s">
        <v>1055</v>
      </c>
      <c r="B14" s="116" t="s">
        <v>1056</v>
      </c>
      <c r="C14" s="127" t="s">
        <v>1057</v>
      </c>
      <c r="D14" s="127" t="s">
        <v>1058</v>
      </c>
      <c r="E14" s="29" t="s">
        <v>57</v>
      </c>
      <c r="F14" s="24" t="s">
        <v>112</v>
      </c>
      <c r="G14" s="24" t="s">
        <v>113</v>
      </c>
      <c r="H14" s="29" t="s">
        <v>114</v>
      </c>
      <c r="I14" s="25" t="s">
        <v>88</v>
      </c>
      <c r="J14" s="25" t="s">
        <v>1073</v>
      </c>
      <c r="K14" s="31" t="s">
        <v>58</v>
      </c>
      <c r="L14" s="29" t="s">
        <v>1082</v>
      </c>
      <c r="M14" s="29" t="s">
        <v>59</v>
      </c>
      <c r="N14" s="128" t="s">
        <v>1054</v>
      </c>
    </row>
    <row r="15" spans="1:16" ht="15" customHeight="1" x14ac:dyDescent="0.15">
      <c r="A15" s="17">
        <v>1</v>
      </c>
      <c r="B15" s="115" t="str">
        <f>IF($A15&gt;MAX(入力シート!$AH$6:$AH$505),"",INDEX(テーブル2[[学年]:[判定]],MATCH(体力優良証交付申請書!$A15,入力シート!$AH$6:$AH$505,0),MATCH(体力優良証交付申請書!B$14,テーブル2[[#Headers],[学年]:[得点]],0)))</f>
        <v/>
      </c>
      <c r="C15" s="115" t="str">
        <f>IF($A15&gt;MAX(入力シート!$AH$6:$AH$505),"",INDEX(テーブル2[[学年]:[判定]],MATCH(体力優良証交付申請書!$A15,入力シート!$AH$6:$AH$505,0),MATCH(体力優良証交付申請書!C$14,テーブル2[[#Headers],[学年]:[得点]],0)))</f>
        <v/>
      </c>
      <c r="D15" s="115" t="str">
        <f>IF($A15&gt;MAX(入力シート!$AH$6:$AH$505),"",INDEX(テーブル2[[学年]:[判定]],MATCH(体力優良証交付申請書!$A15,入力シート!$AH$6:$AH$505,0),MATCH(体力優良証交付申請書!D$14,テーブル2[[#Headers],[学年]:[得点]],0)))</f>
        <v/>
      </c>
      <c r="E15" s="115" t="str">
        <f>IF($A15&gt;MAX(入力シート!$AH$6:$AH$505),"",INDEX(テーブル2[[学年]:[判定]],MATCH(体力優良証交付申請書!$A15,入力シート!$AH$6:$AH$505,0),MATCH(体力優良証交付申請書!E$14,テーブル2[[#Headers],[学年]:[得点]],0)))</f>
        <v/>
      </c>
      <c r="F15" s="115" t="str">
        <f>IF($A15&gt;MAX(入力シート!$AH$6:$AH$505),"",INDEX(テーブル2[[学年]:[判定]],MATCH(体力優良証交付申請書!$A15,入力シート!$AH$6:$AH$505,0),MATCH(体力優良証交付申請書!F$14,テーブル2[[#Headers],[学年]:[得点]],0)))</f>
        <v/>
      </c>
      <c r="G15" s="115" t="str">
        <f>IF($A15&gt;MAX(入力シート!$AH$6:$AH$505),"",INDEX(テーブル2[[学年]:[判定]],MATCH(体力優良証交付申請書!$A15,入力シート!$AH$6:$AH$505,0),MATCH(体力優良証交付申請書!G$14,テーブル2[[#Headers],[学年]:[得点]],0)))</f>
        <v/>
      </c>
      <c r="H15" s="115" t="str">
        <f>IF($A15&gt;MAX(入力シート!$AH$6:$AH$505),"",INDEX(テーブル2[[学年]:[判定]],MATCH(体力優良証交付申請書!$A15,入力シート!$AH$6:$AH$505,0),MATCH(体力優良証交付申請書!H$14,テーブル2[[#Headers],[学年]:[得点]],0)))</f>
        <v/>
      </c>
      <c r="I15" s="115" t="str">
        <f>IF($A15&gt;MAX(入力シート!$AH$6:$AH$505),"",INDEX(テーブル2[[学年]:[判定]],MATCH(体力優良証交付申請書!$A15,入力シート!$AH$6:$AH$505,0),MATCH(体力優良証交付申請書!I$14,テーブル2[[#Headers],[学年]:[得点]],0)))</f>
        <v/>
      </c>
      <c r="J15" s="115" t="str">
        <f>IF($A15&gt;MAX(入力シート!$AH$6:$AH$505),"",INDEX(テーブル2[[学年]:[判定]],MATCH(体力優良証交付申請書!$A15,入力シート!$AH$6:$AH$505,0),MATCH(体力優良証交付申請書!J$14,テーブル2[[#Headers],[学年]:[得点]],0)))</f>
        <v/>
      </c>
      <c r="K15" s="129" t="str">
        <f>IF($A15&gt;MAX(入力シート!$AH$6:$AH$505),"",INDEX(テーブル2[[学年]:[判定]],MATCH(体力優良証交付申請書!$A15,入力シート!$AH$6:$AH$505,0),MATCH(体力優良証交付申請書!K$14,テーブル2[[#Headers],[学年]:[得点]],0)))</f>
        <v/>
      </c>
      <c r="L15" s="115" t="str">
        <f>IF($A15&gt;MAX(入力シート!$AH$6:$AH$505),"",INDEX(テーブル2[[学年]:[判定]],MATCH(体力優良証交付申請書!$A15,入力シート!$AH$6:$AH$505,0),MATCH(体力優良証交付申請書!L$14,テーブル2[[#Headers],[学年]:[得点]],0)))</f>
        <v/>
      </c>
      <c r="M15" s="115" t="str">
        <f>IF($A15&gt;MAX(入力シート!$AH$6:$AH$505),"",INDEX(テーブル2[[学年]:[判定]],MATCH(体力優良証交付申請書!$A15,入力シート!$AH$6:$AH$505,0),MATCH(体力優良証交付申請書!M$14,テーブル2[[#Headers],[学年]:[得点]],0)))</f>
        <v/>
      </c>
      <c r="N15" s="27" t="str">
        <f>IF($A15&gt;MAX(入力シート!$AH$6:$AH$505),"",INDEX(テーブル2[[学年]:[判定]],MATCH(体力優良証交付申請書!$A15,入力シート!$AH$6:$AH$505,0),MATCH(体力優良証交付申請書!N$14,テーブル2[[#Headers],[学年]:[得点]],0)))</f>
        <v/>
      </c>
    </row>
    <row r="16" spans="1:16" ht="15" customHeight="1" x14ac:dyDescent="0.15">
      <c r="A16" s="17">
        <v>2</v>
      </c>
      <c r="B16" s="115" t="str">
        <f>IF($A16&gt;MAX(入力シート!$AH$6:$AH$505),"",INDEX(テーブル2[[学年]:[判定]],MATCH(体力優良証交付申請書!$A16,入力シート!$AH$6:$AH$505,0),MATCH(体力優良証交付申請書!B$14,テーブル2[[#Headers],[学年]:[得点]],0)))</f>
        <v/>
      </c>
      <c r="C16" s="115" t="str">
        <f>IF($A16&gt;MAX(入力シート!$AH$6:$AH$505),"",INDEX(テーブル2[[学年]:[判定]],MATCH(体力優良証交付申請書!$A16,入力シート!$AH$6:$AH$505,0),MATCH(体力優良証交付申請書!C$14,テーブル2[[#Headers],[学年]:[得点]],0)))</f>
        <v/>
      </c>
      <c r="D16" s="115" t="str">
        <f>IF($A16&gt;MAX(入力シート!$AH$6:$AH$505),"",INDEX(テーブル2[[学年]:[判定]],MATCH(体力優良証交付申請書!$A16,入力シート!$AH$6:$AH$505,0),MATCH(体力優良証交付申請書!D$14,テーブル2[[#Headers],[学年]:[得点]],0)))</f>
        <v/>
      </c>
      <c r="E16" s="115" t="str">
        <f>IF($A16&gt;MAX(入力シート!$AH$6:$AH$505),"",INDEX(テーブル2[[学年]:[判定]],MATCH(体力優良証交付申請書!$A16,入力シート!$AH$6:$AH$505,0),MATCH(体力優良証交付申請書!E$14,テーブル2[[#Headers],[学年]:[得点]],0)))</f>
        <v/>
      </c>
      <c r="F16" s="115" t="str">
        <f>IF($A16&gt;MAX(入力シート!$AH$6:$AH$505),"",INDEX(テーブル2[[学年]:[判定]],MATCH(体力優良証交付申請書!$A16,入力シート!$AH$6:$AH$505,0),MATCH(体力優良証交付申請書!F$14,テーブル2[[#Headers],[学年]:[得点]],0)))</f>
        <v/>
      </c>
      <c r="G16" s="115" t="str">
        <f>IF($A16&gt;MAX(入力シート!$AH$6:$AH$505),"",INDEX(テーブル2[[学年]:[判定]],MATCH(体力優良証交付申請書!$A16,入力シート!$AH$6:$AH$505,0),MATCH(体力優良証交付申請書!G$14,テーブル2[[#Headers],[学年]:[得点]],0)))</f>
        <v/>
      </c>
      <c r="H16" s="115" t="str">
        <f>IF($A16&gt;MAX(入力シート!$AH$6:$AH$505),"",INDEX(テーブル2[[学年]:[判定]],MATCH(体力優良証交付申請書!$A16,入力シート!$AH$6:$AH$505,0),MATCH(体力優良証交付申請書!H$14,テーブル2[[#Headers],[学年]:[得点]],0)))</f>
        <v/>
      </c>
      <c r="I16" s="115" t="str">
        <f>IF($A16&gt;MAX(入力シート!$AH$6:$AH$505),"",INDEX(テーブル2[[学年]:[判定]],MATCH(体力優良証交付申請書!$A16,入力シート!$AH$6:$AH$505,0),MATCH(体力優良証交付申請書!I$14,テーブル2[[#Headers],[学年]:[得点]],0)))</f>
        <v/>
      </c>
      <c r="J16" s="115" t="str">
        <f>IF($A16&gt;MAX(入力シート!$AH$6:$AH$505),"",INDEX(テーブル2[[学年]:[判定]],MATCH(体力優良証交付申請書!$A16,入力シート!$AH$6:$AH$505,0),MATCH(体力優良証交付申請書!J$14,テーブル2[[#Headers],[学年]:[得点]],0)))</f>
        <v/>
      </c>
      <c r="K16" s="129" t="str">
        <f>IF($A16&gt;MAX(入力シート!$AH$6:$AH$505),"",INDEX(テーブル2[[学年]:[判定]],MATCH(体力優良証交付申請書!$A16,入力シート!$AH$6:$AH$505,0),MATCH(体力優良証交付申請書!K$14,テーブル2[[#Headers],[学年]:[得点]],0)))</f>
        <v/>
      </c>
      <c r="L16" s="115" t="str">
        <f>IF($A16&gt;MAX(入力シート!$AH$6:$AH$505),"",INDEX(テーブル2[[学年]:[判定]],MATCH(体力優良証交付申請書!$A16,入力シート!$AH$6:$AH$505,0),MATCH(体力優良証交付申請書!L$14,テーブル2[[#Headers],[学年]:[得点]],0)))</f>
        <v/>
      </c>
      <c r="M16" s="115" t="str">
        <f>IF($A16&gt;MAX(入力シート!$AH$6:$AH$505),"",INDEX(テーブル2[[学年]:[判定]],MATCH(体力優良証交付申請書!$A16,入力シート!$AH$6:$AH$505,0),MATCH(体力優良証交付申請書!M$14,テーブル2[[#Headers],[学年]:[得点]],0)))</f>
        <v/>
      </c>
      <c r="N16" s="27" t="str">
        <f>IF($A16&gt;MAX(入力シート!$AH$6:$AH$505),"",INDEX(テーブル2[[学年]:[判定]],MATCH(体力優良証交付申請書!$A16,入力シート!$AH$6:$AH$505,0),MATCH(体力優良証交付申請書!N$14,テーブル2[[#Headers],[学年]:[得点]],0)))</f>
        <v/>
      </c>
    </row>
    <row r="17" spans="1:14" ht="15" customHeight="1" x14ac:dyDescent="0.15">
      <c r="A17" s="17">
        <v>3</v>
      </c>
      <c r="B17" s="115" t="str">
        <f>IF($A17&gt;MAX(入力シート!$AH$6:$AH$505),"",INDEX(テーブル2[[学年]:[判定]],MATCH(体力優良証交付申請書!$A17,入力シート!$AH$6:$AH$505,0),MATCH(体力優良証交付申請書!B$14,テーブル2[[#Headers],[学年]:[得点]],0)))</f>
        <v/>
      </c>
      <c r="C17" s="115" t="str">
        <f>IF($A17&gt;MAX(入力シート!$AH$6:$AH$505),"",INDEX(テーブル2[[学年]:[判定]],MATCH(体力優良証交付申請書!$A17,入力シート!$AH$6:$AH$505,0),MATCH(体力優良証交付申請書!C$14,テーブル2[[#Headers],[学年]:[得点]],0)))</f>
        <v/>
      </c>
      <c r="D17" s="115" t="str">
        <f>IF($A17&gt;MAX(入力シート!$AH$6:$AH$505),"",INDEX(テーブル2[[学年]:[判定]],MATCH(体力優良証交付申請書!$A17,入力シート!$AH$6:$AH$505,0),MATCH(体力優良証交付申請書!D$14,テーブル2[[#Headers],[学年]:[得点]],0)))</f>
        <v/>
      </c>
      <c r="E17" s="115" t="str">
        <f>IF($A17&gt;MAX(入力シート!$AH$6:$AH$505),"",INDEX(テーブル2[[学年]:[判定]],MATCH(体力優良証交付申請書!$A17,入力シート!$AH$6:$AH$505,0),MATCH(体力優良証交付申請書!E$14,テーブル2[[#Headers],[学年]:[得点]],0)))</f>
        <v/>
      </c>
      <c r="F17" s="115" t="str">
        <f>IF($A17&gt;MAX(入力シート!$AH$6:$AH$505),"",INDEX(テーブル2[[学年]:[判定]],MATCH(体力優良証交付申請書!$A17,入力シート!$AH$6:$AH$505,0),MATCH(体力優良証交付申請書!F$14,テーブル2[[#Headers],[学年]:[得点]],0)))</f>
        <v/>
      </c>
      <c r="G17" s="115" t="str">
        <f>IF($A17&gt;MAX(入力シート!$AH$6:$AH$505),"",INDEX(テーブル2[[学年]:[判定]],MATCH(体力優良証交付申請書!$A17,入力シート!$AH$6:$AH$505,0),MATCH(体力優良証交付申請書!G$14,テーブル2[[#Headers],[学年]:[得点]],0)))</f>
        <v/>
      </c>
      <c r="H17" s="115" t="str">
        <f>IF($A17&gt;MAX(入力シート!$AH$6:$AH$505),"",INDEX(テーブル2[[学年]:[判定]],MATCH(体力優良証交付申請書!$A17,入力シート!$AH$6:$AH$505,0),MATCH(体力優良証交付申請書!H$14,テーブル2[[#Headers],[学年]:[得点]],0)))</f>
        <v/>
      </c>
      <c r="I17" s="115" t="str">
        <f>IF($A17&gt;MAX(入力シート!$AH$6:$AH$505),"",INDEX(テーブル2[[学年]:[判定]],MATCH(体力優良証交付申請書!$A17,入力シート!$AH$6:$AH$505,0),MATCH(体力優良証交付申請書!I$14,テーブル2[[#Headers],[学年]:[得点]],0)))</f>
        <v/>
      </c>
      <c r="J17" s="115" t="str">
        <f>IF($A17&gt;MAX(入力シート!$AH$6:$AH$505),"",INDEX(テーブル2[[学年]:[判定]],MATCH(体力優良証交付申請書!$A17,入力シート!$AH$6:$AH$505,0),MATCH(体力優良証交付申請書!J$14,テーブル2[[#Headers],[学年]:[得点]],0)))</f>
        <v/>
      </c>
      <c r="K17" s="129" t="str">
        <f>IF($A17&gt;MAX(入力シート!$AH$6:$AH$505),"",INDEX(テーブル2[[学年]:[判定]],MATCH(体力優良証交付申請書!$A17,入力シート!$AH$6:$AH$505,0),MATCH(体力優良証交付申請書!K$14,テーブル2[[#Headers],[学年]:[得点]],0)))</f>
        <v/>
      </c>
      <c r="L17" s="115" t="str">
        <f>IF($A17&gt;MAX(入力シート!$AH$6:$AH$505),"",INDEX(テーブル2[[学年]:[判定]],MATCH(体力優良証交付申請書!$A17,入力シート!$AH$6:$AH$505,0),MATCH(体力優良証交付申請書!L$14,テーブル2[[#Headers],[学年]:[得点]],0)))</f>
        <v/>
      </c>
      <c r="M17" s="115" t="str">
        <f>IF($A17&gt;MAX(入力シート!$AH$6:$AH$505),"",INDEX(テーブル2[[学年]:[判定]],MATCH(体力優良証交付申請書!$A17,入力シート!$AH$6:$AH$505,0),MATCH(体力優良証交付申請書!M$14,テーブル2[[#Headers],[学年]:[得点]],0)))</f>
        <v/>
      </c>
      <c r="N17" s="27" t="str">
        <f>IF($A17&gt;MAX(入力シート!$AH$6:$AH$505),"",INDEX(テーブル2[[学年]:[判定]],MATCH(体力優良証交付申請書!$A17,入力シート!$AH$6:$AH$505,0),MATCH(体力優良証交付申請書!N$14,テーブル2[[#Headers],[学年]:[得点]],0)))</f>
        <v/>
      </c>
    </row>
    <row r="18" spans="1:14" ht="15" customHeight="1" x14ac:dyDescent="0.15">
      <c r="A18" s="17">
        <v>4</v>
      </c>
      <c r="B18" s="115" t="str">
        <f>IF($A18&gt;MAX(入力シート!$AH$6:$AH$505),"",INDEX(テーブル2[[学年]:[判定]],MATCH(体力優良証交付申請書!$A18,入力シート!$AH$6:$AH$505,0),MATCH(体力優良証交付申請書!B$14,テーブル2[[#Headers],[学年]:[得点]],0)))</f>
        <v/>
      </c>
      <c r="C18" s="115" t="str">
        <f>IF($A18&gt;MAX(入力シート!$AH$6:$AH$505),"",INDEX(テーブル2[[学年]:[判定]],MATCH(体力優良証交付申請書!$A18,入力シート!$AH$6:$AH$505,0),MATCH(体力優良証交付申請書!C$14,テーブル2[[#Headers],[学年]:[得点]],0)))</f>
        <v/>
      </c>
      <c r="D18" s="115" t="str">
        <f>IF($A18&gt;MAX(入力シート!$AH$6:$AH$505),"",INDEX(テーブル2[[学年]:[判定]],MATCH(体力優良証交付申請書!$A18,入力シート!$AH$6:$AH$505,0),MATCH(体力優良証交付申請書!D$14,テーブル2[[#Headers],[学年]:[得点]],0)))</f>
        <v/>
      </c>
      <c r="E18" s="115" t="str">
        <f>IF($A18&gt;MAX(入力シート!$AH$6:$AH$505),"",INDEX(テーブル2[[学年]:[判定]],MATCH(体力優良証交付申請書!$A18,入力シート!$AH$6:$AH$505,0),MATCH(体力優良証交付申請書!E$14,テーブル2[[#Headers],[学年]:[得点]],0)))</f>
        <v/>
      </c>
      <c r="F18" s="115" t="str">
        <f>IF($A18&gt;MAX(入力シート!$AH$6:$AH$505),"",INDEX(テーブル2[[学年]:[判定]],MATCH(体力優良証交付申請書!$A18,入力シート!$AH$6:$AH$505,0),MATCH(体力優良証交付申請書!F$14,テーブル2[[#Headers],[学年]:[得点]],0)))</f>
        <v/>
      </c>
      <c r="G18" s="115" t="str">
        <f>IF($A18&gt;MAX(入力シート!$AH$6:$AH$505),"",INDEX(テーブル2[[学年]:[判定]],MATCH(体力優良証交付申請書!$A18,入力シート!$AH$6:$AH$505,0),MATCH(体力優良証交付申請書!G$14,テーブル2[[#Headers],[学年]:[得点]],0)))</f>
        <v/>
      </c>
      <c r="H18" s="115" t="str">
        <f>IF($A18&gt;MAX(入力シート!$AH$6:$AH$505),"",INDEX(テーブル2[[学年]:[判定]],MATCH(体力優良証交付申請書!$A18,入力シート!$AH$6:$AH$505,0),MATCH(体力優良証交付申請書!H$14,テーブル2[[#Headers],[学年]:[得点]],0)))</f>
        <v/>
      </c>
      <c r="I18" s="115" t="str">
        <f>IF($A18&gt;MAX(入力シート!$AH$6:$AH$505),"",INDEX(テーブル2[[学年]:[判定]],MATCH(体力優良証交付申請書!$A18,入力シート!$AH$6:$AH$505,0),MATCH(体力優良証交付申請書!I$14,テーブル2[[#Headers],[学年]:[得点]],0)))</f>
        <v/>
      </c>
      <c r="J18" s="115" t="str">
        <f>IF($A18&gt;MAX(入力シート!$AH$6:$AH$505),"",INDEX(テーブル2[[学年]:[判定]],MATCH(体力優良証交付申請書!$A18,入力シート!$AH$6:$AH$505,0),MATCH(体力優良証交付申請書!J$14,テーブル2[[#Headers],[学年]:[得点]],0)))</f>
        <v/>
      </c>
      <c r="K18" s="129" t="str">
        <f>IF($A18&gt;MAX(入力シート!$AH$6:$AH$505),"",INDEX(テーブル2[[学年]:[判定]],MATCH(体力優良証交付申請書!$A18,入力シート!$AH$6:$AH$505,0),MATCH(体力優良証交付申請書!K$14,テーブル2[[#Headers],[学年]:[得点]],0)))</f>
        <v/>
      </c>
      <c r="L18" s="115" t="str">
        <f>IF($A18&gt;MAX(入力シート!$AH$6:$AH$505),"",INDEX(テーブル2[[学年]:[判定]],MATCH(体力優良証交付申請書!$A18,入力シート!$AH$6:$AH$505,0),MATCH(体力優良証交付申請書!L$14,テーブル2[[#Headers],[学年]:[得点]],0)))</f>
        <v/>
      </c>
      <c r="M18" s="115" t="str">
        <f>IF($A18&gt;MAX(入力シート!$AH$6:$AH$505),"",INDEX(テーブル2[[学年]:[判定]],MATCH(体力優良証交付申請書!$A18,入力シート!$AH$6:$AH$505,0),MATCH(体力優良証交付申請書!M$14,テーブル2[[#Headers],[学年]:[得点]],0)))</f>
        <v/>
      </c>
      <c r="N18" s="27" t="str">
        <f>IF($A18&gt;MAX(入力シート!$AH$6:$AH$505),"",INDEX(テーブル2[[学年]:[判定]],MATCH(体力優良証交付申請書!$A18,入力シート!$AH$6:$AH$505,0),MATCH(体力優良証交付申請書!N$14,テーブル2[[#Headers],[学年]:[得点]],0)))</f>
        <v/>
      </c>
    </row>
    <row r="19" spans="1:14" ht="15" customHeight="1" x14ac:dyDescent="0.15">
      <c r="A19" s="17">
        <v>5</v>
      </c>
      <c r="B19" s="115" t="str">
        <f>IF($A19&gt;MAX(入力シート!$AH$6:$AH$505),"",INDEX(テーブル2[[学年]:[判定]],MATCH(体力優良証交付申請書!$A19,入力シート!$AH$6:$AH$505,0),MATCH(体力優良証交付申請書!B$14,テーブル2[[#Headers],[学年]:[得点]],0)))</f>
        <v/>
      </c>
      <c r="C19" s="115" t="str">
        <f>IF($A19&gt;MAX(入力シート!$AH$6:$AH$505),"",INDEX(テーブル2[[学年]:[判定]],MATCH(体力優良証交付申請書!$A19,入力シート!$AH$6:$AH$505,0),MATCH(体力優良証交付申請書!C$14,テーブル2[[#Headers],[学年]:[得点]],0)))</f>
        <v/>
      </c>
      <c r="D19" s="115" t="str">
        <f>IF($A19&gt;MAX(入力シート!$AH$6:$AH$505),"",INDEX(テーブル2[[学年]:[判定]],MATCH(体力優良証交付申請書!$A19,入力シート!$AH$6:$AH$505,0),MATCH(体力優良証交付申請書!D$14,テーブル2[[#Headers],[学年]:[得点]],0)))</f>
        <v/>
      </c>
      <c r="E19" s="115" t="str">
        <f>IF($A19&gt;MAX(入力シート!$AH$6:$AH$505),"",INDEX(テーブル2[[学年]:[判定]],MATCH(体力優良証交付申請書!$A19,入力シート!$AH$6:$AH$505,0),MATCH(体力優良証交付申請書!E$14,テーブル2[[#Headers],[学年]:[得点]],0)))</f>
        <v/>
      </c>
      <c r="F19" s="115" t="str">
        <f>IF($A19&gt;MAX(入力シート!$AH$6:$AH$505),"",INDEX(テーブル2[[学年]:[判定]],MATCH(体力優良証交付申請書!$A19,入力シート!$AH$6:$AH$505,0),MATCH(体力優良証交付申請書!F$14,テーブル2[[#Headers],[学年]:[得点]],0)))</f>
        <v/>
      </c>
      <c r="G19" s="115" t="str">
        <f>IF($A19&gt;MAX(入力シート!$AH$6:$AH$505),"",INDEX(テーブル2[[学年]:[判定]],MATCH(体力優良証交付申請書!$A19,入力シート!$AH$6:$AH$505,0),MATCH(体力優良証交付申請書!G$14,テーブル2[[#Headers],[学年]:[得点]],0)))</f>
        <v/>
      </c>
      <c r="H19" s="115" t="str">
        <f>IF($A19&gt;MAX(入力シート!$AH$6:$AH$505),"",INDEX(テーブル2[[学年]:[判定]],MATCH(体力優良証交付申請書!$A19,入力シート!$AH$6:$AH$505,0),MATCH(体力優良証交付申請書!H$14,テーブル2[[#Headers],[学年]:[得点]],0)))</f>
        <v/>
      </c>
      <c r="I19" s="115" t="str">
        <f>IF($A19&gt;MAX(入力シート!$AH$6:$AH$505),"",INDEX(テーブル2[[学年]:[判定]],MATCH(体力優良証交付申請書!$A19,入力シート!$AH$6:$AH$505,0),MATCH(体力優良証交付申請書!I$14,テーブル2[[#Headers],[学年]:[得点]],0)))</f>
        <v/>
      </c>
      <c r="J19" s="115" t="str">
        <f>IF($A19&gt;MAX(入力シート!$AH$6:$AH$505),"",INDEX(テーブル2[[学年]:[判定]],MATCH(体力優良証交付申請書!$A19,入力シート!$AH$6:$AH$505,0),MATCH(体力優良証交付申請書!J$14,テーブル2[[#Headers],[学年]:[得点]],0)))</f>
        <v/>
      </c>
      <c r="K19" s="129" t="str">
        <f>IF($A19&gt;MAX(入力シート!$AH$6:$AH$505),"",INDEX(テーブル2[[学年]:[判定]],MATCH(体力優良証交付申請書!$A19,入力シート!$AH$6:$AH$505,0),MATCH(体力優良証交付申請書!K$14,テーブル2[[#Headers],[学年]:[得点]],0)))</f>
        <v/>
      </c>
      <c r="L19" s="115" t="str">
        <f>IF($A19&gt;MAX(入力シート!$AH$6:$AH$505),"",INDEX(テーブル2[[学年]:[判定]],MATCH(体力優良証交付申請書!$A19,入力シート!$AH$6:$AH$505,0),MATCH(体力優良証交付申請書!L$14,テーブル2[[#Headers],[学年]:[得点]],0)))</f>
        <v/>
      </c>
      <c r="M19" s="115" t="str">
        <f>IF($A19&gt;MAX(入力シート!$AH$6:$AH$505),"",INDEX(テーブル2[[学年]:[判定]],MATCH(体力優良証交付申請書!$A19,入力シート!$AH$6:$AH$505,0),MATCH(体力優良証交付申請書!M$14,テーブル2[[#Headers],[学年]:[得点]],0)))</f>
        <v/>
      </c>
      <c r="N19" s="27" t="str">
        <f>IF($A19&gt;MAX(入力シート!$AH$6:$AH$505),"",INDEX(テーブル2[[学年]:[判定]],MATCH(体力優良証交付申請書!$A19,入力シート!$AH$6:$AH$505,0),MATCH(体力優良証交付申請書!N$14,テーブル2[[#Headers],[学年]:[得点]],0)))</f>
        <v/>
      </c>
    </row>
    <row r="20" spans="1:14" ht="15" customHeight="1" x14ac:dyDescent="0.15">
      <c r="A20" s="17">
        <v>6</v>
      </c>
      <c r="B20" s="115" t="str">
        <f>IF($A20&gt;MAX(入力シート!$AH$6:$AH$505),"",INDEX(テーブル2[[学年]:[判定]],MATCH(体力優良証交付申請書!$A20,入力シート!$AH$6:$AH$505,0),MATCH(体力優良証交付申請書!B$14,テーブル2[[#Headers],[学年]:[得点]],0)))</f>
        <v/>
      </c>
      <c r="C20" s="115" t="str">
        <f>IF($A20&gt;MAX(入力シート!$AH$6:$AH$505),"",INDEX(テーブル2[[学年]:[判定]],MATCH(体力優良証交付申請書!$A20,入力シート!$AH$6:$AH$505,0),MATCH(体力優良証交付申請書!C$14,テーブル2[[#Headers],[学年]:[得点]],0)))</f>
        <v/>
      </c>
      <c r="D20" s="115" t="str">
        <f>IF($A20&gt;MAX(入力シート!$AH$6:$AH$505),"",INDEX(テーブル2[[学年]:[判定]],MATCH(体力優良証交付申請書!$A20,入力シート!$AH$6:$AH$505,0),MATCH(体力優良証交付申請書!D$14,テーブル2[[#Headers],[学年]:[得点]],0)))</f>
        <v/>
      </c>
      <c r="E20" s="115" t="str">
        <f>IF($A20&gt;MAX(入力シート!$AH$6:$AH$505),"",INDEX(テーブル2[[学年]:[判定]],MATCH(体力優良証交付申請書!$A20,入力シート!$AH$6:$AH$505,0),MATCH(体力優良証交付申請書!E$14,テーブル2[[#Headers],[学年]:[得点]],0)))</f>
        <v/>
      </c>
      <c r="F20" s="115" t="str">
        <f>IF($A20&gt;MAX(入力シート!$AH$6:$AH$505),"",INDEX(テーブル2[[学年]:[判定]],MATCH(体力優良証交付申請書!$A20,入力シート!$AH$6:$AH$505,0),MATCH(体力優良証交付申請書!F$14,テーブル2[[#Headers],[学年]:[得点]],0)))</f>
        <v/>
      </c>
      <c r="G20" s="115" t="str">
        <f>IF($A20&gt;MAX(入力シート!$AH$6:$AH$505),"",INDEX(テーブル2[[学年]:[判定]],MATCH(体力優良証交付申請書!$A20,入力シート!$AH$6:$AH$505,0),MATCH(体力優良証交付申請書!G$14,テーブル2[[#Headers],[学年]:[得点]],0)))</f>
        <v/>
      </c>
      <c r="H20" s="115" t="str">
        <f>IF($A20&gt;MAX(入力シート!$AH$6:$AH$505),"",INDEX(テーブル2[[学年]:[判定]],MATCH(体力優良証交付申請書!$A20,入力シート!$AH$6:$AH$505,0),MATCH(体力優良証交付申請書!H$14,テーブル2[[#Headers],[学年]:[得点]],0)))</f>
        <v/>
      </c>
      <c r="I20" s="115" t="str">
        <f>IF($A20&gt;MAX(入力シート!$AH$6:$AH$505),"",INDEX(テーブル2[[学年]:[判定]],MATCH(体力優良証交付申請書!$A20,入力シート!$AH$6:$AH$505,0),MATCH(体力優良証交付申請書!I$14,テーブル2[[#Headers],[学年]:[得点]],0)))</f>
        <v/>
      </c>
      <c r="J20" s="115" t="str">
        <f>IF($A20&gt;MAX(入力シート!$AH$6:$AH$505),"",INDEX(テーブル2[[学年]:[判定]],MATCH(体力優良証交付申請書!$A20,入力シート!$AH$6:$AH$505,0),MATCH(体力優良証交付申請書!J$14,テーブル2[[#Headers],[学年]:[得点]],0)))</f>
        <v/>
      </c>
      <c r="K20" s="129" t="str">
        <f>IF($A20&gt;MAX(入力シート!$AH$6:$AH$505),"",INDEX(テーブル2[[学年]:[判定]],MATCH(体力優良証交付申請書!$A20,入力シート!$AH$6:$AH$505,0),MATCH(体力優良証交付申請書!K$14,テーブル2[[#Headers],[学年]:[得点]],0)))</f>
        <v/>
      </c>
      <c r="L20" s="115" t="str">
        <f>IF($A20&gt;MAX(入力シート!$AH$6:$AH$505),"",INDEX(テーブル2[[学年]:[判定]],MATCH(体力優良証交付申請書!$A20,入力シート!$AH$6:$AH$505,0),MATCH(体力優良証交付申請書!L$14,テーブル2[[#Headers],[学年]:[得点]],0)))</f>
        <v/>
      </c>
      <c r="M20" s="115" t="str">
        <f>IF($A20&gt;MAX(入力シート!$AH$6:$AH$505),"",INDEX(テーブル2[[学年]:[判定]],MATCH(体力優良証交付申請書!$A20,入力シート!$AH$6:$AH$505,0),MATCH(体力優良証交付申請書!M$14,テーブル2[[#Headers],[学年]:[得点]],0)))</f>
        <v/>
      </c>
      <c r="N20" s="27" t="str">
        <f>IF($A20&gt;MAX(入力シート!$AH$6:$AH$505),"",INDEX(テーブル2[[学年]:[判定]],MATCH(体力優良証交付申請書!$A20,入力シート!$AH$6:$AH$505,0),MATCH(体力優良証交付申請書!N$14,テーブル2[[#Headers],[学年]:[得点]],0)))</f>
        <v/>
      </c>
    </row>
    <row r="21" spans="1:14" ht="15" customHeight="1" x14ac:dyDescent="0.15">
      <c r="A21" s="17">
        <v>7</v>
      </c>
      <c r="B21" s="115" t="str">
        <f>IF($A21&gt;MAX(入力シート!$AH$6:$AH$505),"",INDEX(テーブル2[[学年]:[判定]],MATCH(体力優良証交付申請書!$A21,入力シート!$AH$6:$AH$505,0),MATCH(体力優良証交付申請書!B$14,テーブル2[[#Headers],[学年]:[得点]],0)))</f>
        <v/>
      </c>
      <c r="C21" s="115" t="str">
        <f>IF($A21&gt;MAX(入力シート!$AH$6:$AH$505),"",INDEX(テーブル2[[学年]:[判定]],MATCH(体力優良証交付申請書!$A21,入力シート!$AH$6:$AH$505,0),MATCH(体力優良証交付申請書!C$14,テーブル2[[#Headers],[学年]:[得点]],0)))</f>
        <v/>
      </c>
      <c r="D21" s="115" t="str">
        <f>IF($A21&gt;MAX(入力シート!$AH$6:$AH$505),"",INDEX(テーブル2[[学年]:[判定]],MATCH(体力優良証交付申請書!$A21,入力シート!$AH$6:$AH$505,0),MATCH(体力優良証交付申請書!D$14,テーブル2[[#Headers],[学年]:[得点]],0)))</f>
        <v/>
      </c>
      <c r="E21" s="115" t="str">
        <f>IF($A21&gt;MAX(入力シート!$AH$6:$AH$505),"",INDEX(テーブル2[[学年]:[判定]],MATCH(体力優良証交付申請書!$A21,入力シート!$AH$6:$AH$505,0),MATCH(体力優良証交付申請書!E$14,テーブル2[[#Headers],[学年]:[得点]],0)))</f>
        <v/>
      </c>
      <c r="F21" s="115" t="str">
        <f>IF($A21&gt;MAX(入力シート!$AH$6:$AH$505),"",INDEX(テーブル2[[学年]:[判定]],MATCH(体力優良証交付申請書!$A21,入力シート!$AH$6:$AH$505,0),MATCH(体力優良証交付申請書!F$14,テーブル2[[#Headers],[学年]:[得点]],0)))</f>
        <v/>
      </c>
      <c r="G21" s="115" t="str">
        <f>IF($A21&gt;MAX(入力シート!$AH$6:$AH$505),"",INDEX(テーブル2[[学年]:[判定]],MATCH(体力優良証交付申請書!$A21,入力シート!$AH$6:$AH$505,0),MATCH(体力優良証交付申請書!G$14,テーブル2[[#Headers],[学年]:[得点]],0)))</f>
        <v/>
      </c>
      <c r="H21" s="115" t="str">
        <f>IF($A21&gt;MAX(入力シート!$AH$6:$AH$505),"",INDEX(テーブル2[[学年]:[判定]],MATCH(体力優良証交付申請書!$A21,入力シート!$AH$6:$AH$505,0),MATCH(体力優良証交付申請書!H$14,テーブル2[[#Headers],[学年]:[得点]],0)))</f>
        <v/>
      </c>
      <c r="I21" s="115" t="str">
        <f>IF($A21&gt;MAX(入力シート!$AH$6:$AH$505),"",INDEX(テーブル2[[学年]:[判定]],MATCH(体力優良証交付申請書!$A21,入力シート!$AH$6:$AH$505,0),MATCH(体力優良証交付申請書!I$14,テーブル2[[#Headers],[学年]:[得点]],0)))</f>
        <v/>
      </c>
      <c r="J21" s="115" t="str">
        <f>IF($A21&gt;MAX(入力シート!$AH$6:$AH$505),"",INDEX(テーブル2[[学年]:[判定]],MATCH(体力優良証交付申請書!$A21,入力シート!$AH$6:$AH$505,0),MATCH(体力優良証交付申請書!J$14,テーブル2[[#Headers],[学年]:[得点]],0)))</f>
        <v/>
      </c>
      <c r="K21" s="129" t="str">
        <f>IF($A21&gt;MAX(入力シート!$AH$6:$AH$505),"",INDEX(テーブル2[[学年]:[判定]],MATCH(体力優良証交付申請書!$A21,入力シート!$AH$6:$AH$505,0),MATCH(体力優良証交付申請書!K$14,テーブル2[[#Headers],[学年]:[得点]],0)))</f>
        <v/>
      </c>
      <c r="L21" s="115" t="str">
        <f>IF($A21&gt;MAX(入力シート!$AH$6:$AH$505),"",INDEX(テーブル2[[学年]:[判定]],MATCH(体力優良証交付申請書!$A21,入力シート!$AH$6:$AH$505,0),MATCH(体力優良証交付申請書!L$14,テーブル2[[#Headers],[学年]:[得点]],0)))</f>
        <v/>
      </c>
      <c r="M21" s="115" t="str">
        <f>IF($A21&gt;MAX(入力シート!$AH$6:$AH$505),"",INDEX(テーブル2[[学年]:[判定]],MATCH(体力優良証交付申請書!$A21,入力シート!$AH$6:$AH$505,0),MATCH(体力優良証交付申請書!M$14,テーブル2[[#Headers],[学年]:[得点]],0)))</f>
        <v/>
      </c>
      <c r="N21" s="27" t="str">
        <f>IF($A21&gt;MAX(入力シート!$AH$6:$AH$505),"",INDEX(テーブル2[[学年]:[判定]],MATCH(体力優良証交付申請書!$A21,入力シート!$AH$6:$AH$505,0),MATCH(体力優良証交付申請書!N$14,テーブル2[[#Headers],[学年]:[得点]],0)))</f>
        <v/>
      </c>
    </row>
    <row r="22" spans="1:14" ht="15" customHeight="1" x14ac:dyDescent="0.15">
      <c r="A22" s="17">
        <v>8</v>
      </c>
      <c r="B22" s="115" t="str">
        <f>IF($A22&gt;MAX(入力シート!$AH$6:$AH$505),"",INDEX(テーブル2[[学年]:[判定]],MATCH(体力優良証交付申請書!$A22,入力シート!$AH$6:$AH$505,0),MATCH(体力優良証交付申請書!B$14,テーブル2[[#Headers],[学年]:[得点]],0)))</f>
        <v/>
      </c>
      <c r="C22" s="115" t="str">
        <f>IF($A22&gt;MAX(入力シート!$AH$6:$AH$505),"",INDEX(テーブル2[[学年]:[判定]],MATCH(体力優良証交付申請書!$A22,入力シート!$AH$6:$AH$505,0),MATCH(体力優良証交付申請書!C$14,テーブル2[[#Headers],[学年]:[得点]],0)))</f>
        <v/>
      </c>
      <c r="D22" s="115" t="str">
        <f>IF($A22&gt;MAX(入力シート!$AH$6:$AH$505),"",INDEX(テーブル2[[学年]:[判定]],MATCH(体力優良証交付申請書!$A22,入力シート!$AH$6:$AH$505,0),MATCH(体力優良証交付申請書!D$14,テーブル2[[#Headers],[学年]:[得点]],0)))</f>
        <v/>
      </c>
      <c r="E22" s="115" t="str">
        <f>IF($A22&gt;MAX(入力シート!$AH$6:$AH$505),"",INDEX(テーブル2[[学年]:[判定]],MATCH(体力優良証交付申請書!$A22,入力シート!$AH$6:$AH$505,0),MATCH(体力優良証交付申請書!E$14,テーブル2[[#Headers],[学年]:[得点]],0)))</f>
        <v/>
      </c>
      <c r="F22" s="115" t="str">
        <f>IF($A22&gt;MAX(入力シート!$AH$6:$AH$505),"",INDEX(テーブル2[[学年]:[判定]],MATCH(体力優良証交付申請書!$A22,入力シート!$AH$6:$AH$505,0),MATCH(体力優良証交付申請書!F$14,テーブル2[[#Headers],[学年]:[得点]],0)))</f>
        <v/>
      </c>
      <c r="G22" s="115" t="str">
        <f>IF($A22&gt;MAX(入力シート!$AH$6:$AH$505),"",INDEX(テーブル2[[学年]:[判定]],MATCH(体力優良証交付申請書!$A22,入力シート!$AH$6:$AH$505,0),MATCH(体力優良証交付申請書!G$14,テーブル2[[#Headers],[学年]:[得点]],0)))</f>
        <v/>
      </c>
      <c r="H22" s="115" t="str">
        <f>IF($A22&gt;MAX(入力シート!$AH$6:$AH$505),"",INDEX(テーブル2[[学年]:[判定]],MATCH(体力優良証交付申請書!$A22,入力シート!$AH$6:$AH$505,0),MATCH(体力優良証交付申請書!H$14,テーブル2[[#Headers],[学年]:[得点]],0)))</f>
        <v/>
      </c>
      <c r="I22" s="115" t="str">
        <f>IF($A22&gt;MAX(入力シート!$AH$6:$AH$505),"",INDEX(テーブル2[[学年]:[判定]],MATCH(体力優良証交付申請書!$A22,入力シート!$AH$6:$AH$505,0),MATCH(体力優良証交付申請書!I$14,テーブル2[[#Headers],[学年]:[得点]],0)))</f>
        <v/>
      </c>
      <c r="J22" s="115" t="str">
        <f>IF($A22&gt;MAX(入力シート!$AH$6:$AH$505),"",INDEX(テーブル2[[学年]:[判定]],MATCH(体力優良証交付申請書!$A22,入力シート!$AH$6:$AH$505,0),MATCH(体力優良証交付申請書!J$14,テーブル2[[#Headers],[学年]:[得点]],0)))</f>
        <v/>
      </c>
      <c r="K22" s="129" t="str">
        <f>IF($A22&gt;MAX(入力シート!$AH$6:$AH$505),"",INDEX(テーブル2[[学年]:[判定]],MATCH(体力優良証交付申請書!$A22,入力シート!$AH$6:$AH$505,0),MATCH(体力優良証交付申請書!K$14,テーブル2[[#Headers],[学年]:[得点]],0)))</f>
        <v/>
      </c>
      <c r="L22" s="115" t="str">
        <f>IF($A22&gt;MAX(入力シート!$AH$6:$AH$505),"",INDEX(テーブル2[[学年]:[判定]],MATCH(体力優良証交付申請書!$A22,入力シート!$AH$6:$AH$505,0),MATCH(体力優良証交付申請書!L$14,テーブル2[[#Headers],[学年]:[得点]],0)))</f>
        <v/>
      </c>
      <c r="M22" s="115" t="str">
        <f>IF($A22&gt;MAX(入力シート!$AH$6:$AH$505),"",INDEX(テーブル2[[学年]:[判定]],MATCH(体力優良証交付申請書!$A22,入力シート!$AH$6:$AH$505,0),MATCH(体力優良証交付申請書!M$14,テーブル2[[#Headers],[学年]:[得点]],0)))</f>
        <v/>
      </c>
      <c r="N22" s="27" t="str">
        <f>IF($A22&gt;MAX(入力シート!$AH$6:$AH$505),"",INDEX(テーブル2[[学年]:[判定]],MATCH(体力優良証交付申請書!$A22,入力シート!$AH$6:$AH$505,0),MATCH(体力優良証交付申請書!N$14,テーブル2[[#Headers],[学年]:[得点]],0)))</f>
        <v/>
      </c>
    </row>
    <row r="23" spans="1:14" ht="15" customHeight="1" x14ac:dyDescent="0.15">
      <c r="A23" s="17">
        <v>9</v>
      </c>
      <c r="B23" s="115" t="str">
        <f>IF($A23&gt;MAX(入力シート!$AH$6:$AH$505),"",INDEX(テーブル2[[学年]:[判定]],MATCH(体力優良証交付申請書!$A23,入力シート!$AH$6:$AH$505,0),MATCH(体力優良証交付申請書!B$14,テーブル2[[#Headers],[学年]:[得点]],0)))</f>
        <v/>
      </c>
      <c r="C23" s="115" t="str">
        <f>IF($A23&gt;MAX(入力シート!$AH$6:$AH$505),"",INDEX(テーブル2[[学年]:[判定]],MATCH(体力優良証交付申請書!$A23,入力シート!$AH$6:$AH$505,0),MATCH(体力優良証交付申請書!C$14,テーブル2[[#Headers],[学年]:[得点]],0)))</f>
        <v/>
      </c>
      <c r="D23" s="115" t="str">
        <f>IF($A23&gt;MAX(入力シート!$AH$6:$AH$505),"",INDEX(テーブル2[[学年]:[判定]],MATCH(体力優良証交付申請書!$A23,入力シート!$AH$6:$AH$505,0),MATCH(体力優良証交付申請書!D$14,テーブル2[[#Headers],[学年]:[得点]],0)))</f>
        <v/>
      </c>
      <c r="E23" s="115" t="str">
        <f>IF($A23&gt;MAX(入力シート!$AH$6:$AH$505),"",INDEX(テーブル2[[学年]:[判定]],MATCH(体力優良証交付申請書!$A23,入力シート!$AH$6:$AH$505,0),MATCH(体力優良証交付申請書!E$14,テーブル2[[#Headers],[学年]:[得点]],0)))</f>
        <v/>
      </c>
      <c r="F23" s="115" t="str">
        <f>IF($A23&gt;MAX(入力シート!$AH$6:$AH$505),"",INDEX(テーブル2[[学年]:[判定]],MATCH(体力優良証交付申請書!$A23,入力シート!$AH$6:$AH$505,0),MATCH(体力優良証交付申請書!F$14,テーブル2[[#Headers],[学年]:[得点]],0)))</f>
        <v/>
      </c>
      <c r="G23" s="115" t="str">
        <f>IF($A23&gt;MAX(入力シート!$AH$6:$AH$505),"",INDEX(テーブル2[[学年]:[判定]],MATCH(体力優良証交付申請書!$A23,入力シート!$AH$6:$AH$505,0),MATCH(体力優良証交付申請書!G$14,テーブル2[[#Headers],[学年]:[得点]],0)))</f>
        <v/>
      </c>
      <c r="H23" s="115" t="str">
        <f>IF($A23&gt;MAX(入力シート!$AH$6:$AH$505),"",INDEX(テーブル2[[学年]:[判定]],MATCH(体力優良証交付申請書!$A23,入力シート!$AH$6:$AH$505,0),MATCH(体力優良証交付申請書!H$14,テーブル2[[#Headers],[学年]:[得点]],0)))</f>
        <v/>
      </c>
      <c r="I23" s="115" t="str">
        <f>IF($A23&gt;MAX(入力シート!$AH$6:$AH$505),"",INDEX(テーブル2[[学年]:[判定]],MATCH(体力優良証交付申請書!$A23,入力シート!$AH$6:$AH$505,0),MATCH(体力優良証交付申請書!I$14,テーブル2[[#Headers],[学年]:[得点]],0)))</f>
        <v/>
      </c>
      <c r="J23" s="115" t="str">
        <f>IF($A23&gt;MAX(入力シート!$AH$6:$AH$505),"",INDEX(テーブル2[[学年]:[判定]],MATCH(体力優良証交付申請書!$A23,入力シート!$AH$6:$AH$505,0),MATCH(体力優良証交付申請書!J$14,テーブル2[[#Headers],[学年]:[得点]],0)))</f>
        <v/>
      </c>
      <c r="K23" s="129" t="str">
        <f>IF($A23&gt;MAX(入力シート!$AH$6:$AH$505),"",INDEX(テーブル2[[学年]:[判定]],MATCH(体力優良証交付申請書!$A23,入力シート!$AH$6:$AH$505,0),MATCH(体力優良証交付申請書!K$14,テーブル2[[#Headers],[学年]:[得点]],0)))</f>
        <v/>
      </c>
      <c r="L23" s="115" t="str">
        <f>IF($A23&gt;MAX(入力シート!$AH$6:$AH$505),"",INDEX(テーブル2[[学年]:[判定]],MATCH(体力優良証交付申請書!$A23,入力シート!$AH$6:$AH$505,0),MATCH(体力優良証交付申請書!L$14,テーブル2[[#Headers],[学年]:[得点]],0)))</f>
        <v/>
      </c>
      <c r="M23" s="115" t="str">
        <f>IF($A23&gt;MAX(入力シート!$AH$6:$AH$505),"",INDEX(テーブル2[[学年]:[判定]],MATCH(体力優良証交付申請書!$A23,入力シート!$AH$6:$AH$505,0),MATCH(体力優良証交付申請書!M$14,テーブル2[[#Headers],[学年]:[得点]],0)))</f>
        <v/>
      </c>
      <c r="N23" s="27" t="str">
        <f>IF($A23&gt;MAX(入力シート!$AH$6:$AH$505),"",INDEX(テーブル2[[学年]:[判定]],MATCH(体力優良証交付申請書!$A23,入力シート!$AH$6:$AH$505,0),MATCH(体力優良証交付申請書!N$14,テーブル2[[#Headers],[学年]:[得点]],0)))</f>
        <v/>
      </c>
    </row>
    <row r="24" spans="1:14" ht="15" customHeight="1" x14ac:dyDescent="0.15">
      <c r="A24" s="17">
        <v>10</v>
      </c>
      <c r="B24" s="115" t="str">
        <f>IF($A24&gt;MAX(入力シート!$AH$6:$AH$505),"",INDEX(テーブル2[[学年]:[判定]],MATCH(体力優良証交付申請書!$A24,入力シート!$AH$6:$AH$505,0),MATCH(体力優良証交付申請書!B$14,テーブル2[[#Headers],[学年]:[得点]],0)))</f>
        <v/>
      </c>
      <c r="C24" s="115" t="str">
        <f>IF($A24&gt;MAX(入力シート!$AH$6:$AH$505),"",INDEX(テーブル2[[学年]:[判定]],MATCH(体力優良証交付申請書!$A24,入力シート!$AH$6:$AH$505,0),MATCH(体力優良証交付申請書!C$14,テーブル2[[#Headers],[学年]:[得点]],0)))</f>
        <v/>
      </c>
      <c r="D24" s="115" t="str">
        <f>IF($A24&gt;MAX(入力シート!$AH$6:$AH$505),"",INDEX(テーブル2[[学年]:[判定]],MATCH(体力優良証交付申請書!$A24,入力シート!$AH$6:$AH$505,0),MATCH(体力優良証交付申請書!D$14,テーブル2[[#Headers],[学年]:[得点]],0)))</f>
        <v/>
      </c>
      <c r="E24" s="115" t="str">
        <f>IF($A24&gt;MAX(入力シート!$AH$6:$AH$505),"",INDEX(テーブル2[[学年]:[判定]],MATCH(体力優良証交付申請書!$A24,入力シート!$AH$6:$AH$505,0),MATCH(体力優良証交付申請書!E$14,テーブル2[[#Headers],[学年]:[得点]],0)))</f>
        <v/>
      </c>
      <c r="F24" s="115" t="str">
        <f>IF($A24&gt;MAX(入力シート!$AH$6:$AH$505),"",INDEX(テーブル2[[学年]:[判定]],MATCH(体力優良証交付申請書!$A24,入力シート!$AH$6:$AH$505,0),MATCH(体力優良証交付申請書!F$14,テーブル2[[#Headers],[学年]:[得点]],0)))</f>
        <v/>
      </c>
      <c r="G24" s="115" t="str">
        <f>IF($A24&gt;MAX(入力シート!$AH$6:$AH$505),"",INDEX(テーブル2[[学年]:[判定]],MATCH(体力優良証交付申請書!$A24,入力シート!$AH$6:$AH$505,0),MATCH(体力優良証交付申請書!G$14,テーブル2[[#Headers],[学年]:[得点]],0)))</f>
        <v/>
      </c>
      <c r="H24" s="115" t="str">
        <f>IF($A24&gt;MAX(入力シート!$AH$6:$AH$505),"",INDEX(テーブル2[[学年]:[判定]],MATCH(体力優良証交付申請書!$A24,入力シート!$AH$6:$AH$505,0),MATCH(体力優良証交付申請書!H$14,テーブル2[[#Headers],[学年]:[得点]],0)))</f>
        <v/>
      </c>
      <c r="I24" s="115" t="str">
        <f>IF($A24&gt;MAX(入力シート!$AH$6:$AH$505),"",INDEX(テーブル2[[学年]:[判定]],MATCH(体力優良証交付申請書!$A24,入力シート!$AH$6:$AH$505,0),MATCH(体力優良証交付申請書!I$14,テーブル2[[#Headers],[学年]:[得点]],0)))</f>
        <v/>
      </c>
      <c r="J24" s="115" t="str">
        <f>IF($A24&gt;MAX(入力シート!$AH$6:$AH$505),"",INDEX(テーブル2[[学年]:[判定]],MATCH(体力優良証交付申請書!$A24,入力シート!$AH$6:$AH$505,0),MATCH(体力優良証交付申請書!J$14,テーブル2[[#Headers],[学年]:[得点]],0)))</f>
        <v/>
      </c>
      <c r="K24" s="129" t="str">
        <f>IF($A24&gt;MAX(入力シート!$AH$6:$AH$505),"",INDEX(テーブル2[[学年]:[判定]],MATCH(体力優良証交付申請書!$A24,入力シート!$AH$6:$AH$505,0),MATCH(体力優良証交付申請書!K$14,テーブル2[[#Headers],[学年]:[得点]],0)))</f>
        <v/>
      </c>
      <c r="L24" s="115" t="str">
        <f>IF($A24&gt;MAX(入力シート!$AH$6:$AH$505),"",INDEX(テーブル2[[学年]:[判定]],MATCH(体力優良証交付申請書!$A24,入力シート!$AH$6:$AH$505,0),MATCH(体力優良証交付申請書!L$14,テーブル2[[#Headers],[学年]:[得点]],0)))</f>
        <v/>
      </c>
      <c r="M24" s="115" t="str">
        <f>IF($A24&gt;MAX(入力シート!$AH$6:$AH$505),"",INDEX(テーブル2[[学年]:[判定]],MATCH(体力優良証交付申請書!$A24,入力シート!$AH$6:$AH$505,0),MATCH(体力優良証交付申請書!M$14,テーブル2[[#Headers],[学年]:[得点]],0)))</f>
        <v/>
      </c>
      <c r="N24" s="27" t="str">
        <f>IF($A24&gt;MAX(入力シート!$AH$6:$AH$505),"",INDEX(テーブル2[[学年]:[判定]],MATCH(体力優良証交付申請書!$A24,入力シート!$AH$6:$AH$505,0),MATCH(体力優良証交付申請書!N$14,テーブル2[[#Headers],[学年]:[得点]],0)))</f>
        <v/>
      </c>
    </row>
    <row r="25" spans="1:14" ht="15" customHeight="1" x14ac:dyDescent="0.15">
      <c r="A25" s="17">
        <v>11</v>
      </c>
      <c r="B25" s="115" t="str">
        <f>IF($A25&gt;MAX(入力シート!$AH$6:$AH$505),"",INDEX(テーブル2[[学年]:[判定]],MATCH(体力優良証交付申請書!$A25,入力シート!$AH$6:$AH$505,0),MATCH(体力優良証交付申請書!B$14,テーブル2[[#Headers],[学年]:[得点]],0)))</f>
        <v/>
      </c>
      <c r="C25" s="115" t="str">
        <f>IF($A25&gt;MAX(入力シート!$AH$6:$AH$505),"",INDEX(テーブル2[[学年]:[判定]],MATCH(体力優良証交付申請書!$A25,入力シート!$AH$6:$AH$505,0),MATCH(体力優良証交付申請書!C$14,テーブル2[[#Headers],[学年]:[得点]],0)))</f>
        <v/>
      </c>
      <c r="D25" s="115" t="str">
        <f>IF($A25&gt;MAX(入力シート!$AH$6:$AH$505),"",INDEX(テーブル2[[学年]:[判定]],MATCH(体力優良証交付申請書!$A25,入力シート!$AH$6:$AH$505,0),MATCH(体力優良証交付申請書!D$14,テーブル2[[#Headers],[学年]:[得点]],0)))</f>
        <v/>
      </c>
      <c r="E25" s="115" t="str">
        <f>IF($A25&gt;MAX(入力シート!$AH$6:$AH$505),"",INDEX(テーブル2[[学年]:[判定]],MATCH(体力優良証交付申請書!$A25,入力シート!$AH$6:$AH$505,0),MATCH(体力優良証交付申請書!E$14,テーブル2[[#Headers],[学年]:[得点]],0)))</f>
        <v/>
      </c>
      <c r="F25" s="115" t="str">
        <f>IF($A25&gt;MAX(入力シート!$AH$6:$AH$505),"",INDEX(テーブル2[[学年]:[判定]],MATCH(体力優良証交付申請書!$A25,入力シート!$AH$6:$AH$505,0),MATCH(体力優良証交付申請書!F$14,テーブル2[[#Headers],[学年]:[得点]],0)))</f>
        <v/>
      </c>
      <c r="G25" s="115" t="str">
        <f>IF($A25&gt;MAX(入力シート!$AH$6:$AH$505),"",INDEX(テーブル2[[学年]:[判定]],MATCH(体力優良証交付申請書!$A25,入力シート!$AH$6:$AH$505,0),MATCH(体力優良証交付申請書!G$14,テーブル2[[#Headers],[学年]:[得点]],0)))</f>
        <v/>
      </c>
      <c r="H25" s="115" t="str">
        <f>IF($A25&gt;MAX(入力シート!$AH$6:$AH$505),"",INDEX(テーブル2[[学年]:[判定]],MATCH(体力優良証交付申請書!$A25,入力シート!$AH$6:$AH$505,0),MATCH(体力優良証交付申請書!H$14,テーブル2[[#Headers],[学年]:[得点]],0)))</f>
        <v/>
      </c>
      <c r="I25" s="115" t="str">
        <f>IF($A25&gt;MAX(入力シート!$AH$6:$AH$505),"",INDEX(テーブル2[[学年]:[判定]],MATCH(体力優良証交付申請書!$A25,入力シート!$AH$6:$AH$505,0),MATCH(体力優良証交付申請書!I$14,テーブル2[[#Headers],[学年]:[得点]],0)))</f>
        <v/>
      </c>
      <c r="J25" s="115" t="str">
        <f>IF($A25&gt;MAX(入力シート!$AH$6:$AH$505),"",INDEX(テーブル2[[学年]:[判定]],MATCH(体力優良証交付申請書!$A25,入力シート!$AH$6:$AH$505,0),MATCH(体力優良証交付申請書!J$14,テーブル2[[#Headers],[学年]:[得点]],0)))</f>
        <v/>
      </c>
      <c r="K25" s="129" t="str">
        <f>IF($A25&gt;MAX(入力シート!$AH$6:$AH$505),"",INDEX(テーブル2[[学年]:[判定]],MATCH(体力優良証交付申請書!$A25,入力シート!$AH$6:$AH$505,0),MATCH(体力優良証交付申請書!K$14,テーブル2[[#Headers],[学年]:[得点]],0)))</f>
        <v/>
      </c>
      <c r="L25" s="115" t="str">
        <f>IF($A25&gt;MAX(入力シート!$AH$6:$AH$505),"",INDEX(テーブル2[[学年]:[判定]],MATCH(体力優良証交付申請書!$A25,入力シート!$AH$6:$AH$505,0),MATCH(体力優良証交付申請書!L$14,テーブル2[[#Headers],[学年]:[得点]],0)))</f>
        <v/>
      </c>
      <c r="M25" s="115" t="str">
        <f>IF($A25&gt;MAX(入力シート!$AH$6:$AH$505),"",INDEX(テーブル2[[学年]:[判定]],MATCH(体力優良証交付申請書!$A25,入力シート!$AH$6:$AH$505,0),MATCH(体力優良証交付申請書!M$14,テーブル2[[#Headers],[学年]:[得点]],0)))</f>
        <v/>
      </c>
      <c r="N25" s="27" t="str">
        <f>IF($A25&gt;MAX(入力シート!$AH$6:$AH$505),"",INDEX(テーブル2[[学年]:[判定]],MATCH(体力優良証交付申請書!$A25,入力シート!$AH$6:$AH$505,0),MATCH(体力優良証交付申請書!N$14,テーブル2[[#Headers],[学年]:[得点]],0)))</f>
        <v/>
      </c>
    </row>
    <row r="26" spans="1:14" ht="15" customHeight="1" x14ac:dyDescent="0.15">
      <c r="A26" s="17">
        <v>12</v>
      </c>
      <c r="B26" s="115" t="str">
        <f>IF($A26&gt;MAX(入力シート!$AH$6:$AH$505),"",INDEX(テーブル2[[学年]:[判定]],MATCH(体力優良証交付申請書!$A26,入力シート!$AH$6:$AH$505,0),MATCH(体力優良証交付申請書!B$14,テーブル2[[#Headers],[学年]:[得点]],0)))</f>
        <v/>
      </c>
      <c r="C26" s="115" t="str">
        <f>IF($A26&gt;MAX(入力シート!$AH$6:$AH$505),"",INDEX(テーブル2[[学年]:[判定]],MATCH(体力優良証交付申請書!$A26,入力シート!$AH$6:$AH$505,0),MATCH(体力優良証交付申請書!C$14,テーブル2[[#Headers],[学年]:[得点]],0)))</f>
        <v/>
      </c>
      <c r="D26" s="115" t="str">
        <f>IF($A26&gt;MAX(入力シート!$AH$6:$AH$505),"",INDEX(テーブル2[[学年]:[判定]],MATCH(体力優良証交付申請書!$A26,入力シート!$AH$6:$AH$505,0),MATCH(体力優良証交付申請書!D$14,テーブル2[[#Headers],[学年]:[得点]],0)))</f>
        <v/>
      </c>
      <c r="E26" s="115" t="str">
        <f>IF($A26&gt;MAX(入力シート!$AH$6:$AH$505),"",INDEX(テーブル2[[学年]:[判定]],MATCH(体力優良証交付申請書!$A26,入力シート!$AH$6:$AH$505,0),MATCH(体力優良証交付申請書!E$14,テーブル2[[#Headers],[学年]:[得点]],0)))</f>
        <v/>
      </c>
      <c r="F26" s="115" t="str">
        <f>IF($A26&gt;MAX(入力シート!$AH$6:$AH$505),"",INDEX(テーブル2[[学年]:[判定]],MATCH(体力優良証交付申請書!$A26,入力シート!$AH$6:$AH$505,0),MATCH(体力優良証交付申請書!F$14,テーブル2[[#Headers],[学年]:[得点]],0)))</f>
        <v/>
      </c>
      <c r="G26" s="115" t="str">
        <f>IF($A26&gt;MAX(入力シート!$AH$6:$AH$505),"",INDEX(テーブル2[[学年]:[判定]],MATCH(体力優良証交付申請書!$A26,入力シート!$AH$6:$AH$505,0),MATCH(体力優良証交付申請書!G$14,テーブル2[[#Headers],[学年]:[得点]],0)))</f>
        <v/>
      </c>
      <c r="H26" s="115" t="str">
        <f>IF($A26&gt;MAX(入力シート!$AH$6:$AH$505),"",INDEX(テーブル2[[学年]:[判定]],MATCH(体力優良証交付申請書!$A26,入力シート!$AH$6:$AH$505,0),MATCH(体力優良証交付申請書!H$14,テーブル2[[#Headers],[学年]:[得点]],0)))</f>
        <v/>
      </c>
      <c r="I26" s="115" t="str">
        <f>IF($A26&gt;MAX(入力シート!$AH$6:$AH$505),"",INDEX(テーブル2[[学年]:[判定]],MATCH(体力優良証交付申請書!$A26,入力シート!$AH$6:$AH$505,0),MATCH(体力優良証交付申請書!I$14,テーブル2[[#Headers],[学年]:[得点]],0)))</f>
        <v/>
      </c>
      <c r="J26" s="115" t="str">
        <f>IF($A26&gt;MAX(入力シート!$AH$6:$AH$505),"",INDEX(テーブル2[[学年]:[判定]],MATCH(体力優良証交付申請書!$A26,入力シート!$AH$6:$AH$505,0),MATCH(体力優良証交付申請書!J$14,テーブル2[[#Headers],[学年]:[得点]],0)))</f>
        <v/>
      </c>
      <c r="K26" s="129" t="str">
        <f>IF($A26&gt;MAX(入力シート!$AH$6:$AH$505),"",INDEX(テーブル2[[学年]:[判定]],MATCH(体力優良証交付申請書!$A26,入力シート!$AH$6:$AH$505,0),MATCH(体力優良証交付申請書!K$14,テーブル2[[#Headers],[学年]:[得点]],0)))</f>
        <v/>
      </c>
      <c r="L26" s="115" t="str">
        <f>IF($A26&gt;MAX(入力シート!$AH$6:$AH$505),"",INDEX(テーブル2[[学年]:[判定]],MATCH(体力優良証交付申請書!$A26,入力シート!$AH$6:$AH$505,0),MATCH(体力優良証交付申請書!L$14,テーブル2[[#Headers],[学年]:[得点]],0)))</f>
        <v/>
      </c>
      <c r="M26" s="115" t="str">
        <f>IF($A26&gt;MAX(入力シート!$AH$6:$AH$505),"",INDEX(テーブル2[[学年]:[判定]],MATCH(体力優良証交付申請書!$A26,入力シート!$AH$6:$AH$505,0),MATCH(体力優良証交付申請書!M$14,テーブル2[[#Headers],[学年]:[得点]],0)))</f>
        <v/>
      </c>
      <c r="N26" s="27" t="str">
        <f>IF($A26&gt;MAX(入力シート!$AH$6:$AH$505),"",INDEX(テーブル2[[学年]:[判定]],MATCH(体力優良証交付申請書!$A26,入力シート!$AH$6:$AH$505,0),MATCH(体力優良証交付申請書!N$14,テーブル2[[#Headers],[学年]:[得点]],0)))</f>
        <v/>
      </c>
    </row>
    <row r="27" spans="1:14" ht="15" customHeight="1" x14ac:dyDescent="0.15">
      <c r="A27" s="17">
        <v>13</v>
      </c>
      <c r="B27" s="115" t="str">
        <f>IF($A27&gt;MAX(入力シート!$AH$6:$AH$505),"",INDEX(テーブル2[[学年]:[判定]],MATCH(体力優良証交付申請書!$A27,入力シート!$AH$6:$AH$505,0),MATCH(体力優良証交付申請書!B$14,テーブル2[[#Headers],[学年]:[得点]],0)))</f>
        <v/>
      </c>
      <c r="C27" s="115" t="str">
        <f>IF($A27&gt;MAX(入力シート!$AH$6:$AH$505),"",INDEX(テーブル2[[学年]:[判定]],MATCH(体力優良証交付申請書!$A27,入力シート!$AH$6:$AH$505,0),MATCH(体力優良証交付申請書!C$14,テーブル2[[#Headers],[学年]:[得点]],0)))</f>
        <v/>
      </c>
      <c r="D27" s="115" t="str">
        <f>IF($A27&gt;MAX(入力シート!$AH$6:$AH$505),"",INDEX(テーブル2[[学年]:[判定]],MATCH(体力優良証交付申請書!$A27,入力シート!$AH$6:$AH$505,0),MATCH(体力優良証交付申請書!D$14,テーブル2[[#Headers],[学年]:[得点]],0)))</f>
        <v/>
      </c>
      <c r="E27" s="115" t="str">
        <f>IF($A27&gt;MAX(入力シート!$AH$6:$AH$505),"",INDEX(テーブル2[[学年]:[判定]],MATCH(体力優良証交付申請書!$A27,入力シート!$AH$6:$AH$505,0),MATCH(体力優良証交付申請書!E$14,テーブル2[[#Headers],[学年]:[得点]],0)))</f>
        <v/>
      </c>
      <c r="F27" s="115" t="str">
        <f>IF($A27&gt;MAX(入力シート!$AH$6:$AH$505),"",INDEX(テーブル2[[学年]:[判定]],MATCH(体力優良証交付申請書!$A27,入力シート!$AH$6:$AH$505,0),MATCH(体力優良証交付申請書!F$14,テーブル2[[#Headers],[学年]:[得点]],0)))</f>
        <v/>
      </c>
      <c r="G27" s="115" t="str">
        <f>IF($A27&gt;MAX(入力シート!$AH$6:$AH$505),"",INDEX(テーブル2[[学年]:[判定]],MATCH(体力優良証交付申請書!$A27,入力シート!$AH$6:$AH$505,0),MATCH(体力優良証交付申請書!G$14,テーブル2[[#Headers],[学年]:[得点]],0)))</f>
        <v/>
      </c>
      <c r="H27" s="115" t="str">
        <f>IF($A27&gt;MAX(入力シート!$AH$6:$AH$505),"",INDEX(テーブル2[[学年]:[判定]],MATCH(体力優良証交付申請書!$A27,入力シート!$AH$6:$AH$505,0),MATCH(体力優良証交付申請書!H$14,テーブル2[[#Headers],[学年]:[得点]],0)))</f>
        <v/>
      </c>
      <c r="I27" s="115" t="str">
        <f>IF($A27&gt;MAX(入力シート!$AH$6:$AH$505),"",INDEX(テーブル2[[学年]:[判定]],MATCH(体力優良証交付申請書!$A27,入力シート!$AH$6:$AH$505,0),MATCH(体力優良証交付申請書!I$14,テーブル2[[#Headers],[学年]:[得点]],0)))</f>
        <v/>
      </c>
      <c r="J27" s="115" t="str">
        <f>IF($A27&gt;MAX(入力シート!$AH$6:$AH$505),"",INDEX(テーブル2[[学年]:[判定]],MATCH(体力優良証交付申請書!$A27,入力シート!$AH$6:$AH$505,0),MATCH(体力優良証交付申請書!J$14,テーブル2[[#Headers],[学年]:[得点]],0)))</f>
        <v/>
      </c>
      <c r="K27" s="129" t="str">
        <f>IF($A27&gt;MAX(入力シート!$AH$6:$AH$505),"",INDEX(テーブル2[[学年]:[判定]],MATCH(体力優良証交付申請書!$A27,入力シート!$AH$6:$AH$505,0),MATCH(体力優良証交付申請書!K$14,テーブル2[[#Headers],[学年]:[得点]],0)))</f>
        <v/>
      </c>
      <c r="L27" s="115" t="str">
        <f>IF($A27&gt;MAX(入力シート!$AH$6:$AH$505),"",INDEX(テーブル2[[学年]:[判定]],MATCH(体力優良証交付申請書!$A27,入力シート!$AH$6:$AH$505,0),MATCH(体力優良証交付申請書!L$14,テーブル2[[#Headers],[学年]:[得点]],0)))</f>
        <v/>
      </c>
      <c r="M27" s="115" t="str">
        <f>IF($A27&gt;MAX(入力シート!$AH$6:$AH$505),"",INDEX(テーブル2[[学年]:[判定]],MATCH(体力優良証交付申請書!$A27,入力シート!$AH$6:$AH$505,0),MATCH(体力優良証交付申請書!M$14,テーブル2[[#Headers],[学年]:[得点]],0)))</f>
        <v/>
      </c>
      <c r="N27" s="27" t="str">
        <f>IF($A27&gt;MAX(入力シート!$AH$6:$AH$505),"",INDEX(テーブル2[[学年]:[判定]],MATCH(体力優良証交付申請書!$A27,入力シート!$AH$6:$AH$505,0),MATCH(体力優良証交付申請書!N$14,テーブル2[[#Headers],[学年]:[得点]],0)))</f>
        <v/>
      </c>
    </row>
    <row r="28" spans="1:14" ht="15" customHeight="1" x14ac:dyDescent="0.15">
      <c r="A28" s="17">
        <v>14</v>
      </c>
      <c r="B28" s="115" t="str">
        <f>IF($A28&gt;MAX(入力シート!$AH$6:$AH$505),"",INDEX(テーブル2[[学年]:[判定]],MATCH(体力優良証交付申請書!$A28,入力シート!$AH$6:$AH$505,0),MATCH(体力優良証交付申請書!B$14,テーブル2[[#Headers],[学年]:[得点]],0)))</f>
        <v/>
      </c>
      <c r="C28" s="115" t="str">
        <f>IF($A28&gt;MAX(入力シート!$AH$6:$AH$505),"",INDEX(テーブル2[[学年]:[判定]],MATCH(体力優良証交付申請書!$A28,入力シート!$AH$6:$AH$505,0),MATCH(体力優良証交付申請書!C$14,テーブル2[[#Headers],[学年]:[得点]],0)))</f>
        <v/>
      </c>
      <c r="D28" s="115" t="str">
        <f>IF($A28&gt;MAX(入力シート!$AH$6:$AH$505),"",INDEX(テーブル2[[学年]:[判定]],MATCH(体力優良証交付申請書!$A28,入力シート!$AH$6:$AH$505,0),MATCH(体力優良証交付申請書!D$14,テーブル2[[#Headers],[学年]:[得点]],0)))</f>
        <v/>
      </c>
      <c r="E28" s="115" t="str">
        <f>IF($A28&gt;MAX(入力シート!$AH$6:$AH$505),"",INDEX(テーブル2[[学年]:[判定]],MATCH(体力優良証交付申請書!$A28,入力シート!$AH$6:$AH$505,0),MATCH(体力優良証交付申請書!E$14,テーブル2[[#Headers],[学年]:[得点]],0)))</f>
        <v/>
      </c>
      <c r="F28" s="115" t="str">
        <f>IF($A28&gt;MAX(入力シート!$AH$6:$AH$505),"",INDEX(テーブル2[[学年]:[判定]],MATCH(体力優良証交付申請書!$A28,入力シート!$AH$6:$AH$505,0),MATCH(体力優良証交付申請書!F$14,テーブル2[[#Headers],[学年]:[得点]],0)))</f>
        <v/>
      </c>
      <c r="G28" s="115" t="str">
        <f>IF($A28&gt;MAX(入力シート!$AH$6:$AH$505),"",INDEX(テーブル2[[学年]:[判定]],MATCH(体力優良証交付申請書!$A28,入力シート!$AH$6:$AH$505,0),MATCH(体力優良証交付申請書!G$14,テーブル2[[#Headers],[学年]:[得点]],0)))</f>
        <v/>
      </c>
      <c r="H28" s="115" t="str">
        <f>IF($A28&gt;MAX(入力シート!$AH$6:$AH$505),"",INDEX(テーブル2[[学年]:[判定]],MATCH(体力優良証交付申請書!$A28,入力シート!$AH$6:$AH$505,0),MATCH(体力優良証交付申請書!H$14,テーブル2[[#Headers],[学年]:[得点]],0)))</f>
        <v/>
      </c>
      <c r="I28" s="115" t="str">
        <f>IF($A28&gt;MAX(入力シート!$AH$6:$AH$505),"",INDEX(テーブル2[[学年]:[判定]],MATCH(体力優良証交付申請書!$A28,入力シート!$AH$6:$AH$505,0),MATCH(体力優良証交付申請書!I$14,テーブル2[[#Headers],[学年]:[得点]],0)))</f>
        <v/>
      </c>
      <c r="J28" s="115" t="str">
        <f>IF($A28&gt;MAX(入力シート!$AH$6:$AH$505),"",INDEX(テーブル2[[学年]:[判定]],MATCH(体力優良証交付申請書!$A28,入力シート!$AH$6:$AH$505,0),MATCH(体力優良証交付申請書!J$14,テーブル2[[#Headers],[学年]:[得点]],0)))</f>
        <v/>
      </c>
      <c r="K28" s="129" t="str">
        <f>IF($A28&gt;MAX(入力シート!$AH$6:$AH$505),"",INDEX(テーブル2[[学年]:[判定]],MATCH(体力優良証交付申請書!$A28,入力シート!$AH$6:$AH$505,0),MATCH(体力優良証交付申請書!K$14,テーブル2[[#Headers],[学年]:[得点]],0)))</f>
        <v/>
      </c>
      <c r="L28" s="115" t="str">
        <f>IF($A28&gt;MAX(入力シート!$AH$6:$AH$505),"",INDEX(テーブル2[[学年]:[判定]],MATCH(体力優良証交付申請書!$A28,入力シート!$AH$6:$AH$505,0),MATCH(体力優良証交付申請書!L$14,テーブル2[[#Headers],[学年]:[得点]],0)))</f>
        <v/>
      </c>
      <c r="M28" s="115" t="str">
        <f>IF($A28&gt;MAX(入力シート!$AH$6:$AH$505),"",INDEX(テーブル2[[学年]:[判定]],MATCH(体力優良証交付申請書!$A28,入力シート!$AH$6:$AH$505,0),MATCH(体力優良証交付申請書!M$14,テーブル2[[#Headers],[学年]:[得点]],0)))</f>
        <v/>
      </c>
      <c r="N28" s="27" t="str">
        <f>IF($A28&gt;MAX(入力シート!$AH$6:$AH$505),"",INDEX(テーブル2[[学年]:[判定]],MATCH(体力優良証交付申請書!$A28,入力シート!$AH$6:$AH$505,0),MATCH(体力優良証交付申請書!N$14,テーブル2[[#Headers],[学年]:[得点]],0)))</f>
        <v/>
      </c>
    </row>
    <row r="29" spans="1:14" ht="15" customHeight="1" x14ac:dyDescent="0.15">
      <c r="A29" s="17">
        <v>15</v>
      </c>
      <c r="B29" s="115" t="str">
        <f>IF($A29&gt;MAX(入力シート!$AH$6:$AH$505),"",INDEX(テーブル2[[学年]:[判定]],MATCH(体力優良証交付申請書!$A29,入力シート!$AH$6:$AH$505,0),MATCH(体力優良証交付申請書!B$14,テーブル2[[#Headers],[学年]:[得点]],0)))</f>
        <v/>
      </c>
      <c r="C29" s="115" t="str">
        <f>IF($A29&gt;MAX(入力シート!$AH$6:$AH$505),"",INDEX(テーブル2[[学年]:[判定]],MATCH(体力優良証交付申請書!$A29,入力シート!$AH$6:$AH$505,0),MATCH(体力優良証交付申請書!C$14,テーブル2[[#Headers],[学年]:[得点]],0)))</f>
        <v/>
      </c>
      <c r="D29" s="115" t="str">
        <f>IF($A29&gt;MAX(入力シート!$AH$6:$AH$505),"",INDEX(テーブル2[[学年]:[判定]],MATCH(体力優良証交付申請書!$A29,入力シート!$AH$6:$AH$505,0),MATCH(体力優良証交付申請書!D$14,テーブル2[[#Headers],[学年]:[得点]],0)))</f>
        <v/>
      </c>
      <c r="E29" s="115" t="str">
        <f>IF($A29&gt;MAX(入力シート!$AH$6:$AH$505),"",INDEX(テーブル2[[学年]:[判定]],MATCH(体力優良証交付申請書!$A29,入力シート!$AH$6:$AH$505,0),MATCH(体力優良証交付申請書!E$14,テーブル2[[#Headers],[学年]:[得点]],0)))</f>
        <v/>
      </c>
      <c r="F29" s="115" t="str">
        <f>IF($A29&gt;MAX(入力シート!$AH$6:$AH$505),"",INDEX(テーブル2[[学年]:[判定]],MATCH(体力優良証交付申請書!$A29,入力シート!$AH$6:$AH$505,0),MATCH(体力優良証交付申請書!F$14,テーブル2[[#Headers],[学年]:[得点]],0)))</f>
        <v/>
      </c>
      <c r="G29" s="115" t="str">
        <f>IF($A29&gt;MAX(入力シート!$AH$6:$AH$505),"",INDEX(テーブル2[[学年]:[判定]],MATCH(体力優良証交付申請書!$A29,入力シート!$AH$6:$AH$505,0),MATCH(体力優良証交付申請書!G$14,テーブル2[[#Headers],[学年]:[得点]],0)))</f>
        <v/>
      </c>
      <c r="H29" s="115" t="str">
        <f>IF($A29&gt;MAX(入力シート!$AH$6:$AH$505),"",INDEX(テーブル2[[学年]:[判定]],MATCH(体力優良証交付申請書!$A29,入力シート!$AH$6:$AH$505,0),MATCH(体力優良証交付申請書!H$14,テーブル2[[#Headers],[学年]:[得点]],0)))</f>
        <v/>
      </c>
      <c r="I29" s="115" t="str">
        <f>IF($A29&gt;MAX(入力シート!$AH$6:$AH$505),"",INDEX(テーブル2[[学年]:[判定]],MATCH(体力優良証交付申請書!$A29,入力シート!$AH$6:$AH$505,0),MATCH(体力優良証交付申請書!I$14,テーブル2[[#Headers],[学年]:[得点]],0)))</f>
        <v/>
      </c>
      <c r="J29" s="115" t="str">
        <f>IF($A29&gt;MAX(入力シート!$AH$6:$AH$505),"",INDEX(テーブル2[[学年]:[判定]],MATCH(体力優良証交付申請書!$A29,入力シート!$AH$6:$AH$505,0),MATCH(体力優良証交付申請書!J$14,テーブル2[[#Headers],[学年]:[得点]],0)))</f>
        <v/>
      </c>
      <c r="K29" s="129" t="str">
        <f>IF($A29&gt;MAX(入力シート!$AH$6:$AH$505),"",INDEX(テーブル2[[学年]:[判定]],MATCH(体力優良証交付申請書!$A29,入力シート!$AH$6:$AH$505,0),MATCH(体力優良証交付申請書!K$14,テーブル2[[#Headers],[学年]:[得点]],0)))</f>
        <v/>
      </c>
      <c r="L29" s="115" t="str">
        <f>IF($A29&gt;MAX(入力シート!$AH$6:$AH$505),"",INDEX(テーブル2[[学年]:[判定]],MATCH(体力優良証交付申請書!$A29,入力シート!$AH$6:$AH$505,0),MATCH(体力優良証交付申請書!L$14,テーブル2[[#Headers],[学年]:[得点]],0)))</f>
        <v/>
      </c>
      <c r="M29" s="115" t="str">
        <f>IF($A29&gt;MAX(入力シート!$AH$6:$AH$505),"",INDEX(テーブル2[[学年]:[判定]],MATCH(体力優良証交付申請書!$A29,入力シート!$AH$6:$AH$505,0),MATCH(体力優良証交付申請書!M$14,テーブル2[[#Headers],[学年]:[得点]],0)))</f>
        <v/>
      </c>
      <c r="N29" s="27" t="str">
        <f>IF($A29&gt;MAX(入力シート!$AH$6:$AH$505),"",INDEX(テーブル2[[学年]:[判定]],MATCH(体力優良証交付申請書!$A29,入力シート!$AH$6:$AH$505,0),MATCH(体力優良証交付申請書!N$14,テーブル2[[#Headers],[学年]:[得点]],0)))</f>
        <v/>
      </c>
    </row>
    <row r="30" spans="1:14" ht="15" customHeight="1" x14ac:dyDescent="0.15">
      <c r="A30" s="17">
        <v>16</v>
      </c>
      <c r="B30" s="115" t="str">
        <f>IF($A30&gt;MAX(入力シート!$AH$6:$AH$505),"",INDEX(テーブル2[[学年]:[判定]],MATCH(体力優良証交付申請書!$A30,入力シート!$AH$6:$AH$505,0),MATCH(体力優良証交付申請書!B$14,テーブル2[[#Headers],[学年]:[得点]],0)))</f>
        <v/>
      </c>
      <c r="C30" s="115" t="str">
        <f>IF($A30&gt;MAX(入力シート!$AH$6:$AH$505),"",INDEX(テーブル2[[学年]:[判定]],MATCH(体力優良証交付申請書!$A30,入力シート!$AH$6:$AH$505,0),MATCH(体力優良証交付申請書!C$14,テーブル2[[#Headers],[学年]:[得点]],0)))</f>
        <v/>
      </c>
      <c r="D30" s="115" t="str">
        <f>IF($A30&gt;MAX(入力シート!$AH$6:$AH$505),"",INDEX(テーブル2[[学年]:[判定]],MATCH(体力優良証交付申請書!$A30,入力シート!$AH$6:$AH$505,0),MATCH(体力優良証交付申請書!D$14,テーブル2[[#Headers],[学年]:[得点]],0)))</f>
        <v/>
      </c>
      <c r="E30" s="115" t="str">
        <f>IF($A30&gt;MAX(入力シート!$AH$6:$AH$505),"",INDEX(テーブル2[[学年]:[判定]],MATCH(体力優良証交付申請書!$A30,入力シート!$AH$6:$AH$505,0),MATCH(体力優良証交付申請書!E$14,テーブル2[[#Headers],[学年]:[得点]],0)))</f>
        <v/>
      </c>
      <c r="F30" s="115" t="str">
        <f>IF($A30&gt;MAX(入力シート!$AH$6:$AH$505),"",INDEX(テーブル2[[学年]:[判定]],MATCH(体力優良証交付申請書!$A30,入力シート!$AH$6:$AH$505,0),MATCH(体力優良証交付申請書!F$14,テーブル2[[#Headers],[学年]:[得点]],0)))</f>
        <v/>
      </c>
      <c r="G30" s="115" t="str">
        <f>IF($A30&gt;MAX(入力シート!$AH$6:$AH$505),"",INDEX(テーブル2[[学年]:[判定]],MATCH(体力優良証交付申請書!$A30,入力シート!$AH$6:$AH$505,0),MATCH(体力優良証交付申請書!G$14,テーブル2[[#Headers],[学年]:[得点]],0)))</f>
        <v/>
      </c>
      <c r="H30" s="115" t="str">
        <f>IF($A30&gt;MAX(入力シート!$AH$6:$AH$505),"",INDEX(テーブル2[[学年]:[判定]],MATCH(体力優良証交付申請書!$A30,入力シート!$AH$6:$AH$505,0),MATCH(体力優良証交付申請書!H$14,テーブル2[[#Headers],[学年]:[得点]],0)))</f>
        <v/>
      </c>
      <c r="I30" s="115" t="str">
        <f>IF($A30&gt;MAX(入力シート!$AH$6:$AH$505),"",INDEX(テーブル2[[学年]:[判定]],MATCH(体力優良証交付申請書!$A30,入力シート!$AH$6:$AH$505,0),MATCH(体力優良証交付申請書!I$14,テーブル2[[#Headers],[学年]:[得点]],0)))</f>
        <v/>
      </c>
      <c r="J30" s="115" t="str">
        <f>IF($A30&gt;MAX(入力シート!$AH$6:$AH$505),"",INDEX(テーブル2[[学年]:[判定]],MATCH(体力優良証交付申請書!$A30,入力シート!$AH$6:$AH$505,0),MATCH(体力優良証交付申請書!J$14,テーブル2[[#Headers],[学年]:[得点]],0)))</f>
        <v/>
      </c>
      <c r="K30" s="129" t="str">
        <f>IF($A30&gt;MAX(入力シート!$AH$6:$AH$505),"",INDEX(テーブル2[[学年]:[判定]],MATCH(体力優良証交付申請書!$A30,入力シート!$AH$6:$AH$505,0),MATCH(体力優良証交付申請書!K$14,テーブル2[[#Headers],[学年]:[得点]],0)))</f>
        <v/>
      </c>
      <c r="L30" s="115" t="str">
        <f>IF($A30&gt;MAX(入力シート!$AH$6:$AH$505),"",INDEX(テーブル2[[学年]:[判定]],MATCH(体力優良証交付申請書!$A30,入力シート!$AH$6:$AH$505,0),MATCH(体力優良証交付申請書!L$14,テーブル2[[#Headers],[学年]:[得点]],0)))</f>
        <v/>
      </c>
      <c r="M30" s="115" t="str">
        <f>IF($A30&gt;MAX(入力シート!$AH$6:$AH$505),"",INDEX(テーブル2[[学年]:[判定]],MATCH(体力優良証交付申請書!$A30,入力シート!$AH$6:$AH$505,0),MATCH(体力優良証交付申請書!M$14,テーブル2[[#Headers],[学年]:[得点]],0)))</f>
        <v/>
      </c>
      <c r="N30" s="27" t="str">
        <f>IF($A30&gt;MAX(入力シート!$AH$6:$AH$505),"",INDEX(テーブル2[[学年]:[判定]],MATCH(体力優良証交付申請書!$A30,入力シート!$AH$6:$AH$505,0),MATCH(体力優良証交付申請書!N$14,テーブル2[[#Headers],[学年]:[得点]],0)))</f>
        <v/>
      </c>
    </row>
    <row r="31" spans="1:14" ht="15" customHeight="1" x14ac:dyDescent="0.15">
      <c r="A31" s="17">
        <v>17</v>
      </c>
      <c r="B31" s="115" t="str">
        <f>IF($A31&gt;MAX(入力シート!$AH$6:$AH$505),"",INDEX(テーブル2[[学年]:[判定]],MATCH(体力優良証交付申請書!$A31,入力シート!$AH$6:$AH$505,0),MATCH(体力優良証交付申請書!B$14,テーブル2[[#Headers],[学年]:[得点]],0)))</f>
        <v/>
      </c>
      <c r="C31" s="115" t="str">
        <f>IF($A31&gt;MAX(入力シート!$AH$6:$AH$505),"",INDEX(テーブル2[[学年]:[判定]],MATCH(体力優良証交付申請書!$A31,入力シート!$AH$6:$AH$505,0),MATCH(体力優良証交付申請書!C$14,テーブル2[[#Headers],[学年]:[得点]],0)))</f>
        <v/>
      </c>
      <c r="D31" s="115" t="str">
        <f>IF($A31&gt;MAX(入力シート!$AH$6:$AH$505),"",INDEX(テーブル2[[学年]:[判定]],MATCH(体力優良証交付申請書!$A31,入力シート!$AH$6:$AH$505,0),MATCH(体力優良証交付申請書!D$14,テーブル2[[#Headers],[学年]:[得点]],0)))</f>
        <v/>
      </c>
      <c r="E31" s="115" t="str">
        <f>IF($A31&gt;MAX(入力シート!$AH$6:$AH$505),"",INDEX(テーブル2[[学年]:[判定]],MATCH(体力優良証交付申請書!$A31,入力シート!$AH$6:$AH$505,0),MATCH(体力優良証交付申請書!E$14,テーブル2[[#Headers],[学年]:[得点]],0)))</f>
        <v/>
      </c>
      <c r="F31" s="115" t="str">
        <f>IF($A31&gt;MAX(入力シート!$AH$6:$AH$505),"",INDEX(テーブル2[[学年]:[判定]],MATCH(体力優良証交付申請書!$A31,入力シート!$AH$6:$AH$505,0),MATCH(体力優良証交付申請書!F$14,テーブル2[[#Headers],[学年]:[得点]],0)))</f>
        <v/>
      </c>
      <c r="G31" s="115" t="str">
        <f>IF($A31&gt;MAX(入力シート!$AH$6:$AH$505),"",INDEX(テーブル2[[学年]:[判定]],MATCH(体力優良証交付申請書!$A31,入力シート!$AH$6:$AH$505,0),MATCH(体力優良証交付申請書!G$14,テーブル2[[#Headers],[学年]:[得点]],0)))</f>
        <v/>
      </c>
      <c r="H31" s="115" t="str">
        <f>IF($A31&gt;MAX(入力シート!$AH$6:$AH$505),"",INDEX(テーブル2[[学年]:[判定]],MATCH(体力優良証交付申請書!$A31,入力シート!$AH$6:$AH$505,0),MATCH(体力優良証交付申請書!H$14,テーブル2[[#Headers],[学年]:[得点]],0)))</f>
        <v/>
      </c>
      <c r="I31" s="115" t="str">
        <f>IF($A31&gt;MAX(入力シート!$AH$6:$AH$505),"",INDEX(テーブル2[[学年]:[判定]],MATCH(体力優良証交付申請書!$A31,入力シート!$AH$6:$AH$505,0),MATCH(体力優良証交付申請書!I$14,テーブル2[[#Headers],[学年]:[得点]],0)))</f>
        <v/>
      </c>
      <c r="J31" s="115" t="str">
        <f>IF($A31&gt;MAX(入力シート!$AH$6:$AH$505),"",INDEX(テーブル2[[学年]:[判定]],MATCH(体力優良証交付申請書!$A31,入力シート!$AH$6:$AH$505,0),MATCH(体力優良証交付申請書!J$14,テーブル2[[#Headers],[学年]:[得点]],0)))</f>
        <v/>
      </c>
      <c r="K31" s="129" t="str">
        <f>IF($A31&gt;MAX(入力シート!$AH$6:$AH$505),"",INDEX(テーブル2[[学年]:[判定]],MATCH(体力優良証交付申請書!$A31,入力シート!$AH$6:$AH$505,0),MATCH(体力優良証交付申請書!K$14,テーブル2[[#Headers],[学年]:[得点]],0)))</f>
        <v/>
      </c>
      <c r="L31" s="115" t="str">
        <f>IF($A31&gt;MAX(入力シート!$AH$6:$AH$505),"",INDEX(テーブル2[[学年]:[判定]],MATCH(体力優良証交付申請書!$A31,入力シート!$AH$6:$AH$505,0),MATCH(体力優良証交付申請書!L$14,テーブル2[[#Headers],[学年]:[得点]],0)))</f>
        <v/>
      </c>
      <c r="M31" s="115" t="str">
        <f>IF($A31&gt;MAX(入力シート!$AH$6:$AH$505),"",INDEX(テーブル2[[学年]:[判定]],MATCH(体力優良証交付申請書!$A31,入力シート!$AH$6:$AH$505,0),MATCH(体力優良証交付申請書!M$14,テーブル2[[#Headers],[学年]:[得点]],0)))</f>
        <v/>
      </c>
      <c r="N31" s="27" t="str">
        <f>IF($A31&gt;MAX(入力シート!$AH$6:$AH$505),"",INDEX(テーブル2[[学年]:[判定]],MATCH(体力優良証交付申請書!$A31,入力シート!$AH$6:$AH$505,0),MATCH(体力優良証交付申請書!N$14,テーブル2[[#Headers],[学年]:[得点]],0)))</f>
        <v/>
      </c>
    </row>
    <row r="32" spans="1:14" x14ac:dyDescent="0.15">
      <c r="A32" s="17">
        <v>18</v>
      </c>
      <c r="B32" s="115" t="str">
        <f>IF($A32&gt;MAX(入力シート!$AH$6:$AH$505),"",INDEX(テーブル2[[学年]:[判定]],MATCH(体力優良証交付申請書!$A32,入力シート!$AH$6:$AH$505,0),MATCH(体力優良証交付申請書!B$14,テーブル2[[#Headers],[学年]:[得点]],0)))</f>
        <v/>
      </c>
      <c r="C32" s="115" t="str">
        <f>IF($A32&gt;MAX(入力シート!$AH$6:$AH$505),"",INDEX(テーブル2[[学年]:[判定]],MATCH(体力優良証交付申請書!$A32,入力シート!$AH$6:$AH$505,0),MATCH(体力優良証交付申請書!C$14,テーブル2[[#Headers],[学年]:[得点]],0)))</f>
        <v/>
      </c>
      <c r="D32" s="115" t="str">
        <f>IF($A32&gt;MAX(入力シート!$AH$6:$AH$505),"",INDEX(テーブル2[[学年]:[判定]],MATCH(体力優良証交付申請書!$A32,入力シート!$AH$6:$AH$505,0),MATCH(体力優良証交付申請書!D$14,テーブル2[[#Headers],[学年]:[得点]],0)))</f>
        <v/>
      </c>
      <c r="E32" s="115" t="str">
        <f>IF($A32&gt;MAX(入力シート!$AH$6:$AH$505),"",INDEX(テーブル2[[学年]:[判定]],MATCH(体力優良証交付申請書!$A32,入力シート!$AH$6:$AH$505,0),MATCH(体力優良証交付申請書!E$14,テーブル2[[#Headers],[学年]:[得点]],0)))</f>
        <v/>
      </c>
      <c r="F32" s="115" t="str">
        <f>IF($A32&gt;MAX(入力シート!$AH$6:$AH$505),"",INDEX(テーブル2[[学年]:[判定]],MATCH(体力優良証交付申請書!$A32,入力シート!$AH$6:$AH$505,0),MATCH(体力優良証交付申請書!F$14,テーブル2[[#Headers],[学年]:[得点]],0)))</f>
        <v/>
      </c>
      <c r="G32" s="115" t="str">
        <f>IF($A32&gt;MAX(入力シート!$AH$6:$AH$505),"",INDEX(テーブル2[[学年]:[判定]],MATCH(体力優良証交付申請書!$A32,入力シート!$AH$6:$AH$505,0),MATCH(体力優良証交付申請書!G$14,テーブル2[[#Headers],[学年]:[得点]],0)))</f>
        <v/>
      </c>
      <c r="H32" s="115" t="str">
        <f>IF($A32&gt;MAX(入力シート!$AH$6:$AH$505),"",INDEX(テーブル2[[学年]:[判定]],MATCH(体力優良証交付申請書!$A32,入力シート!$AH$6:$AH$505,0),MATCH(体力優良証交付申請書!H$14,テーブル2[[#Headers],[学年]:[得点]],0)))</f>
        <v/>
      </c>
      <c r="I32" s="115" t="str">
        <f>IF($A32&gt;MAX(入力シート!$AH$6:$AH$505),"",INDEX(テーブル2[[学年]:[判定]],MATCH(体力優良証交付申請書!$A32,入力シート!$AH$6:$AH$505,0),MATCH(体力優良証交付申請書!I$14,テーブル2[[#Headers],[学年]:[得点]],0)))</f>
        <v/>
      </c>
      <c r="J32" s="115" t="str">
        <f>IF($A32&gt;MAX(入力シート!$AH$6:$AH$505),"",INDEX(テーブル2[[学年]:[判定]],MATCH(体力優良証交付申請書!$A32,入力シート!$AH$6:$AH$505,0),MATCH(体力優良証交付申請書!J$14,テーブル2[[#Headers],[学年]:[得点]],0)))</f>
        <v/>
      </c>
      <c r="K32" s="129" t="str">
        <f>IF($A32&gt;MAX(入力シート!$AH$6:$AH$505),"",INDEX(テーブル2[[学年]:[判定]],MATCH(体力優良証交付申請書!$A32,入力シート!$AH$6:$AH$505,0),MATCH(体力優良証交付申請書!K$14,テーブル2[[#Headers],[学年]:[得点]],0)))</f>
        <v/>
      </c>
      <c r="L32" s="115" t="str">
        <f>IF($A32&gt;MAX(入力シート!$AH$6:$AH$505),"",INDEX(テーブル2[[学年]:[判定]],MATCH(体力優良証交付申請書!$A32,入力シート!$AH$6:$AH$505,0),MATCH(体力優良証交付申請書!L$14,テーブル2[[#Headers],[学年]:[得点]],0)))</f>
        <v/>
      </c>
      <c r="M32" s="115" t="str">
        <f>IF($A32&gt;MAX(入力シート!$AH$6:$AH$505),"",INDEX(テーブル2[[学年]:[判定]],MATCH(体力優良証交付申請書!$A32,入力シート!$AH$6:$AH$505,0),MATCH(体力優良証交付申請書!M$14,テーブル2[[#Headers],[学年]:[得点]],0)))</f>
        <v/>
      </c>
      <c r="N32" s="27" t="str">
        <f>IF($A32&gt;MAX(入力シート!$AH$6:$AH$505),"",INDEX(テーブル2[[学年]:[判定]],MATCH(体力優良証交付申請書!$A32,入力シート!$AH$6:$AH$505,0),MATCH(体力優良証交付申請書!N$14,テーブル2[[#Headers],[学年]:[得点]],0)))</f>
        <v/>
      </c>
    </row>
    <row r="33" spans="1:14" ht="18" customHeight="1" x14ac:dyDescent="0.15">
      <c r="A33" s="17">
        <v>19</v>
      </c>
      <c r="B33" s="115" t="str">
        <f>IF($A33&gt;MAX(入力シート!$AH$6:$AH$505),"",INDEX(テーブル2[[学年]:[判定]],MATCH(体力優良証交付申請書!$A33,入力シート!$AH$6:$AH$505,0),MATCH(体力優良証交付申請書!B$14,テーブル2[[#Headers],[学年]:[得点]],0)))</f>
        <v/>
      </c>
      <c r="C33" s="115" t="str">
        <f>IF($A33&gt;MAX(入力シート!$AH$6:$AH$505),"",INDEX(テーブル2[[学年]:[判定]],MATCH(体力優良証交付申請書!$A33,入力シート!$AH$6:$AH$505,0),MATCH(体力優良証交付申請書!C$14,テーブル2[[#Headers],[学年]:[得点]],0)))</f>
        <v/>
      </c>
      <c r="D33" s="115" t="str">
        <f>IF($A33&gt;MAX(入力シート!$AH$6:$AH$505),"",INDEX(テーブル2[[学年]:[判定]],MATCH(体力優良証交付申請書!$A33,入力シート!$AH$6:$AH$505,0),MATCH(体力優良証交付申請書!D$14,テーブル2[[#Headers],[学年]:[得点]],0)))</f>
        <v/>
      </c>
      <c r="E33" s="115" t="str">
        <f>IF($A33&gt;MAX(入力シート!$AH$6:$AH$505),"",INDEX(テーブル2[[学年]:[判定]],MATCH(体力優良証交付申請書!$A33,入力シート!$AH$6:$AH$505,0),MATCH(体力優良証交付申請書!E$14,テーブル2[[#Headers],[学年]:[得点]],0)))</f>
        <v/>
      </c>
      <c r="F33" s="115" t="str">
        <f>IF($A33&gt;MAX(入力シート!$AH$6:$AH$505),"",INDEX(テーブル2[[学年]:[判定]],MATCH(体力優良証交付申請書!$A33,入力シート!$AH$6:$AH$505,0),MATCH(体力優良証交付申請書!F$14,テーブル2[[#Headers],[学年]:[得点]],0)))</f>
        <v/>
      </c>
      <c r="G33" s="115" t="str">
        <f>IF($A33&gt;MAX(入力シート!$AH$6:$AH$505),"",INDEX(テーブル2[[学年]:[判定]],MATCH(体力優良証交付申請書!$A33,入力シート!$AH$6:$AH$505,0),MATCH(体力優良証交付申請書!G$14,テーブル2[[#Headers],[学年]:[得点]],0)))</f>
        <v/>
      </c>
      <c r="H33" s="115" t="str">
        <f>IF($A33&gt;MAX(入力シート!$AH$6:$AH$505),"",INDEX(テーブル2[[学年]:[判定]],MATCH(体力優良証交付申請書!$A33,入力シート!$AH$6:$AH$505,0),MATCH(体力優良証交付申請書!H$14,テーブル2[[#Headers],[学年]:[得点]],0)))</f>
        <v/>
      </c>
      <c r="I33" s="115" t="str">
        <f>IF($A33&gt;MAX(入力シート!$AH$6:$AH$505),"",INDEX(テーブル2[[学年]:[判定]],MATCH(体力優良証交付申請書!$A33,入力シート!$AH$6:$AH$505,0),MATCH(体力優良証交付申請書!I$14,テーブル2[[#Headers],[学年]:[得点]],0)))</f>
        <v/>
      </c>
      <c r="J33" s="115" t="str">
        <f>IF($A33&gt;MAX(入力シート!$AH$6:$AH$505),"",INDEX(テーブル2[[学年]:[判定]],MATCH(体力優良証交付申請書!$A33,入力シート!$AH$6:$AH$505,0),MATCH(体力優良証交付申請書!J$14,テーブル2[[#Headers],[学年]:[得点]],0)))</f>
        <v/>
      </c>
      <c r="K33" s="129" t="str">
        <f>IF($A33&gt;MAX(入力シート!$AH$6:$AH$505),"",INDEX(テーブル2[[学年]:[判定]],MATCH(体力優良証交付申請書!$A33,入力シート!$AH$6:$AH$505,0),MATCH(体力優良証交付申請書!K$14,テーブル2[[#Headers],[学年]:[得点]],0)))</f>
        <v/>
      </c>
      <c r="L33" s="115" t="str">
        <f>IF($A33&gt;MAX(入力シート!$AH$6:$AH$505),"",INDEX(テーブル2[[学年]:[判定]],MATCH(体力優良証交付申請書!$A33,入力シート!$AH$6:$AH$505,0),MATCH(体力優良証交付申請書!L$14,テーブル2[[#Headers],[学年]:[得点]],0)))</f>
        <v/>
      </c>
      <c r="M33" s="115" t="str">
        <f>IF($A33&gt;MAX(入力シート!$AH$6:$AH$505),"",INDEX(テーブル2[[学年]:[判定]],MATCH(体力優良証交付申請書!$A33,入力シート!$AH$6:$AH$505,0),MATCH(体力優良証交付申請書!M$14,テーブル2[[#Headers],[学年]:[得点]],0)))</f>
        <v/>
      </c>
      <c r="N33" s="27" t="str">
        <f>IF($A33&gt;MAX(入力シート!$AH$6:$AH$505),"",INDEX(テーブル2[[学年]:[判定]],MATCH(体力優良証交付申請書!$A33,入力シート!$AH$6:$AH$505,0),MATCH(体力優良証交付申請書!N$14,テーブル2[[#Headers],[学年]:[得点]],0)))</f>
        <v/>
      </c>
    </row>
    <row r="34" spans="1:14" x14ac:dyDescent="0.15">
      <c r="A34" s="17">
        <v>20</v>
      </c>
      <c r="B34" s="115" t="str">
        <f>IF($A34&gt;MAX(入力シート!$AH$6:$AH$505),"",INDEX(テーブル2[[学年]:[判定]],MATCH(体力優良証交付申請書!$A34,入力シート!$AH$6:$AH$505,0),MATCH(体力優良証交付申請書!B$14,テーブル2[[#Headers],[学年]:[得点]],0)))</f>
        <v/>
      </c>
      <c r="C34" s="115" t="str">
        <f>IF($A34&gt;MAX(入力シート!$AH$6:$AH$505),"",INDEX(テーブル2[[学年]:[判定]],MATCH(体力優良証交付申請書!$A34,入力シート!$AH$6:$AH$505,0),MATCH(体力優良証交付申請書!C$14,テーブル2[[#Headers],[学年]:[得点]],0)))</f>
        <v/>
      </c>
      <c r="D34" s="115" t="str">
        <f>IF($A34&gt;MAX(入力シート!$AH$6:$AH$505),"",INDEX(テーブル2[[学年]:[判定]],MATCH(体力優良証交付申請書!$A34,入力シート!$AH$6:$AH$505,0),MATCH(体力優良証交付申請書!D$14,テーブル2[[#Headers],[学年]:[得点]],0)))</f>
        <v/>
      </c>
      <c r="E34" s="115" t="str">
        <f>IF($A34&gt;MAX(入力シート!$AH$6:$AH$505),"",INDEX(テーブル2[[学年]:[判定]],MATCH(体力優良証交付申請書!$A34,入力シート!$AH$6:$AH$505,0),MATCH(体力優良証交付申請書!E$14,テーブル2[[#Headers],[学年]:[得点]],0)))</f>
        <v/>
      </c>
      <c r="F34" s="115" t="str">
        <f>IF($A34&gt;MAX(入力シート!$AH$6:$AH$505),"",INDEX(テーブル2[[学年]:[判定]],MATCH(体力優良証交付申請書!$A34,入力シート!$AH$6:$AH$505,0),MATCH(体力優良証交付申請書!F$14,テーブル2[[#Headers],[学年]:[得点]],0)))</f>
        <v/>
      </c>
      <c r="G34" s="115" t="str">
        <f>IF($A34&gt;MAX(入力シート!$AH$6:$AH$505),"",INDEX(テーブル2[[学年]:[判定]],MATCH(体力優良証交付申請書!$A34,入力シート!$AH$6:$AH$505,0),MATCH(体力優良証交付申請書!G$14,テーブル2[[#Headers],[学年]:[得点]],0)))</f>
        <v/>
      </c>
      <c r="H34" s="115" t="str">
        <f>IF($A34&gt;MAX(入力シート!$AH$6:$AH$505),"",INDEX(テーブル2[[学年]:[判定]],MATCH(体力優良証交付申請書!$A34,入力シート!$AH$6:$AH$505,0),MATCH(体力優良証交付申請書!H$14,テーブル2[[#Headers],[学年]:[得点]],0)))</f>
        <v/>
      </c>
      <c r="I34" s="115" t="str">
        <f>IF($A34&gt;MAX(入力シート!$AH$6:$AH$505),"",INDEX(テーブル2[[学年]:[判定]],MATCH(体力優良証交付申請書!$A34,入力シート!$AH$6:$AH$505,0),MATCH(体力優良証交付申請書!I$14,テーブル2[[#Headers],[学年]:[得点]],0)))</f>
        <v/>
      </c>
      <c r="J34" s="115" t="str">
        <f>IF($A34&gt;MAX(入力シート!$AH$6:$AH$505),"",INDEX(テーブル2[[学年]:[判定]],MATCH(体力優良証交付申請書!$A34,入力シート!$AH$6:$AH$505,0),MATCH(体力優良証交付申請書!J$14,テーブル2[[#Headers],[学年]:[得点]],0)))</f>
        <v/>
      </c>
      <c r="K34" s="129" t="str">
        <f>IF($A34&gt;MAX(入力シート!$AH$6:$AH$505),"",INDEX(テーブル2[[学年]:[判定]],MATCH(体力優良証交付申請書!$A34,入力シート!$AH$6:$AH$505,0),MATCH(体力優良証交付申請書!K$14,テーブル2[[#Headers],[学年]:[得点]],0)))</f>
        <v/>
      </c>
      <c r="L34" s="115" t="str">
        <f>IF($A34&gt;MAX(入力シート!$AH$6:$AH$505),"",INDEX(テーブル2[[学年]:[判定]],MATCH(体力優良証交付申請書!$A34,入力シート!$AH$6:$AH$505,0),MATCH(体力優良証交付申請書!L$14,テーブル2[[#Headers],[学年]:[得点]],0)))</f>
        <v/>
      </c>
      <c r="M34" s="115" t="str">
        <f>IF($A34&gt;MAX(入力シート!$AH$6:$AH$505),"",INDEX(テーブル2[[学年]:[判定]],MATCH(体力優良証交付申請書!$A34,入力シート!$AH$6:$AH$505,0),MATCH(体力優良証交付申請書!M$14,テーブル2[[#Headers],[学年]:[得点]],0)))</f>
        <v/>
      </c>
      <c r="N34" s="27" t="str">
        <f>IF($A34&gt;MAX(入力シート!$AH$6:$AH$505),"",INDEX(テーブル2[[学年]:[判定]],MATCH(体力優良証交付申請書!$A34,入力シート!$AH$6:$AH$505,0),MATCH(体力優良証交付申請書!N$14,テーブル2[[#Headers],[学年]:[得点]],0)))</f>
        <v/>
      </c>
    </row>
    <row r="35" spans="1:14" x14ac:dyDescent="0.15">
      <c r="A35" s="17">
        <v>21</v>
      </c>
      <c r="B35" s="115" t="str">
        <f>IF($A35&gt;MAX(入力シート!$AH$6:$AH$505),"",INDEX(テーブル2[[学年]:[判定]],MATCH(体力優良証交付申請書!$A35,入力シート!$AH$6:$AH$505,0),MATCH(体力優良証交付申請書!B$14,テーブル2[[#Headers],[学年]:[得点]],0)))</f>
        <v/>
      </c>
      <c r="C35" s="115" t="str">
        <f>IF($A35&gt;MAX(入力シート!$AH$6:$AH$505),"",INDEX(テーブル2[[学年]:[判定]],MATCH(体力優良証交付申請書!$A35,入力シート!$AH$6:$AH$505,0),MATCH(体力優良証交付申請書!C$14,テーブル2[[#Headers],[学年]:[得点]],0)))</f>
        <v/>
      </c>
      <c r="D35" s="115" t="str">
        <f>IF($A35&gt;MAX(入力シート!$AH$6:$AH$505),"",INDEX(テーブル2[[学年]:[判定]],MATCH(体力優良証交付申請書!$A35,入力シート!$AH$6:$AH$505,0),MATCH(体力優良証交付申請書!D$14,テーブル2[[#Headers],[学年]:[得点]],0)))</f>
        <v/>
      </c>
      <c r="E35" s="115" t="str">
        <f>IF($A35&gt;MAX(入力シート!$AH$6:$AH$505),"",INDEX(テーブル2[[学年]:[判定]],MATCH(体力優良証交付申請書!$A35,入力シート!$AH$6:$AH$505,0),MATCH(体力優良証交付申請書!E$14,テーブル2[[#Headers],[学年]:[得点]],0)))</f>
        <v/>
      </c>
      <c r="F35" s="115" t="str">
        <f>IF($A35&gt;MAX(入力シート!$AH$6:$AH$505),"",INDEX(テーブル2[[学年]:[判定]],MATCH(体力優良証交付申請書!$A35,入力シート!$AH$6:$AH$505,0),MATCH(体力優良証交付申請書!F$14,テーブル2[[#Headers],[学年]:[得点]],0)))</f>
        <v/>
      </c>
      <c r="G35" s="115" t="str">
        <f>IF($A35&gt;MAX(入力シート!$AH$6:$AH$505),"",INDEX(テーブル2[[学年]:[判定]],MATCH(体力優良証交付申請書!$A35,入力シート!$AH$6:$AH$505,0),MATCH(体力優良証交付申請書!G$14,テーブル2[[#Headers],[学年]:[得点]],0)))</f>
        <v/>
      </c>
      <c r="H35" s="115" t="str">
        <f>IF($A35&gt;MAX(入力シート!$AH$6:$AH$505),"",INDEX(テーブル2[[学年]:[判定]],MATCH(体力優良証交付申請書!$A35,入力シート!$AH$6:$AH$505,0),MATCH(体力優良証交付申請書!H$14,テーブル2[[#Headers],[学年]:[得点]],0)))</f>
        <v/>
      </c>
      <c r="I35" s="115" t="str">
        <f>IF($A35&gt;MAX(入力シート!$AH$6:$AH$505),"",INDEX(テーブル2[[学年]:[判定]],MATCH(体力優良証交付申請書!$A35,入力シート!$AH$6:$AH$505,0),MATCH(体力優良証交付申請書!I$14,テーブル2[[#Headers],[学年]:[得点]],0)))</f>
        <v/>
      </c>
      <c r="J35" s="115" t="str">
        <f>IF($A35&gt;MAX(入力シート!$AH$6:$AH$505),"",INDEX(テーブル2[[学年]:[判定]],MATCH(体力優良証交付申請書!$A35,入力シート!$AH$6:$AH$505,0),MATCH(体力優良証交付申請書!J$14,テーブル2[[#Headers],[学年]:[得点]],0)))</f>
        <v/>
      </c>
      <c r="K35" s="129" t="str">
        <f>IF($A35&gt;MAX(入力シート!$AH$6:$AH$505),"",INDEX(テーブル2[[学年]:[判定]],MATCH(体力優良証交付申請書!$A35,入力シート!$AH$6:$AH$505,0),MATCH(体力優良証交付申請書!K$14,テーブル2[[#Headers],[学年]:[得点]],0)))</f>
        <v/>
      </c>
      <c r="L35" s="115" t="str">
        <f>IF($A35&gt;MAX(入力シート!$AH$6:$AH$505),"",INDEX(テーブル2[[学年]:[判定]],MATCH(体力優良証交付申請書!$A35,入力シート!$AH$6:$AH$505,0),MATCH(体力優良証交付申請書!L$14,テーブル2[[#Headers],[学年]:[得点]],0)))</f>
        <v/>
      </c>
      <c r="M35" s="115" t="str">
        <f>IF($A35&gt;MAX(入力シート!$AH$6:$AH$505),"",INDEX(テーブル2[[学年]:[判定]],MATCH(体力優良証交付申請書!$A35,入力シート!$AH$6:$AH$505,0),MATCH(体力優良証交付申請書!M$14,テーブル2[[#Headers],[学年]:[得点]],0)))</f>
        <v/>
      </c>
      <c r="N35" s="27" t="str">
        <f>IF($A35&gt;MAX(入力シート!$AH$6:$AH$505),"",INDEX(テーブル2[[学年]:[判定]],MATCH(体力優良証交付申請書!$A35,入力シート!$AH$6:$AH$505,0),MATCH(体力優良証交付申請書!N$14,テーブル2[[#Headers],[学年]:[得点]],0)))</f>
        <v/>
      </c>
    </row>
    <row r="36" spans="1:14" x14ac:dyDescent="0.15">
      <c r="A36" s="17">
        <v>22</v>
      </c>
      <c r="B36" s="115" t="str">
        <f>IF($A36&gt;MAX(入力シート!$AH$6:$AH$505),"",INDEX(テーブル2[[学年]:[判定]],MATCH(体力優良証交付申請書!$A36,入力シート!$AH$6:$AH$505,0),MATCH(体力優良証交付申請書!B$14,テーブル2[[#Headers],[学年]:[得点]],0)))</f>
        <v/>
      </c>
      <c r="C36" s="115" t="str">
        <f>IF($A36&gt;MAX(入力シート!$AH$6:$AH$505),"",INDEX(テーブル2[[学年]:[判定]],MATCH(体力優良証交付申請書!$A36,入力シート!$AH$6:$AH$505,0),MATCH(体力優良証交付申請書!C$14,テーブル2[[#Headers],[学年]:[得点]],0)))</f>
        <v/>
      </c>
      <c r="D36" s="115" t="str">
        <f>IF($A36&gt;MAX(入力シート!$AH$6:$AH$505),"",INDEX(テーブル2[[学年]:[判定]],MATCH(体力優良証交付申請書!$A36,入力シート!$AH$6:$AH$505,0),MATCH(体力優良証交付申請書!D$14,テーブル2[[#Headers],[学年]:[得点]],0)))</f>
        <v/>
      </c>
      <c r="E36" s="115" t="str">
        <f>IF($A36&gt;MAX(入力シート!$AH$6:$AH$505),"",INDEX(テーブル2[[学年]:[判定]],MATCH(体力優良証交付申請書!$A36,入力シート!$AH$6:$AH$505,0),MATCH(体力優良証交付申請書!E$14,テーブル2[[#Headers],[学年]:[得点]],0)))</f>
        <v/>
      </c>
      <c r="F36" s="115" t="str">
        <f>IF($A36&gt;MAX(入力シート!$AH$6:$AH$505),"",INDEX(テーブル2[[学年]:[判定]],MATCH(体力優良証交付申請書!$A36,入力シート!$AH$6:$AH$505,0),MATCH(体力優良証交付申請書!F$14,テーブル2[[#Headers],[学年]:[得点]],0)))</f>
        <v/>
      </c>
      <c r="G36" s="115" t="str">
        <f>IF($A36&gt;MAX(入力シート!$AH$6:$AH$505),"",INDEX(テーブル2[[学年]:[判定]],MATCH(体力優良証交付申請書!$A36,入力シート!$AH$6:$AH$505,0),MATCH(体力優良証交付申請書!G$14,テーブル2[[#Headers],[学年]:[得点]],0)))</f>
        <v/>
      </c>
      <c r="H36" s="115" t="str">
        <f>IF($A36&gt;MAX(入力シート!$AH$6:$AH$505),"",INDEX(テーブル2[[学年]:[判定]],MATCH(体力優良証交付申請書!$A36,入力シート!$AH$6:$AH$505,0),MATCH(体力優良証交付申請書!H$14,テーブル2[[#Headers],[学年]:[得点]],0)))</f>
        <v/>
      </c>
      <c r="I36" s="115" t="str">
        <f>IF($A36&gt;MAX(入力シート!$AH$6:$AH$505),"",INDEX(テーブル2[[学年]:[判定]],MATCH(体力優良証交付申請書!$A36,入力シート!$AH$6:$AH$505,0),MATCH(体力優良証交付申請書!I$14,テーブル2[[#Headers],[学年]:[得点]],0)))</f>
        <v/>
      </c>
      <c r="J36" s="115" t="str">
        <f>IF($A36&gt;MAX(入力シート!$AH$6:$AH$505),"",INDEX(テーブル2[[学年]:[判定]],MATCH(体力優良証交付申請書!$A36,入力シート!$AH$6:$AH$505,0),MATCH(体力優良証交付申請書!J$14,テーブル2[[#Headers],[学年]:[得点]],0)))</f>
        <v/>
      </c>
      <c r="K36" s="129" t="str">
        <f>IF($A36&gt;MAX(入力シート!$AH$6:$AH$505),"",INDEX(テーブル2[[学年]:[判定]],MATCH(体力優良証交付申請書!$A36,入力シート!$AH$6:$AH$505,0),MATCH(体力優良証交付申請書!K$14,テーブル2[[#Headers],[学年]:[得点]],0)))</f>
        <v/>
      </c>
      <c r="L36" s="115" t="str">
        <f>IF($A36&gt;MAX(入力シート!$AH$6:$AH$505),"",INDEX(テーブル2[[学年]:[判定]],MATCH(体力優良証交付申請書!$A36,入力シート!$AH$6:$AH$505,0),MATCH(体力優良証交付申請書!L$14,テーブル2[[#Headers],[学年]:[得点]],0)))</f>
        <v/>
      </c>
      <c r="M36" s="115" t="str">
        <f>IF($A36&gt;MAX(入力シート!$AH$6:$AH$505),"",INDEX(テーブル2[[学年]:[判定]],MATCH(体力優良証交付申請書!$A36,入力シート!$AH$6:$AH$505,0),MATCH(体力優良証交付申請書!M$14,テーブル2[[#Headers],[学年]:[得点]],0)))</f>
        <v/>
      </c>
      <c r="N36" s="27" t="str">
        <f>IF($A36&gt;MAX(入力シート!$AH$6:$AH$505),"",INDEX(テーブル2[[学年]:[判定]],MATCH(体力優良証交付申請書!$A36,入力シート!$AH$6:$AH$505,0),MATCH(体力優良証交付申請書!N$14,テーブル2[[#Headers],[学年]:[得点]],0)))</f>
        <v/>
      </c>
    </row>
    <row r="37" spans="1:14" x14ac:dyDescent="0.15">
      <c r="A37" s="17">
        <v>23</v>
      </c>
      <c r="B37" s="115" t="str">
        <f>IF($A37&gt;MAX(入力シート!$AH$6:$AH$505),"",INDEX(テーブル2[[学年]:[判定]],MATCH(体力優良証交付申請書!$A37,入力シート!$AH$6:$AH$505,0),MATCH(体力優良証交付申請書!B$14,テーブル2[[#Headers],[学年]:[得点]],0)))</f>
        <v/>
      </c>
      <c r="C37" s="115" t="str">
        <f>IF($A37&gt;MAX(入力シート!$AH$6:$AH$505),"",INDEX(テーブル2[[学年]:[判定]],MATCH(体力優良証交付申請書!$A37,入力シート!$AH$6:$AH$505,0),MATCH(体力優良証交付申請書!C$14,テーブル2[[#Headers],[学年]:[得点]],0)))</f>
        <v/>
      </c>
      <c r="D37" s="115" t="str">
        <f>IF($A37&gt;MAX(入力シート!$AH$6:$AH$505),"",INDEX(テーブル2[[学年]:[判定]],MATCH(体力優良証交付申請書!$A37,入力シート!$AH$6:$AH$505,0),MATCH(体力優良証交付申請書!D$14,テーブル2[[#Headers],[学年]:[得点]],0)))</f>
        <v/>
      </c>
      <c r="E37" s="115" t="str">
        <f>IF($A37&gt;MAX(入力シート!$AH$6:$AH$505),"",INDEX(テーブル2[[学年]:[判定]],MATCH(体力優良証交付申請書!$A37,入力シート!$AH$6:$AH$505,0),MATCH(体力優良証交付申請書!E$14,テーブル2[[#Headers],[学年]:[得点]],0)))</f>
        <v/>
      </c>
      <c r="F37" s="115" t="str">
        <f>IF($A37&gt;MAX(入力シート!$AH$6:$AH$505),"",INDEX(テーブル2[[学年]:[判定]],MATCH(体力優良証交付申請書!$A37,入力シート!$AH$6:$AH$505,0),MATCH(体力優良証交付申請書!F$14,テーブル2[[#Headers],[学年]:[得点]],0)))</f>
        <v/>
      </c>
      <c r="G37" s="115" t="str">
        <f>IF($A37&gt;MAX(入力シート!$AH$6:$AH$505),"",INDEX(テーブル2[[学年]:[判定]],MATCH(体力優良証交付申請書!$A37,入力シート!$AH$6:$AH$505,0),MATCH(体力優良証交付申請書!G$14,テーブル2[[#Headers],[学年]:[得点]],0)))</f>
        <v/>
      </c>
      <c r="H37" s="115" t="str">
        <f>IF($A37&gt;MAX(入力シート!$AH$6:$AH$505),"",INDEX(テーブル2[[学年]:[判定]],MATCH(体力優良証交付申請書!$A37,入力シート!$AH$6:$AH$505,0),MATCH(体力優良証交付申請書!H$14,テーブル2[[#Headers],[学年]:[得点]],0)))</f>
        <v/>
      </c>
      <c r="I37" s="115" t="str">
        <f>IF($A37&gt;MAX(入力シート!$AH$6:$AH$505),"",INDEX(テーブル2[[学年]:[判定]],MATCH(体力優良証交付申請書!$A37,入力シート!$AH$6:$AH$505,0),MATCH(体力優良証交付申請書!I$14,テーブル2[[#Headers],[学年]:[得点]],0)))</f>
        <v/>
      </c>
      <c r="J37" s="115" t="str">
        <f>IF($A37&gt;MAX(入力シート!$AH$6:$AH$505),"",INDEX(テーブル2[[学年]:[判定]],MATCH(体力優良証交付申請書!$A37,入力シート!$AH$6:$AH$505,0),MATCH(体力優良証交付申請書!J$14,テーブル2[[#Headers],[学年]:[得点]],0)))</f>
        <v/>
      </c>
      <c r="K37" s="129" t="str">
        <f>IF($A37&gt;MAX(入力シート!$AH$6:$AH$505),"",INDEX(テーブル2[[学年]:[判定]],MATCH(体力優良証交付申請書!$A37,入力シート!$AH$6:$AH$505,0),MATCH(体力優良証交付申請書!K$14,テーブル2[[#Headers],[学年]:[得点]],0)))</f>
        <v/>
      </c>
      <c r="L37" s="115" t="str">
        <f>IF($A37&gt;MAX(入力シート!$AH$6:$AH$505),"",INDEX(テーブル2[[学年]:[判定]],MATCH(体力優良証交付申請書!$A37,入力シート!$AH$6:$AH$505,0),MATCH(体力優良証交付申請書!L$14,テーブル2[[#Headers],[学年]:[得点]],0)))</f>
        <v/>
      </c>
      <c r="M37" s="115" t="str">
        <f>IF($A37&gt;MAX(入力シート!$AH$6:$AH$505),"",INDEX(テーブル2[[学年]:[判定]],MATCH(体力優良証交付申請書!$A37,入力シート!$AH$6:$AH$505,0),MATCH(体力優良証交付申請書!M$14,テーブル2[[#Headers],[学年]:[得点]],0)))</f>
        <v/>
      </c>
      <c r="N37" s="27" t="str">
        <f>IF($A37&gt;MAX(入力シート!$AH$6:$AH$505),"",INDEX(テーブル2[[学年]:[判定]],MATCH(体力優良証交付申請書!$A37,入力シート!$AH$6:$AH$505,0),MATCH(体力優良証交付申請書!N$14,テーブル2[[#Headers],[学年]:[得点]],0)))</f>
        <v/>
      </c>
    </row>
    <row r="38" spans="1:14" x14ac:dyDescent="0.15">
      <c r="A38" s="17">
        <v>24</v>
      </c>
      <c r="B38" s="115" t="str">
        <f>IF($A38&gt;MAX(入力シート!$AH$6:$AH$505),"",INDEX(テーブル2[[学年]:[判定]],MATCH(体力優良証交付申請書!$A38,入力シート!$AH$6:$AH$505,0),MATCH(体力優良証交付申請書!B$14,テーブル2[[#Headers],[学年]:[得点]],0)))</f>
        <v/>
      </c>
      <c r="C38" s="115" t="str">
        <f>IF($A38&gt;MAX(入力シート!$AH$6:$AH$505),"",INDEX(テーブル2[[学年]:[判定]],MATCH(体力優良証交付申請書!$A38,入力シート!$AH$6:$AH$505,0),MATCH(体力優良証交付申請書!C$14,テーブル2[[#Headers],[学年]:[得点]],0)))</f>
        <v/>
      </c>
      <c r="D38" s="115" t="str">
        <f>IF($A38&gt;MAX(入力シート!$AH$6:$AH$505),"",INDEX(テーブル2[[学年]:[判定]],MATCH(体力優良証交付申請書!$A38,入力シート!$AH$6:$AH$505,0),MATCH(体力優良証交付申請書!D$14,テーブル2[[#Headers],[学年]:[得点]],0)))</f>
        <v/>
      </c>
      <c r="E38" s="115" t="str">
        <f>IF($A38&gt;MAX(入力シート!$AH$6:$AH$505),"",INDEX(テーブル2[[学年]:[判定]],MATCH(体力優良証交付申請書!$A38,入力シート!$AH$6:$AH$505,0),MATCH(体力優良証交付申請書!E$14,テーブル2[[#Headers],[学年]:[得点]],0)))</f>
        <v/>
      </c>
      <c r="F38" s="115" t="str">
        <f>IF($A38&gt;MAX(入力シート!$AH$6:$AH$505),"",INDEX(テーブル2[[学年]:[判定]],MATCH(体力優良証交付申請書!$A38,入力シート!$AH$6:$AH$505,0),MATCH(体力優良証交付申請書!F$14,テーブル2[[#Headers],[学年]:[得点]],0)))</f>
        <v/>
      </c>
      <c r="G38" s="115" t="str">
        <f>IF($A38&gt;MAX(入力シート!$AH$6:$AH$505),"",INDEX(テーブル2[[学年]:[判定]],MATCH(体力優良証交付申請書!$A38,入力シート!$AH$6:$AH$505,0),MATCH(体力優良証交付申請書!G$14,テーブル2[[#Headers],[学年]:[得点]],0)))</f>
        <v/>
      </c>
      <c r="H38" s="115" t="str">
        <f>IF($A38&gt;MAX(入力シート!$AH$6:$AH$505),"",INDEX(テーブル2[[学年]:[判定]],MATCH(体力優良証交付申請書!$A38,入力シート!$AH$6:$AH$505,0),MATCH(体力優良証交付申請書!H$14,テーブル2[[#Headers],[学年]:[得点]],0)))</f>
        <v/>
      </c>
      <c r="I38" s="115" t="str">
        <f>IF($A38&gt;MAX(入力シート!$AH$6:$AH$505),"",INDEX(テーブル2[[学年]:[判定]],MATCH(体力優良証交付申請書!$A38,入力シート!$AH$6:$AH$505,0),MATCH(体力優良証交付申請書!I$14,テーブル2[[#Headers],[学年]:[得点]],0)))</f>
        <v/>
      </c>
      <c r="J38" s="115" t="str">
        <f>IF($A38&gt;MAX(入力シート!$AH$6:$AH$505),"",INDEX(テーブル2[[学年]:[判定]],MATCH(体力優良証交付申請書!$A38,入力シート!$AH$6:$AH$505,0),MATCH(体力優良証交付申請書!J$14,テーブル2[[#Headers],[学年]:[得点]],0)))</f>
        <v/>
      </c>
      <c r="K38" s="129" t="str">
        <f>IF($A38&gt;MAX(入力シート!$AH$6:$AH$505),"",INDEX(テーブル2[[学年]:[判定]],MATCH(体力優良証交付申請書!$A38,入力シート!$AH$6:$AH$505,0),MATCH(体力優良証交付申請書!K$14,テーブル2[[#Headers],[学年]:[得点]],0)))</f>
        <v/>
      </c>
      <c r="L38" s="115" t="str">
        <f>IF($A38&gt;MAX(入力シート!$AH$6:$AH$505),"",INDEX(テーブル2[[学年]:[判定]],MATCH(体力優良証交付申請書!$A38,入力シート!$AH$6:$AH$505,0),MATCH(体力優良証交付申請書!L$14,テーブル2[[#Headers],[学年]:[得点]],0)))</f>
        <v/>
      </c>
      <c r="M38" s="115" t="str">
        <f>IF($A38&gt;MAX(入力シート!$AH$6:$AH$505),"",INDEX(テーブル2[[学年]:[判定]],MATCH(体力優良証交付申請書!$A38,入力シート!$AH$6:$AH$505,0),MATCH(体力優良証交付申請書!M$14,テーブル2[[#Headers],[学年]:[得点]],0)))</f>
        <v/>
      </c>
      <c r="N38" s="27" t="str">
        <f>IF($A38&gt;MAX(入力シート!$AH$6:$AH$505),"",INDEX(テーブル2[[学年]:[判定]],MATCH(体力優良証交付申請書!$A38,入力シート!$AH$6:$AH$505,0),MATCH(体力優良証交付申請書!N$14,テーブル2[[#Headers],[学年]:[得点]],0)))</f>
        <v/>
      </c>
    </row>
    <row r="39" spans="1:14" x14ac:dyDescent="0.15">
      <c r="A39" s="17">
        <v>25</v>
      </c>
      <c r="B39" s="115" t="str">
        <f>IF($A39&gt;MAX(入力シート!$AH$6:$AH$505),"",INDEX(テーブル2[[学年]:[判定]],MATCH(体力優良証交付申請書!$A39,入力シート!$AH$6:$AH$505,0),MATCH(体力優良証交付申請書!B$14,テーブル2[[#Headers],[学年]:[得点]],0)))</f>
        <v/>
      </c>
      <c r="C39" s="115" t="str">
        <f>IF($A39&gt;MAX(入力シート!$AH$6:$AH$505),"",INDEX(テーブル2[[学年]:[判定]],MATCH(体力優良証交付申請書!$A39,入力シート!$AH$6:$AH$505,0),MATCH(体力優良証交付申請書!C$14,テーブル2[[#Headers],[学年]:[得点]],0)))</f>
        <v/>
      </c>
      <c r="D39" s="115" t="str">
        <f>IF($A39&gt;MAX(入力シート!$AH$6:$AH$505),"",INDEX(テーブル2[[学年]:[判定]],MATCH(体力優良証交付申請書!$A39,入力シート!$AH$6:$AH$505,0),MATCH(体力優良証交付申請書!D$14,テーブル2[[#Headers],[学年]:[得点]],0)))</f>
        <v/>
      </c>
      <c r="E39" s="115" t="str">
        <f>IF($A39&gt;MAX(入力シート!$AH$6:$AH$505),"",INDEX(テーブル2[[学年]:[判定]],MATCH(体力優良証交付申請書!$A39,入力シート!$AH$6:$AH$505,0),MATCH(体力優良証交付申請書!E$14,テーブル2[[#Headers],[学年]:[得点]],0)))</f>
        <v/>
      </c>
      <c r="F39" s="115" t="str">
        <f>IF($A39&gt;MAX(入力シート!$AH$6:$AH$505),"",INDEX(テーブル2[[学年]:[判定]],MATCH(体力優良証交付申請書!$A39,入力シート!$AH$6:$AH$505,0),MATCH(体力優良証交付申請書!F$14,テーブル2[[#Headers],[学年]:[得点]],0)))</f>
        <v/>
      </c>
      <c r="G39" s="115" t="str">
        <f>IF($A39&gt;MAX(入力シート!$AH$6:$AH$505),"",INDEX(テーブル2[[学年]:[判定]],MATCH(体力優良証交付申請書!$A39,入力シート!$AH$6:$AH$505,0),MATCH(体力優良証交付申請書!G$14,テーブル2[[#Headers],[学年]:[得点]],0)))</f>
        <v/>
      </c>
      <c r="H39" s="115" t="str">
        <f>IF($A39&gt;MAX(入力シート!$AH$6:$AH$505),"",INDEX(テーブル2[[学年]:[判定]],MATCH(体力優良証交付申請書!$A39,入力シート!$AH$6:$AH$505,0),MATCH(体力優良証交付申請書!H$14,テーブル2[[#Headers],[学年]:[得点]],0)))</f>
        <v/>
      </c>
      <c r="I39" s="115" t="str">
        <f>IF($A39&gt;MAX(入力シート!$AH$6:$AH$505),"",INDEX(テーブル2[[学年]:[判定]],MATCH(体力優良証交付申請書!$A39,入力シート!$AH$6:$AH$505,0),MATCH(体力優良証交付申請書!I$14,テーブル2[[#Headers],[学年]:[得点]],0)))</f>
        <v/>
      </c>
      <c r="J39" s="115" t="str">
        <f>IF($A39&gt;MAX(入力シート!$AH$6:$AH$505),"",INDEX(テーブル2[[学年]:[判定]],MATCH(体力優良証交付申請書!$A39,入力シート!$AH$6:$AH$505,0),MATCH(体力優良証交付申請書!J$14,テーブル2[[#Headers],[学年]:[得点]],0)))</f>
        <v/>
      </c>
      <c r="K39" s="129" t="str">
        <f>IF($A39&gt;MAX(入力シート!$AH$6:$AH$505),"",INDEX(テーブル2[[学年]:[判定]],MATCH(体力優良証交付申請書!$A39,入力シート!$AH$6:$AH$505,0),MATCH(体力優良証交付申請書!K$14,テーブル2[[#Headers],[学年]:[得点]],0)))</f>
        <v/>
      </c>
      <c r="L39" s="115" t="str">
        <f>IF($A39&gt;MAX(入力シート!$AH$6:$AH$505),"",INDEX(テーブル2[[学年]:[判定]],MATCH(体力優良証交付申請書!$A39,入力シート!$AH$6:$AH$505,0),MATCH(体力優良証交付申請書!L$14,テーブル2[[#Headers],[学年]:[得点]],0)))</f>
        <v/>
      </c>
      <c r="M39" s="115" t="str">
        <f>IF($A39&gt;MAX(入力シート!$AH$6:$AH$505),"",INDEX(テーブル2[[学年]:[判定]],MATCH(体力優良証交付申請書!$A39,入力シート!$AH$6:$AH$505,0),MATCH(体力優良証交付申請書!M$14,テーブル2[[#Headers],[学年]:[得点]],0)))</f>
        <v/>
      </c>
      <c r="N39" s="27" t="str">
        <f>IF($A39&gt;MAX(入力シート!$AH$6:$AH$505),"",INDEX(テーブル2[[学年]:[判定]],MATCH(体力優良証交付申請書!$A39,入力シート!$AH$6:$AH$505,0),MATCH(体力優良証交付申請書!N$14,テーブル2[[#Headers],[学年]:[得点]],0)))</f>
        <v/>
      </c>
    </row>
    <row r="40" spans="1:14" x14ac:dyDescent="0.15">
      <c r="A40" s="17">
        <v>26</v>
      </c>
      <c r="B40" s="115" t="str">
        <f>IF($A40&gt;MAX(入力シート!$AH$6:$AH$505),"",INDEX(テーブル2[[学年]:[判定]],MATCH(体力優良証交付申請書!$A40,入力シート!$AH$6:$AH$505,0),MATCH(体力優良証交付申請書!B$14,テーブル2[[#Headers],[学年]:[得点]],0)))</f>
        <v/>
      </c>
      <c r="C40" s="115" t="str">
        <f>IF($A40&gt;MAX(入力シート!$AH$6:$AH$505),"",INDEX(テーブル2[[学年]:[判定]],MATCH(体力優良証交付申請書!$A40,入力シート!$AH$6:$AH$505,0),MATCH(体力優良証交付申請書!C$14,テーブル2[[#Headers],[学年]:[得点]],0)))</f>
        <v/>
      </c>
      <c r="D40" s="115" t="str">
        <f>IF($A40&gt;MAX(入力シート!$AH$6:$AH$505),"",INDEX(テーブル2[[学年]:[判定]],MATCH(体力優良証交付申請書!$A40,入力シート!$AH$6:$AH$505,0),MATCH(体力優良証交付申請書!D$14,テーブル2[[#Headers],[学年]:[得点]],0)))</f>
        <v/>
      </c>
      <c r="E40" s="115" t="str">
        <f>IF($A40&gt;MAX(入力シート!$AH$6:$AH$505),"",INDEX(テーブル2[[学年]:[判定]],MATCH(体力優良証交付申請書!$A40,入力シート!$AH$6:$AH$505,0),MATCH(体力優良証交付申請書!E$14,テーブル2[[#Headers],[学年]:[得点]],0)))</f>
        <v/>
      </c>
      <c r="F40" s="115" t="str">
        <f>IF($A40&gt;MAX(入力シート!$AH$6:$AH$505),"",INDEX(テーブル2[[学年]:[判定]],MATCH(体力優良証交付申請書!$A40,入力シート!$AH$6:$AH$505,0),MATCH(体力優良証交付申請書!F$14,テーブル2[[#Headers],[学年]:[得点]],0)))</f>
        <v/>
      </c>
      <c r="G40" s="115" t="str">
        <f>IF($A40&gt;MAX(入力シート!$AH$6:$AH$505),"",INDEX(テーブル2[[学年]:[判定]],MATCH(体力優良証交付申請書!$A40,入力シート!$AH$6:$AH$505,0),MATCH(体力優良証交付申請書!G$14,テーブル2[[#Headers],[学年]:[得点]],0)))</f>
        <v/>
      </c>
      <c r="H40" s="115" t="str">
        <f>IF($A40&gt;MAX(入力シート!$AH$6:$AH$505),"",INDEX(テーブル2[[学年]:[判定]],MATCH(体力優良証交付申請書!$A40,入力シート!$AH$6:$AH$505,0),MATCH(体力優良証交付申請書!H$14,テーブル2[[#Headers],[学年]:[得点]],0)))</f>
        <v/>
      </c>
      <c r="I40" s="115" t="str">
        <f>IF($A40&gt;MAX(入力シート!$AH$6:$AH$505),"",INDEX(テーブル2[[学年]:[判定]],MATCH(体力優良証交付申請書!$A40,入力シート!$AH$6:$AH$505,0),MATCH(体力優良証交付申請書!I$14,テーブル2[[#Headers],[学年]:[得点]],0)))</f>
        <v/>
      </c>
      <c r="J40" s="115" t="str">
        <f>IF($A40&gt;MAX(入力シート!$AH$6:$AH$505),"",INDEX(テーブル2[[学年]:[判定]],MATCH(体力優良証交付申請書!$A40,入力シート!$AH$6:$AH$505,0),MATCH(体力優良証交付申請書!J$14,テーブル2[[#Headers],[学年]:[得点]],0)))</f>
        <v/>
      </c>
      <c r="K40" s="129" t="str">
        <f>IF($A40&gt;MAX(入力シート!$AH$6:$AH$505),"",INDEX(テーブル2[[学年]:[判定]],MATCH(体力優良証交付申請書!$A40,入力シート!$AH$6:$AH$505,0),MATCH(体力優良証交付申請書!K$14,テーブル2[[#Headers],[学年]:[得点]],0)))</f>
        <v/>
      </c>
      <c r="L40" s="115" t="str">
        <f>IF($A40&gt;MAX(入力シート!$AH$6:$AH$505),"",INDEX(テーブル2[[学年]:[判定]],MATCH(体力優良証交付申請書!$A40,入力シート!$AH$6:$AH$505,0),MATCH(体力優良証交付申請書!L$14,テーブル2[[#Headers],[学年]:[得点]],0)))</f>
        <v/>
      </c>
      <c r="M40" s="115" t="str">
        <f>IF($A40&gt;MAX(入力シート!$AH$6:$AH$505),"",INDEX(テーブル2[[学年]:[判定]],MATCH(体力優良証交付申請書!$A40,入力シート!$AH$6:$AH$505,0),MATCH(体力優良証交付申請書!M$14,テーブル2[[#Headers],[学年]:[得点]],0)))</f>
        <v/>
      </c>
      <c r="N40" s="27" t="str">
        <f>IF($A40&gt;MAX(入力シート!$AH$6:$AH$505),"",INDEX(テーブル2[[学年]:[判定]],MATCH(体力優良証交付申請書!$A40,入力シート!$AH$6:$AH$505,0),MATCH(体力優良証交付申請書!N$14,テーブル2[[#Headers],[学年]:[得点]],0)))</f>
        <v/>
      </c>
    </row>
    <row r="41" spans="1:14" x14ac:dyDescent="0.15">
      <c r="A41" s="17">
        <v>27</v>
      </c>
      <c r="B41" s="115" t="str">
        <f>IF($A41&gt;MAX(入力シート!$AH$6:$AH$505),"",INDEX(テーブル2[[学年]:[判定]],MATCH(体力優良証交付申請書!$A41,入力シート!$AH$6:$AH$505,0),MATCH(体力優良証交付申請書!B$14,テーブル2[[#Headers],[学年]:[得点]],0)))</f>
        <v/>
      </c>
      <c r="C41" s="115" t="str">
        <f>IF($A41&gt;MAX(入力シート!$AH$6:$AH$505),"",INDEX(テーブル2[[学年]:[判定]],MATCH(体力優良証交付申請書!$A41,入力シート!$AH$6:$AH$505,0),MATCH(体力優良証交付申請書!C$14,テーブル2[[#Headers],[学年]:[得点]],0)))</f>
        <v/>
      </c>
      <c r="D41" s="115" t="str">
        <f>IF($A41&gt;MAX(入力シート!$AH$6:$AH$505),"",INDEX(テーブル2[[学年]:[判定]],MATCH(体力優良証交付申請書!$A41,入力シート!$AH$6:$AH$505,0),MATCH(体力優良証交付申請書!D$14,テーブル2[[#Headers],[学年]:[得点]],0)))</f>
        <v/>
      </c>
      <c r="E41" s="115" t="str">
        <f>IF($A41&gt;MAX(入力シート!$AH$6:$AH$505),"",INDEX(テーブル2[[学年]:[判定]],MATCH(体力優良証交付申請書!$A41,入力シート!$AH$6:$AH$505,0),MATCH(体力優良証交付申請書!E$14,テーブル2[[#Headers],[学年]:[得点]],0)))</f>
        <v/>
      </c>
      <c r="F41" s="115" t="str">
        <f>IF($A41&gt;MAX(入力シート!$AH$6:$AH$505),"",INDEX(テーブル2[[学年]:[判定]],MATCH(体力優良証交付申請書!$A41,入力シート!$AH$6:$AH$505,0),MATCH(体力優良証交付申請書!F$14,テーブル2[[#Headers],[学年]:[得点]],0)))</f>
        <v/>
      </c>
      <c r="G41" s="115" t="str">
        <f>IF($A41&gt;MAX(入力シート!$AH$6:$AH$505),"",INDEX(テーブル2[[学年]:[判定]],MATCH(体力優良証交付申請書!$A41,入力シート!$AH$6:$AH$505,0),MATCH(体力優良証交付申請書!G$14,テーブル2[[#Headers],[学年]:[得点]],0)))</f>
        <v/>
      </c>
      <c r="H41" s="115" t="str">
        <f>IF($A41&gt;MAX(入力シート!$AH$6:$AH$505),"",INDEX(テーブル2[[学年]:[判定]],MATCH(体力優良証交付申請書!$A41,入力シート!$AH$6:$AH$505,0),MATCH(体力優良証交付申請書!H$14,テーブル2[[#Headers],[学年]:[得点]],0)))</f>
        <v/>
      </c>
      <c r="I41" s="115" t="str">
        <f>IF($A41&gt;MAX(入力シート!$AH$6:$AH$505),"",INDEX(テーブル2[[学年]:[判定]],MATCH(体力優良証交付申請書!$A41,入力シート!$AH$6:$AH$505,0),MATCH(体力優良証交付申請書!I$14,テーブル2[[#Headers],[学年]:[得点]],0)))</f>
        <v/>
      </c>
      <c r="J41" s="115" t="str">
        <f>IF($A41&gt;MAX(入力シート!$AH$6:$AH$505),"",INDEX(テーブル2[[学年]:[判定]],MATCH(体力優良証交付申請書!$A41,入力シート!$AH$6:$AH$505,0),MATCH(体力優良証交付申請書!J$14,テーブル2[[#Headers],[学年]:[得点]],0)))</f>
        <v/>
      </c>
      <c r="K41" s="129" t="str">
        <f>IF($A41&gt;MAX(入力シート!$AH$6:$AH$505),"",INDEX(テーブル2[[学年]:[判定]],MATCH(体力優良証交付申請書!$A41,入力シート!$AH$6:$AH$505,0),MATCH(体力優良証交付申請書!K$14,テーブル2[[#Headers],[学年]:[得点]],0)))</f>
        <v/>
      </c>
      <c r="L41" s="115" t="str">
        <f>IF($A41&gt;MAX(入力シート!$AH$6:$AH$505),"",INDEX(テーブル2[[学年]:[判定]],MATCH(体力優良証交付申請書!$A41,入力シート!$AH$6:$AH$505,0),MATCH(体力優良証交付申請書!L$14,テーブル2[[#Headers],[学年]:[得点]],0)))</f>
        <v/>
      </c>
      <c r="M41" s="115" t="str">
        <f>IF($A41&gt;MAX(入力シート!$AH$6:$AH$505),"",INDEX(テーブル2[[学年]:[判定]],MATCH(体力優良証交付申請書!$A41,入力シート!$AH$6:$AH$505,0),MATCH(体力優良証交付申請書!M$14,テーブル2[[#Headers],[学年]:[得点]],0)))</f>
        <v/>
      </c>
      <c r="N41" s="27" t="str">
        <f>IF($A41&gt;MAX(入力シート!$AH$6:$AH$505),"",INDEX(テーブル2[[学年]:[判定]],MATCH(体力優良証交付申請書!$A41,入力シート!$AH$6:$AH$505,0),MATCH(体力優良証交付申請書!N$14,テーブル2[[#Headers],[学年]:[得点]],0)))</f>
        <v/>
      </c>
    </row>
    <row r="42" spans="1:14" x14ac:dyDescent="0.15">
      <c r="A42" s="17">
        <v>28</v>
      </c>
      <c r="B42" s="115" t="str">
        <f>IF($A42&gt;MAX(入力シート!$AH$6:$AH$505),"",INDEX(テーブル2[[学年]:[判定]],MATCH(体力優良証交付申請書!$A42,入力シート!$AH$6:$AH$505,0),MATCH(体力優良証交付申請書!B$14,テーブル2[[#Headers],[学年]:[得点]],0)))</f>
        <v/>
      </c>
      <c r="C42" s="115" t="str">
        <f>IF($A42&gt;MAX(入力シート!$AH$6:$AH$505),"",INDEX(テーブル2[[学年]:[判定]],MATCH(体力優良証交付申請書!$A42,入力シート!$AH$6:$AH$505,0),MATCH(体力優良証交付申請書!C$14,テーブル2[[#Headers],[学年]:[得点]],0)))</f>
        <v/>
      </c>
      <c r="D42" s="115" t="str">
        <f>IF($A42&gt;MAX(入力シート!$AH$6:$AH$505),"",INDEX(テーブル2[[学年]:[判定]],MATCH(体力優良証交付申請書!$A42,入力シート!$AH$6:$AH$505,0),MATCH(体力優良証交付申請書!D$14,テーブル2[[#Headers],[学年]:[得点]],0)))</f>
        <v/>
      </c>
      <c r="E42" s="115" t="str">
        <f>IF($A42&gt;MAX(入力シート!$AH$6:$AH$505),"",INDEX(テーブル2[[学年]:[判定]],MATCH(体力優良証交付申請書!$A42,入力シート!$AH$6:$AH$505,0),MATCH(体力優良証交付申請書!E$14,テーブル2[[#Headers],[学年]:[得点]],0)))</f>
        <v/>
      </c>
      <c r="F42" s="115" t="str">
        <f>IF($A42&gt;MAX(入力シート!$AH$6:$AH$505),"",INDEX(テーブル2[[学年]:[判定]],MATCH(体力優良証交付申請書!$A42,入力シート!$AH$6:$AH$505,0),MATCH(体力優良証交付申請書!F$14,テーブル2[[#Headers],[学年]:[得点]],0)))</f>
        <v/>
      </c>
      <c r="G42" s="115" t="str">
        <f>IF($A42&gt;MAX(入力シート!$AH$6:$AH$505),"",INDEX(テーブル2[[学年]:[判定]],MATCH(体力優良証交付申請書!$A42,入力シート!$AH$6:$AH$505,0),MATCH(体力優良証交付申請書!G$14,テーブル2[[#Headers],[学年]:[得点]],0)))</f>
        <v/>
      </c>
      <c r="H42" s="115" t="str">
        <f>IF($A42&gt;MAX(入力シート!$AH$6:$AH$505),"",INDEX(テーブル2[[学年]:[判定]],MATCH(体力優良証交付申請書!$A42,入力シート!$AH$6:$AH$505,0),MATCH(体力優良証交付申請書!H$14,テーブル2[[#Headers],[学年]:[得点]],0)))</f>
        <v/>
      </c>
      <c r="I42" s="115" t="str">
        <f>IF($A42&gt;MAX(入力シート!$AH$6:$AH$505),"",INDEX(テーブル2[[学年]:[判定]],MATCH(体力優良証交付申請書!$A42,入力シート!$AH$6:$AH$505,0),MATCH(体力優良証交付申請書!I$14,テーブル2[[#Headers],[学年]:[得点]],0)))</f>
        <v/>
      </c>
      <c r="J42" s="115" t="str">
        <f>IF($A42&gt;MAX(入力シート!$AH$6:$AH$505),"",INDEX(テーブル2[[学年]:[判定]],MATCH(体力優良証交付申請書!$A42,入力シート!$AH$6:$AH$505,0),MATCH(体力優良証交付申請書!J$14,テーブル2[[#Headers],[学年]:[得点]],0)))</f>
        <v/>
      </c>
      <c r="K42" s="129" t="str">
        <f>IF($A42&gt;MAX(入力シート!$AH$6:$AH$505),"",INDEX(テーブル2[[学年]:[判定]],MATCH(体力優良証交付申請書!$A42,入力シート!$AH$6:$AH$505,0),MATCH(体力優良証交付申請書!K$14,テーブル2[[#Headers],[学年]:[得点]],0)))</f>
        <v/>
      </c>
      <c r="L42" s="115" t="str">
        <f>IF($A42&gt;MAX(入力シート!$AH$6:$AH$505),"",INDEX(テーブル2[[学年]:[判定]],MATCH(体力優良証交付申請書!$A42,入力シート!$AH$6:$AH$505,0),MATCH(体力優良証交付申請書!L$14,テーブル2[[#Headers],[学年]:[得点]],0)))</f>
        <v/>
      </c>
      <c r="M42" s="115" t="str">
        <f>IF($A42&gt;MAX(入力シート!$AH$6:$AH$505),"",INDEX(テーブル2[[学年]:[判定]],MATCH(体力優良証交付申請書!$A42,入力シート!$AH$6:$AH$505,0),MATCH(体力優良証交付申請書!M$14,テーブル2[[#Headers],[学年]:[得点]],0)))</f>
        <v/>
      </c>
      <c r="N42" s="27" t="str">
        <f>IF($A42&gt;MAX(入力シート!$AH$6:$AH$505),"",INDEX(テーブル2[[学年]:[判定]],MATCH(体力優良証交付申請書!$A42,入力シート!$AH$6:$AH$505,0),MATCH(体力優良証交付申請書!N$14,テーブル2[[#Headers],[学年]:[得点]],0)))</f>
        <v/>
      </c>
    </row>
    <row r="43" spans="1:14" x14ac:dyDescent="0.15">
      <c r="A43" s="17">
        <v>29</v>
      </c>
      <c r="B43" s="115" t="str">
        <f>IF($A43&gt;MAX(入力シート!$AH$6:$AH$505),"",INDEX(テーブル2[[学年]:[判定]],MATCH(体力優良証交付申請書!$A43,入力シート!$AH$6:$AH$505,0),MATCH(体力優良証交付申請書!B$14,テーブル2[[#Headers],[学年]:[得点]],0)))</f>
        <v/>
      </c>
      <c r="C43" s="115" t="str">
        <f>IF($A43&gt;MAX(入力シート!$AH$6:$AH$505),"",INDEX(テーブル2[[学年]:[判定]],MATCH(体力優良証交付申請書!$A43,入力シート!$AH$6:$AH$505,0),MATCH(体力優良証交付申請書!C$14,テーブル2[[#Headers],[学年]:[得点]],0)))</f>
        <v/>
      </c>
      <c r="D43" s="115" t="str">
        <f>IF($A43&gt;MAX(入力シート!$AH$6:$AH$505),"",INDEX(テーブル2[[学年]:[判定]],MATCH(体力優良証交付申請書!$A43,入力シート!$AH$6:$AH$505,0),MATCH(体力優良証交付申請書!D$14,テーブル2[[#Headers],[学年]:[得点]],0)))</f>
        <v/>
      </c>
      <c r="E43" s="115" t="str">
        <f>IF($A43&gt;MAX(入力シート!$AH$6:$AH$505),"",INDEX(テーブル2[[学年]:[判定]],MATCH(体力優良証交付申請書!$A43,入力シート!$AH$6:$AH$505,0),MATCH(体力優良証交付申請書!E$14,テーブル2[[#Headers],[学年]:[得点]],0)))</f>
        <v/>
      </c>
      <c r="F43" s="115" t="str">
        <f>IF($A43&gt;MAX(入力シート!$AH$6:$AH$505),"",INDEX(テーブル2[[学年]:[判定]],MATCH(体力優良証交付申請書!$A43,入力シート!$AH$6:$AH$505,0),MATCH(体力優良証交付申請書!F$14,テーブル2[[#Headers],[学年]:[得点]],0)))</f>
        <v/>
      </c>
      <c r="G43" s="115" t="str">
        <f>IF($A43&gt;MAX(入力シート!$AH$6:$AH$505),"",INDEX(テーブル2[[学年]:[判定]],MATCH(体力優良証交付申請書!$A43,入力シート!$AH$6:$AH$505,0),MATCH(体力優良証交付申請書!G$14,テーブル2[[#Headers],[学年]:[得点]],0)))</f>
        <v/>
      </c>
      <c r="H43" s="115" t="str">
        <f>IF($A43&gt;MAX(入力シート!$AH$6:$AH$505),"",INDEX(テーブル2[[学年]:[判定]],MATCH(体力優良証交付申請書!$A43,入力シート!$AH$6:$AH$505,0),MATCH(体力優良証交付申請書!H$14,テーブル2[[#Headers],[学年]:[得点]],0)))</f>
        <v/>
      </c>
      <c r="I43" s="115" t="str">
        <f>IF($A43&gt;MAX(入力シート!$AH$6:$AH$505),"",INDEX(テーブル2[[学年]:[判定]],MATCH(体力優良証交付申請書!$A43,入力シート!$AH$6:$AH$505,0),MATCH(体力優良証交付申請書!I$14,テーブル2[[#Headers],[学年]:[得点]],0)))</f>
        <v/>
      </c>
      <c r="J43" s="115" t="str">
        <f>IF($A43&gt;MAX(入力シート!$AH$6:$AH$505),"",INDEX(テーブル2[[学年]:[判定]],MATCH(体力優良証交付申請書!$A43,入力シート!$AH$6:$AH$505,0),MATCH(体力優良証交付申請書!J$14,テーブル2[[#Headers],[学年]:[得点]],0)))</f>
        <v/>
      </c>
      <c r="K43" s="129" t="str">
        <f>IF($A43&gt;MAX(入力シート!$AH$6:$AH$505),"",INDEX(テーブル2[[学年]:[判定]],MATCH(体力優良証交付申請書!$A43,入力シート!$AH$6:$AH$505,0),MATCH(体力優良証交付申請書!K$14,テーブル2[[#Headers],[学年]:[得点]],0)))</f>
        <v/>
      </c>
      <c r="L43" s="115" t="str">
        <f>IF($A43&gt;MAX(入力シート!$AH$6:$AH$505),"",INDEX(テーブル2[[学年]:[判定]],MATCH(体力優良証交付申請書!$A43,入力シート!$AH$6:$AH$505,0),MATCH(体力優良証交付申請書!L$14,テーブル2[[#Headers],[学年]:[得点]],0)))</f>
        <v/>
      </c>
      <c r="M43" s="115" t="str">
        <f>IF($A43&gt;MAX(入力シート!$AH$6:$AH$505),"",INDEX(テーブル2[[学年]:[判定]],MATCH(体力優良証交付申請書!$A43,入力シート!$AH$6:$AH$505,0),MATCH(体力優良証交付申請書!M$14,テーブル2[[#Headers],[学年]:[得点]],0)))</f>
        <v/>
      </c>
      <c r="N43" s="27" t="str">
        <f>IF($A43&gt;MAX(入力シート!$AH$6:$AH$505),"",INDEX(テーブル2[[学年]:[判定]],MATCH(体力優良証交付申請書!$A43,入力シート!$AH$6:$AH$505,0),MATCH(体力優良証交付申請書!N$14,テーブル2[[#Headers],[学年]:[得点]],0)))</f>
        <v/>
      </c>
    </row>
    <row r="44" spans="1:14" x14ac:dyDescent="0.15">
      <c r="A44" s="17">
        <v>30</v>
      </c>
      <c r="B44" s="115" t="str">
        <f>IF($A44&gt;MAX(入力シート!$AH$6:$AH$505),"",INDEX(テーブル2[[学年]:[判定]],MATCH(体力優良証交付申請書!$A44,入力シート!$AH$6:$AH$505,0),MATCH(体力優良証交付申請書!B$14,テーブル2[[#Headers],[学年]:[得点]],0)))</f>
        <v/>
      </c>
      <c r="C44" s="115" t="str">
        <f>IF($A44&gt;MAX(入力シート!$AH$6:$AH$505),"",INDEX(テーブル2[[学年]:[判定]],MATCH(体力優良証交付申請書!$A44,入力シート!$AH$6:$AH$505,0),MATCH(体力優良証交付申請書!C$14,テーブル2[[#Headers],[学年]:[得点]],0)))</f>
        <v/>
      </c>
      <c r="D44" s="115" t="str">
        <f>IF($A44&gt;MAX(入力シート!$AH$6:$AH$505),"",INDEX(テーブル2[[学年]:[判定]],MATCH(体力優良証交付申請書!$A44,入力シート!$AH$6:$AH$505,0),MATCH(体力優良証交付申請書!D$14,テーブル2[[#Headers],[学年]:[得点]],0)))</f>
        <v/>
      </c>
      <c r="E44" s="115" t="str">
        <f>IF($A44&gt;MAX(入力シート!$AH$6:$AH$505),"",INDEX(テーブル2[[学年]:[判定]],MATCH(体力優良証交付申請書!$A44,入力シート!$AH$6:$AH$505,0),MATCH(体力優良証交付申請書!E$14,テーブル2[[#Headers],[学年]:[得点]],0)))</f>
        <v/>
      </c>
      <c r="F44" s="115" t="str">
        <f>IF($A44&gt;MAX(入力シート!$AH$6:$AH$505),"",INDEX(テーブル2[[学年]:[判定]],MATCH(体力優良証交付申請書!$A44,入力シート!$AH$6:$AH$505,0),MATCH(体力優良証交付申請書!F$14,テーブル2[[#Headers],[学年]:[得点]],0)))</f>
        <v/>
      </c>
      <c r="G44" s="115" t="str">
        <f>IF($A44&gt;MAX(入力シート!$AH$6:$AH$505),"",INDEX(テーブル2[[学年]:[判定]],MATCH(体力優良証交付申請書!$A44,入力シート!$AH$6:$AH$505,0),MATCH(体力優良証交付申請書!G$14,テーブル2[[#Headers],[学年]:[得点]],0)))</f>
        <v/>
      </c>
      <c r="H44" s="115" t="str">
        <f>IF($A44&gt;MAX(入力シート!$AH$6:$AH$505),"",INDEX(テーブル2[[学年]:[判定]],MATCH(体力優良証交付申請書!$A44,入力シート!$AH$6:$AH$505,0),MATCH(体力優良証交付申請書!H$14,テーブル2[[#Headers],[学年]:[得点]],0)))</f>
        <v/>
      </c>
      <c r="I44" s="115" t="str">
        <f>IF($A44&gt;MAX(入力シート!$AH$6:$AH$505),"",INDEX(テーブル2[[学年]:[判定]],MATCH(体力優良証交付申請書!$A44,入力シート!$AH$6:$AH$505,0),MATCH(体力優良証交付申請書!I$14,テーブル2[[#Headers],[学年]:[得点]],0)))</f>
        <v/>
      </c>
      <c r="J44" s="115" t="str">
        <f>IF($A44&gt;MAX(入力シート!$AH$6:$AH$505),"",INDEX(テーブル2[[学年]:[判定]],MATCH(体力優良証交付申請書!$A44,入力シート!$AH$6:$AH$505,0),MATCH(体力優良証交付申請書!J$14,テーブル2[[#Headers],[学年]:[得点]],0)))</f>
        <v/>
      </c>
      <c r="K44" s="129" t="str">
        <f>IF($A44&gt;MAX(入力シート!$AH$6:$AH$505),"",INDEX(テーブル2[[学年]:[判定]],MATCH(体力優良証交付申請書!$A44,入力シート!$AH$6:$AH$505,0),MATCH(体力優良証交付申請書!K$14,テーブル2[[#Headers],[学年]:[得点]],0)))</f>
        <v/>
      </c>
      <c r="L44" s="115" t="str">
        <f>IF($A44&gt;MAX(入力シート!$AH$6:$AH$505),"",INDEX(テーブル2[[学年]:[判定]],MATCH(体力優良証交付申請書!$A44,入力シート!$AH$6:$AH$505,0),MATCH(体力優良証交付申請書!L$14,テーブル2[[#Headers],[学年]:[得点]],0)))</f>
        <v/>
      </c>
      <c r="M44" s="115" t="str">
        <f>IF($A44&gt;MAX(入力シート!$AH$6:$AH$505),"",INDEX(テーブル2[[学年]:[判定]],MATCH(体力優良証交付申請書!$A44,入力シート!$AH$6:$AH$505,0),MATCH(体力優良証交付申請書!M$14,テーブル2[[#Headers],[学年]:[得点]],0)))</f>
        <v/>
      </c>
      <c r="N44" s="27" t="str">
        <f>IF($A44&gt;MAX(入力シート!$AH$6:$AH$505),"",INDEX(テーブル2[[学年]:[判定]],MATCH(体力優良証交付申請書!$A44,入力シート!$AH$6:$AH$505,0),MATCH(体力優良証交付申請書!N$14,テーブル2[[#Headers],[学年]:[得点]],0)))</f>
        <v/>
      </c>
    </row>
    <row r="45" spans="1:14" x14ac:dyDescent="0.15">
      <c r="A45" s="17">
        <v>31</v>
      </c>
      <c r="B45" s="115" t="str">
        <f>IF($A45&gt;MAX(入力シート!$AH$6:$AH$505),"",INDEX(テーブル2[[学年]:[判定]],MATCH(体力優良証交付申請書!$A45,入力シート!$AH$6:$AH$505,0),MATCH(体力優良証交付申請書!B$14,テーブル2[[#Headers],[学年]:[得点]],0)))</f>
        <v/>
      </c>
      <c r="C45" s="115" t="str">
        <f>IF($A45&gt;MAX(入力シート!$AH$6:$AH$505),"",INDEX(テーブル2[[学年]:[判定]],MATCH(体力優良証交付申請書!$A45,入力シート!$AH$6:$AH$505,0),MATCH(体力優良証交付申請書!C$14,テーブル2[[#Headers],[学年]:[得点]],0)))</f>
        <v/>
      </c>
      <c r="D45" s="115" t="str">
        <f>IF($A45&gt;MAX(入力シート!$AH$6:$AH$505),"",INDEX(テーブル2[[学年]:[判定]],MATCH(体力優良証交付申請書!$A45,入力シート!$AH$6:$AH$505,0),MATCH(体力優良証交付申請書!D$14,テーブル2[[#Headers],[学年]:[得点]],0)))</f>
        <v/>
      </c>
      <c r="E45" s="115" t="str">
        <f>IF($A45&gt;MAX(入力シート!$AH$6:$AH$505),"",INDEX(テーブル2[[学年]:[判定]],MATCH(体力優良証交付申請書!$A45,入力シート!$AH$6:$AH$505,0),MATCH(体力優良証交付申請書!E$14,テーブル2[[#Headers],[学年]:[得点]],0)))</f>
        <v/>
      </c>
      <c r="F45" s="115" t="str">
        <f>IF($A45&gt;MAX(入力シート!$AH$6:$AH$505),"",INDEX(テーブル2[[学年]:[判定]],MATCH(体力優良証交付申請書!$A45,入力シート!$AH$6:$AH$505,0),MATCH(体力優良証交付申請書!F$14,テーブル2[[#Headers],[学年]:[得点]],0)))</f>
        <v/>
      </c>
      <c r="G45" s="115" t="str">
        <f>IF($A45&gt;MAX(入力シート!$AH$6:$AH$505),"",INDEX(テーブル2[[学年]:[判定]],MATCH(体力優良証交付申請書!$A45,入力シート!$AH$6:$AH$505,0),MATCH(体力優良証交付申請書!G$14,テーブル2[[#Headers],[学年]:[得点]],0)))</f>
        <v/>
      </c>
      <c r="H45" s="115" t="str">
        <f>IF($A45&gt;MAX(入力シート!$AH$6:$AH$505),"",INDEX(テーブル2[[学年]:[判定]],MATCH(体力優良証交付申請書!$A45,入力シート!$AH$6:$AH$505,0),MATCH(体力優良証交付申請書!H$14,テーブル2[[#Headers],[学年]:[得点]],0)))</f>
        <v/>
      </c>
      <c r="I45" s="115" t="str">
        <f>IF($A45&gt;MAX(入力シート!$AH$6:$AH$505),"",INDEX(テーブル2[[学年]:[判定]],MATCH(体力優良証交付申請書!$A45,入力シート!$AH$6:$AH$505,0),MATCH(体力優良証交付申請書!I$14,テーブル2[[#Headers],[学年]:[得点]],0)))</f>
        <v/>
      </c>
      <c r="J45" s="115" t="str">
        <f>IF($A45&gt;MAX(入力シート!$AH$6:$AH$505),"",INDEX(テーブル2[[学年]:[判定]],MATCH(体力優良証交付申請書!$A45,入力シート!$AH$6:$AH$505,0),MATCH(体力優良証交付申請書!J$14,テーブル2[[#Headers],[学年]:[得点]],0)))</f>
        <v/>
      </c>
      <c r="K45" s="129" t="str">
        <f>IF($A45&gt;MAX(入力シート!$AH$6:$AH$505),"",INDEX(テーブル2[[学年]:[判定]],MATCH(体力優良証交付申請書!$A45,入力シート!$AH$6:$AH$505,0),MATCH(体力優良証交付申請書!K$14,テーブル2[[#Headers],[学年]:[得点]],0)))</f>
        <v/>
      </c>
      <c r="L45" s="115" t="str">
        <f>IF($A45&gt;MAX(入力シート!$AH$6:$AH$505),"",INDEX(テーブル2[[学年]:[判定]],MATCH(体力優良証交付申請書!$A45,入力シート!$AH$6:$AH$505,0),MATCH(体力優良証交付申請書!L$14,テーブル2[[#Headers],[学年]:[得点]],0)))</f>
        <v/>
      </c>
      <c r="M45" s="115" t="str">
        <f>IF($A45&gt;MAX(入力シート!$AH$6:$AH$505),"",INDEX(テーブル2[[学年]:[判定]],MATCH(体力優良証交付申請書!$A45,入力シート!$AH$6:$AH$505,0),MATCH(体力優良証交付申請書!M$14,テーブル2[[#Headers],[学年]:[得点]],0)))</f>
        <v/>
      </c>
      <c r="N45" s="27" t="str">
        <f>IF($A45&gt;MAX(入力シート!$AH$6:$AH$505),"",INDEX(テーブル2[[学年]:[判定]],MATCH(体力優良証交付申請書!$A45,入力シート!$AH$6:$AH$505,0),MATCH(体力優良証交付申請書!N$14,テーブル2[[#Headers],[学年]:[得点]],0)))</f>
        <v/>
      </c>
    </row>
    <row r="46" spans="1:14" x14ac:dyDescent="0.15">
      <c r="A46" s="17">
        <v>32</v>
      </c>
      <c r="B46" s="115" t="str">
        <f>IF($A46&gt;MAX(入力シート!$AH$6:$AH$505),"",INDEX(テーブル2[[学年]:[判定]],MATCH(体力優良証交付申請書!$A46,入力シート!$AH$6:$AH$505,0),MATCH(体力優良証交付申請書!B$14,テーブル2[[#Headers],[学年]:[得点]],0)))</f>
        <v/>
      </c>
      <c r="C46" s="115" t="str">
        <f>IF($A46&gt;MAX(入力シート!$AH$6:$AH$505),"",INDEX(テーブル2[[学年]:[判定]],MATCH(体力優良証交付申請書!$A46,入力シート!$AH$6:$AH$505,0),MATCH(体力優良証交付申請書!C$14,テーブル2[[#Headers],[学年]:[得点]],0)))</f>
        <v/>
      </c>
      <c r="D46" s="115" t="str">
        <f>IF($A46&gt;MAX(入力シート!$AH$6:$AH$505),"",INDEX(テーブル2[[学年]:[判定]],MATCH(体力優良証交付申請書!$A46,入力シート!$AH$6:$AH$505,0),MATCH(体力優良証交付申請書!D$14,テーブル2[[#Headers],[学年]:[得点]],0)))</f>
        <v/>
      </c>
      <c r="E46" s="115" t="str">
        <f>IF($A46&gt;MAX(入力シート!$AH$6:$AH$505),"",INDEX(テーブル2[[学年]:[判定]],MATCH(体力優良証交付申請書!$A46,入力シート!$AH$6:$AH$505,0),MATCH(体力優良証交付申請書!E$14,テーブル2[[#Headers],[学年]:[得点]],0)))</f>
        <v/>
      </c>
      <c r="F46" s="115" t="str">
        <f>IF($A46&gt;MAX(入力シート!$AH$6:$AH$505),"",INDEX(テーブル2[[学年]:[判定]],MATCH(体力優良証交付申請書!$A46,入力シート!$AH$6:$AH$505,0),MATCH(体力優良証交付申請書!F$14,テーブル2[[#Headers],[学年]:[得点]],0)))</f>
        <v/>
      </c>
      <c r="G46" s="115" t="str">
        <f>IF($A46&gt;MAX(入力シート!$AH$6:$AH$505),"",INDEX(テーブル2[[学年]:[判定]],MATCH(体力優良証交付申請書!$A46,入力シート!$AH$6:$AH$505,0),MATCH(体力優良証交付申請書!G$14,テーブル2[[#Headers],[学年]:[得点]],0)))</f>
        <v/>
      </c>
      <c r="H46" s="115" t="str">
        <f>IF($A46&gt;MAX(入力シート!$AH$6:$AH$505),"",INDEX(テーブル2[[学年]:[判定]],MATCH(体力優良証交付申請書!$A46,入力シート!$AH$6:$AH$505,0),MATCH(体力優良証交付申請書!H$14,テーブル2[[#Headers],[学年]:[得点]],0)))</f>
        <v/>
      </c>
      <c r="I46" s="115" t="str">
        <f>IF($A46&gt;MAX(入力シート!$AH$6:$AH$505),"",INDEX(テーブル2[[学年]:[判定]],MATCH(体力優良証交付申請書!$A46,入力シート!$AH$6:$AH$505,0),MATCH(体力優良証交付申請書!I$14,テーブル2[[#Headers],[学年]:[得点]],0)))</f>
        <v/>
      </c>
      <c r="J46" s="115" t="str">
        <f>IF($A46&gt;MAX(入力シート!$AH$6:$AH$505),"",INDEX(テーブル2[[学年]:[判定]],MATCH(体力優良証交付申請書!$A46,入力シート!$AH$6:$AH$505,0),MATCH(体力優良証交付申請書!J$14,テーブル2[[#Headers],[学年]:[得点]],0)))</f>
        <v/>
      </c>
      <c r="K46" s="129" t="str">
        <f>IF($A46&gt;MAX(入力シート!$AH$6:$AH$505),"",INDEX(テーブル2[[学年]:[判定]],MATCH(体力優良証交付申請書!$A46,入力シート!$AH$6:$AH$505,0),MATCH(体力優良証交付申請書!K$14,テーブル2[[#Headers],[学年]:[得点]],0)))</f>
        <v/>
      </c>
      <c r="L46" s="115" t="str">
        <f>IF($A46&gt;MAX(入力シート!$AH$6:$AH$505),"",INDEX(テーブル2[[学年]:[判定]],MATCH(体力優良証交付申請書!$A46,入力シート!$AH$6:$AH$505,0),MATCH(体力優良証交付申請書!L$14,テーブル2[[#Headers],[学年]:[得点]],0)))</f>
        <v/>
      </c>
      <c r="M46" s="115" t="str">
        <f>IF($A46&gt;MAX(入力シート!$AH$6:$AH$505),"",INDEX(テーブル2[[学年]:[判定]],MATCH(体力優良証交付申請書!$A46,入力シート!$AH$6:$AH$505,0),MATCH(体力優良証交付申請書!M$14,テーブル2[[#Headers],[学年]:[得点]],0)))</f>
        <v/>
      </c>
      <c r="N46" s="27" t="str">
        <f>IF($A46&gt;MAX(入力シート!$AH$6:$AH$505),"",INDEX(テーブル2[[学年]:[判定]],MATCH(体力優良証交付申請書!$A46,入力シート!$AH$6:$AH$505,0),MATCH(体力優良証交付申請書!N$14,テーブル2[[#Headers],[学年]:[得点]],0)))</f>
        <v/>
      </c>
    </row>
    <row r="47" spans="1:14" x14ac:dyDescent="0.15">
      <c r="A47" s="17">
        <v>33</v>
      </c>
      <c r="B47" s="115" t="str">
        <f>IF($A47&gt;MAX(入力シート!$AH$6:$AH$505),"",INDEX(テーブル2[[学年]:[判定]],MATCH(体力優良証交付申請書!$A47,入力シート!$AH$6:$AH$505,0),MATCH(体力優良証交付申請書!B$14,テーブル2[[#Headers],[学年]:[得点]],0)))</f>
        <v/>
      </c>
      <c r="C47" s="115" t="str">
        <f>IF($A47&gt;MAX(入力シート!$AH$6:$AH$505),"",INDEX(テーブル2[[学年]:[判定]],MATCH(体力優良証交付申請書!$A47,入力シート!$AH$6:$AH$505,0),MATCH(体力優良証交付申請書!C$14,テーブル2[[#Headers],[学年]:[得点]],0)))</f>
        <v/>
      </c>
      <c r="D47" s="115" t="str">
        <f>IF($A47&gt;MAX(入力シート!$AH$6:$AH$505),"",INDEX(テーブル2[[学年]:[判定]],MATCH(体力優良証交付申請書!$A47,入力シート!$AH$6:$AH$505,0),MATCH(体力優良証交付申請書!D$14,テーブル2[[#Headers],[学年]:[得点]],0)))</f>
        <v/>
      </c>
      <c r="E47" s="115" t="str">
        <f>IF($A47&gt;MAX(入力シート!$AH$6:$AH$505),"",INDEX(テーブル2[[学年]:[判定]],MATCH(体力優良証交付申請書!$A47,入力シート!$AH$6:$AH$505,0),MATCH(体力優良証交付申請書!E$14,テーブル2[[#Headers],[学年]:[得点]],0)))</f>
        <v/>
      </c>
      <c r="F47" s="115" t="str">
        <f>IF($A47&gt;MAX(入力シート!$AH$6:$AH$505),"",INDEX(テーブル2[[学年]:[判定]],MATCH(体力優良証交付申請書!$A47,入力シート!$AH$6:$AH$505,0),MATCH(体力優良証交付申請書!F$14,テーブル2[[#Headers],[学年]:[得点]],0)))</f>
        <v/>
      </c>
      <c r="G47" s="115" t="str">
        <f>IF($A47&gt;MAX(入力シート!$AH$6:$AH$505),"",INDEX(テーブル2[[学年]:[判定]],MATCH(体力優良証交付申請書!$A47,入力シート!$AH$6:$AH$505,0),MATCH(体力優良証交付申請書!G$14,テーブル2[[#Headers],[学年]:[得点]],0)))</f>
        <v/>
      </c>
      <c r="H47" s="115" t="str">
        <f>IF($A47&gt;MAX(入力シート!$AH$6:$AH$505),"",INDEX(テーブル2[[学年]:[判定]],MATCH(体力優良証交付申請書!$A47,入力シート!$AH$6:$AH$505,0),MATCH(体力優良証交付申請書!H$14,テーブル2[[#Headers],[学年]:[得点]],0)))</f>
        <v/>
      </c>
      <c r="I47" s="115" t="str">
        <f>IF($A47&gt;MAX(入力シート!$AH$6:$AH$505),"",INDEX(テーブル2[[学年]:[判定]],MATCH(体力優良証交付申請書!$A47,入力シート!$AH$6:$AH$505,0),MATCH(体力優良証交付申請書!I$14,テーブル2[[#Headers],[学年]:[得点]],0)))</f>
        <v/>
      </c>
      <c r="J47" s="115" t="str">
        <f>IF($A47&gt;MAX(入力シート!$AH$6:$AH$505),"",INDEX(テーブル2[[学年]:[判定]],MATCH(体力優良証交付申請書!$A47,入力シート!$AH$6:$AH$505,0),MATCH(体力優良証交付申請書!J$14,テーブル2[[#Headers],[学年]:[得点]],0)))</f>
        <v/>
      </c>
      <c r="K47" s="129" t="str">
        <f>IF($A47&gt;MAX(入力シート!$AH$6:$AH$505),"",INDEX(テーブル2[[学年]:[判定]],MATCH(体力優良証交付申請書!$A47,入力シート!$AH$6:$AH$505,0),MATCH(体力優良証交付申請書!K$14,テーブル2[[#Headers],[学年]:[得点]],0)))</f>
        <v/>
      </c>
      <c r="L47" s="115" t="str">
        <f>IF($A47&gt;MAX(入力シート!$AH$6:$AH$505),"",INDEX(テーブル2[[学年]:[判定]],MATCH(体力優良証交付申請書!$A47,入力シート!$AH$6:$AH$505,0),MATCH(体力優良証交付申請書!L$14,テーブル2[[#Headers],[学年]:[得点]],0)))</f>
        <v/>
      </c>
      <c r="M47" s="115" t="str">
        <f>IF($A47&gt;MAX(入力シート!$AH$6:$AH$505),"",INDEX(テーブル2[[学年]:[判定]],MATCH(体力優良証交付申請書!$A47,入力シート!$AH$6:$AH$505,0),MATCH(体力優良証交付申請書!M$14,テーブル2[[#Headers],[学年]:[得点]],0)))</f>
        <v/>
      </c>
      <c r="N47" s="27" t="str">
        <f>IF($A47&gt;MAX(入力シート!$AH$6:$AH$505),"",INDEX(テーブル2[[学年]:[判定]],MATCH(体力優良証交付申請書!$A47,入力シート!$AH$6:$AH$505,0),MATCH(体力優良証交付申請書!N$14,テーブル2[[#Headers],[学年]:[得点]],0)))</f>
        <v/>
      </c>
    </row>
    <row r="48" spans="1:14" x14ac:dyDescent="0.15">
      <c r="A48" s="17">
        <v>34</v>
      </c>
      <c r="B48" s="115" t="str">
        <f>IF($A48&gt;MAX(入力シート!$AH$6:$AH$505),"",INDEX(テーブル2[[学年]:[判定]],MATCH(体力優良証交付申請書!$A48,入力シート!$AH$6:$AH$505,0),MATCH(体力優良証交付申請書!B$14,テーブル2[[#Headers],[学年]:[得点]],0)))</f>
        <v/>
      </c>
      <c r="C48" s="115" t="str">
        <f>IF($A48&gt;MAX(入力シート!$AH$6:$AH$505),"",INDEX(テーブル2[[学年]:[判定]],MATCH(体力優良証交付申請書!$A48,入力シート!$AH$6:$AH$505,0),MATCH(体力優良証交付申請書!C$14,テーブル2[[#Headers],[学年]:[得点]],0)))</f>
        <v/>
      </c>
      <c r="D48" s="115" t="str">
        <f>IF($A48&gt;MAX(入力シート!$AH$6:$AH$505),"",INDEX(テーブル2[[学年]:[判定]],MATCH(体力優良証交付申請書!$A48,入力シート!$AH$6:$AH$505,0),MATCH(体力優良証交付申請書!D$14,テーブル2[[#Headers],[学年]:[得点]],0)))</f>
        <v/>
      </c>
      <c r="E48" s="115" t="str">
        <f>IF($A48&gt;MAX(入力シート!$AH$6:$AH$505),"",INDEX(テーブル2[[学年]:[判定]],MATCH(体力優良証交付申請書!$A48,入力シート!$AH$6:$AH$505,0),MATCH(体力優良証交付申請書!E$14,テーブル2[[#Headers],[学年]:[得点]],0)))</f>
        <v/>
      </c>
      <c r="F48" s="115" t="str">
        <f>IF($A48&gt;MAX(入力シート!$AH$6:$AH$505),"",INDEX(テーブル2[[学年]:[判定]],MATCH(体力優良証交付申請書!$A48,入力シート!$AH$6:$AH$505,0),MATCH(体力優良証交付申請書!F$14,テーブル2[[#Headers],[学年]:[得点]],0)))</f>
        <v/>
      </c>
      <c r="G48" s="115" t="str">
        <f>IF($A48&gt;MAX(入力シート!$AH$6:$AH$505),"",INDEX(テーブル2[[学年]:[判定]],MATCH(体力優良証交付申請書!$A48,入力シート!$AH$6:$AH$505,0),MATCH(体力優良証交付申請書!G$14,テーブル2[[#Headers],[学年]:[得点]],0)))</f>
        <v/>
      </c>
      <c r="H48" s="115" t="str">
        <f>IF($A48&gt;MAX(入力シート!$AH$6:$AH$505),"",INDEX(テーブル2[[学年]:[判定]],MATCH(体力優良証交付申請書!$A48,入力シート!$AH$6:$AH$505,0),MATCH(体力優良証交付申請書!H$14,テーブル2[[#Headers],[学年]:[得点]],0)))</f>
        <v/>
      </c>
      <c r="I48" s="115" t="str">
        <f>IF($A48&gt;MAX(入力シート!$AH$6:$AH$505),"",INDEX(テーブル2[[学年]:[判定]],MATCH(体力優良証交付申請書!$A48,入力シート!$AH$6:$AH$505,0),MATCH(体力優良証交付申請書!I$14,テーブル2[[#Headers],[学年]:[得点]],0)))</f>
        <v/>
      </c>
      <c r="J48" s="115" t="str">
        <f>IF($A48&gt;MAX(入力シート!$AH$6:$AH$505),"",INDEX(テーブル2[[学年]:[判定]],MATCH(体力優良証交付申請書!$A48,入力シート!$AH$6:$AH$505,0),MATCH(体力優良証交付申請書!J$14,テーブル2[[#Headers],[学年]:[得点]],0)))</f>
        <v/>
      </c>
      <c r="K48" s="129" t="str">
        <f>IF($A48&gt;MAX(入力シート!$AH$6:$AH$505),"",INDEX(テーブル2[[学年]:[判定]],MATCH(体力優良証交付申請書!$A48,入力シート!$AH$6:$AH$505,0),MATCH(体力優良証交付申請書!K$14,テーブル2[[#Headers],[学年]:[得点]],0)))</f>
        <v/>
      </c>
      <c r="L48" s="115" t="str">
        <f>IF($A48&gt;MAX(入力シート!$AH$6:$AH$505),"",INDEX(テーブル2[[学年]:[判定]],MATCH(体力優良証交付申請書!$A48,入力シート!$AH$6:$AH$505,0),MATCH(体力優良証交付申請書!L$14,テーブル2[[#Headers],[学年]:[得点]],0)))</f>
        <v/>
      </c>
      <c r="M48" s="115" t="str">
        <f>IF($A48&gt;MAX(入力シート!$AH$6:$AH$505),"",INDEX(テーブル2[[学年]:[判定]],MATCH(体力優良証交付申請書!$A48,入力シート!$AH$6:$AH$505,0),MATCH(体力優良証交付申請書!M$14,テーブル2[[#Headers],[学年]:[得点]],0)))</f>
        <v/>
      </c>
      <c r="N48" s="27" t="str">
        <f>IF($A48&gt;MAX(入力シート!$AH$6:$AH$505),"",INDEX(テーブル2[[学年]:[判定]],MATCH(体力優良証交付申請書!$A48,入力シート!$AH$6:$AH$505,0),MATCH(体力優良証交付申請書!N$14,テーブル2[[#Headers],[学年]:[得点]],0)))</f>
        <v/>
      </c>
    </row>
    <row r="49" spans="1:14" x14ac:dyDescent="0.15">
      <c r="A49" s="17">
        <v>35</v>
      </c>
      <c r="B49" s="115" t="str">
        <f>IF($A49&gt;MAX(入力シート!$AH$6:$AH$505),"",INDEX(テーブル2[[学年]:[判定]],MATCH(体力優良証交付申請書!$A49,入力シート!$AH$6:$AH$505,0),MATCH(体力優良証交付申請書!B$14,テーブル2[[#Headers],[学年]:[得点]],0)))</f>
        <v/>
      </c>
      <c r="C49" s="115" t="str">
        <f>IF($A49&gt;MAX(入力シート!$AH$6:$AH$505),"",INDEX(テーブル2[[学年]:[判定]],MATCH(体力優良証交付申請書!$A49,入力シート!$AH$6:$AH$505,0),MATCH(体力優良証交付申請書!C$14,テーブル2[[#Headers],[学年]:[得点]],0)))</f>
        <v/>
      </c>
      <c r="D49" s="115" t="str">
        <f>IF($A49&gt;MAX(入力シート!$AH$6:$AH$505),"",INDEX(テーブル2[[学年]:[判定]],MATCH(体力優良証交付申請書!$A49,入力シート!$AH$6:$AH$505,0),MATCH(体力優良証交付申請書!D$14,テーブル2[[#Headers],[学年]:[得点]],0)))</f>
        <v/>
      </c>
      <c r="E49" s="115" t="str">
        <f>IF($A49&gt;MAX(入力シート!$AH$6:$AH$505),"",INDEX(テーブル2[[学年]:[判定]],MATCH(体力優良証交付申請書!$A49,入力シート!$AH$6:$AH$505,0),MATCH(体力優良証交付申請書!E$14,テーブル2[[#Headers],[学年]:[得点]],0)))</f>
        <v/>
      </c>
      <c r="F49" s="115" t="str">
        <f>IF($A49&gt;MAX(入力シート!$AH$6:$AH$505),"",INDEX(テーブル2[[学年]:[判定]],MATCH(体力優良証交付申請書!$A49,入力シート!$AH$6:$AH$505,0),MATCH(体力優良証交付申請書!F$14,テーブル2[[#Headers],[学年]:[得点]],0)))</f>
        <v/>
      </c>
      <c r="G49" s="115" t="str">
        <f>IF($A49&gt;MAX(入力シート!$AH$6:$AH$505),"",INDEX(テーブル2[[学年]:[判定]],MATCH(体力優良証交付申請書!$A49,入力シート!$AH$6:$AH$505,0),MATCH(体力優良証交付申請書!G$14,テーブル2[[#Headers],[学年]:[得点]],0)))</f>
        <v/>
      </c>
      <c r="H49" s="115" t="str">
        <f>IF($A49&gt;MAX(入力シート!$AH$6:$AH$505),"",INDEX(テーブル2[[学年]:[判定]],MATCH(体力優良証交付申請書!$A49,入力シート!$AH$6:$AH$505,0),MATCH(体力優良証交付申請書!H$14,テーブル2[[#Headers],[学年]:[得点]],0)))</f>
        <v/>
      </c>
      <c r="I49" s="115" t="str">
        <f>IF($A49&gt;MAX(入力シート!$AH$6:$AH$505),"",INDEX(テーブル2[[学年]:[判定]],MATCH(体力優良証交付申請書!$A49,入力シート!$AH$6:$AH$505,0),MATCH(体力優良証交付申請書!I$14,テーブル2[[#Headers],[学年]:[得点]],0)))</f>
        <v/>
      </c>
      <c r="J49" s="115" t="str">
        <f>IF($A49&gt;MAX(入力シート!$AH$6:$AH$505),"",INDEX(テーブル2[[学年]:[判定]],MATCH(体力優良証交付申請書!$A49,入力シート!$AH$6:$AH$505,0),MATCH(体力優良証交付申請書!J$14,テーブル2[[#Headers],[学年]:[得点]],0)))</f>
        <v/>
      </c>
      <c r="K49" s="129" t="str">
        <f>IF($A49&gt;MAX(入力シート!$AH$6:$AH$505),"",INDEX(テーブル2[[学年]:[判定]],MATCH(体力優良証交付申請書!$A49,入力シート!$AH$6:$AH$505,0),MATCH(体力優良証交付申請書!K$14,テーブル2[[#Headers],[学年]:[得点]],0)))</f>
        <v/>
      </c>
      <c r="L49" s="115" t="str">
        <f>IF($A49&gt;MAX(入力シート!$AH$6:$AH$505),"",INDEX(テーブル2[[学年]:[判定]],MATCH(体力優良証交付申請書!$A49,入力シート!$AH$6:$AH$505,0),MATCH(体力優良証交付申請書!L$14,テーブル2[[#Headers],[学年]:[得点]],0)))</f>
        <v/>
      </c>
      <c r="M49" s="115" t="str">
        <f>IF($A49&gt;MAX(入力シート!$AH$6:$AH$505),"",INDEX(テーブル2[[学年]:[判定]],MATCH(体力優良証交付申請書!$A49,入力シート!$AH$6:$AH$505,0),MATCH(体力優良証交付申請書!M$14,テーブル2[[#Headers],[学年]:[得点]],0)))</f>
        <v/>
      </c>
      <c r="N49" s="27" t="str">
        <f>IF($A49&gt;MAX(入力シート!$AH$6:$AH$505),"",INDEX(テーブル2[[学年]:[判定]],MATCH(体力優良証交付申請書!$A49,入力シート!$AH$6:$AH$505,0),MATCH(体力優良証交付申請書!N$14,テーブル2[[#Headers],[学年]:[得点]],0)))</f>
        <v/>
      </c>
    </row>
    <row r="50" spans="1:14" x14ac:dyDescent="0.15">
      <c r="A50" s="17">
        <v>36</v>
      </c>
      <c r="B50" s="115" t="str">
        <f>IF($A50&gt;MAX(入力シート!$AH$6:$AH$505),"",INDEX(テーブル2[[学年]:[判定]],MATCH(体力優良証交付申請書!$A50,入力シート!$AH$6:$AH$505,0),MATCH(体力優良証交付申請書!B$14,テーブル2[[#Headers],[学年]:[得点]],0)))</f>
        <v/>
      </c>
      <c r="C50" s="115" t="str">
        <f>IF($A50&gt;MAX(入力シート!$AH$6:$AH$505),"",INDEX(テーブル2[[学年]:[判定]],MATCH(体力優良証交付申請書!$A50,入力シート!$AH$6:$AH$505,0),MATCH(体力優良証交付申請書!C$14,テーブル2[[#Headers],[学年]:[得点]],0)))</f>
        <v/>
      </c>
      <c r="D50" s="115" t="str">
        <f>IF($A50&gt;MAX(入力シート!$AH$6:$AH$505),"",INDEX(テーブル2[[学年]:[判定]],MATCH(体力優良証交付申請書!$A50,入力シート!$AH$6:$AH$505,0),MATCH(体力優良証交付申請書!D$14,テーブル2[[#Headers],[学年]:[得点]],0)))</f>
        <v/>
      </c>
      <c r="E50" s="115" t="str">
        <f>IF($A50&gt;MAX(入力シート!$AH$6:$AH$505),"",INDEX(テーブル2[[学年]:[判定]],MATCH(体力優良証交付申請書!$A50,入力シート!$AH$6:$AH$505,0),MATCH(体力優良証交付申請書!E$14,テーブル2[[#Headers],[学年]:[得点]],0)))</f>
        <v/>
      </c>
      <c r="F50" s="115" t="str">
        <f>IF($A50&gt;MAX(入力シート!$AH$6:$AH$505),"",INDEX(テーブル2[[学年]:[判定]],MATCH(体力優良証交付申請書!$A50,入力シート!$AH$6:$AH$505,0),MATCH(体力優良証交付申請書!F$14,テーブル2[[#Headers],[学年]:[得点]],0)))</f>
        <v/>
      </c>
      <c r="G50" s="115" t="str">
        <f>IF($A50&gt;MAX(入力シート!$AH$6:$AH$505),"",INDEX(テーブル2[[学年]:[判定]],MATCH(体力優良証交付申請書!$A50,入力シート!$AH$6:$AH$505,0),MATCH(体力優良証交付申請書!G$14,テーブル2[[#Headers],[学年]:[得点]],0)))</f>
        <v/>
      </c>
      <c r="H50" s="115" t="str">
        <f>IF($A50&gt;MAX(入力シート!$AH$6:$AH$505),"",INDEX(テーブル2[[学年]:[判定]],MATCH(体力優良証交付申請書!$A50,入力シート!$AH$6:$AH$505,0),MATCH(体力優良証交付申請書!H$14,テーブル2[[#Headers],[学年]:[得点]],0)))</f>
        <v/>
      </c>
      <c r="I50" s="115" t="str">
        <f>IF($A50&gt;MAX(入力シート!$AH$6:$AH$505),"",INDEX(テーブル2[[学年]:[判定]],MATCH(体力優良証交付申請書!$A50,入力シート!$AH$6:$AH$505,0),MATCH(体力優良証交付申請書!I$14,テーブル2[[#Headers],[学年]:[得点]],0)))</f>
        <v/>
      </c>
      <c r="J50" s="115" t="str">
        <f>IF($A50&gt;MAX(入力シート!$AH$6:$AH$505),"",INDEX(テーブル2[[学年]:[判定]],MATCH(体力優良証交付申請書!$A50,入力シート!$AH$6:$AH$505,0),MATCH(体力優良証交付申請書!J$14,テーブル2[[#Headers],[学年]:[得点]],0)))</f>
        <v/>
      </c>
      <c r="K50" s="129" t="str">
        <f>IF($A50&gt;MAX(入力シート!$AH$6:$AH$505),"",INDEX(テーブル2[[学年]:[判定]],MATCH(体力優良証交付申請書!$A50,入力シート!$AH$6:$AH$505,0),MATCH(体力優良証交付申請書!K$14,テーブル2[[#Headers],[学年]:[得点]],0)))</f>
        <v/>
      </c>
      <c r="L50" s="115" t="str">
        <f>IF($A50&gt;MAX(入力シート!$AH$6:$AH$505),"",INDEX(テーブル2[[学年]:[判定]],MATCH(体力優良証交付申請書!$A50,入力シート!$AH$6:$AH$505,0),MATCH(体力優良証交付申請書!L$14,テーブル2[[#Headers],[学年]:[得点]],0)))</f>
        <v/>
      </c>
      <c r="M50" s="115" t="str">
        <f>IF($A50&gt;MAX(入力シート!$AH$6:$AH$505),"",INDEX(テーブル2[[学年]:[判定]],MATCH(体力優良証交付申請書!$A50,入力シート!$AH$6:$AH$505,0),MATCH(体力優良証交付申請書!M$14,テーブル2[[#Headers],[学年]:[得点]],0)))</f>
        <v/>
      </c>
      <c r="N50" s="27" t="str">
        <f>IF($A50&gt;MAX(入力シート!$AH$6:$AH$505),"",INDEX(テーブル2[[学年]:[判定]],MATCH(体力優良証交付申請書!$A50,入力シート!$AH$6:$AH$505,0),MATCH(体力優良証交付申請書!N$14,テーブル2[[#Headers],[学年]:[得点]],0)))</f>
        <v/>
      </c>
    </row>
    <row r="51" spans="1:14" x14ac:dyDescent="0.15">
      <c r="A51" s="17">
        <v>37</v>
      </c>
      <c r="B51" s="115" t="str">
        <f>IF($A51&gt;MAX(入力シート!$AH$6:$AH$505),"",INDEX(テーブル2[[学年]:[判定]],MATCH(体力優良証交付申請書!$A51,入力シート!$AH$6:$AH$505,0),MATCH(体力優良証交付申請書!B$14,テーブル2[[#Headers],[学年]:[得点]],0)))</f>
        <v/>
      </c>
      <c r="C51" s="115" t="str">
        <f>IF($A51&gt;MAX(入力シート!$AH$6:$AH$505),"",INDEX(テーブル2[[学年]:[判定]],MATCH(体力優良証交付申請書!$A51,入力シート!$AH$6:$AH$505,0),MATCH(体力優良証交付申請書!C$14,テーブル2[[#Headers],[学年]:[得点]],0)))</f>
        <v/>
      </c>
      <c r="D51" s="115" t="str">
        <f>IF($A51&gt;MAX(入力シート!$AH$6:$AH$505),"",INDEX(テーブル2[[学年]:[判定]],MATCH(体力優良証交付申請書!$A51,入力シート!$AH$6:$AH$505,0),MATCH(体力優良証交付申請書!D$14,テーブル2[[#Headers],[学年]:[得点]],0)))</f>
        <v/>
      </c>
      <c r="E51" s="115" t="str">
        <f>IF($A51&gt;MAX(入力シート!$AH$6:$AH$505),"",INDEX(テーブル2[[学年]:[判定]],MATCH(体力優良証交付申請書!$A51,入力シート!$AH$6:$AH$505,0),MATCH(体力優良証交付申請書!E$14,テーブル2[[#Headers],[学年]:[得点]],0)))</f>
        <v/>
      </c>
      <c r="F51" s="115" t="str">
        <f>IF($A51&gt;MAX(入力シート!$AH$6:$AH$505),"",INDEX(テーブル2[[学年]:[判定]],MATCH(体力優良証交付申請書!$A51,入力シート!$AH$6:$AH$505,0),MATCH(体力優良証交付申請書!F$14,テーブル2[[#Headers],[学年]:[得点]],0)))</f>
        <v/>
      </c>
      <c r="G51" s="115" t="str">
        <f>IF($A51&gt;MAX(入力シート!$AH$6:$AH$505),"",INDEX(テーブル2[[学年]:[判定]],MATCH(体力優良証交付申請書!$A51,入力シート!$AH$6:$AH$505,0),MATCH(体力優良証交付申請書!G$14,テーブル2[[#Headers],[学年]:[得点]],0)))</f>
        <v/>
      </c>
      <c r="H51" s="115" t="str">
        <f>IF($A51&gt;MAX(入力シート!$AH$6:$AH$505),"",INDEX(テーブル2[[学年]:[判定]],MATCH(体力優良証交付申請書!$A51,入力シート!$AH$6:$AH$505,0),MATCH(体力優良証交付申請書!H$14,テーブル2[[#Headers],[学年]:[得点]],0)))</f>
        <v/>
      </c>
      <c r="I51" s="115" t="str">
        <f>IF($A51&gt;MAX(入力シート!$AH$6:$AH$505),"",INDEX(テーブル2[[学年]:[判定]],MATCH(体力優良証交付申請書!$A51,入力シート!$AH$6:$AH$505,0),MATCH(体力優良証交付申請書!I$14,テーブル2[[#Headers],[学年]:[得点]],0)))</f>
        <v/>
      </c>
      <c r="J51" s="115" t="str">
        <f>IF($A51&gt;MAX(入力シート!$AH$6:$AH$505),"",INDEX(テーブル2[[学年]:[判定]],MATCH(体力優良証交付申請書!$A51,入力シート!$AH$6:$AH$505,0),MATCH(体力優良証交付申請書!J$14,テーブル2[[#Headers],[学年]:[得点]],0)))</f>
        <v/>
      </c>
      <c r="K51" s="129" t="str">
        <f>IF($A51&gt;MAX(入力シート!$AH$6:$AH$505),"",INDEX(テーブル2[[学年]:[判定]],MATCH(体力優良証交付申請書!$A51,入力シート!$AH$6:$AH$505,0),MATCH(体力優良証交付申請書!K$14,テーブル2[[#Headers],[学年]:[得点]],0)))</f>
        <v/>
      </c>
      <c r="L51" s="115" t="str">
        <f>IF($A51&gt;MAX(入力シート!$AH$6:$AH$505),"",INDEX(テーブル2[[学年]:[判定]],MATCH(体力優良証交付申請書!$A51,入力シート!$AH$6:$AH$505,0),MATCH(体力優良証交付申請書!L$14,テーブル2[[#Headers],[学年]:[得点]],0)))</f>
        <v/>
      </c>
      <c r="M51" s="115" t="str">
        <f>IF($A51&gt;MAX(入力シート!$AH$6:$AH$505),"",INDEX(テーブル2[[学年]:[判定]],MATCH(体力優良証交付申請書!$A51,入力シート!$AH$6:$AH$505,0),MATCH(体力優良証交付申請書!M$14,テーブル2[[#Headers],[学年]:[得点]],0)))</f>
        <v/>
      </c>
      <c r="N51" s="27" t="str">
        <f>IF($A51&gt;MAX(入力シート!$AH$6:$AH$505),"",INDEX(テーブル2[[学年]:[判定]],MATCH(体力優良証交付申請書!$A51,入力シート!$AH$6:$AH$505,0),MATCH(体力優良証交付申請書!N$14,テーブル2[[#Headers],[学年]:[得点]],0)))</f>
        <v/>
      </c>
    </row>
    <row r="52" spans="1:14" x14ac:dyDescent="0.15">
      <c r="A52" s="17">
        <v>38</v>
      </c>
      <c r="B52" s="115" t="str">
        <f>IF($A52&gt;MAX(入力シート!$AH$6:$AH$505),"",INDEX(テーブル2[[学年]:[判定]],MATCH(体力優良証交付申請書!$A52,入力シート!$AH$6:$AH$505,0),MATCH(体力優良証交付申請書!B$14,テーブル2[[#Headers],[学年]:[得点]],0)))</f>
        <v/>
      </c>
      <c r="C52" s="115" t="str">
        <f>IF($A52&gt;MAX(入力シート!$AH$6:$AH$505),"",INDEX(テーブル2[[学年]:[判定]],MATCH(体力優良証交付申請書!$A52,入力シート!$AH$6:$AH$505,0),MATCH(体力優良証交付申請書!C$14,テーブル2[[#Headers],[学年]:[得点]],0)))</f>
        <v/>
      </c>
      <c r="D52" s="115" t="str">
        <f>IF($A52&gt;MAX(入力シート!$AH$6:$AH$505),"",INDEX(テーブル2[[学年]:[判定]],MATCH(体力優良証交付申請書!$A52,入力シート!$AH$6:$AH$505,0),MATCH(体力優良証交付申請書!D$14,テーブル2[[#Headers],[学年]:[得点]],0)))</f>
        <v/>
      </c>
      <c r="E52" s="115" t="str">
        <f>IF($A52&gt;MAX(入力シート!$AH$6:$AH$505),"",INDEX(テーブル2[[学年]:[判定]],MATCH(体力優良証交付申請書!$A52,入力シート!$AH$6:$AH$505,0),MATCH(体力優良証交付申請書!E$14,テーブル2[[#Headers],[学年]:[得点]],0)))</f>
        <v/>
      </c>
      <c r="F52" s="115" t="str">
        <f>IF($A52&gt;MAX(入力シート!$AH$6:$AH$505),"",INDEX(テーブル2[[学年]:[判定]],MATCH(体力優良証交付申請書!$A52,入力シート!$AH$6:$AH$505,0),MATCH(体力優良証交付申請書!F$14,テーブル2[[#Headers],[学年]:[得点]],0)))</f>
        <v/>
      </c>
      <c r="G52" s="115" t="str">
        <f>IF($A52&gt;MAX(入力シート!$AH$6:$AH$505),"",INDEX(テーブル2[[学年]:[判定]],MATCH(体力優良証交付申請書!$A52,入力シート!$AH$6:$AH$505,0),MATCH(体力優良証交付申請書!G$14,テーブル2[[#Headers],[学年]:[得点]],0)))</f>
        <v/>
      </c>
      <c r="H52" s="115" t="str">
        <f>IF($A52&gt;MAX(入力シート!$AH$6:$AH$505),"",INDEX(テーブル2[[学年]:[判定]],MATCH(体力優良証交付申請書!$A52,入力シート!$AH$6:$AH$505,0),MATCH(体力優良証交付申請書!H$14,テーブル2[[#Headers],[学年]:[得点]],0)))</f>
        <v/>
      </c>
      <c r="I52" s="115" t="str">
        <f>IF($A52&gt;MAX(入力シート!$AH$6:$AH$505),"",INDEX(テーブル2[[学年]:[判定]],MATCH(体力優良証交付申請書!$A52,入力シート!$AH$6:$AH$505,0),MATCH(体力優良証交付申請書!I$14,テーブル2[[#Headers],[学年]:[得点]],0)))</f>
        <v/>
      </c>
      <c r="J52" s="115" t="str">
        <f>IF($A52&gt;MAX(入力シート!$AH$6:$AH$505),"",INDEX(テーブル2[[学年]:[判定]],MATCH(体力優良証交付申請書!$A52,入力シート!$AH$6:$AH$505,0),MATCH(体力優良証交付申請書!J$14,テーブル2[[#Headers],[学年]:[得点]],0)))</f>
        <v/>
      </c>
      <c r="K52" s="129" t="str">
        <f>IF($A52&gt;MAX(入力シート!$AH$6:$AH$505),"",INDEX(テーブル2[[学年]:[判定]],MATCH(体力優良証交付申請書!$A52,入力シート!$AH$6:$AH$505,0),MATCH(体力優良証交付申請書!K$14,テーブル2[[#Headers],[学年]:[得点]],0)))</f>
        <v/>
      </c>
      <c r="L52" s="115" t="str">
        <f>IF($A52&gt;MAX(入力シート!$AH$6:$AH$505),"",INDEX(テーブル2[[学年]:[判定]],MATCH(体力優良証交付申請書!$A52,入力シート!$AH$6:$AH$505,0),MATCH(体力優良証交付申請書!L$14,テーブル2[[#Headers],[学年]:[得点]],0)))</f>
        <v/>
      </c>
      <c r="M52" s="115" t="str">
        <f>IF($A52&gt;MAX(入力シート!$AH$6:$AH$505),"",INDEX(テーブル2[[学年]:[判定]],MATCH(体力優良証交付申請書!$A52,入力シート!$AH$6:$AH$505,0),MATCH(体力優良証交付申請書!M$14,テーブル2[[#Headers],[学年]:[得点]],0)))</f>
        <v/>
      </c>
      <c r="N52" s="27" t="str">
        <f>IF($A52&gt;MAX(入力シート!$AH$6:$AH$505),"",INDEX(テーブル2[[学年]:[判定]],MATCH(体力優良証交付申請書!$A52,入力シート!$AH$6:$AH$505,0),MATCH(体力優良証交付申請書!N$14,テーブル2[[#Headers],[学年]:[得点]],0)))</f>
        <v/>
      </c>
    </row>
    <row r="53" spans="1:14" x14ac:dyDescent="0.15">
      <c r="A53" s="17">
        <v>39</v>
      </c>
      <c r="B53" s="115" t="str">
        <f>IF($A53&gt;MAX(入力シート!$AH$6:$AH$505),"",INDEX(テーブル2[[学年]:[判定]],MATCH(体力優良証交付申請書!$A53,入力シート!$AH$6:$AH$505,0),MATCH(体力優良証交付申請書!B$14,テーブル2[[#Headers],[学年]:[得点]],0)))</f>
        <v/>
      </c>
      <c r="C53" s="115" t="str">
        <f>IF($A53&gt;MAX(入力シート!$AH$6:$AH$505),"",INDEX(テーブル2[[学年]:[判定]],MATCH(体力優良証交付申請書!$A53,入力シート!$AH$6:$AH$505,0),MATCH(体力優良証交付申請書!C$14,テーブル2[[#Headers],[学年]:[得点]],0)))</f>
        <v/>
      </c>
      <c r="D53" s="115" t="str">
        <f>IF($A53&gt;MAX(入力シート!$AH$6:$AH$505),"",INDEX(テーブル2[[学年]:[判定]],MATCH(体力優良証交付申請書!$A53,入力シート!$AH$6:$AH$505,0),MATCH(体力優良証交付申請書!D$14,テーブル2[[#Headers],[学年]:[得点]],0)))</f>
        <v/>
      </c>
      <c r="E53" s="115" t="str">
        <f>IF($A53&gt;MAX(入力シート!$AH$6:$AH$505),"",INDEX(テーブル2[[学年]:[判定]],MATCH(体力優良証交付申請書!$A53,入力シート!$AH$6:$AH$505,0),MATCH(体力優良証交付申請書!E$14,テーブル2[[#Headers],[学年]:[得点]],0)))</f>
        <v/>
      </c>
      <c r="F53" s="115" t="str">
        <f>IF($A53&gt;MAX(入力シート!$AH$6:$AH$505),"",INDEX(テーブル2[[学年]:[判定]],MATCH(体力優良証交付申請書!$A53,入力シート!$AH$6:$AH$505,0),MATCH(体力優良証交付申請書!F$14,テーブル2[[#Headers],[学年]:[得点]],0)))</f>
        <v/>
      </c>
      <c r="G53" s="115" t="str">
        <f>IF($A53&gt;MAX(入力シート!$AH$6:$AH$505),"",INDEX(テーブル2[[学年]:[判定]],MATCH(体力優良証交付申請書!$A53,入力シート!$AH$6:$AH$505,0),MATCH(体力優良証交付申請書!G$14,テーブル2[[#Headers],[学年]:[得点]],0)))</f>
        <v/>
      </c>
      <c r="H53" s="115" t="str">
        <f>IF($A53&gt;MAX(入力シート!$AH$6:$AH$505),"",INDEX(テーブル2[[学年]:[判定]],MATCH(体力優良証交付申請書!$A53,入力シート!$AH$6:$AH$505,0),MATCH(体力優良証交付申請書!H$14,テーブル2[[#Headers],[学年]:[得点]],0)))</f>
        <v/>
      </c>
      <c r="I53" s="115" t="str">
        <f>IF($A53&gt;MAX(入力シート!$AH$6:$AH$505),"",INDEX(テーブル2[[学年]:[判定]],MATCH(体力優良証交付申請書!$A53,入力シート!$AH$6:$AH$505,0),MATCH(体力優良証交付申請書!I$14,テーブル2[[#Headers],[学年]:[得点]],0)))</f>
        <v/>
      </c>
      <c r="J53" s="115" t="str">
        <f>IF($A53&gt;MAX(入力シート!$AH$6:$AH$505),"",INDEX(テーブル2[[学年]:[判定]],MATCH(体力優良証交付申請書!$A53,入力シート!$AH$6:$AH$505,0),MATCH(体力優良証交付申請書!J$14,テーブル2[[#Headers],[学年]:[得点]],0)))</f>
        <v/>
      </c>
      <c r="K53" s="129" t="str">
        <f>IF($A53&gt;MAX(入力シート!$AH$6:$AH$505),"",INDEX(テーブル2[[学年]:[判定]],MATCH(体力優良証交付申請書!$A53,入力シート!$AH$6:$AH$505,0),MATCH(体力優良証交付申請書!K$14,テーブル2[[#Headers],[学年]:[得点]],0)))</f>
        <v/>
      </c>
      <c r="L53" s="115" t="str">
        <f>IF($A53&gt;MAX(入力シート!$AH$6:$AH$505),"",INDEX(テーブル2[[学年]:[判定]],MATCH(体力優良証交付申請書!$A53,入力シート!$AH$6:$AH$505,0),MATCH(体力優良証交付申請書!L$14,テーブル2[[#Headers],[学年]:[得点]],0)))</f>
        <v/>
      </c>
      <c r="M53" s="115" t="str">
        <f>IF($A53&gt;MAX(入力シート!$AH$6:$AH$505),"",INDEX(テーブル2[[学年]:[判定]],MATCH(体力優良証交付申請書!$A53,入力シート!$AH$6:$AH$505,0),MATCH(体力優良証交付申請書!M$14,テーブル2[[#Headers],[学年]:[得点]],0)))</f>
        <v/>
      </c>
      <c r="N53" s="27" t="str">
        <f>IF($A53&gt;MAX(入力シート!$AH$6:$AH$505),"",INDEX(テーブル2[[学年]:[判定]],MATCH(体力優良証交付申請書!$A53,入力シート!$AH$6:$AH$505,0),MATCH(体力優良証交付申請書!N$14,テーブル2[[#Headers],[学年]:[得点]],0)))</f>
        <v/>
      </c>
    </row>
    <row r="54" spans="1:14" x14ac:dyDescent="0.15">
      <c r="A54" s="17">
        <v>40</v>
      </c>
      <c r="B54" s="115" t="str">
        <f>IF($A54&gt;MAX(入力シート!$AH$6:$AH$505),"",INDEX(テーブル2[[学年]:[判定]],MATCH(体力優良証交付申請書!$A54,入力シート!$AH$6:$AH$505,0),MATCH(体力優良証交付申請書!B$14,テーブル2[[#Headers],[学年]:[得点]],0)))</f>
        <v/>
      </c>
      <c r="C54" s="115" t="str">
        <f>IF($A54&gt;MAX(入力シート!$AH$6:$AH$505),"",INDEX(テーブル2[[学年]:[判定]],MATCH(体力優良証交付申請書!$A54,入力シート!$AH$6:$AH$505,0),MATCH(体力優良証交付申請書!C$14,テーブル2[[#Headers],[学年]:[得点]],0)))</f>
        <v/>
      </c>
      <c r="D54" s="115" t="str">
        <f>IF($A54&gt;MAX(入力シート!$AH$6:$AH$505),"",INDEX(テーブル2[[学年]:[判定]],MATCH(体力優良証交付申請書!$A54,入力シート!$AH$6:$AH$505,0),MATCH(体力優良証交付申請書!D$14,テーブル2[[#Headers],[学年]:[得点]],0)))</f>
        <v/>
      </c>
      <c r="E54" s="115" t="str">
        <f>IF($A54&gt;MAX(入力シート!$AH$6:$AH$505),"",INDEX(テーブル2[[学年]:[判定]],MATCH(体力優良証交付申請書!$A54,入力シート!$AH$6:$AH$505,0),MATCH(体力優良証交付申請書!E$14,テーブル2[[#Headers],[学年]:[得点]],0)))</f>
        <v/>
      </c>
      <c r="F54" s="115" t="str">
        <f>IF($A54&gt;MAX(入力シート!$AH$6:$AH$505),"",INDEX(テーブル2[[学年]:[判定]],MATCH(体力優良証交付申請書!$A54,入力シート!$AH$6:$AH$505,0),MATCH(体力優良証交付申請書!F$14,テーブル2[[#Headers],[学年]:[得点]],0)))</f>
        <v/>
      </c>
      <c r="G54" s="115" t="str">
        <f>IF($A54&gt;MAX(入力シート!$AH$6:$AH$505),"",INDEX(テーブル2[[学年]:[判定]],MATCH(体力優良証交付申請書!$A54,入力シート!$AH$6:$AH$505,0),MATCH(体力優良証交付申請書!G$14,テーブル2[[#Headers],[学年]:[得点]],0)))</f>
        <v/>
      </c>
      <c r="H54" s="115" t="str">
        <f>IF($A54&gt;MAX(入力シート!$AH$6:$AH$505),"",INDEX(テーブル2[[学年]:[判定]],MATCH(体力優良証交付申請書!$A54,入力シート!$AH$6:$AH$505,0),MATCH(体力優良証交付申請書!H$14,テーブル2[[#Headers],[学年]:[得点]],0)))</f>
        <v/>
      </c>
      <c r="I54" s="115" t="str">
        <f>IF($A54&gt;MAX(入力シート!$AH$6:$AH$505),"",INDEX(テーブル2[[学年]:[判定]],MATCH(体力優良証交付申請書!$A54,入力シート!$AH$6:$AH$505,0),MATCH(体力優良証交付申請書!I$14,テーブル2[[#Headers],[学年]:[得点]],0)))</f>
        <v/>
      </c>
      <c r="J54" s="115" t="str">
        <f>IF($A54&gt;MAX(入力シート!$AH$6:$AH$505),"",INDEX(テーブル2[[学年]:[判定]],MATCH(体力優良証交付申請書!$A54,入力シート!$AH$6:$AH$505,0),MATCH(体力優良証交付申請書!J$14,テーブル2[[#Headers],[学年]:[得点]],0)))</f>
        <v/>
      </c>
      <c r="K54" s="129" t="str">
        <f>IF($A54&gt;MAX(入力シート!$AH$6:$AH$505),"",INDEX(テーブル2[[学年]:[判定]],MATCH(体力優良証交付申請書!$A54,入力シート!$AH$6:$AH$505,0),MATCH(体力優良証交付申請書!K$14,テーブル2[[#Headers],[学年]:[得点]],0)))</f>
        <v/>
      </c>
      <c r="L54" s="115" t="str">
        <f>IF($A54&gt;MAX(入力シート!$AH$6:$AH$505),"",INDEX(テーブル2[[学年]:[判定]],MATCH(体力優良証交付申請書!$A54,入力シート!$AH$6:$AH$505,0),MATCH(体力優良証交付申請書!L$14,テーブル2[[#Headers],[学年]:[得点]],0)))</f>
        <v/>
      </c>
      <c r="M54" s="115" t="str">
        <f>IF($A54&gt;MAX(入力シート!$AH$6:$AH$505),"",INDEX(テーブル2[[学年]:[判定]],MATCH(体力優良証交付申請書!$A54,入力シート!$AH$6:$AH$505,0),MATCH(体力優良証交付申請書!M$14,テーブル2[[#Headers],[学年]:[得点]],0)))</f>
        <v/>
      </c>
      <c r="N54" s="27" t="str">
        <f>IF($A54&gt;MAX(入力シート!$AH$6:$AH$505),"",INDEX(テーブル2[[学年]:[判定]],MATCH(体力優良証交付申請書!$A54,入力シート!$AH$6:$AH$505,0),MATCH(体力優良証交付申請書!N$14,テーブル2[[#Headers],[学年]:[得点]],0)))</f>
        <v/>
      </c>
    </row>
    <row r="55" spans="1:14" s="28" customFormat="1" x14ac:dyDescent="0.15">
      <c r="A55" s="17">
        <v>41</v>
      </c>
      <c r="B55" s="115" t="str">
        <f>IF($A55&gt;MAX(入力シート!$AH$6:$AH$505),"",INDEX(テーブル2[[学年]:[判定]],MATCH(体力優良証交付申請書!$A55,入力シート!$AH$6:$AH$505,0),MATCH(体力優良証交付申請書!B$14,テーブル2[[#Headers],[学年]:[得点]],0)))</f>
        <v/>
      </c>
      <c r="C55" s="115" t="str">
        <f>IF($A55&gt;MAX(入力シート!$AH$6:$AH$505),"",INDEX(テーブル2[[学年]:[判定]],MATCH(体力優良証交付申請書!$A55,入力シート!$AH$6:$AH$505,0),MATCH(体力優良証交付申請書!C$14,テーブル2[[#Headers],[学年]:[得点]],0)))</f>
        <v/>
      </c>
      <c r="D55" s="115" t="str">
        <f>IF($A55&gt;MAX(入力シート!$AH$6:$AH$505),"",INDEX(テーブル2[[学年]:[判定]],MATCH(体力優良証交付申請書!$A55,入力シート!$AH$6:$AH$505,0),MATCH(体力優良証交付申請書!D$14,テーブル2[[#Headers],[学年]:[得点]],0)))</f>
        <v/>
      </c>
      <c r="E55" s="115" t="str">
        <f>IF($A55&gt;MAX(入力シート!$AH$6:$AH$505),"",INDEX(テーブル2[[学年]:[判定]],MATCH(体力優良証交付申請書!$A55,入力シート!$AH$6:$AH$505,0),MATCH(体力優良証交付申請書!E$14,テーブル2[[#Headers],[学年]:[得点]],0)))</f>
        <v/>
      </c>
      <c r="F55" s="115" t="str">
        <f>IF($A55&gt;MAX(入力シート!$AH$6:$AH$505),"",INDEX(テーブル2[[学年]:[判定]],MATCH(体力優良証交付申請書!$A55,入力シート!$AH$6:$AH$505,0),MATCH(体力優良証交付申請書!F$14,テーブル2[[#Headers],[学年]:[得点]],0)))</f>
        <v/>
      </c>
      <c r="G55" s="115" t="str">
        <f>IF($A55&gt;MAX(入力シート!$AH$6:$AH$505),"",INDEX(テーブル2[[学年]:[判定]],MATCH(体力優良証交付申請書!$A55,入力シート!$AH$6:$AH$505,0),MATCH(体力優良証交付申請書!G$14,テーブル2[[#Headers],[学年]:[得点]],0)))</f>
        <v/>
      </c>
      <c r="H55" s="115" t="str">
        <f>IF($A55&gt;MAX(入力シート!$AH$6:$AH$505),"",INDEX(テーブル2[[学年]:[判定]],MATCH(体力優良証交付申請書!$A55,入力シート!$AH$6:$AH$505,0),MATCH(体力優良証交付申請書!H$14,テーブル2[[#Headers],[学年]:[得点]],0)))</f>
        <v/>
      </c>
      <c r="I55" s="115" t="str">
        <f>IF($A55&gt;MAX(入力シート!$AH$6:$AH$505),"",INDEX(テーブル2[[学年]:[判定]],MATCH(体力優良証交付申請書!$A55,入力シート!$AH$6:$AH$505,0),MATCH(体力優良証交付申請書!I$14,テーブル2[[#Headers],[学年]:[得点]],0)))</f>
        <v/>
      </c>
      <c r="J55" s="115" t="str">
        <f>IF($A55&gt;MAX(入力シート!$AH$6:$AH$505),"",INDEX(テーブル2[[学年]:[判定]],MATCH(体力優良証交付申請書!$A55,入力シート!$AH$6:$AH$505,0),MATCH(体力優良証交付申請書!J$14,テーブル2[[#Headers],[学年]:[得点]],0)))</f>
        <v/>
      </c>
      <c r="K55" s="129" t="str">
        <f>IF($A55&gt;MAX(入力シート!$AH$6:$AH$505),"",INDEX(テーブル2[[学年]:[判定]],MATCH(体力優良証交付申請書!$A55,入力シート!$AH$6:$AH$505,0),MATCH(体力優良証交付申請書!K$14,テーブル2[[#Headers],[学年]:[得点]],0)))</f>
        <v/>
      </c>
      <c r="L55" s="115" t="str">
        <f>IF($A55&gt;MAX(入力シート!$AH$6:$AH$505),"",INDEX(テーブル2[[学年]:[判定]],MATCH(体力優良証交付申請書!$A55,入力シート!$AH$6:$AH$505,0),MATCH(体力優良証交付申請書!L$14,テーブル2[[#Headers],[学年]:[得点]],0)))</f>
        <v/>
      </c>
      <c r="M55" s="115" t="str">
        <f>IF($A55&gt;MAX(入力シート!$AH$6:$AH$505),"",INDEX(テーブル2[[学年]:[判定]],MATCH(体力優良証交付申請書!$A55,入力シート!$AH$6:$AH$505,0),MATCH(体力優良証交付申請書!M$14,テーブル2[[#Headers],[学年]:[得点]],0)))</f>
        <v/>
      </c>
      <c r="N55" s="27" t="str">
        <f>IF($A55&gt;MAX(入力シート!$AH$6:$AH$505),"",INDEX(テーブル2[[学年]:[判定]],MATCH(体力優良証交付申請書!$A55,入力シート!$AH$6:$AH$505,0),MATCH(体力優良証交付申請書!N$14,テーブル2[[#Headers],[学年]:[得点]],0)))</f>
        <v/>
      </c>
    </row>
    <row r="56" spans="1:14" x14ac:dyDescent="0.15">
      <c r="A56" s="17">
        <v>42</v>
      </c>
      <c r="B56" s="115" t="str">
        <f>IF($A56&gt;MAX(入力シート!$AH$6:$AH$505),"",INDEX(テーブル2[[学年]:[判定]],MATCH(体力優良証交付申請書!$A56,入力シート!$AH$6:$AH$505,0),MATCH(体力優良証交付申請書!B$14,テーブル2[[#Headers],[学年]:[得点]],0)))</f>
        <v/>
      </c>
      <c r="C56" s="115" t="str">
        <f>IF($A56&gt;MAX(入力シート!$AH$6:$AH$505),"",INDEX(テーブル2[[学年]:[判定]],MATCH(体力優良証交付申請書!$A56,入力シート!$AH$6:$AH$505,0),MATCH(体力優良証交付申請書!C$14,テーブル2[[#Headers],[学年]:[得点]],0)))</f>
        <v/>
      </c>
      <c r="D56" s="115" t="str">
        <f>IF($A56&gt;MAX(入力シート!$AH$6:$AH$505),"",INDEX(テーブル2[[学年]:[判定]],MATCH(体力優良証交付申請書!$A56,入力シート!$AH$6:$AH$505,0),MATCH(体力優良証交付申請書!D$14,テーブル2[[#Headers],[学年]:[得点]],0)))</f>
        <v/>
      </c>
      <c r="E56" s="115" t="str">
        <f>IF($A56&gt;MAX(入力シート!$AH$6:$AH$505),"",INDEX(テーブル2[[学年]:[判定]],MATCH(体力優良証交付申請書!$A56,入力シート!$AH$6:$AH$505,0),MATCH(体力優良証交付申請書!E$14,テーブル2[[#Headers],[学年]:[得点]],0)))</f>
        <v/>
      </c>
      <c r="F56" s="115" t="str">
        <f>IF($A56&gt;MAX(入力シート!$AH$6:$AH$505),"",INDEX(テーブル2[[学年]:[判定]],MATCH(体力優良証交付申請書!$A56,入力シート!$AH$6:$AH$505,0),MATCH(体力優良証交付申請書!F$14,テーブル2[[#Headers],[学年]:[得点]],0)))</f>
        <v/>
      </c>
      <c r="G56" s="115" t="str">
        <f>IF($A56&gt;MAX(入力シート!$AH$6:$AH$505),"",INDEX(テーブル2[[学年]:[判定]],MATCH(体力優良証交付申請書!$A56,入力シート!$AH$6:$AH$505,0),MATCH(体力優良証交付申請書!G$14,テーブル2[[#Headers],[学年]:[得点]],0)))</f>
        <v/>
      </c>
      <c r="H56" s="115" t="str">
        <f>IF($A56&gt;MAX(入力シート!$AH$6:$AH$505),"",INDEX(テーブル2[[学年]:[判定]],MATCH(体力優良証交付申請書!$A56,入力シート!$AH$6:$AH$505,0),MATCH(体力優良証交付申請書!H$14,テーブル2[[#Headers],[学年]:[得点]],0)))</f>
        <v/>
      </c>
      <c r="I56" s="115" t="str">
        <f>IF($A56&gt;MAX(入力シート!$AH$6:$AH$505),"",INDEX(テーブル2[[学年]:[判定]],MATCH(体力優良証交付申請書!$A56,入力シート!$AH$6:$AH$505,0),MATCH(体力優良証交付申請書!I$14,テーブル2[[#Headers],[学年]:[得点]],0)))</f>
        <v/>
      </c>
      <c r="J56" s="115" t="str">
        <f>IF($A56&gt;MAX(入力シート!$AH$6:$AH$505),"",INDEX(テーブル2[[学年]:[判定]],MATCH(体力優良証交付申請書!$A56,入力シート!$AH$6:$AH$505,0),MATCH(体力優良証交付申請書!J$14,テーブル2[[#Headers],[学年]:[得点]],0)))</f>
        <v/>
      </c>
      <c r="K56" s="129" t="str">
        <f>IF($A56&gt;MAX(入力シート!$AH$6:$AH$505),"",INDEX(テーブル2[[学年]:[判定]],MATCH(体力優良証交付申請書!$A56,入力シート!$AH$6:$AH$505,0),MATCH(体力優良証交付申請書!K$14,テーブル2[[#Headers],[学年]:[得点]],0)))</f>
        <v/>
      </c>
      <c r="L56" s="115" t="str">
        <f>IF($A56&gt;MAX(入力シート!$AH$6:$AH$505),"",INDEX(テーブル2[[学年]:[判定]],MATCH(体力優良証交付申請書!$A56,入力シート!$AH$6:$AH$505,0),MATCH(体力優良証交付申請書!L$14,テーブル2[[#Headers],[学年]:[得点]],0)))</f>
        <v/>
      </c>
      <c r="M56" s="115" t="str">
        <f>IF($A56&gt;MAX(入力シート!$AH$6:$AH$505),"",INDEX(テーブル2[[学年]:[判定]],MATCH(体力優良証交付申請書!$A56,入力シート!$AH$6:$AH$505,0),MATCH(体力優良証交付申請書!M$14,テーブル2[[#Headers],[学年]:[得点]],0)))</f>
        <v/>
      </c>
      <c r="N56" s="27" t="str">
        <f>IF($A56&gt;MAX(入力シート!$AH$6:$AH$505),"",INDEX(テーブル2[[学年]:[判定]],MATCH(体力優良証交付申請書!$A56,入力シート!$AH$6:$AH$505,0),MATCH(体力優良証交付申請書!N$14,テーブル2[[#Headers],[学年]:[得点]],0)))</f>
        <v/>
      </c>
    </row>
    <row r="57" spans="1:14" x14ac:dyDescent="0.15">
      <c r="A57" s="17">
        <v>43</v>
      </c>
      <c r="B57" s="115" t="str">
        <f>IF($A57&gt;MAX(入力シート!$AH$6:$AH$505),"",INDEX(テーブル2[[学年]:[判定]],MATCH(体力優良証交付申請書!$A57,入力シート!$AH$6:$AH$505,0),MATCH(体力優良証交付申請書!B$14,テーブル2[[#Headers],[学年]:[得点]],0)))</f>
        <v/>
      </c>
      <c r="C57" s="115" t="str">
        <f>IF($A57&gt;MAX(入力シート!$AH$6:$AH$505),"",INDEX(テーブル2[[学年]:[判定]],MATCH(体力優良証交付申請書!$A57,入力シート!$AH$6:$AH$505,0),MATCH(体力優良証交付申請書!C$14,テーブル2[[#Headers],[学年]:[得点]],0)))</f>
        <v/>
      </c>
      <c r="D57" s="115" t="str">
        <f>IF($A57&gt;MAX(入力シート!$AH$6:$AH$505),"",INDEX(テーブル2[[学年]:[判定]],MATCH(体力優良証交付申請書!$A57,入力シート!$AH$6:$AH$505,0),MATCH(体力優良証交付申請書!D$14,テーブル2[[#Headers],[学年]:[得点]],0)))</f>
        <v/>
      </c>
      <c r="E57" s="115" t="str">
        <f>IF($A57&gt;MAX(入力シート!$AH$6:$AH$505),"",INDEX(テーブル2[[学年]:[判定]],MATCH(体力優良証交付申請書!$A57,入力シート!$AH$6:$AH$505,0),MATCH(体力優良証交付申請書!E$14,テーブル2[[#Headers],[学年]:[得点]],0)))</f>
        <v/>
      </c>
      <c r="F57" s="115" t="str">
        <f>IF($A57&gt;MAX(入力シート!$AH$6:$AH$505),"",INDEX(テーブル2[[学年]:[判定]],MATCH(体力優良証交付申請書!$A57,入力シート!$AH$6:$AH$505,0),MATCH(体力優良証交付申請書!F$14,テーブル2[[#Headers],[学年]:[得点]],0)))</f>
        <v/>
      </c>
      <c r="G57" s="115" t="str">
        <f>IF($A57&gt;MAX(入力シート!$AH$6:$AH$505),"",INDEX(テーブル2[[学年]:[判定]],MATCH(体力優良証交付申請書!$A57,入力シート!$AH$6:$AH$505,0),MATCH(体力優良証交付申請書!G$14,テーブル2[[#Headers],[学年]:[得点]],0)))</f>
        <v/>
      </c>
      <c r="H57" s="115" t="str">
        <f>IF($A57&gt;MAX(入力シート!$AH$6:$AH$505),"",INDEX(テーブル2[[学年]:[判定]],MATCH(体力優良証交付申請書!$A57,入力シート!$AH$6:$AH$505,0),MATCH(体力優良証交付申請書!H$14,テーブル2[[#Headers],[学年]:[得点]],0)))</f>
        <v/>
      </c>
      <c r="I57" s="115" t="str">
        <f>IF($A57&gt;MAX(入力シート!$AH$6:$AH$505),"",INDEX(テーブル2[[学年]:[判定]],MATCH(体力優良証交付申請書!$A57,入力シート!$AH$6:$AH$505,0),MATCH(体力優良証交付申請書!I$14,テーブル2[[#Headers],[学年]:[得点]],0)))</f>
        <v/>
      </c>
      <c r="J57" s="115" t="str">
        <f>IF($A57&gt;MAX(入力シート!$AH$6:$AH$505),"",INDEX(テーブル2[[学年]:[判定]],MATCH(体力優良証交付申請書!$A57,入力シート!$AH$6:$AH$505,0),MATCH(体力優良証交付申請書!J$14,テーブル2[[#Headers],[学年]:[得点]],0)))</f>
        <v/>
      </c>
      <c r="K57" s="129" t="str">
        <f>IF($A57&gt;MAX(入力シート!$AH$6:$AH$505),"",INDEX(テーブル2[[学年]:[判定]],MATCH(体力優良証交付申請書!$A57,入力シート!$AH$6:$AH$505,0),MATCH(体力優良証交付申請書!K$14,テーブル2[[#Headers],[学年]:[得点]],0)))</f>
        <v/>
      </c>
      <c r="L57" s="115" t="str">
        <f>IF($A57&gt;MAX(入力シート!$AH$6:$AH$505),"",INDEX(テーブル2[[学年]:[判定]],MATCH(体力優良証交付申請書!$A57,入力シート!$AH$6:$AH$505,0),MATCH(体力優良証交付申請書!L$14,テーブル2[[#Headers],[学年]:[得点]],0)))</f>
        <v/>
      </c>
      <c r="M57" s="115" t="str">
        <f>IF($A57&gt;MAX(入力シート!$AH$6:$AH$505),"",INDEX(テーブル2[[学年]:[判定]],MATCH(体力優良証交付申請書!$A57,入力シート!$AH$6:$AH$505,0),MATCH(体力優良証交付申請書!M$14,テーブル2[[#Headers],[学年]:[得点]],0)))</f>
        <v/>
      </c>
      <c r="N57" s="27" t="str">
        <f>IF($A57&gt;MAX(入力シート!$AH$6:$AH$505),"",INDEX(テーブル2[[学年]:[判定]],MATCH(体力優良証交付申請書!$A57,入力シート!$AH$6:$AH$505,0),MATCH(体力優良証交付申請書!N$14,テーブル2[[#Headers],[学年]:[得点]],0)))</f>
        <v/>
      </c>
    </row>
    <row r="58" spans="1:14" x14ac:dyDescent="0.15">
      <c r="A58" s="17">
        <v>44</v>
      </c>
      <c r="B58" s="115" t="str">
        <f>IF($A58&gt;MAX(入力シート!$AH$6:$AH$505),"",INDEX(テーブル2[[学年]:[判定]],MATCH(体力優良証交付申請書!$A58,入力シート!$AH$6:$AH$505,0),MATCH(体力優良証交付申請書!B$14,テーブル2[[#Headers],[学年]:[得点]],0)))</f>
        <v/>
      </c>
      <c r="C58" s="115" t="str">
        <f>IF($A58&gt;MAX(入力シート!$AH$6:$AH$505),"",INDEX(テーブル2[[学年]:[判定]],MATCH(体力優良証交付申請書!$A58,入力シート!$AH$6:$AH$505,0),MATCH(体力優良証交付申請書!C$14,テーブル2[[#Headers],[学年]:[得点]],0)))</f>
        <v/>
      </c>
      <c r="D58" s="115" t="str">
        <f>IF($A58&gt;MAX(入力シート!$AH$6:$AH$505),"",INDEX(テーブル2[[学年]:[判定]],MATCH(体力優良証交付申請書!$A58,入力シート!$AH$6:$AH$505,0),MATCH(体力優良証交付申請書!D$14,テーブル2[[#Headers],[学年]:[得点]],0)))</f>
        <v/>
      </c>
      <c r="E58" s="115" t="str">
        <f>IF($A58&gt;MAX(入力シート!$AH$6:$AH$505),"",INDEX(テーブル2[[学年]:[判定]],MATCH(体力優良証交付申請書!$A58,入力シート!$AH$6:$AH$505,0),MATCH(体力優良証交付申請書!E$14,テーブル2[[#Headers],[学年]:[得点]],0)))</f>
        <v/>
      </c>
      <c r="F58" s="115" t="str">
        <f>IF($A58&gt;MAX(入力シート!$AH$6:$AH$505),"",INDEX(テーブル2[[学年]:[判定]],MATCH(体力優良証交付申請書!$A58,入力シート!$AH$6:$AH$505,0),MATCH(体力優良証交付申請書!F$14,テーブル2[[#Headers],[学年]:[得点]],0)))</f>
        <v/>
      </c>
      <c r="G58" s="115" t="str">
        <f>IF($A58&gt;MAX(入力シート!$AH$6:$AH$505),"",INDEX(テーブル2[[学年]:[判定]],MATCH(体力優良証交付申請書!$A58,入力シート!$AH$6:$AH$505,0),MATCH(体力優良証交付申請書!G$14,テーブル2[[#Headers],[学年]:[得点]],0)))</f>
        <v/>
      </c>
      <c r="H58" s="115" t="str">
        <f>IF($A58&gt;MAX(入力シート!$AH$6:$AH$505),"",INDEX(テーブル2[[学年]:[判定]],MATCH(体力優良証交付申請書!$A58,入力シート!$AH$6:$AH$505,0),MATCH(体力優良証交付申請書!H$14,テーブル2[[#Headers],[学年]:[得点]],0)))</f>
        <v/>
      </c>
      <c r="I58" s="115" t="str">
        <f>IF($A58&gt;MAX(入力シート!$AH$6:$AH$505),"",INDEX(テーブル2[[学年]:[判定]],MATCH(体力優良証交付申請書!$A58,入力シート!$AH$6:$AH$505,0),MATCH(体力優良証交付申請書!I$14,テーブル2[[#Headers],[学年]:[得点]],0)))</f>
        <v/>
      </c>
      <c r="J58" s="115" t="str">
        <f>IF($A58&gt;MAX(入力シート!$AH$6:$AH$505),"",INDEX(テーブル2[[学年]:[判定]],MATCH(体力優良証交付申請書!$A58,入力シート!$AH$6:$AH$505,0),MATCH(体力優良証交付申請書!J$14,テーブル2[[#Headers],[学年]:[得点]],0)))</f>
        <v/>
      </c>
      <c r="K58" s="129" t="str">
        <f>IF($A58&gt;MAX(入力シート!$AH$6:$AH$505),"",INDEX(テーブル2[[学年]:[判定]],MATCH(体力優良証交付申請書!$A58,入力シート!$AH$6:$AH$505,0),MATCH(体力優良証交付申請書!K$14,テーブル2[[#Headers],[学年]:[得点]],0)))</f>
        <v/>
      </c>
      <c r="L58" s="115" t="str">
        <f>IF($A58&gt;MAX(入力シート!$AH$6:$AH$505),"",INDEX(テーブル2[[学年]:[判定]],MATCH(体力優良証交付申請書!$A58,入力シート!$AH$6:$AH$505,0),MATCH(体力優良証交付申請書!L$14,テーブル2[[#Headers],[学年]:[得点]],0)))</f>
        <v/>
      </c>
      <c r="M58" s="115" t="str">
        <f>IF($A58&gt;MAX(入力シート!$AH$6:$AH$505),"",INDEX(テーブル2[[学年]:[判定]],MATCH(体力優良証交付申請書!$A58,入力シート!$AH$6:$AH$505,0),MATCH(体力優良証交付申請書!M$14,テーブル2[[#Headers],[学年]:[得点]],0)))</f>
        <v/>
      </c>
      <c r="N58" s="27" t="str">
        <f>IF($A58&gt;MAX(入力シート!$AH$6:$AH$505),"",INDEX(テーブル2[[学年]:[判定]],MATCH(体力優良証交付申請書!$A58,入力シート!$AH$6:$AH$505,0),MATCH(体力優良証交付申請書!N$14,テーブル2[[#Headers],[学年]:[得点]],0)))</f>
        <v/>
      </c>
    </row>
    <row r="59" spans="1:14" x14ac:dyDescent="0.15">
      <c r="A59" s="17">
        <v>45</v>
      </c>
      <c r="B59" s="115" t="str">
        <f>IF($A59&gt;MAX(入力シート!$AH$6:$AH$505),"",INDEX(テーブル2[[学年]:[判定]],MATCH(体力優良証交付申請書!$A59,入力シート!$AH$6:$AH$505,0),MATCH(体力優良証交付申請書!B$14,テーブル2[[#Headers],[学年]:[得点]],0)))</f>
        <v/>
      </c>
      <c r="C59" s="115" t="str">
        <f>IF($A59&gt;MAX(入力シート!$AH$6:$AH$505),"",INDEX(テーブル2[[学年]:[判定]],MATCH(体力優良証交付申請書!$A59,入力シート!$AH$6:$AH$505,0),MATCH(体力優良証交付申請書!C$14,テーブル2[[#Headers],[学年]:[得点]],0)))</f>
        <v/>
      </c>
      <c r="D59" s="115" t="str">
        <f>IF($A59&gt;MAX(入力シート!$AH$6:$AH$505),"",INDEX(テーブル2[[学年]:[判定]],MATCH(体力優良証交付申請書!$A59,入力シート!$AH$6:$AH$505,0),MATCH(体力優良証交付申請書!D$14,テーブル2[[#Headers],[学年]:[得点]],0)))</f>
        <v/>
      </c>
      <c r="E59" s="115" t="str">
        <f>IF($A59&gt;MAX(入力シート!$AH$6:$AH$505),"",INDEX(テーブル2[[学年]:[判定]],MATCH(体力優良証交付申請書!$A59,入力シート!$AH$6:$AH$505,0),MATCH(体力優良証交付申請書!E$14,テーブル2[[#Headers],[学年]:[得点]],0)))</f>
        <v/>
      </c>
      <c r="F59" s="115" t="str">
        <f>IF($A59&gt;MAX(入力シート!$AH$6:$AH$505),"",INDEX(テーブル2[[学年]:[判定]],MATCH(体力優良証交付申請書!$A59,入力シート!$AH$6:$AH$505,0),MATCH(体力優良証交付申請書!F$14,テーブル2[[#Headers],[学年]:[得点]],0)))</f>
        <v/>
      </c>
      <c r="G59" s="115" t="str">
        <f>IF($A59&gt;MAX(入力シート!$AH$6:$AH$505),"",INDEX(テーブル2[[学年]:[判定]],MATCH(体力優良証交付申請書!$A59,入力シート!$AH$6:$AH$505,0),MATCH(体力優良証交付申請書!G$14,テーブル2[[#Headers],[学年]:[得点]],0)))</f>
        <v/>
      </c>
      <c r="H59" s="115" t="str">
        <f>IF($A59&gt;MAX(入力シート!$AH$6:$AH$505),"",INDEX(テーブル2[[学年]:[判定]],MATCH(体力優良証交付申請書!$A59,入力シート!$AH$6:$AH$505,0),MATCH(体力優良証交付申請書!H$14,テーブル2[[#Headers],[学年]:[得点]],0)))</f>
        <v/>
      </c>
      <c r="I59" s="115" t="str">
        <f>IF($A59&gt;MAX(入力シート!$AH$6:$AH$505),"",INDEX(テーブル2[[学年]:[判定]],MATCH(体力優良証交付申請書!$A59,入力シート!$AH$6:$AH$505,0),MATCH(体力優良証交付申請書!I$14,テーブル2[[#Headers],[学年]:[得点]],0)))</f>
        <v/>
      </c>
      <c r="J59" s="115" t="str">
        <f>IF($A59&gt;MAX(入力シート!$AH$6:$AH$505),"",INDEX(テーブル2[[学年]:[判定]],MATCH(体力優良証交付申請書!$A59,入力シート!$AH$6:$AH$505,0),MATCH(体力優良証交付申請書!J$14,テーブル2[[#Headers],[学年]:[得点]],0)))</f>
        <v/>
      </c>
      <c r="K59" s="129" t="str">
        <f>IF($A59&gt;MAX(入力シート!$AH$6:$AH$505),"",INDEX(テーブル2[[学年]:[判定]],MATCH(体力優良証交付申請書!$A59,入力シート!$AH$6:$AH$505,0),MATCH(体力優良証交付申請書!K$14,テーブル2[[#Headers],[学年]:[得点]],0)))</f>
        <v/>
      </c>
      <c r="L59" s="115" t="str">
        <f>IF($A59&gt;MAX(入力シート!$AH$6:$AH$505),"",INDEX(テーブル2[[学年]:[判定]],MATCH(体力優良証交付申請書!$A59,入力シート!$AH$6:$AH$505,0),MATCH(体力優良証交付申請書!L$14,テーブル2[[#Headers],[学年]:[得点]],0)))</f>
        <v/>
      </c>
      <c r="M59" s="115" t="str">
        <f>IF($A59&gt;MAX(入力シート!$AH$6:$AH$505),"",INDEX(テーブル2[[学年]:[判定]],MATCH(体力優良証交付申請書!$A59,入力シート!$AH$6:$AH$505,0),MATCH(体力優良証交付申請書!M$14,テーブル2[[#Headers],[学年]:[得点]],0)))</f>
        <v/>
      </c>
      <c r="N59" s="27" t="str">
        <f>IF($A59&gt;MAX(入力シート!$AH$6:$AH$505),"",INDEX(テーブル2[[学年]:[判定]],MATCH(体力優良証交付申請書!$A59,入力シート!$AH$6:$AH$505,0),MATCH(体力優良証交付申請書!N$14,テーブル2[[#Headers],[学年]:[得点]],0)))</f>
        <v/>
      </c>
    </row>
    <row r="60" spans="1:14" x14ac:dyDescent="0.15">
      <c r="A60" s="17">
        <v>46</v>
      </c>
      <c r="B60" s="115" t="str">
        <f>IF($A60&gt;MAX(入力シート!$AH$6:$AH$505),"",INDEX(テーブル2[[学年]:[判定]],MATCH(体力優良証交付申請書!$A60,入力シート!$AH$6:$AH$505,0),MATCH(体力優良証交付申請書!B$14,テーブル2[[#Headers],[学年]:[得点]],0)))</f>
        <v/>
      </c>
      <c r="C60" s="115" t="str">
        <f>IF($A60&gt;MAX(入力シート!$AH$6:$AH$505),"",INDEX(テーブル2[[学年]:[判定]],MATCH(体力優良証交付申請書!$A60,入力シート!$AH$6:$AH$505,0),MATCH(体力優良証交付申請書!C$14,テーブル2[[#Headers],[学年]:[得点]],0)))</f>
        <v/>
      </c>
      <c r="D60" s="115" t="str">
        <f>IF($A60&gt;MAX(入力シート!$AH$6:$AH$505),"",INDEX(テーブル2[[学年]:[判定]],MATCH(体力優良証交付申請書!$A60,入力シート!$AH$6:$AH$505,0),MATCH(体力優良証交付申請書!D$14,テーブル2[[#Headers],[学年]:[得点]],0)))</f>
        <v/>
      </c>
      <c r="E60" s="115" t="str">
        <f>IF($A60&gt;MAX(入力シート!$AH$6:$AH$505),"",INDEX(テーブル2[[学年]:[判定]],MATCH(体力優良証交付申請書!$A60,入力シート!$AH$6:$AH$505,0),MATCH(体力優良証交付申請書!E$14,テーブル2[[#Headers],[学年]:[得点]],0)))</f>
        <v/>
      </c>
      <c r="F60" s="115" t="str">
        <f>IF($A60&gt;MAX(入力シート!$AH$6:$AH$505),"",INDEX(テーブル2[[学年]:[判定]],MATCH(体力優良証交付申請書!$A60,入力シート!$AH$6:$AH$505,0),MATCH(体力優良証交付申請書!F$14,テーブル2[[#Headers],[学年]:[得点]],0)))</f>
        <v/>
      </c>
      <c r="G60" s="115" t="str">
        <f>IF($A60&gt;MAX(入力シート!$AH$6:$AH$505),"",INDEX(テーブル2[[学年]:[判定]],MATCH(体力優良証交付申請書!$A60,入力シート!$AH$6:$AH$505,0),MATCH(体力優良証交付申請書!G$14,テーブル2[[#Headers],[学年]:[得点]],0)))</f>
        <v/>
      </c>
      <c r="H60" s="115" t="str">
        <f>IF($A60&gt;MAX(入力シート!$AH$6:$AH$505),"",INDEX(テーブル2[[学年]:[判定]],MATCH(体力優良証交付申請書!$A60,入力シート!$AH$6:$AH$505,0),MATCH(体力優良証交付申請書!H$14,テーブル2[[#Headers],[学年]:[得点]],0)))</f>
        <v/>
      </c>
      <c r="I60" s="115" t="str">
        <f>IF($A60&gt;MAX(入力シート!$AH$6:$AH$505),"",INDEX(テーブル2[[学年]:[判定]],MATCH(体力優良証交付申請書!$A60,入力シート!$AH$6:$AH$505,0),MATCH(体力優良証交付申請書!I$14,テーブル2[[#Headers],[学年]:[得点]],0)))</f>
        <v/>
      </c>
      <c r="J60" s="115" t="str">
        <f>IF($A60&gt;MAX(入力シート!$AH$6:$AH$505),"",INDEX(テーブル2[[学年]:[判定]],MATCH(体力優良証交付申請書!$A60,入力シート!$AH$6:$AH$505,0),MATCH(体力優良証交付申請書!J$14,テーブル2[[#Headers],[学年]:[得点]],0)))</f>
        <v/>
      </c>
      <c r="K60" s="129" t="str">
        <f>IF($A60&gt;MAX(入力シート!$AH$6:$AH$505),"",INDEX(テーブル2[[学年]:[判定]],MATCH(体力優良証交付申請書!$A60,入力シート!$AH$6:$AH$505,0),MATCH(体力優良証交付申請書!K$14,テーブル2[[#Headers],[学年]:[得点]],0)))</f>
        <v/>
      </c>
      <c r="L60" s="115" t="str">
        <f>IF($A60&gt;MAX(入力シート!$AH$6:$AH$505),"",INDEX(テーブル2[[学年]:[判定]],MATCH(体力優良証交付申請書!$A60,入力シート!$AH$6:$AH$505,0),MATCH(体力優良証交付申請書!L$14,テーブル2[[#Headers],[学年]:[得点]],0)))</f>
        <v/>
      </c>
      <c r="M60" s="115" t="str">
        <f>IF($A60&gt;MAX(入力シート!$AH$6:$AH$505),"",INDEX(テーブル2[[学年]:[判定]],MATCH(体力優良証交付申請書!$A60,入力シート!$AH$6:$AH$505,0),MATCH(体力優良証交付申請書!M$14,テーブル2[[#Headers],[学年]:[得点]],0)))</f>
        <v/>
      </c>
      <c r="N60" s="27" t="str">
        <f>IF($A60&gt;MAX(入力シート!$AH$6:$AH$505),"",INDEX(テーブル2[[学年]:[判定]],MATCH(体力優良証交付申請書!$A60,入力シート!$AH$6:$AH$505,0),MATCH(体力優良証交付申請書!N$14,テーブル2[[#Headers],[学年]:[得点]],0)))</f>
        <v/>
      </c>
    </row>
    <row r="61" spans="1:14" x14ac:dyDescent="0.15">
      <c r="A61" s="17">
        <v>47</v>
      </c>
      <c r="B61" s="115" t="str">
        <f>IF($A61&gt;MAX(入力シート!$AH$6:$AH$505),"",INDEX(テーブル2[[学年]:[判定]],MATCH(体力優良証交付申請書!$A61,入力シート!$AH$6:$AH$505,0),MATCH(体力優良証交付申請書!B$14,テーブル2[[#Headers],[学年]:[得点]],0)))</f>
        <v/>
      </c>
      <c r="C61" s="115" t="str">
        <f>IF($A61&gt;MAX(入力シート!$AH$6:$AH$505),"",INDEX(テーブル2[[学年]:[判定]],MATCH(体力優良証交付申請書!$A61,入力シート!$AH$6:$AH$505,0),MATCH(体力優良証交付申請書!C$14,テーブル2[[#Headers],[学年]:[得点]],0)))</f>
        <v/>
      </c>
      <c r="D61" s="115" t="str">
        <f>IF($A61&gt;MAX(入力シート!$AH$6:$AH$505),"",INDEX(テーブル2[[学年]:[判定]],MATCH(体力優良証交付申請書!$A61,入力シート!$AH$6:$AH$505,0),MATCH(体力優良証交付申請書!D$14,テーブル2[[#Headers],[学年]:[得点]],0)))</f>
        <v/>
      </c>
      <c r="E61" s="115" t="str">
        <f>IF($A61&gt;MAX(入力シート!$AH$6:$AH$505),"",INDEX(テーブル2[[学年]:[判定]],MATCH(体力優良証交付申請書!$A61,入力シート!$AH$6:$AH$505,0),MATCH(体力優良証交付申請書!E$14,テーブル2[[#Headers],[学年]:[得点]],0)))</f>
        <v/>
      </c>
      <c r="F61" s="115" t="str">
        <f>IF($A61&gt;MAX(入力シート!$AH$6:$AH$505),"",INDEX(テーブル2[[学年]:[判定]],MATCH(体力優良証交付申請書!$A61,入力シート!$AH$6:$AH$505,0),MATCH(体力優良証交付申請書!F$14,テーブル2[[#Headers],[学年]:[得点]],0)))</f>
        <v/>
      </c>
      <c r="G61" s="115" t="str">
        <f>IF($A61&gt;MAX(入力シート!$AH$6:$AH$505),"",INDEX(テーブル2[[学年]:[判定]],MATCH(体力優良証交付申請書!$A61,入力シート!$AH$6:$AH$505,0),MATCH(体力優良証交付申請書!G$14,テーブル2[[#Headers],[学年]:[得点]],0)))</f>
        <v/>
      </c>
      <c r="H61" s="115" t="str">
        <f>IF($A61&gt;MAX(入力シート!$AH$6:$AH$505),"",INDEX(テーブル2[[学年]:[判定]],MATCH(体力優良証交付申請書!$A61,入力シート!$AH$6:$AH$505,0),MATCH(体力優良証交付申請書!H$14,テーブル2[[#Headers],[学年]:[得点]],0)))</f>
        <v/>
      </c>
      <c r="I61" s="115" t="str">
        <f>IF($A61&gt;MAX(入力シート!$AH$6:$AH$505),"",INDEX(テーブル2[[学年]:[判定]],MATCH(体力優良証交付申請書!$A61,入力シート!$AH$6:$AH$505,0),MATCH(体力優良証交付申請書!I$14,テーブル2[[#Headers],[学年]:[得点]],0)))</f>
        <v/>
      </c>
      <c r="J61" s="115" t="str">
        <f>IF($A61&gt;MAX(入力シート!$AH$6:$AH$505),"",INDEX(テーブル2[[学年]:[判定]],MATCH(体力優良証交付申請書!$A61,入力シート!$AH$6:$AH$505,0),MATCH(体力優良証交付申請書!J$14,テーブル2[[#Headers],[学年]:[得点]],0)))</f>
        <v/>
      </c>
      <c r="K61" s="129" t="str">
        <f>IF($A61&gt;MAX(入力シート!$AH$6:$AH$505),"",INDEX(テーブル2[[学年]:[判定]],MATCH(体力優良証交付申請書!$A61,入力シート!$AH$6:$AH$505,0),MATCH(体力優良証交付申請書!K$14,テーブル2[[#Headers],[学年]:[得点]],0)))</f>
        <v/>
      </c>
      <c r="L61" s="115" t="str">
        <f>IF($A61&gt;MAX(入力シート!$AH$6:$AH$505),"",INDEX(テーブル2[[学年]:[判定]],MATCH(体力優良証交付申請書!$A61,入力シート!$AH$6:$AH$505,0),MATCH(体力優良証交付申請書!L$14,テーブル2[[#Headers],[学年]:[得点]],0)))</f>
        <v/>
      </c>
      <c r="M61" s="115" t="str">
        <f>IF($A61&gt;MAX(入力シート!$AH$6:$AH$505),"",INDEX(テーブル2[[学年]:[判定]],MATCH(体力優良証交付申請書!$A61,入力シート!$AH$6:$AH$505,0),MATCH(体力優良証交付申請書!M$14,テーブル2[[#Headers],[学年]:[得点]],0)))</f>
        <v/>
      </c>
      <c r="N61" s="27" t="str">
        <f>IF($A61&gt;MAX(入力シート!$AH$6:$AH$505),"",INDEX(テーブル2[[学年]:[判定]],MATCH(体力優良証交付申請書!$A61,入力シート!$AH$6:$AH$505,0),MATCH(体力優良証交付申請書!N$14,テーブル2[[#Headers],[学年]:[得点]],0)))</f>
        <v/>
      </c>
    </row>
    <row r="62" spans="1:14" x14ac:dyDescent="0.15">
      <c r="A62" s="17">
        <v>48</v>
      </c>
      <c r="B62" s="115" t="str">
        <f>IF($A62&gt;MAX(入力シート!$AH$6:$AH$505),"",INDEX(テーブル2[[学年]:[判定]],MATCH(体力優良証交付申請書!$A62,入力シート!$AH$6:$AH$505,0),MATCH(体力優良証交付申請書!B$14,テーブル2[[#Headers],[学年]:[得点]],0)))</f>
        <v/>
      </c>
      <c r="C62" s="115" t="str">
        <f>IF($A62&gt;MAX(入力シート!$AH$6:$AH$505),"",INDEX(テーブル2[[学年]:[判定]],MATCH(体力優良証交付申請書!$A62,入力シート!$AH$6:$AH$505,0),MATCH(体力優良証交付申請書!C$14,テーブル2[[#Headers],[学年]:[得点]],0)))</f>
        <v/>
      </c>
      <c r="D62" s="115" t="str">
        <f>IF($A62&gt;MAX(入力シート!$AH$6:$AH$505),"",INDEX(テーブル2[[学年]:[判定]],MATCH(体力優良証交付申請書!$A62,入力シート!$AH$6:$AH$505,0),MATCH(体力優良証交付申請書!D$14,テーブル2[[#Headers],[学年]:[得点]],0)))</f>
        <v/>
      </c>
      <c r="E62" s="115" t="str">
        <f>IF($A62&gt;MAX(入力シート!$AH$6:$AH$505),"",INDEX(テーブル2[[学年]:[判定]],MATCH(体力優良証交付申請書!$A62,入力シート!$AH$6:$AH$505,0),MATCH(体力優良証交付申請書!E$14,テーブル2[[#Headers],[学年]:[得点]],0)))</f>
        <v/>
      </c>
      <c r="F62" s="115" t="str">
        <f>IF($A62&gt;MAX(入力シート!$AH$6:$AH$505),"",INDEX(テーブル2[[学年]:[判定]],MATCH(体力優良証交付申請書!$A62,入力シート!$AH$6:$AH$505,0),MATCH(体力優良証交付申請書!F$14,テーブル2[[#Headers],[学年]:[得点]],0)))</f>
        <v/>
      </c>
      <c r="G62" s="115" t="str">
        <f>IF($A62&gt;MAX(入力シート!$AH$6:$AH$505),"",INDEX(テーブル2[[学年]:[判定]],MATCH(体力優良証交付申請書!$A62,入力シート!$AH$6:$AH$505,0),MATCH(体力優良証交付申請書!G$14,テーブル2[[#Headers],[学年]:[得点]],0)))</f>
        <v/>
      </c>
      <c r="H62" s="115" t="str">
        <f>IF($A62&gt;MAX(入力シート!$AH$6:$AH$505),"",INDEX(テーブル2[[学年]:[判定]],MATCH(体力優良証交付申請書!$A62,入力シート!$AH$6:$AH$505,0),MATCH(体力優良証交付申請書!H$14,テーブル2[[#Headers],[学年]:[得点]],0)))</f>
        <v/>
      </c>
      <c r="I62" s="115" t="str">
        <f>IF($A62&gt;MAX(入力シート!$AH$6:$AH$505),"",INDEX(テーブル2[[学年]:[判定]],MATCH(体力優良証交付申請書!$A62,入力シート!$AH$6:$AH$505,0),MATCH(体力優良証交付申請書!I$14,テーブル2[[#Headers],[学年]:[得点]],0)))</f>
        <v/>
      </c>
      <c r="J62" s="115" t="str">
        <f>IF($A62&gt;MAX(入力シート!$AH$6:$AH$505),"",INDEX(テーブル2[[学年]:[判定]],MATCH(体力優良証交付申請書!$A62,入力シート!$AH$6:$AH$505,0),MATCH(体力優良証交付申請書!J$14,テーブル2[[#Headers],[学年]:[得点]],0)))</f>
        <v/>
      </c>
      <c r="K62" s="129" t="str">
        <f>IF($A62&gt;MAX(入力シート!$AH$6:$AH$505),"",INDEX(テーブル2[[学年]:[判定]],MATCH(体力優良証交付申請書!$A62,入力シート!$AH$6:$AH$505,0),MATCH(体力優良証交付申請書!K$14,テーブル2[[#Headers],[学年]:[得点]],0)))</f>
        <v/>
      </c>
      <c r="L62" s="115" t="str">
        <f>IF($A62&gt;MAX(入力シート!$AH$6:$AH$505),"",INDEX(テーブル2[[学年]:[判定]],MATCH(体力優良証交付申請書!$A62,入力シート!$AH$6:$AH$505,0),MATCH(体力優良証交付申請書!L$14,テーブル2[[#Headers],[学年]:[得点]],0)))</f>
        <v/>
      </c>
      <c r="M62" s="115" t="str">
        <f>IF($A62&gt;MAX(入力シート!$AH$6:$AH$505),"",INDEX(テーブル2[[学年]:[判定]],MATCH(体力優良証交付申請書!$A62,入力シート!$AH$6:$AH$505,0),MATCH(体力優良証交付申請書!M$14,テーブル2[[#Headers],[学年]:[得点]],0)))</f>
        <v/>
      </c>
      <c r="N62" s="27" t="str">
        <f>IF($A62&gt;MAX(入力シート!$AH$6:$AH$505),"",INDEX(テーブル2[[学年]:[判定]],MATCH(体力優良証交付申請書!$A62,入力シート!$AH$6:$AH$505,0),MATCH(体力優良証交付申請書!N$14,テーブル2[[#Headers],[学年]:[得点]],0)))</f>
        <v/>
      </c>
    </row>
    <row r="63" spans="1:14" x14ac:dyDescent="0.15">
      <c r="A63" s="17">
        <v>49</v>
      </c>
      <c r="B63" s="115" t="str">
        <f>IF($A63&gt;MAX(入力シート!$AH$6:$AH$505),"",INDEX(テーブル2[[学年]:[判定]],MATCH(体力優良証交付申請書!$A63,入力シート!$AH$6:$AH$505,0),MATCH(体力優良証交付申請書!B$14,テーブル2[[#Headers],[学年]:[得点]],0)))</f>
        <v/>
      </c>
      <c r="C63" s="115" t="str">
        <f>IF($A63&gt;MAX(入力シート!$AH$6:$AH$505),"",INDEX(テーブル2[[学年]:[判定]],MATCH(体力優良証交付申請書!$A63,入力シート!$AH$6:$AH$505,0),MATCH(体力優良証交付申請書!C$14,テーブル2[[#Headers],[学年]:[得点]],0)))</f>
        <v/>
      </c>
      <c r="D63" s="115" t="str">
        <f>IF($A63&gt;MAX(入力シート!$AH$6:$AH$505),"",INDEX(テーブル2[[学年]:[判定]],MATCH(体力優良証交付申請書!$A63,入力シート!$AH$6:$AH$505,0),MATCH(体力優良証交付申請書!D$14,テーブル2[[#Headers],[学年]:[得点]],0)))</f>
        <v/>
      </c>
      <c r="E63" s="115" t="str">
        <f>IF($A63&gt;MAX(入力シート!$AH$6:$AH$505),"",INDEX(テーブル2[[学年]:[判定]],MATCH(体力優良証交付申請書!$A63,入力シート!$AH$6:$AH$505,0),MATCH(体力優良証交付申請書!E$14,テーブル2[[#Headers],[学年]:[得点]],0)))</f>
        <v/>
      </c>
      <c r="F63" s="115" t="str">
        <f>IF($A63&gt;MAX(入力シート!$AH$6:$AH$505),"",INDEX(テーブル2[[学年]:[判定]],MATCH(体力優良証交付申請書!$A63,入力シート!$AH$6:$AH$505,0),MATCH(体力優良証交付申請書!F$14,テーブル2[[#Headers],[学年]:[得点]],0)))</f>
        <v/>
      </c>
      <c r="G63" s="115" t="str">
        <f>IF($A63&gt;MAX(入力シート!$AH$6:$AH$505),"",INDEX(テーブル2[[学年]:[判定]],MATCH(体力優良証交付申請書!$A63,入力シート!$AH$6:$AH$505,0),MATCH(体力優良証交付申請書!G$14,テーブル2[[#Headers],[学年]:[得点]],0)))</f>
        <v/>
      </c>
      <c r="H63" s="115" t="str">
        <f>IF($A63&gt;MAX(入力シート!$AH$6:$AH$505),"",INDEX(テーブル2[[学年]:[判定]],MATCH(体力優良証交付申請書!$A63,入力シート!$AH$6:$AH$505,0),MATCH(体力優良証交付申請書!H$14,テーブル2[[#Headers],[学年]:[得点]],0)))</f>
        <v/>
      </c>
      <c r="I63" s="115" t="str">
        <f>IF($A63&gt;MAX(入力シート!$AH$6:$AH$505),"",INDEX(テーブル2[[学年]:[判定]],MATCH(体力優良証交付申請書!$A63,入力シート!$AH$6:$AH$505,0),MATCH(体力優良証交付申請書!I$14,テーブル2[[#Headers],[学年]:[得点]],0)))</f>
        <v/>
      </c>
      <c r="J63" s="115" t="str">
        <f>IF($A63&gt;MAX(入力シート!$AH$6:$AH$505),"",INDEX(テーブル2[[学年]:[判定]],MATCH(体力優良証交付申請書!$A63,入力シート!$AH$6:$AH$505,0),MATCH(体力優良証交付申請書!J$14,テーブル2[[#Headers],[学年]:[得点]],0)))</f>
        <v/>
      </c>
      <c r="K63" s="129" t="str">
        <f>IF($A63&gt;MAX(入力シート!$AH$6:$AH$505),"",INDEX(テーブル2[[学年]:[判定]],MATCH(体力優良証交付申請書!$A63,入力シート!$AH$6:$AH$505,0),MATCH(体力優良証交付申請書!K$14,テーブル2[[#Headers],[学年]:[得点]],0)))</f>
        <v/>
      </c>
      <c r="L63" s="115" t="str">
        <f>IF($A63&gt;MAX(入力シート!$AH$6:$AH$505),"",INDEX(テーブル2[[学年]:[判定]],MATCH(体力優良証交付申請書!$A63,入力シート!$AH$6:$AH$505,0),MATCH(体力優良証交付申請書!L$14,テーブル2[[#Headers],[学年]:[得点]],0)))</f>
        <v/>
      </c>
      <c r="M63" s="115" t="str">
        <f>IF($A63&gt;MAX(入力シート!$AH$6:$AH$505),"",INDEX(テーブル2[[学年]:[判定]],MATCH(体力優良証交付申請書!$A63,入力シート!$AH$6:$AH$505,0),MATCH(体力優良証交付申請書!M$14,テーブル2[[#Headers],[学年]:[得点]],0)))</f>
        <v/>
      </c>
      <c r="N63" s="27" t="str">
        <f>IF($A63&gt;MAX(入力シート!$AH$6:$AH$505),"",INDEX(テーブル2[[学年]:[判定]],MATCH(体力優良証交付申請書!$A63,入力シート!$AH$6:$AH$505,0),MATCH(体力優良証交付申請書!N$14,テーブル2[[#Headers],[学年]:[得点]],0)))</f>
        <v/>
      </c>
    </row>
    <row r="64" spans="1:14" x14ac:dyDescent="0.15">
      <c r="A64" s="17">
        <v>50</v>
      </c>
      <c r="B64" s="115" t="str">
        <f>IF($A64&gt;MAX(入力シート!$AH$6:$AH$505),"",INDEX(テーブル2[[学年]:[判定]],MATCH(体力優良証交付申請書!$A64,入力シート!$AH$6:$AH$505,0),MATCH(体力優良証交付申請書!B$14,テーブル2[[#Headers],[学年]:[得点]],0)))</f>
        <v/>
      </c>
      <c r="C64" s="115" t="str">
        <f>IF($A64&gt;MAX(入力シート!$AH$6:$AH$505),"",INDEX(テーブル2[[学年]:[判定]],MATCH(体力優良証交付申請書!$A64,入力シート!$AH$6:$AH$505,0),MATCH(体力優良証交付申請書!C$14,テーブル2[[#Headers],[学年]:[得点]],0)))</f>
        <v/>
      </c>
      <c r="D64" s="115" t="str">
        <f>IF($A64&gt;MAX(入力シート!$AH$6:$AH$505),"",INDEX(テーブル2[[学年]:[判定]],MATCH(体力優良証交付申請書!$A64,入力シート!$AH$6:$AH$505,0),MATCH(体力優良証交付申請書!D$14,テーブル2[[#Headers],[学年]:[得点]],0)))</f>
        <v/>
      </c>
      <c r="E64" s="115" t="str">
        <f>IF($A64&gt;MAX(入力シート!$AH$6:$AH$505),"",INDEX(テーブル2[[学年]:[判定]],MATCH(体力優良証交付申請書!$A64,入力シート!$AH$6:$AH$505,0),MATCH(体力優良証交付申請書!E$14,テーブル2[[#Headers],[学年]:[得点]],0)))</f>
        <v/>
      </c>
      <c r="F64" s="115" t="str">
        <f>IF($A64&gt;MAX(入力シート!$AH$6:$AH$505),"",INDEX(テーブル2[[学年]:[判定]],MATCH(体力優良証交付申請書!$A64,入力シート!$AH$6:$AH$505,0),MATCH(体力優良証交付申請書!F$14,テーブル2[[#Headers],[学年]:[得点]],0)))</f>
        <v/>
      </c>
      <c r="G64" s="115" t="str">
        <f>IF($A64&gt;MAX(入力シート!$AH$6:$AH$505),"",INDEX(テーブル2[[学年]:[判定]],MATCH(体力優良証交付申請書!$A64,入力シート!$AH$6:$AH$505,0),MATCH(体力優良証交付申請書!G$14,テーブル2[[#Headers],[学年]:[得点]],0)))</f>
        <v/>
      </c>
      <c r="H64" s="115" t="str">
        <f>IF($A64&gt;MAX(入力シート!$AH$6:$AH$505),"",INDEX(テーブル2[[学年]:[判定]],MATCH(体力優良証交付申請書!$A64,入力シート!$AH$6:$AH$505,0),MATCH(体力優良証交付申請書!H$14,テーブル2[[#Headers],[学年]:[得点]],0)))</f>
        <v/>
      </c>
      <c r="I64" s="115" t="str">
        <f>IF($A64&gt;MAX(入力シート!$AH$6:$AH$505),"",INDEX(テーブル2[[学年]:[判定]],MATCH(体力優良証交付申請書!$A64,入力シート!$AH$6:$AH$505,0),MATCH(体力優良証交付申請書!I$14,テーブル2[[#Headers],[学年]:[得点]],0)))</f>
        <v/>
      </c>
      <c r="J64" s="115" t="str">
        <f>IF($A64&gt;MAX(入力シート!$AH$6:$AH$505),"",INDEX(テーブル2[[学年]:[判定]],MATCH(体力優良証交付申請書!$A64,入力シート!$AH$6:$AH$505,0),MATCH(体力優良証交付申請書!J$14,テーブル2[[#Headers],[学年]:[得点]],0)))</f>
        <v/>
      </c>
      <c r="K64" s="129" t="str">
        <f>IF($A64&gt;MAX(入力シート!$AH$6:$AH$505),"",INDEX(テーブル2[[学年]:[判定]],MATCH(体力優良証交付申請書!$A64,入力シート!$AH$6:$AH$505,0),MATCH(体力優良証交付申請書!K$14,テーブル2[[#Headers],[学年]:[得点]],0)))</f>
        <v/>
      </c>
      <c r="L64" s="115" t="str">
        <f>IF($A64&gt;MAX(入力シート!$AH$6:$AH$505),"",INDEX(テーブル2[[学年]:[判定]],MATCH(体力優良証交付申請書!$A64,入力シート!$AH$6:$AH$505,0),MATCH(体力優良証交付申請書!L$14,テーブル2[[#Headers],[学年]:[得点]],0)))</f>
        <v/>
      </c>
      <c r="M64" s="115" t="str">
        <f>IF($A64&gt;MAX(入力シート!$AH$6:$AH$505),"",INDEX(テーブル2[[学年]:[判定]],MATCH(体力優良証交付申請書!$A64,入力シート!$AH$6:$AH$505,0),MATCH(体力優良証交付申請書!M$14,テーブル2[[#Headers],[学年]:[得点]],0)))</f>
        <v/>
      </c>
      <c r="N64" s="27" t="str">
        <f>IF($A64&gt;MAX(入力シート!$AH$6:$AH$505),"",INDEX(テーブル2[[学年]:[判定]],MATCH(体力優良証交付申請書!$A64,入力シート!$AH$6:$AH$505,0),MATCH(体力優良証交付申請書!N$14,テーブル2[[#Headers],[学年]:[得点]],0)))</f>
        <v/>
      </c>
    </row>
    <row r="65" spans="1:14" x14ac:dyDescent="0.15">
      <c r="A65" s="17">
        <v>51</v>
      </c>
      <c r="B65" s="115" t="str">
        <f>IF($A65&gt;MAX(入力シート!$AH$6:$AH$505),"",INDEX(テーブル2[[学年]:[判定]],MATCH(体力優良証交付申請書!$A65,入力シート!$AH$6:$AH$505,0),MATCH(体力優良証交付申請書!B$14,テーブル2[[#Headers],[学年]:[得点]],0)))</f>
        <v/>
      </c>
      <c r="C65" s="115" t="str">
        <f>IF($A65&gt;MAX(入力シート!$AH$6:$AH$505),"",INDEX(テーブル2[[学年]:[判定]],MATCH(体力優良証交付申請書!$A65,入力シート!$AH$6:$AH$505,0),MATCH(体力優良証交付申請書!C$14,テーブル2[[#Headers],[学年]:[得点]],0)))</f>
        <v/>
      </c>
      <c r="D65" s="115" t="str">
        <f>IF($A65&gt;MAX(入力シート!$AH$6:$AH$505),"",INDEX(テーブル2[[学年]:[判定]],MATCH(体力優良証交付申請書!$A65,入力シート!$AH$6:$AH$505,0),MATCH(体力優良証交付申請書!D$14,テーブル2[[#Headers],[学年]:[得点]],0)))</f>
        <v/>
      </c>
      <c r="E65" s="115" t="str">
        <f>IF($A65&gt;MAX(入力シート!$AH$6:$AH$505),"",INDEX(テーブル2[[学年]:[判定]],MATCH(体力優良証交付申請書!$A65,入力シート!$AH$6:$AH$505,0),MATCH(体力優良証交付申請書!E$14,テーブル2[[#Headers],[学年]:[得点]],0)))</f>
        <v/>
      </c>
      <c r="F65" s="115" t="str">
        <f>IF($A65&gt;MAX(入力シート!$AH$6:$AH$505),"",INDEX(テーブル2[[学年]:[判定]],MATCH(体力優良証交付申請書!$A65,入力シート!$AH$6:$AH$505,0),MATCH(体力優良証交付申請書!F$14,テーブル2[[#Headers],[学年]:[得点]],0)))</f>
        <v/>
      </c>
      <c r="G65" s="115" t="str">
        <f>IF($A65&gt;MAX(入力シート!$AH$6:$AH$505),"",INDEX(テーブル2[[学年]:[判定]],MATCH(体力優良証交付申請書!$A65,入力シート!$AH$6:$AH$505,0),MATCH(体力優良証交付申請書!G$14,テーブル2[[#Headers],[学年]:[得点]],0)))</f>
        <v/>
      </c>
      <c r="H65" s="115" t="str">
        <f>IF($A65&gt;MAX(入力シート!$AH$6:$AH$505),"",INDEX(テーブル2[[学年]:[判定]],MATCH(体力優良証交付申請書!$A65,入力シート!$AH$6:$AH$505,0),MATCH(体力優良証交付申請書!H$14,テーブル2[[#Headers],[学年]:[得点]],0)))</f>
        <v/>
      </c>
      <c r="I65" s="115" t="str">
        <f>IF($A65&gt;MAX(入力シート!$AH$6:$AH$505),"",INDEX(テーブル2[[学年]:[判定]],MATCH(体力優良証交付申請書!$A65,入力シート!$AH$6:$AH$505,0),MATCH(体力優良証交付申請書!I$14,テーブル2[[#Headers],[学年]:[得点]],0)))</f>
        <v/>
      </c>
      <c r="J65" s="115" t="str">
        <f>IF($A65&gt;MAX(入力シート!$AH$6:$AH$505),"",INDEX(テーブル2[[学年]:[判定]],MATCH(体力優良証交付申請書!$A65,入力シート!$AH$6:$AH$505,0),MATCH(体力優良証交付申請書!J$14,テーブル2[[#Headers],[学年]:[得点]],0)))</f>
        <v/>
      </c>
      <c r="K65" s="129" t="str">
        <f>IF($A65&gt;MAX(入力シート!$AH$6:$AH$505),"",INDEX(テーブル2[[学年]:[判定]],MATCH(体力優良証交付申請書!$A65,入力シート!$AH$6:$AH$505,0),MATCH(体力優良証交付申請書!K$14,テーブル2[[#Headers],[学年]:[得点]],0)))</f>
        <v/>
      </c>
      <c r="L65" s="115" t="str">
        <f>IF($A65&gt;MAX(入力シート!$AH$6:$AH$505),"",INDEX(テーブル2[[学年]:[判定]],MATCH(体力優良証交付申請書!$A65,入力シート!$AH$6:$AH$505,0),MATCH(体力優良証交付申請書!L$14,テーブル2[[#Headers],[学年]:[得点]],0)))</f>
        <v/>
      </c>
      <c r="M65" s="115" t="str">
        <f>IF($A65&gt;MAX(入力シート!$AH$6:$AH$505),"",INDEX(テーブル2[[学年]:[判定]],MATCH(体力優良証交付申請書!$A65,入力シート!$AH$6:$AH$505,0),MATCH(体力優良証交付申請書!M$14,テーブル2[[#Headers],[学年]:[得点]],0)))</f>
        <v/>
      </c>
      <c r="N65" s="27" t="str">
        <f>IF($A65&gt;MAX(入力シート!$AH$6:$AH$505),"",INDEX(テーブル2[[学年]:[判定]],MATCH(体力優良証交付申請書!$A65,入力シート!$AH$6:$AH$505,0),MATCH(体力優良証交付申請書!N$14,テーブル2[[#Headers],[学年]:[得点]],0)))</f>
        <v/>
      </c>
    </row>
    <row r="66" spans="1:14" x14ac:dyDescent="0.15">
      <c r="A66" s="17">
        <v>52</v>
      </c>
      <c r="B66" s="115" t="str">
        <f>IF($A66&gt;MAX(入力シート!$AH$6:$AH$505),"",INDEX(テーブル2[[学年]:[判定]],MATCH(体力優良証交付申請書!$A66,入力シート!$AH$6:$AH$505,0),MATCH(体力優良証交付申請書!B$14,テーブル2[[#Headers],[学年]:[得点]],0)))</f>
        <v/>
      </c>
      <c r="C66" s="115" t="str">
        <f>IF($A66&gt;MAX(入力シート!$AH$6:$AH$505),"",INDEX(テーブル2[[学年]:[判定]],MATCH(体力優良証交付申請書!$A66,入力シート!$AH$6:$AH$505,0),MATCH(体力優良証交付申請書!C$14,テーブル2[[#Headers],[学年]:[得点]],0)))</f>
        <v/>
      </c>
      <c r="D66" s="115" t="str">
        <f>IF($A66&gt;MAX(入力シート!$AH$6:$AH$505),"",INDEX(テーブル2[[学年]:[判定]],MATCH(体力優良証交付申請書!$A66,入力シート!$AH$6:$AH$505,0),MATCH(体力優良証交付申請書!D$14,テーブル2[[#Headers],[学年]:[得点]],0)))</f>
        <v/>
      </c>
      <c r="E66" s="115" t="str">
        <f>IF($A66&gt;MAX(入力シート!$AH$6:$AH$505),"",INDEX(テーブル2[[学年]:[判定]],MATCH(体力優良証交付申請書!$A66,入力シート!$AH$6:$AH$505,0),MATCH(体力優良証交付申請書!E$14,テーブル2[[#Headers],[学年]:[得点]],0)))</f>
        <v/>
      </c>
      <c r="F66" s="115" t="str">
        <f>IF($A66&gt;MAX(入力シート!$AH$6:$AH$505),"",INDEX(テーブル2[[学年]:[判定]],MATCH(体力優良証交付申請書!$A66,入力シート!$AH$6:$AH$505,0),MATCH(体力優良証交付申請書!F$14,テーブル2[[#Headers],[学年]:[得点]],0)))</f>
        <v/>
      </c>
      <c r="G66" s="115" t="str">
        <f>IF($A66&gt;MAX(入力シート!$AH$6:$AH$505),"",INDEX(テーブル2[[学年]:[判定]],MATCH(体力優良証交付申請書!$A66,入力シート!$AH$6:$AH$505,0),MATCH(体力優良証交付申請書!G$14,テーブル2[[#Headers],[学年]:[得点]],0)))</f>
        <v/>
      </c>
      <c r="H66" s="115" t="str">
        <f>IF($A66&gt;MAX(入力シート!$AH$6:$AH$505),"",INDEX(テーブル2[[学年]:[判定]],MATCH(体力優良証交付申請書!$A66,入力シート!$AH$6:$AH$505,0),MATCH(体力優良証交付申請書!H$14,テーブル2[[#Headers],[学年]:[得点]],0)))</f>
        <v/>
      </c>
      <c r="I66" s="115" t="str">
        <f>IF($A66&gt;MAX(入力シート!$AH$6:$AH$505),"",INDEX(テーブル2[[学年]:[判定]],MATCH(体力優良証交付申請書!$A66,入力シート!$AH$6:$AH$505,0),MATCH(体力優良証交付申請書!I$14,テーブル2[[#Headers],[学年]:[得点]],0)))</f>
        <v/>
      </c>
      <c r="J66" s="115" t="str">
        <f>IF($A66&gt;MAX(入力シート!$AH$6:$AH$505),"",INDEX(テーブル2[[学年]:[判定]],MATCH(体力優良証交付申請書!$A66,入力シート!$AH$6:$AH$505,0),MATCH(体力優良証交付申請書!J$14,テーブル2[[#Headers],[学年]:[得点]],0)))</f>
        <v/>
      </c>
      <c r="K66" s="129" t="str">
        <f>IF($A66&gt;MAX(入力シート!$AH$6:$AH$505),"",INDEX(テーブル2[[学年]:[判定]],MATCH(体力優良証交付申請書!$A66,入力シート!$AH$6:$AH$505,0),MATCH(体力優良証交付申請書!K$14,テーブル2[[#Headers],[学年]:[得点]],0)))</f>
        <v/>
      </c>
      <c r="L66" s="115" t="str">
        <f>IF($A66&gt;MAX(入力シート!$AH$6:$AH$505),"",INDEX(テーブル2[[学年]:[判定]],MATCH(体力優良証交付申請書!$A66,入力シート!$AH$6:$AH$505,0),MATCH(体力優良証交付申請書!L$14,テーブル2[[#Headers],[学年]:[得点]],0)))</f>
        <v/>
      </c>
      <c r="M66" s="115" t="str">
        <f>IF($A66&gt;MAX(入力シート!$AH$6:$AH$505),"",INDEX(テーブル2[[学年]:[判定]],MATCH(体力優良証交付申請書!$A66,入力シート!$AH$6:$AH$505,0),MATCH(体力優良証交付申請書!M$14,テーブル2[[#Headers],[学年]:[得点]],0)))</f>
        <v/>
      </c>
      <c r="N66" s="27" t="str">
        <f>IF($A66&gt;MAX(入力シート!$AH$6:$AH$505),"",INDEX(テーブル2[[学年]:[判定]],MATCH(体力優良証交付申請書!$A66,入力シート!$AH$6:$AH$505,0),MATCH(体力優良証交付申請書!N$14,テーブル2[[#Headers],[学年]:[得点]],0)))</f>
        <v/>
      </c>
    </row>
    <row r="67" spans="1:14" x14ac:dyDescent="0.15">
      <c r="A67" s="17">
        <v>53</v>
      </c>
      <c r="B67" s="115" t="str">
        <f>IF($A67&gt;MAX(入力シート!$AH$6:$AH$505),"",INDEX(テーブル2[[学年]:[判定]],MATCH(体力優良証交付申請書!$A67,入力シート!$AH$6:$AH$505,0),MATCH(体力優良証交付申請書!B$14,テーブル2[[#Headers],[学年]:[得点]],0)))</f>
        <v/>
      </c>
      <c r="C67" s="115" t="str">
        <f>IF($A67&gt;MAX(入力シート!$AH$6:$AH$505),"",INDEX(テーブル2[[学年]:[判定]],MATCH(体力優良証交付申請書!$A67,入力シート!$AH$6:$AH$505,0),MATCH(体力優良証交付申請書!C$14,テーブル2[[#Headers],[学年]:[得点]],0)))</f>
        <v/>
      </c>
      <c r="D67" s="115" t="str">
        <f>IF($A67&gt;MAX(入力シート!$AH$6:$AH$505),"",INDEX(テーブル2[[学年]:[判定]],MATCH(体力優良証交付申請書!$A67,入力シート!$AH$6:$AH$505,0),MATCH(体力優良証交付申請書!D$14,テーブル2[[#Headers],[学年]:[得点]],0)))</f>
        <v/>
      </c>
      <c r="E67" s="115" t="str">
        <f>IF($A67&gt;MAX(入力シート!$AH$6:$AH$505),"",INDEX(テーブル2[[学年]:[判定]],MATCH(体力優良証交付申請書!$A67,入力シート!$AH$6:$AH$505,0),MATCH(体力優良証交付申請書!E$14,テーブル2[[#Headers],[学年]:[得点]],0)))</f>
        <v/>
      </c>
      <c r="F67" s="115" t="str">
        <f>IF($A67&gt;MAX(入力シート!$AH$6:$AH$505),"",INDEX(テーブル2[[学年]:[判定]],MATCH(体力優良証交付申請書!$A67,入力シート!$AH$6:$AH$505,0),MATCH(体力優良証交付申請書!F$14,テーブル2[[#Headers],[学年]:[得点]],0)))</f>
        <v/>
      </c>
      <c r="G67" s="115" t="str">
        <f>IF($A67&gt;MAX(入力シート!$AH$6:$AH$505),"",INDEX(テーブル2[[学年]:[判定]],MATCH(体力優良証交付申請書!$A67,入力シート!$AH$6:$AH$505,0),MATCH(体力優良証交付申請書!G$14,テーブル2[[#Headers],[学年]:[得点]],0)))</f>
        <v/>
      </c>
      <c r="H67" s="115" t="str">
        <f>IF($A67&gt;MAX(入力シート!$AH$6:$AH$505),"",INDEX(テーブル2[[学年]:[判定]],MATCH(体力優良証交付申請書!$A67,入力シート!$AH$6:$AH$505,0),MATCH(体力優良証交付申請書!H$14,テーブル2[[#Headers],[学年]:[得点]],0)))</f>
        <v/>
      </c>
      <c r="I67" s="115" t="str">
        <f>IF($A67&gt;MAX(入力シート!$AH$6:$AH$505),"",INDEX(テーブル2[[学年]:[判定]],MATCH(体力優良証交付申請書!$A67,入力シート!$AH$6:$AH$505,0),MATCH(体力優良証交付申請書!I$14,テーブル2[[#Headers],[学年]:[得点]],0)))</f>
        <v/>
      </c>
      <c r="J67" s="115" t="str">
        <f>IF($A67&gt;MAX(入力シート!$AH$6:$AH$505),"",INDEX(テーブル2[[学年]:[判定]],MATCH(体力優良証交付申請書!$A67,入力シート!$AH$6:$AH$505,0),MATCH(体力優良証交付申請書!J$14,テーブル2[[#Headers],[学年]:[得点]],0)))</f>
        <v/>
      </c>
      <c r="K67" s="129" t="str">
        <f>IF($A67&gt;MAX(入力シート!$AH$6:$AH$505),"",INDEX(テーブル2[[学年]:[判定]],MATCH(体力優良証交付申請書!$A67,入力シート!$AH$6:$AH$505,0),MATCH(体力優良証交付申請書!K$14,テーブル2[[#Headers],[学年]:[得点]],0)))</f>
        <v/>
      </c>
      <c r="L67" s="115" t="str">
        <f>IF($A67&gt;MAX(入力シート!$AH$6:$AH$505),"",INDEX(テーブル2[[学年]:[判定]],MATCH(体力優良証交付申請書!$A67,入力シート!$AH$6:$AH$505,0),MATCH(体力優良証交付申請書!L$14,テーブル2[[#Headers],[学年]:[得点]],0)))</f>
        <v/>
      </c>
      <c r="M67" s="115" t="str">
        <f>IF($A67&gt;MAX(入力シート!$AH$6:$AH$505),"",INDEX(テーブル2[[学年]:[判定]],MATCH(体力優良証交付申請書!$A67,入力シート!$AH$6:$AH$505,0),MATCH(体力優良証交付申請書!M$14,テーブル2[[#Headers],[学年]:[得点]],0)))</f>
        <v/>
      </c>
      <c r="N67" s="27" t="str">
        <f>IF($A67&gt;MAX(入力シート!$AH$6:$AH$505),"",INDEX(テーブル2[[学年]:[判定]],MATCH(体力優良証交付申請書!$A67,入力シート!$AH$6:$AH$505,0),MATCH(体力優良証交付申請書!N$14,テーブル2[[#Headers],[学年]:[得点]],0)))</f>
        <v/>
      </c>
    </row>
    <row r="68" spans="1:14" x14ac:dyDescent="0.15">
      <c r="A68" s="17">
        <v>54</v>
      </c>
      <c r="B68" s="115" t="str">
        <f>IF($A68&gt;MAX(入力シート!$AH$6:$AH$505),"",INDEX(テーブル2[[学年]:[判定]],MATCH(体力優良証交付申請書!$A68,入力シート!$AH$6:$AH$505,0),MATCH(体力優良証交付申請書!B$14,テーブル2[[#Headers],[学年]:[得点]],0)))</f>
        <v/>
      </c>
      <c r="C68" s="115" t="str">
        <f>IF($A68&gt;MAX(入力シート!$AH$6:$AH$505),"",INDEX(テーブル2[[学年]:[判定]],MATCH(体力優良証交付申請書!$A68,入力シート!$AH$6:$AH$505,0),MATCH(体力優良証交付申請書!C$14,テーブル2[[#Headers],[学年]:[得点]],0)))</f>
        <v/>
      </c>
      <c r="D68" s="115" t="str">
        <f>IF($A68&gt;MAX(入力シート!$AH$6:$AH$505),"",INDEX(テーブル2[[学年]:[判定]],MATCH(体力優良証交付申請書!$A68,入力シート!$AH$6:$AH$505,0),MATCH(体力優良証交付申請書!D$14,テーブル2[[#Headers],[学年]:[得点]],0)))</f>
        <v/>
      </c>
      <c r="E68" s="115" t="str">
        <f>IF($A68&gt;MAX(入力シート!$AH$6:$AH$505),"",INDEX(テーブル2[[学年]:[判定]],MATCH(体力優良証交付申請書!$A68,入力シート!$AH$6:$AH$505,0),MATCH(体力優良証交付申請書!E$14,テーブル2[[#Headers],[学年]:[得点]],0)))</f>
        <v/>
      </c>
      <c r="F68" s="115" t="str">
        <f>IF($A68&gt;MAX(入力シート!$AH$6:$AH$505),"",INDEX(テーブル2[[学年]:[判定]],MATCH(体力優良証交付申請書!$A68,入力シート!$AH$6:$AH$505,0),MATCH(体力優良証交付申請書!F$14,テーブル2[[#Headers],[学年]:[得点]],0)))</f>
        <v/>
      </c>
      <c r="G68" s="115" t="str">
        <f>IF($A68&gt;MAX(入力シート!$AH$6:$AH$505),"",INDEX(テーブル2[[学年]:[判定]],MATCH(体力優良証交付申請書!$A68,入力シート!$AH$6:$AH$505,0),MATCH(体力優良証交付申請書!G$14,テーブル2[[#Headers],[学年]:[得点]],0)))</f>
        <v/>
      </c>
      <c r="H68" s="115" t="str">
        <f>IF($A68&gt;MAX(入力シート!$AH$6:$AH$505),"",INDEX(テーブル2[[学年]:[判定]],MATCH(体力優良証交付申請書!$A68,入力シート!$AH$6:$AH$505,0),MATCH(体力優良証交付申請書!H$14,テーブル2[[#Headers],[学年]:[得点]],0)))</f>
        <v/>
      </c>
      <c r="I68" s="115" t="str">
        <f>IF($A68&gt;MAX(入力シート!$AH$6:$AH$505),"",INDEX(テーブル2[[学年]:[判定]],MATCH(体力優良証交付申請書!$A68,入力シート!$AH$6:$AH$505,0),MATCH(体力優良証交付申請書!I$14,テーブル2[[#Headers],[学年]:[得点]],0)))</f>
        <v/>
      </c>
      <c r="J68" s="115" t="str">
        <f>IF($A68&gt;MAX(入力シート!$AH$6:$AH$505),"",INDEX(テーブル2[[学年]:[判定]],MATCH(体力優良証交付申請書!$A68,入力シート!$AH$6:$AH$505,0),MATCH(体力優良証交付申請書!J$14,テーブル2[[#Headers],[学年]:[得点]],0)))</f>
        <v/>
      </c>
      <c r="K68" s="129" t="str">
        <f>IF($A68&gt;MAX(入力シート!$AH$6:$AH$505),"",INDEX(テーブル2[[学年]:[判定]],MATCH(体力優良証交付申請書!$A68,入力シート!$AH$6:$AH$505,0),MATCH(体力優良証交付申請書!K$14,テーブル2[[#Headers],[学年]:[得点]],0)))</f>
        <v/>
      </c>
      <c r="L68" s="115" t="str">
        <f>IF($A68&gt;MAX(入力シート!$AH$6:$AH$505),"",INDEX(テーブル2[[学年]:[判定]],MATCH(体力優良証交付申請書!$A68,入力シート!$AH$6:$AH$505,0),MATCH(体力優良証交付申請書!L$14,テーブル2[[#Headers],[学年]:[得点]],0)))</f>
        <v/>
      </c>
      <c r="M68" s="115" t="str">
        <f>IF($A68&gt;MAX(入力シート!$AH$6:$AH$505),"",INDEX(テーブル2[[学年]:[判定]],MATCH(体力優良証交付申請書!$A68,入力シート!$AH$6:$AH$505,0),MATCH(体力優良証交付申請書!M$14,テーブル2[[#Headers],[学年]:[得点]],0)))</f>
        <v/>
      </c>
      <c r="N68" s="27" t="str">
        <f>IF($A68&gt;MAX(入力シート!$AH$6:$AH$505),"",INDEX(テーブル2[[学年]:[判定]],MATCH(体力優良証交付申請書!$A68,入力シート!$AH$6:$AH$505,0),MATCH(体力優良証交付申請書!N$14,テーブル2[[#Headers],[学年]:[得点]],0)))</f>
        <v/>
      </c>
    </row>
    <row r="69" spans="1:14" x14ac:dyDescent="0.15">
      <c r="A69" s="17">
        <v>55</v>
      </c>
      <c r="B69" s="115" t="str">
        <f>IF($A69&gt;MAX(入力シート!$AH$6:$AH$505),"",INDEX(テーブル2[[学年]:[判定]],MATCH(体力優良証交付申請書!$A69,入力シート!$AH$6:$AH$505,0),MATCH(体力優良証交付申請書!B$14,テーブル2[[#Headers],[学年]:[得点]],0)))</f>
        <v/>
      </c>
      <c r="C69" s="115" t="str">
        <f>IF($A69&gt;MAX(入力シート!$AH$6:$AH$505),"",INDEX(テーブル2[[学年]:[判定]],MATCH(体力優良証交付申請書!$A69,入力シート!$AH$6:$AH$505,0),MATCH(体力優良証交付申請書!C$14,テーブル2[[#Headers],[学年]:[得点]],0)))</f>
        <v/>
      </c>
      <c r="D69" s="115" t="str">
        <f>IF($A69&gt;MAX(入力シート!$AH$6:$AH$505),"",INDEX(テーブル2[[学年]:[判定]],MATCH(体力優良証交付申請書!$A69,入力シート!$AH$6:$AH$505,0),MATCH(体力優良証交付申請書!D$14,テーブル2[[#Headers],[学年]:[得点]],0)))</f>
        <v/>
      </c>
      <c r="E69" s="115" t="str">
        <f>IF($A69&gt;MAX(入力シート!$AH$6:$AH$505),"",INDEX(テーブル2[[学年]:[判定]],MATCH(体力優良証交付申請書!$A69,入力シート!$AH$6:$AH$505,0),MATCH(体力優良証交付申請書!E$14,テーブル2[[#Headers],[学年]:[得点]],0)))</f>
        <v/>
      </c>
      <c r="F69" s="115" t="str">
        <f>IF($A69&gt;MAX(入力シート!$AH$6:$AH$505),"",INDEX(テーブル2[[学年]:[判定]],MATCH(体力優良証交付申請書!$A69,入力シート!$AH$6:$AH$505,0),MATCH(体力優良証交付申請書!F$14,テーブル2[[#Headers],[学年]:[得点]],0)))</f>
        <v/>
      </c>
      <c r="G69" s="115" t="str">
        <f>IF($A69&gt;MAX(入力シート!$AH$6:$AH$505),"",INDEX(テーブル2[[学年]:[判定]],MATCH(体力優良証交付申請書!$A69,入力シート!$AH$6:$AH$505,0),MATCH(体力優良証交付申請書!G$14,テーブル2[[#Headers],[学年]:[得点]],0)))</f>
        <v/>
      </c>
      <c r="H69" s="115" t="str">
        <f>IF($A69&gt;MAX(入力シート!$AH$6:$AH$505),"",INDEX(テーブル2[[学年]:[判定]],MATCH(体力優良証交付申請書!$A69,入力シート!$AH$6:$AH$505,0),MATCH(体力優良証交付申請書!H$14,テーブル2[[#Headers],[学年]:[得点]],0)))</f>
        <v/>
      </c>
      <c r="I69" s="115" t="str">
        <f>IF($A69&gt;MAX(入力シート!$AH$6:$AH$505),"",INDEX(テーブル2[[学年]:[判定]],MATCH(体力優良証交付申請書!$A69,入力シート!$AH$6:$AH$505,0),MATCH(体力優良証交付申請書!I$14,テーブル2[[#Headers],[学年]:[得点]],0)))</f>
        <v/>
      </c>
      <c r="J69" s="115" t="str">
        <f>IF($A69&gt;MAX(入力シート!$AH$6:$AH$505),"",INDEX(テーブル2[[学年]:[判定]],MATCH(体力優良証交付申請書!$A69,入力シート!$AH$6:$AH$505,0),MATCH(体力優良証交付申請書!J$14,テーブル2[[#Headers],[学年]:[得点]],0)))</f>
        <v/>
      </c>
      <c r="K69" s="129" t="str">
        <f>IF($A69&gt;MAX(入力シート!$AH$6:$AH$505),"",INDEX(テーブル2[[学年]:[判定]],MATCH(体力優良証交付申請書!$A69,入力シート!$AH$6:$AH$505,0),MATCH(体力優良証交付申請書!K$14,テーブル2[[#Headers],[学年]:[得点]],0)))</f>
        <v/>
      </c>
      <c r="L69" s="115" t="str">
        <f>IF($A69&gt;MAX(入力シート!$AH$6:$AH$505),"",INDEX(テーブル2[[学年]:[判定]],MATCH(体力優良証交付申請書!$A69,入力シート!$AH$6:$AH$505,0),MATCH(体力優良証交付申請書!L$14,テーブル2[[#Headers],[学年]:[得点]],0)))</f>
        <v/>
      </c>
      <c r="M69" s="115" t="str">
        <f>IF($A69&gt;MAX(入力シート!$AH$6:$AH$505),"",INDEX(テーブル2[[学年]:[判定]],MATCH(体力優良証交付申請書!$A69,入力シート!$AH$6:$AH$505,0),MATCH(体力優良証交付申請書!M$14,テーブル2[[#Headers],[学年]:[得点]],0)))</f>
        <v/>
      </c>
      <c r="N69" s="27" t="str">
        <f>IF($A69&gt;MAX(入力シート!$AH$6:$AH$505),"",INDEX(テーブル2[[学年]:[判定]],MATCH(体力優良証交付申請書!$A69,入力シート!$AH$6:$AH$505,0),MATCH(体力優良証交付申請書!N$14,テーブル2[[#Headers],[学年]:[得点]],0)))</f>
        <v/>
      </c>
    </row>
    <row r="70" spans="1:14" x14ac:dyDescent="0.15">
      <c r="A70" s="17">
        <v>56</v>
      </c>
      <c r="B70" s="115" t="str">
        <f>IF($A70&gt;MAX(入力シート!$AH$6:$AH$505),"",INDEX(テーブル2[[学年]:[判定]],MATCH(体力優良証交付申請書!$A70,入力シート!$AH$6:$AH$505,0),MATCH(体力優良証交付申請書!B$14,テーブル2[[#Headers],[学年]:[得点]],0)))</f>
        <v/>
      </c>
      <c r="C70" s="115" t="str">
        <f>IF($A70&gt;MAX(入力シート!$AH$6:$AH$505),"",INDEX(テーブル2[[学年]:[判定]],MATCH(体力優良証交付申請書!$A70,入力シート!$AH$6:$AH$505,0),MATCH(体力優良証交付申請書!C$14,テーブル2[[#Headers],[学年]:[得点]],0)))</f>
        <v/>
      </c>
      <c r="D70" s="115" t="str">
        <f>IF($A70&gt;MAX(入力シート!$AH$6:$AH$505),"",INDEX(テーブル2[[学年]:[判定]],MATCH(体力優良証交付申請書!$A70,入力シート!$AH$6:$AH$505,0),MATCH(体力優良証交付申請書!D$14,テーブル2[[#Headers],[学年]:[得点]],0)))</f>
        <v/>
      </c>
      <c r="E70" s="115" t="str">
        <f>IF($A70&gt;MAX(入力シート!$AH$6:$AH$505),"",INDEX(テーブル2[[学年]:[判定]],MATCH(体力優良証交付申請書!$A70,入力シート!$AH$6:$AH$505,0),MATCH(体力優良証交付申請書!E$14,テーブル2[[#Headers],[学年]:[得点]],0)))</f>
        <v/>
      </c>
      <c r="F70" s="115" t="str">
        <f>IF($A70&gt;MAX(入力シート!$AH$6:$AH$505),"",INDEX(テーブル2[[学年]:[判定]],MATCH(体力優良証交付申請書!$A70,入力シート!$AH$6:$AH$505,0),MATCH(体力優良証交付申請書!F$14,テーブル2[[#Headers],[学年]:[得点]],0)))</f>
        <v/>
      </c>
      <c r="G70" s="115" t="str">
        <f>IF($A70&gt;MAX(入力シート!$AH$6:$AH$505),"",INDEX(テーブル2[[学年]:[判定]],MATCH(体力優良証交付申請書!$A70,入力シート!$AH$6:$AH$505,0),MATCH(体力優良証交付申請書!G$14,テーブル2[[#Headers],[学年]:[得点]],0)))</f>
        <v/>
      </c>
      <c r="H70" s="115" t="str">
        <f>IF($A70&gt;MAX(入力シート!$AH$6:$AH$505),"",INDEX(テーブル2[[学年]:[判定]],MATCH(体力優良証交付申請書!$A70,入力シート!$AH$6:$AH$505,0),MATCH(体力優良証交付申請書!H$14,テーブル2[[#Headers],[学年]:[得点]],0)))</f>
        <v/>
      </c>
      <c r="I70" s="115" t="str">
        <f>IF($A70&gt;MAX(入力シート!$AH$6:$AH$505),"",INDEX(テーブル2[[学年]:[判定]],MATCH(体力優良証交付申請書!$A70,入力シート!$AH$6:$AH$505,0),MATCH(体力優良証交付申請書!I$14,テーブル2[[#Headers],[学年]:[得点]],0)))</f>
        <v/>
      </c>
      <c r="J70" s="115" t="str">
        <f>IF($A70&gt;MAX(入力シート!$AH$6:$AH$505),"",INDEX(テーブル2[[学年]:[判定]],MATCH(体力優良証交付申請書!$A70,入力シート!$AH$6:$AH$505,0),MATCH(体力優良証交付申請書!J$14,テーブル2[[#Headers],[学年]:[得点]],0)))</f>
        <v/>
      </c>
      <c r="K70" s="129" t="str">
        <f>IF($A70&gt;MAX(入力シート!$AH$6:$AH$505),"",INDEX(テーブル2[[学年]:[判定]],MATCH(体力優良証交付申請書!$A70,入力シート!$AH$6:$AH$505,0),MATCH(体力優良証交付申請書!K$14,テーブル2[[#Headers],[学年]:[得点]],0)))</f>
        <v/>
      </c>
      <c r="L70" s="115" t="str">
        <f>IF($A70&gt;MAX(入力シート!$AH$6:$AH$505),"",INDEX(テーブル2[[学年]:[判定]],MATCH(体力優良証交付申請書!$A70,入力シート!$AH$6:$AH$505,0),MATCH(体力優良証交付申請書!L$14,テーブル2[[#Headers],[学年]:[得点]],0)))</f>
        <v/>
      </c>
      <c r="M70" s="115" t="str">
        <f>IF($A70&gt;MAX(入力シート!$AH$6:$AH$505),"",INDEX(テーブル2[[学年]:[判定]],MATCH(体力優良証交付申請書!$A70,入力シート!$AH$6:$AH$505,0),MATCH(体力優良証交付申請書!M$14,テーブル2[[#Headers],[学年]:[得点]],0)))</f>
        <v/>
      </c>
      <c r="N70" s="27" t="str">
        <f>IF($A70&gt;MAX(入力シート!$AH$6:$AH$505),"",INDEX(テーブル2[[学年]:[判定]],MATCH(体力優良証交付申請書!$A70,入力シート!$AH$6:$AH$505,0),MATCH(体力優良証交付申請書!N$14,テーブル2[[#Headers],[学年]:[得点]],0)))</f>
        <v/>
      </c>
    </row>
    <row r="71" spans="1:14" x14ac:dyDescent="0.15">
      <c r="A71" s="17">
        <v>57</v>
      </c>
      <c r="B71" s="115" t="str">
        <f>IF($A71&gt;MAX(入力シート!$AH$6:$AH$505),"",INDEX(テーブル2[[学年]:[判定]],MATCH(体力優良証交付申請書!$A71,入力シート!$AH$6:$AH$505,0),MATCH(体力優良証交付申請書!B$14,テーブル2[[#Headers],[学年]:[得点]],0)))</f>
        <v/>
      </c>
      <c r="C71" s="115" t="str">
        <f>IF($A71&gt;MAX(入力シート!$AH$6:$AH$505),"",INDEX(テーブル2[[学年]:[判定]],MATCH(体力優良証交付申請書!$A71,入力シート!$AH$6:$AH$505,0),MATCH(体力優良証交付申請書!C$14,テーブル2[[#Headers],[学年]:[得点]],0)))</f>
        <v/>
      </c>
      <c r="D71" s="115" t="str">
        <f>IF($A71&gt;MAX(入力シート!$AH$6:$AH$505),"",INDEX(テーブル2[[学年]:[判定]],MATCH(体力優良証交付申請書!$A71,入力シート!$AH$6:$AH$505,0),MATCH(体力優良証交付申請書!D$14,テーブル2[[#Headers],[学年]:[得点]],0)))</f>
        <v/>
      </c>
      <c r="E71" s="115" t="str">
        <f>IF($A71&gt;MAX(入力シート!$AH$6:$AH$505),"",INDEX(テーブル2[[学年]:[判定]],MATCH(体力優良証交付申請書!$A71,入力シート!$AH$6:$AH$505,0),MATCH(体力優良証交付申請書!E$14,テーブル2[[#Headers],[学年]:[得点]],0)))</f>
        <v/>
      </c>
      <c r="F71" s="115" t="str">
        <f>IF($A71&gt;MAX(入力シート!$AH$6:$AH$505),"",INDEX(テーブル2[[学年]:[判定]],MATCH(体力優良証交付申請書!$A71,入力シート!$AH$6:$AH$505,0),MATCH(体力優良証交付申請書!F$14,テーブル2[[#Headers],[学年]:[得点]],0)))</f>
        <v/>
      </c>
      <c r="G71" s="115" t="str">
        <f>IF($A71&gt;MAX(入力シート!$AH$6:$AH$505),"",INDEX(テーブル2[[学年]:[判定]],MATCH(体力優良証交付申請書!$A71,入力シート!$AH$6:$AH$505,0),MATCH(体力優良証交付申請書!G$14,テーブル2[[#Headers],[学年]:[得点]],0)))</f>
        <v/>
      </c>
      <c r="H71" s="115" t="str">
        <f>IF($A71&gt;MAX(入力シート!$AH$6:$AH$505),"",INDEX(テーブル2[[学年]:[判定]],MATCH(体力優良証交付申請書!$A71,入力シート!$AH$6:$AH$505,0),MATCH(体力優良証交付申請書!H$14,テーブル2[[#Headers],[学年]:[得点]],0)))</f>
        <v/>
      </c>
      <c r="I71" s="115" t="str">
        <f>IF($A71&gt;MAX(入力シート!$AH$6:$AH$505),"",INDEX(テーブル2[[学年]:[判定]],MATCH(体力優良証交付申請書!$A71,入力シート!$AH$6:$AH$505,0),MATCH(体力優良証交付申請書!I$14,テーブル2[[#Headers],[学年]:[得点]],0)))</f>
        <v/>
      </c>
      <c r="J71" s="115" t="str">
        <f>IF($A71&gt;MAX(入力シート!$AH$6:$AH$505),"",INDEX(テーブル2[[学年]:[判定]],MATCH(体力優良証交付申請書!$A71,入力シート!$AH$6:$AH$505,0),MATCH(体力優良証交付申請書!J$14,テーブル2[[#Headers],[学年]:[得点]],0)))</f>
        <v/>
      </c>
      <c r="K71" s="129" t="str">
        <f>IF($A71&gt;MAX(入力シート!$AH$6:$AH$505),"",INDEX(テーブル2[[学年]:[判定]],MATCH(体力優良証交付申請書!$A71,入力シート!$AH$6:$AH$505,0),MATCH(体力優良証交付申請書!K$14,テーブル2[[#Headers],[学年]:[得点]],0)))</f>
        <v/>
      </c>
      <c r="L71" s="115" t="str">
        <f>IF($A71&gt;MAX(入力シート!$AH$6:$AH$505),"",INDEX(テーブル2[[学年]:[判定]],MATCH(体力優良証交付申請書!$A71,入力シート!$AH$6:$AH$505,0),MATCH(体力優良証交付申請書!L$14,テーブル2[[#Headers],[学年]:[得点]],0)))</f>
        <v/>
      </c>
      <c r="M71" s="115" t="str">
        <f>IF($A71&gt;MAX(入力シート!$AH$6:$AH$505),"",INDEX(テーブル2[[学年]:[判定]],MATCH(体力優良証交付申請書!$A71,入力シート!$AH$6:$AH$505,0),MATCH(体力優良証交付申請書!M$14,テーブル2[[#Headers],[学年]:[得点]],0)))</f>
        <v/>
      </c>
      <c r="N71" s="27" t="str">
        <f>IF($A71&gt;MAX(入力シート!$AH$6:$AH$505),"",INDEX(テーブル2[[学年]:[判定]],MATCH(体力優良証交付申請書!$A71,入力シート!$AH$6:$AH$505,0),MATCH(体力優良証交付申請書!N$14,テーブル2[[#Headers],[学年]:[得点]],0)))</f>
        <v/>
      </c>
    </row>
    <row r="72" spans="1:14" x14ac:dyDescent="0.15">
      <c r="A72" s="17">
        <v>58</v>
      </c>
      <c r="B72" s="115" t="str">
        <f>IF($A72&gt;MAX(入力シート!$AH$6:$AH$505),"",INDEX(テーブル2[[学年]:[判定]],MATCH(体力優良証交付申請書!$A72,入力シート!$AH$6:$AH$505,0),MATCH(体力優良証交付申請書!B$14,テーブル2[[#Headers],[学年]:[得点]],0)))</f>
        <v/>
      </c>
      <c r="C72" s="115" t="str">
        <f>IF($A72&gt;MAX(入力シート!$AH$6:$AH$505),"",INDEX(テーブル2[[学年]:[判定]],MATCH(体力優良証交付申請書!$A72,入力シート!$AH$6:$AH$505,0),MATCH(体力優良証交付申請書!C$14,テーブル2[[#Headers],[学年]:[得点]],0)))</f>
        <v/>
      </c>
      <c r="D72" s="115" t="str">
        <f>IF($A72&gt;MAX(入力シート!$AH$6:$AH$505),"",INDEX(テーブル2[[学年]:[判定]],MATCH(体力優良証交付申請書!$A72,入力シート!$AH$6:$AH$505,0),MATCH(体力優良証交付申請書!D$14,テーブル2[[#Headers],[学年]:[得点]],0)))</f>
        <v/>
      </c>
      <c r="E72" s="115" t="str">
        <f>IF($A72&gt;MAX(入力シート!$AH$6:$AH$505),"",INDEX(テーブル2[[学年]:[判定]],MATCH(体力優良証交付申請書!$A72,入力シート!$AH$6:$AH$505,0),MATCH(体力優良証交付申請書!E$14,テーブル2[[#Headers],[学年]:[得点]],0)))</f>
        <v/>
      </c>
      <c r="F72" s="115" t="str">
        <f>IF($A72&gt;MAX(入力シート!$AH$6:$AH$505),"",INDEX(テーブル2[[学年]:[判定]],MATCH(体力優良証交付申請書!$A72,入力シート!$AH$6:$AH$505,0),MATCH(体力優良証交付申請書!F$14,テーブル2[[#Headers],[学年]:[得点]],0)))</f>
        <v/>
      </c>
      <c r="G72" s="115" t="str">
        <f>IF($A72&gt;MAX(入力シート!$AH$6:$AH$505),"",INDEX(テーブル2[[学年]:[判定]],MATCH(体力優良証交付申請書!$A72,入力シート!$AH$6:$AH$505,0),MATCH(体力優良証交付申請書!G$14,テーブル2[[#Headers],[学年]:[得点]],0)))</f>
        <v/>
      </c>
      <c r="H72" s="115" t="str">
        <f>IF($A72&gt;MAX(入力シート!$AH$6:$AH$505),"",INDEX(テーブル2[[学年]:[判定]],MATCH(体力優良証交付申請書!$A72,入力シート!$AH$6:$AH$505,0),MATCH(体力優良証交付申請書!H$14,テーブル2[[#Headers],[学年]:[得点]],0)))</f>
        <v/>
      </c>
      <c r="I72" s="115" t="str">
        <f>IF($A72&gt;MAX(入力シート!$AH$6:$AH$505),"",INDEX(テーブル2[[学年]:[判定]],MATCH(体力優良証交付申請書!$A72,入力シート!$AH$6:$AH$505,0),MATCH(体力優良証交付申請書!I$14,テーブル2[[#Headers],[学年]:[得点]],0)))</f>
        <v/>
      </c>
      <c r="J72" s="115" t="str">
        <f>IF($A72&gt;MAX(入力シート!$AH$6:$AH$505),"",INDEX(テーブル2[[学年]:[判定]],MATCH(体力優良証交付申請書!$A72,入力シート!$AH$6:$AH$505,0),MATCH(体力優良証交付申請書!J$14,テーブル2[[#Headers],[学年]:[得点]],0)))</f>
        <v/>
      </c>
      <c r="K72" s="129" t="str">
        <f>IF($A72&gt;MAX(入力シート!$AH$6:$AH$505),"",INDEX(テーブル2[[学年]:[判定]],MATCH(体力優良証交付申請書!$A72,入力シート!$AH$6:$AH$505,0),MATCH(体力優良証交付申請書!K$14,テーブル2[[#Headers],[学年]:[得点]],0)))</f>
        <v/>
      </c>
      <c r="L72" s="115" t="str">
        <f>IF($A72&gt;MAX(入力シート!$AH$6:$AH$505),"",INDEX(テーブル2[[学年]:[判定]],MATCH(体力優良証交付申請書!$A72,入力シート!$AH$6:$AH$505,0),MATCH(体力優良証交付申請書!L$14,テーブル2[[#Headers],[学年]:[得点]],0)))</f>
        <v/>
      </c>
      <c r="M72" s="115" t="str">
        <f>IF($A72&gt;MAX(入力シート!$AH$6:$AH$505),"",INDEX(テーブル2[[学年]:[判定]],MATCH(体力優良証交付申請書!$A72,入力シート!$AH$6:$AH$505,0),MATCH(体力優良証交付申請書!M$14,テーブル2[[#Headers],[学年]:[得点]],0)))</f>
        <v/>
      </c>
      <c r="N72" s="27" t="str">
        <f>IF($A72&gt;MAX(入力シート!$AH$6:$AH$505),"",INDEX(テーブル2[[学年]:[判定]],MATCH(体力優良証交付申請書!$A72,入力シート!$AH$6:$AH$505,0),MATCH(体力優良証交付申請書!N$14,テーブル2[[#Headers],[学年]:[得点]],0)))</f>
        <v/>
      </c>
    </row>
    <row r="73" spans="1:14" x14ac:dyDescent="0.15">
      <c r="A73" s="17">
        <v>59</v>
      </c>
      <c r="B73" s="115" t="str">
        <f>IF($A73&gt;MAX(入力シート!$AH$6:$AH$505),"",INDEX(テーブル2[[学年]:[判定]],MATCH(体力優良証交付申請書!$A73,入力シート!$AH$6:$AH$505,0),MATCH(体力優良証交付申請書!B$14,テーブル2[[#Headers],[学年]:[得点]],0)))</f>
        <v/>
      </c>
      <c r="C73" s="115" t="str">
        <f>IF($A73&gt;MAX(入力シート!$AH$6:$AH$505),"",INDEX(テーブル2[[学年]:[判定]],MATCH(体力優良証交付申請書!$A73,入力シート!$AH$6:$AH$505,0),MATCH(体力優良証交付申請書!C$14,テーブル2[[#Headers],[学年]:[得点]],0)))</f>
        <v/>
      </c>
      <c r="D73" s="115" t="str">
        <f>IF($A73&gt;MAX(入力シート!$AH$6:$AH$505),"",INDEX(テーブル2[[学年]:[判定]],MATCH(体力優良証交付申請書!$A73,入力シート!$AH$6:$AH$505,0),MATCH(体力優良証交付申請書!D$14,テーブル2[[#Headers],[学年]:[得点]],0)))</f>
        <v/>
      </c>
      <c r="E73" s="115" t="str">
        <f>IF($A73&gt;MAX(入力シート!$AH$6:$AH$505),"",INDEX(テーブル2[[学年]:[判定]],MATCH(体力優良証交付申請書!$A73,入力シート!$AH$6:$AH$505,0),MATCH(体力優良証交付申請書!E$14,テーブル2[[#Headers],[学年]:[得点]],0)))</f>
        <v/>
      </c>
      <c r="F73" s="115" t="str">
        <f>IF($A73&gt;MAX(入力シート!$AH$6:$AH$505),"",INDEX(テーブル2[[学年]:[判定]],MATCH(体力優良証交付申請書!$A73,入力シート!$AH$6:$AH$505,0),MATCH(体力優良証交付申請書!F$14,テーブル2[[#Headers],[学年]:[得点]],0)))</f>
        <v/>
      </c>
      <c r="G73" s="115" t="str">
        <f>IF($A73&gt;MAX(入力シート!$AH$6:$AH$505),"",INDEX(テーブル2[[学年]:[判定]],MATCH(体力優良証交付申請書!$A73,入力シート!$AH$6:$AH$505,0),MATCH(体力優良証交付申請書!G$14,テーブル2[[#Headers],[学年]:[得点]],0)))</f>
        <v/>
      </c>
      <c r="H73" s="115" t="str">
        <f>IF($A73&gt;MAX(入力シート!$AH$6:$AH$505),"",INDEX(テーブル2[[学年]:[判定]],MATCH(体力優良証交付申請書!$A73,入力シート!$AH$6:$AH$505,0),MATCH(体力優良証交付申請書!H$14,テーブル2[[#Headers],[学年]:[得点]],0)))</f>
        <v/>
      </c>
      <c r="I73" s="115" t="str">
        <f>IF($A73&gt;MAX(入力シート!$AH$6:$AH$505),"",INDEX(テーブル2[[学年]:[判定]],MATCH(体力優良証交付申請書!$A73,入力シート!$AH$6:$AH$505,0),MATCH(体力優良証交付申請書!I$14,テーブル2[[#Headers],[学年]:[得点]],0)))</f>
        <v/>
      </c>
      <c r="J73" s="115" t="str">
        <f>IF($A73&gt;MAX(入力シート!$AH$6:$AH$505),"",INDEX(テーブル2[[学年]:[判定]],MATCH(体力優良証交付申請書!$A73,入力シート!$AH$6:$AH$505,0),MATCH(体力優良証交付申請書!J$14,テーブル2[[#Headers],[学年]:[得点]],0)))</f>
        <v/>
      </c>
      <c r="K73" s="129" t="str">
        <f>IF($A73&gt;MAX(入力シート!$AH$6:$AH$505),"",INDEX(テーブル2[[学年]:[判定]],MATCH(体力優良証交付申請書!$A73,入力シート!$AH$6:$AH$505,0),MATCH(体力優良証交付申請書!K$14,テーブル2[[#Headers],[学年]:[得点]],0)))</f>
        <v/>
      </c>
      <c r="L73" s="115" t="str">
        <f>IF($A73&gt;MAX(入力シート!$AH$6:$AH$505),"",INDEX(テーブル2[[学年]:[判定]],MATCH(体力優良証交付申請書!$A73,入力シート!$AH$6:$AH$505,0),MATCH(体力優良証交付申請書!L$14,テーブル2[[#Headers],[学年]:[得点]],0)))</f>
        <v/>
      </c>
      <c r="M73" s="115" t="str">
        <f>IF($A73&gt;MAX(入力シート!$AH$6:$AH$505),"",INDEX(テーブル2[[学年]:[判定]],MATCH(体力優良証交付申請書!$A73,入力シート!$AH$6:$AH$505,0),MATCH(体力優良証交付申請書!M$14,テーブル2[[#Headers],[学年]:[得点]],0)))</f>
        <v/>
      </c>
      <c r="N73" s="27" t="str">
        <f>IF($A73&gt;MAX(入力シート!$AH$6:$AH$505),"",INDEX(テーブル2[[学年]:[判定]],MATCH(体力優良証交付申請書!$A73,入力シート!$AH$6:$AH$505,0),MATCH(体力優良証交付申請書!N$14,テーブル2[[#Headers],[学年]:[得点]],0)))</f>
        <v/>
      </c>
    </row>
    <row r="74" spans="1:14" x14ac:dyDescent="0.15">
      <c r="A74" s="17">
        <v>60</v>
      </c>
      <c r="B74" s="115" t="str">
        <f>IF($A74&gt;MAX(入力シート!$AH$6:$AH$505),"",INDEX(テーブル2[[学年]:[判定]],MATCH(体力優良証交付申請書!$A74,入力シート!$AH$6:$AH$505,0),MATCH(体力優良証交付申請書!B$14,テーブル2[[#Headers],[学年]:[得点]],0)))</f>
        <v/>
      </c>
      <c r="C74" s="115" t="str">
        <f>IF($A74&gt;MAX(入力シート!$AH$6:$AH$505),"",INDEX(テーブル2[[学年]:[判定]],MATCH(体力優良証交付申請書!$A74,入力シート!$AH$6:$AH$505,0),MATCH(体力優良証交付申請書!C$14,テーブル2[[#Headers],[学年]:[得点]],0)))</f>
        <v/>
      </c>
      <c r="D74" s="115" t="str">
        <f>IF($A74&gt;MAX(入力シート!$AH$6:$AH$505),"",INDEX(テーブル2[[学年]:[判定]],MATCH(体力優良証交付申請書!$A74,入力シート!$AH$6:$AH$505,0),MATCH(体力優良証交付申請書!D$14,テーブル2[[#Headers],[学年]:[得点]],0)))</f>
        <v/>
      </c>
      <c r="E74" s="115" t="str">
        <f>IF($A74&gt;MAX(入力シート!$AH$6:$AH$505),"",INDEX(テーブル2[[学年]:[判定]],MATCH(体力優良証交付申請書!$A74,入力シート!$AH$6:$AH$505,0),MATCH(体力優良証交付申請書!E$14,テーブル2[[#Headers],[学年]:[得点]],0)))</f>
        <v/>
      </c>
      <c r="F74" s="115" t="str">
        <f>IF($A74&gt;MAX(入力シート!$AH$6:$AH$505),"",INDEX(テーブル2[[学年]:[判定]],MATCH(体力優良証交付申請書!$A74,入力シート!$AH$6:$AH$505,0),MATCH(体力優良証交付申請書!F$14,テーブル2[[#Headers],[学年]:[得点]],0)))</f>
        <v/>
      </c>
      <c r="G74" s="115" t="str">
        <f>IF($A74&gt;MAX(入力シート!$AH$6:$AH$505),"",INDEX(テーブル2[[学年]:[判定]],MATCH(体力優良証交付申請書!$A74,入力シート!$AH$6:$AH$505,0),MATCH(体力優良証交付申請書!G$14,テーブル2[[#Headers],[学年]:[得点]],0)))</f>
        <v/>
      </c>
      <c r="H74" s="115" t="str">
        <f>IF($A74&gt;MAX(入力シート!$AH$6:$AH$505),"",INDEX(テーブル2[[学年]:[判定]],MATCH(体力優良証交付申請書!$A74,入力シート!$AH$6:$AH$505,0),MATCH(体力優良証交付申請書!H$14,テーブル2[[#Headers],[学年]:[得点]],0)))</f>
        <v/>
      </c>
      <c r="I74" s="115" t="str">
        <f>IF($A74&gt;MAX(入力シート!$AH$6:$AH$505),"",INDEX(テーブル2[[学年]:[判定]],MATCH(体力優良証交付申請書!$A74,入力シート!$AH$6:$AH$505,0),MATCH(体力優良証交付申請書!I$14,テーブル2[[#Headers],[学年]:[得点]],0)))</f>
        <v/>
      </c>
      <c r="J74" s="115" t="str">
        <f>IF($A74&gt;MAX(入力シート!$AH$6:$AH$505),"",INDEX(テーブル2[[学年]:[判定]],MATCH(体力優良証交付申請書!$A74,入力シート!$AH$6:$AH$505,0),MATCH(体力優良証交付申請書!J$14,テーブル2[[#Headers],[学年]:[得点]],0)))</f>
        <v/>
      </c>
      <c r="K74" s="129" t="str">
        <f>IF($A74&gt;MAX(入力シート!$AH$6:$AH$505),"",INDEX(テーブル2[[学年]:[判定]],MATCH(体力優良証交付申請書!$A74,入力シート!$AH$6:$AH$505,0),MATCH(体力優良証交付申請書!K$14,テーブル2[[#Headers],[学年]:[得点]],0)))</f>
        <v/>
      </c>
      <c r="L74" s="115" t="str">
        <f>IF($A74&gt;MAX(入力シート!$AH$6:$AH$505),"",INDEX(テーブル2[[学年]:[判定]],MATCH(体力優良証交付申請書!$A74,入力シート!$AH$6:$AH$505,0),MATCH(体力優良証交付申請書!L$14,テーブル2[[#Headers],[学年]:[得点]],0)))</f>
        <v/>
      </c>
      <c r="M74" s="115" t="str">
        <f>IF($A74&gt;MAX(入力シート!$AH$6:$AH$505),"",INDEX(テーブル2[[学年]:[判定]],MATCH(体力優良証交付申請書!$A74,入力シート!$AH$6:$AH$505,0),MATCH(体力優良証交付申請書!M$14,テーブル2[[#Headers],[学年]:[得点]],0)))</f>
        <v/>
      </c>
      <c r="N74" s="27" t="str">
        <f>IF($A74&gt;MAX(入力シート!$AH$6:$AH$505),"",INDEX(テーブル2[[学年]:[判定]],MATCH(体力優良証交付申請書!$A74,入力シート!$AH$6:$AH$505,0),MATCH(体力優良証交付申請書!N$14,テーブル2[[#Headers],[学年]:[得点]],0)))</f>
        <v/>
      </c>
    </row>
    <row r="75" spans="1:14" x14ac:dyDescent="0.15">
      <c r="A75" s="17">
        <v>61</v>
      </c>
      <c r="B75" s="115" t="str">
        <f>IF($A75&gt;MAX(入力シート!$AH$6:$AH$505),"",INDEX(テーブル2[[学年]:[判定]],MATCH(体力優良証交付申請書!$A75,入力シート!$AH$6:$AH$505,0),MATCH(体力優良証交付申請書!B$14,テーブル2[[#Headers],[学年]:[得点]],0)))</f>
        <v/>
      </c>
      <c r="C75" s="115" t="str">
        <f>IF($A75&gt;MAX(入力シート!$AH$6:$AH$505),"",INDEX(テーブル2[[学年]:[判定]],MATCH(体力優良証交付申請書!$A75,入力シート!$AH$6:$AH$505,0),MATCH(体力優良証交付申請書!C$14,テーブル2[[#Headers],[学年]:[得点]],0)))</f>
        <v/>
      </c>
      <c r="D75" s="115" t="str">
        <f>IF($A75&gt;MAX(入力シート!$AH$6:$AH$505),"",INDEX(テーブル2[[学年]:[判定]],MATCH(体力優良証交付申請書!$A75,入力シート!$AH$6:$AH$505,0),MATCH(体力優良証交付申請書!D$14,テーブル2[[#Headers],[学年]:[得点]],0)))</f>
        <v/>
      </c>
      <c r="E75" s="115" t="str">
        <f>IF($A75&gt;MAX(入力シート!$AH$6:$AH$505),"",INDEX(テーブル2[[学年]:[判定]],MATCH(体力優良証交付申請書!$A75,入力シート!$AH$6:$AH$505,0),MATCH(体力優良証交付申請書!E$14,テーブル2[[#Headers],[学年]:[得点]],0)))</f>
        <v/>
      </c>
      <c r="F75" s="115" t="str">
        <f>IF($A75&gt;MAX(入力シート!$AH$6:$AH$505),"",INDEX(テーブル2[[学年]:[判定]],MATCH(体力優良証交付申請書!$A75,入力シート!$AH$6:$AH$505,0),MATCH(体力優良証交付申請書!F$14,テーブル2[[#Headers],[学年]:[得点]],0)))</f>
        <v/>
      </c>
      <c r="G75" s="115" t="str">
        <f>IF($A75&gt;MAX(入力シート!$AH$6:$AH$505),"",INDEX(テーブル2[[学年]:[判定]],MATCH(体力優良証交付申請書!$A75,入力シート!$AH$6:$AH$505,0),MATCH(体力優良証交付申請書!G$14,テーブル2[[#Headers],[学年]:[得点]],0)))</f>
        <v/>
      </c>
      <c r="H75" s="115" t="str">
        <f>IF($A75&gt;MAX(入力シート!$AH$6:$AH$505),"",INDEX(テーブル2[[学年]:[判定]],MATCH(体力優良証交付申請書!$A75,入力シート!$AH$6:$AH$505,0),MATCH(体力優良証交付申請書!H$14,テーブル2[[#Headers],[学年]:[得点]],0)))</f>
        <v/>
      </c>
      <c r="I75" s="115" t="str">
        <f>IF($A75&gt;MAX(入力シート!$AH$6:$AH$505),"",INDEX(テーブル2[[学年]:[判定]],MATCH(体力優良証交付申請書!$A75,入力シート!$AH$6:$AH$505,0),MATCH(体力優良証交付申請書!I$14,テーブル2[[#Headers],[学年]:[得点]],0)))</f>
        <v/>
      </c>
      <c r="J75" s="115" t="str">
        <f>IF($A75&gt;MAX(入力シート!$AH$6:$AH$505),"",INDEX(テーブル2[[学年]:[判定]],MATCH(体力優良証交付申請書!$A75,入力シート!$AH$6:$AH$505,0),MATCH(体力優良証交付申請書!J$14,テーブル2[[#Headers],[学年]:[得点]],0)))</f>
        <v/>
      </c>
      <c r="K75" s="129" t="str">
        <f>IF($A75&gt;MAX(入力シート!$AH$6:$AH$505),"",INDEX(テーブル2[[学年]:[判定]],MATCH(体力優良証交付申請書!$A75,入力シート!$AH$6:$AH$505,0),MATCH(体力優良証交付申請書!K$14,テーブル2[[#Headers],[学年]:[得点]],0)))</f>
        <v/>
      </c>
      <c r="L75" s="115" t="str">
        <f>IF($A75&gt;MAX(入力シート!$AH$6:$AH$505),"",INDEX(テーブル2[[学年]:[判定]],MATCH(体力優良証交付申請書!$A75,入力シート!$AH$6:$AH$505,0),MATCH(体力優良証交付申請書!L$14,テーブル2[[#Headers],[学年]:[得点]],0)))</f>
        <v/>
      </c>
      <c r="M75" s="115" t="str">
        <f>IF($A75&gt;MAX(入力シート!$AH$6:$AH$505),"",INDEX(テーブル2[[学年]:[判定]],MATCH(体力優良証交付申請書!$A75,入力シート!$AH$6:$AH$505,0),MATCH(体力優良証交付申請書!M$14,テーブル2[[#Headers],[学年]:[得点]],0)))</f>
        <v/>
      </c>
      <c r="N75" s="27" t="str">
        <f>IF($A75&gt;MAX(入力シート!$AH$6:$AH$505),"",INDEX(テーブル2[[学年]:[判定]],MATCH(体力優良証交付申請書!$A75,入力シート!$AH$6:$AH$505,0),MATCH(体力優良証交付申請書!N$14,テーブル2[[#Headers],[学年]:[得点]],0)))</f>
        <v/>
      </c>
    </row>
    <row r="76" spans="1:14" x14ac:dyDescent="0.15">
      <c r="A76" s="17">
        <v>62</v>
      </c>
      <c r="B76" s="115" t="str">
        <f>IF($A76&gt;MAX(入力シート!$AH$6:$AH$505),"",INDEX(テーブル2[[学年]:[判定]],MATCH(体力優良証交付申請書!$A76,入力シート!$AH$6:$AH$505,0),MATCH(体力優良証交付申請書!B$14,テーブル2[[#Headers],[学年]:[得点]],0)))</f>
        <v/>
      </c>
      <c r="C76" s="115" t="str">
        <f>IF($A76&gt;MAX(入力シート!$AH$6:$AH$505),"",INDEX(テーブル2[[学年]:[判定]],MATCH(体力優良証交付申請書!$A76,入力シート!$AH$6:$AH$505,0),MATCH(体力優良証交付申請書!C$14,テーブル2[[#Headers],[学年]:[得点]],0)))</f>
        <v/>
      </c>
      <c r="D76" s="115" t="str">
        <f>IF($A76&gt;MAX(入力シート!$AH$6:$AH$505),"",INDEX(テーブル2[[学年]:[判定]],MATCH(体力優良証交付申請書!$A76,入力シート!$AH$6:$AH$505,0),MATCH(体力優良証交付申請書!D$14,テーブル2[[#Headers],[学年]:[得点]],0)))</f>
        <v/>
      </c>
      <c r="E76" s="115" t="str">
        <f>IF($A76&gt;MAX(入力シート!$AH$6:$AH$505),"",INDEX(テーブル2[[学年]:[判定]],MATCH(体力優良証交付申請書!$A76,入力シート!$AH$6:$AH$505,0),MATCH(体力優良証交付申請書!E$14,テーブル2[[#Headers],[学年]:[得点]],0)))</f>
        <v/>
      </c>
      <c r="F76" s="115" t="str">
        <f>IF($A76&gt;MAX(入力シート!$AH$6:$AH$505),"",INDEX(テーブル2[[学年]:[判定]],MATCH(体力優良証交付申請書!$A76,入力シート!$AH$6:$AH$505,0),MATCH(体力優良証交付申請書!F$14,テーブル2[[#Headers],[学年]:[得点]],0)))</f>
        <v/>
      </c>
      <c r="G76" s="115" t="str">
        <f>IF($A76&gt;MAX(入力シート!$AH$6:$AH$505),"",INDEX(テーブル2[[学年]:[判定]],MATCH(体力優良証交付申請書!$A76,入力シート!$AH$6:$AH$505,0),MATCH(体力優良証交付申請書!G$14,テーブル2[[#Headers],[学年]:[得点]],0)))</f>
        <v/>
      </c>
      <c r="H76" s="115" t="str">
        <f>IF($A76&gt;MAX(入力シート!$AH$6:$AH$505),"",INDEX(テーブル2[[学年]:[判定]],MATCH(体力優良証交付申請書!$A76,入力シート!$AH$6:$AH$505,0),MATCH(体力優良証交付申請書!H$14,テーブル2[[#Headers],[学年]:[得点]],0)))</f>
        <v/>
      </c>
      <c r="I76" s="115" t="str">
        <f>IF($A76&gt;MAX(入力シート!$AH$6:$AH$505),"",INDEX(テーブル2[[学年]:[判定]],MATCH(体力優良証交付申請書!$A76,入力シート!$AH$6:$AH$505,0),MATCH(体力優良証交付申請書!I$14,テーブル2[[#Headers],[学年]:[得点]],0)))</f>
        <v/>
      </c>
      <c r="J76" s="115" t="str">
        <f>IF($A76&gt;MAX(入力シート!$AH$6:$AH$505),"",INDEX(テーブル2[[学年]:[判定]],MATCH(体力優良証交付申請書!$A76,入力シート!$AH$6:$AH$505,0),MATCH(体力優良証交付申請書!J$14,テーブル2[[#Headers],[学年]:[得点]],0)))</f>
        <v/>
      </c>
      <c r="K76" s="129" t="str">
        <f>IF($A76&gt;MAX(入力シート!$AH$6:$AH$505),"",INDEX(テーブル2[[学年]:[判定]],MATCH(体力優良証交付申請書!$A76,入力シート!$AH$6:$AH$505,0),MATCH(体力優良証交付申請書!K$14,テーブル2[[#Headers],[学年]:[得点]],0)))</f>
        <v/>
      </c>
      <c r="L76" s="115" t="str">
        <f>IF($A76&gt;MAX(入力シート!$AH$6:$AH$505),"",INDEX(テーブル2[[学年]:[判定]],MATCH(体力優良証交付申請書!$A76,入力シート!$AH$6:$AH$505,0),MATCH(体力優良証交付申請書!L$14,テーブル2[[#Headers],[学年]:[得点]],0)))</f>
        <v/>
      </c>
      <c r="M76" s="115" t="str">
        <f>IF($A76&gt;MAX(入力シート!$AH$6:$AH$505),"",INDEX(テーブル2[[学年]:[判定]],MATCH(体力優良証交付申請書!$A76,入力シート!$AH$6:$AH$505,0),MATCH(体力優良証交付申請書!M$14,テーブル2[[#Headers],[学年]:[得点]],0)))</f>
        <v/>
      </c>
      <c r="N76" s="27" t="str">
        <f>IF($A76&gt;MAX(入力シート!$AH$6:$AH$505),"",INDEX(テーブル2[[学年]:[判定]],MATCH(体力優良証交付申請書!$A76,入力シート!$AH$6:$AH$505,0),MATCH(体力優良証交付申請書!N$14,テーブル2[[#Headers],[学年]:[得点]],0)))</f>
        <v/>
      </c>
    </row>
    <row r="77" spans="1:14" x14ac:dyDescent="0.15">
      <c r="A77" s="17">
        <v>63</v>
      </c>
      <c r="B77" s="115" t="str">
        <f>IF($A77&gt;MAX(入力シート!$AH$6:$AH$505),"",INDEX(テーブル2[[学年]:[判定]],MATCH(体力優良証交付申請書!$A77,入力シート!$AH$6:$AH$505,0),MATCH(体力優良証交付申請書!B$14,テーブル2[[#Headers],[学年]:[得点]],0)))</f>
        <v/>
      </c>
      <c r="C77" s="115" t="str">
        <f>IF($A77&gt;MAX(入力シート!$AH$6:$AH$505),"",INDEX(テーブル2[[学年]:[判定]],MATCH(体力優良証交付申請書!$A77,入力シート!$AH$6:$AH$505,0),MATCH(体力優良証交付申請書!C$14,テーブル2[[#Headers],[学年]:[得点]],0)))</f>
        <v/>
      </c>
      <c r="D77" s="115" t="str">
        <f>IF($A77&gt;MAX(入力シート!$AH$6:$AH$505),"",INDEX(テーブル2[[学年]:[判定]],MATCH(体力優良証交付申請書!$A77,入力シート!$AH$6:$AH$505,0),MATCH(体力優良証交付申請書!D$14,テーブル2[[#Headers],[学年]:[得点]],0)))</f>
        <v/>
      </c>
      <c r="E77" s="115" t="str">
        <f>IF($A77&gt;MAX(入力シート!$AH$6:$AH$505),"",INDEX(テーブル2[[学年]:[判定]],MATCH(体力優良証交付申請書!$A77,入力シート!$AH$6:$AH$505,0),MATCH(体力優良証交付申請書!E$14,テーブル2[[#Headers],[学年]:[得点]],0)))</f>
        <v/>
      </c>
      <c r="F77" s="115" t="str">
        <f>IF($A77&gt;MAX(入力シート!$AH$6:$AH$505),"",INDEX(テーブル2[[学年]:[判定]],MATCH(体力優良証交付申請書!$A77,入力シート!$AH$6:$AH$505,0),MATCH(体力優良証交付申請書!F$14,テーブル2[[#Headers],[学年]:[得点]],0)))</f>
        <v/>
      </c>
      <c r="G77" s="115" t="str">
        <f>IF($A77&gt;MAX(入力シート!$AH$6:$AH$505),"",INDEX(テーブル2[[学年]:[判定]],MATCH(体力優良証交付申請書!$A77,入力シート!$AH$6:$AH$505,0),MATCH(体力優良証交付申請書!G$14,テーブル2[[#Headers],[学年]:[得点]],0)))</f>
        <v/>
      </c>
      <c r="H77" s="115" t="str">
        <f>IF($A77&gt;MAX(入力シート!$AH$6:$AH$505),"",INDEX(テーブル2[[学年]:[判定]],MATCH(体力優良証交付申請書!$A77,入力シート!$AH$6:$AH$505,0),MATCH(体力優良証交付申請書!H$14,テーブル2[[#Headers],[学年]:[得点]],0)))</f>
        <v/>
      </c>
      <c r="I77" s="115" t="str">
        <f>IF($A77&gt;MAX(入力シート!$AH$6:$AH$505),"",INDEX(テーブル2[[学年]:[判定]],MATCH(体力優良証交付申請書!$A77,入力シート!$AH$6:$AH$505,0),MATCH(体力優良証交付申請書!I$14,テーブル2[[#Headers],[学年]:[得点]],0)))</f>
        <v/>
      </c>
      <c r="J77" s="115" t="str">
        <f>IF($A77&gt;MAX(入力シート!$AH$6:$AH$505),"",INDEX(テーブル2[[学年]:[判定]],MATCH(体力優良証交付申請書!$A77,入力シート!$AH$6:$AH$505,0),MATCH(体力優良証交付申請書!J$14,テーブル2[[#Headers],[学年]:[得点]],0)))</f>
        <v/>
      </c>
      <c r="K77" s="129" t="str">
        <f>IF($A77&gt;MAX(入力シート!$AH$6:$AH$505),"",INDEX(テーブル2[[学年]:[判定]],MATCH(体力優良証交付申請書!$A77,入力シート!$AH$6:$AH$505,0),MATCH(体力優良証交付申請書!K$14,テーブル2[[#Headers],[学年]:[得点]],0)))</f>
        <v/>
      </c>
      <c r="L77" s="115" t="str">
        <f>IF($A77&gt;MAX(入力シート!$AH$6:$AH$505),"",INDEX(テーブル2[[学年]:[判定]],MATCH(体力優良証交付申請書!$A77,入力シート!$AH$6:$AH$505,0),MATCH(体力優良証交付申請書!L$14,テーブル2[[#Headers],[学年]:[得点]],0)))</f>
        <v/>
      </c>
      <c r="M77" s="115" t="str">
        <f>IF($A77&gt;MAX(入力シート!$AH$6:$AH$505),"",INDEX(テーブル2[[学年]:[判定]],MATCH(体力優良証交付申請書!$A77,入力シート!$AH$6:$AH$505,0),MATCH(体力優良証交付申請書!M$14,テーブル2[[#Headers],[学年]:[得点]],0)))</f>
        <v/>
      </c>
      <c r="N77" s="27" t="str">
        <f>IF($A77&gt;MAX(入力シート!$AH$6:$AH$505),"",INDEX(テーブル2[[学年]:[判定]],MATCH(体力優良証交付申請書!$A77,入力シート!$AH$6:$AH$505,0),MATCH(体力優良証交付申請書!N$14,テーブル2[[#Headers],[学年]:[得点]],0)))</f>
        <v/>
      </c>
    </row>
    <row r="78" spans="1:14" x14ac:dyDescent="0.15">
      <c r="A78" s="17">
        <v>64</v>
      </c>
      <c r="B78" s="115" t="str">
        <f>IF($A78&gt;MAX(入力シート!$AH$6:$AH$505),"",INDEX(テーブル2[[学年]:[判定]],MATCH(体力優良証交付申請書!$A78,入力シート!$AH$6:$AH$505,0),MATCH(体力優良証交付申請書!B$14,テーブル2[[#Headers],[学年]:[得点]],0)))</f>
        <v/>
      </c>
      <c r="C78" s="115" t="str">
        <f>IF($A78&gt;MAX(入力シート!$AH$6:$AH$505),"",INDEX(テーブル2[[学年]:[判定]],MATCH(体力優良証交付申請書!$A78,入力シート!$AH$6:$AH$505,0),MATCH(体力優良証交付申請書!C$14,テーブル2[[#Headers],[学年]:[得点]],0)))</f>
        <v/>
      </c>
      <c r="D78" s="115" t="str">
        <f>IF($A78&gt;MAX(入力シート!$AH$6:$AH$505),"",INDEX(テーブル2[[学年]:[判定]],MATCH(体力優良証交付申請書!$A78,入力シート!$AH$6:$AH$505,0),MATCH(体力優良証交付申請書!D$14,テーブル2[[#Headers],[学年]:[得点]],0)))</f>
        <v/>
      </c>
      <c r="E78" s="115" t="str">
        <f>IF($A78&gt;MAX(入力シート!$AH$6:$AH$505),"",INDEX(テーブル2[[学年]:[判定]],MATCH(体力優良証交付申請書!$A78,入力シート!$AH$6:$AH$505,0),MATCH(体力優良証交付申請書!E$14,テーブル2[[#Headers],[学年]:[得点]],0)))</f>
        <v/>
      </c>
      <c r="F78" s="115" t="str">
        <f>IF($A78&gt;MAX(入力シート!$AH$6:$AH$505),"",INDEX(テーブル2[[学年]:[判定]],MATCH(体力優良証交付申請書!$A78,入力シート!$AH$6:$AH$505,0),MATCH(体力優良証交付申請書!F$14,テーブル2[[#Headers],[学年]:[得点]],0)))</f>
        <v/>
      </c>
      <c r="G78" s="115" t="str">
        <f>IF($A78&gt;MAX(入力シート!$AH$6:$AH$505),"",INDEX(テーブル2[[学年]:[判定]],MATCH(体力優良証交付申請書!$A78,入力シート!$AH$6:$AH$505,0),MATCH(体力優良証交付申請書!G$14,テーブル2[[#Headers],[学年]:[得点]],0)))</f>
        <v/>
      </c>
      <c r="H78" s="115" t="str">
        <f>IF($A78&gt;MAX(入力シート!$AH$6:$AH$505),"",INDEX(テーブル2[[学年]:[判定]],MATCH(体力優良証交付申請書!$A78,入力シート!$AH$6:$AH$505,0),MATCH(体力優良証交付申請書!H$14,テーブル2[[#Headers],[学年]:[得点]],0)))</f>
        <v/>
      </c>
      <c r="I78" s="115" t="str">
        <f>IF($A78&gt;MAX(入力シート!$AH$6:$AH$505),"",INDEX(テーブル2[[学年]:[判定]],MATCH(体力優良証交付申請書!$A78,入力シート!$AH$6:$AH$505,0),MATCH(体力優良証交付申請書!I$14,テーブル2[[#Headers],[学年]:[得点]],0)))</f>
        <v/>
      </c>
      <c r="J78" s="115" t="str">
        <f>IF($A78&gt;MAX(入力シート!$AH$6:$AH$505),"",INDEX(テーブル2[[学年]:[判定]],MATCH(体力優良証交付申請書!$A78,入力シート!$AH$6:$AH$505,0),MATCH(体力優良証交付申請書!J$14,テーブル2[[#Headers],[学年]:[得点]],0)))</f>
        <v/>
      </c>
      <c r="K78" s="129" t="str">
        <f>IF($A78&gt;MAX(入力シート!$AH$6:$AH$505),"",INDEX(テーブル2[[学年]:[判定]],MATCH(体力優良証交付申請書!$A78,入力シート!$AH$6:$AH$505,0),MATCH(体力優良証交付申請書!K$14,テーブル2[[#Headers],[学年]:[得点]],0)))</f>
        <v/>
      </c>
      <c r="L78" s="115" t="str">
        <f>IF($A78&gt;MAX(入力シート!$AH$6:$AH$505),"",INDEX(テーブル2[[学年]:[判定]],MATCH(体力優良証交付申請書!$A78,入力シート!$AH$6:$AH$505,0),MATCH(体力優良証交付申請書!L$14,テーブル2[[#Headers],[学年]:[得点]],0)))</f>
        <v/>
      </c>
      <c r="M78" s="115" t="str">
        <f>IF($A78&gt;MAX(入力シート!$AH$6:$AH$505),"",INDEX(テーブル2[[学年]:[判定]],MATCH(体力優良証交付申請書!$A78,入力シート!$AH$6:$AH$505,0),MATCH(体力優良証交付申請書!M$14,テーブル2[[#Headers],[学年]:[得点]],0)))</f>
        <v/>
      </c>
      <c r="N78" s="27" t="str">
        <f>IF($A78&gt;MAX(入力シート!$AH$6:$AH$505),"",INDEX(テーブル2[[学年]:[判定]],MATCH(体力優良証交付申請書!$A78,入力シート!$AH$6:$AH$505,0),MATCH(体力優良証交付申請書!N$14,テーブル2[[#Headers],[学年]:[得点]],0)))</f>
        <v/>
      </c>
    </row>
    <row r="79" spans="1:14" x14ac:dyDescent="0.15">
      <c r="A79" s="17">
        <v>65</v>
      </c>
      <c r="B79" s="115" t="str">
        <f>IF($A79&gt;MAX(入力シート!$AH$6:$AH$505),"",INDEX(テーブル2[[学年]:[判定]],MATCH(体力優良証交付申請書!$A79,入力シート!$AH$6:$AH$505,0),MATCH(体力優良証交付申請書!B$14,テーブル2[[#Headers],[学年]:[得点]],0)))</f>
        <v/>
      </c>
      <c r="C79" s="115" t="str">
        <f>IF($A79&gt;MAX(入力シート!$AH$6:$AH$505),"",INDEX(テーブル2[[学年]:[判定]],MATCH(体力優良証交付申請書!$A79,入力シート!$AH$6:$AH$505,0),MATCH(体力優良証交付申請書!C$14,テーブル2[[#Headers],[学年]:[得点]],0)))</f>
        <v/>
      </c>
      <c r="D79" s="115" t="str">
        <f>IF($A79&gt;MAX(入力シート!$AH$6:$AH$505),"",INDEX(テーブル2[[学年]:[判定]],MATCH(体力優良証交付申請書!$A79,入力シート!$AH$6:$AH$505,0),MATCH(体力優良証交付申請書!D$14,テーブル2[[#Headers],[学年]:[得点]],0)))</f>
        <v/>
      </c>
      <c r="E79" s="115" t="str">
        <f>IF($A79&gt;MAX(入力シート!$AH$6:$AH$505),"",INDEX(テーブル2[[学年]:[判定]],MATCH(体力優良証交付申請書!$A79,入力シート!$AH$6:$AH$505,0),MATCH(体力優良証交付申請書!E$14,テーブル2[[#Headers],[学年]:[得点]],0)))</f>
        <v/>
      </c>
      <c r="F79" s="115" t="str">
        <f>IF($A79&gt;MAX(入力シート!$AH$6:$AH$505),"",INDEX(テーブル2[[学年]:[判定]],MATCH(体力優良証交付申請書!$A79,入力シート!$AH$6:$AH$505,0),MATCH(体力優良証交付申請書!F$14,テーブル2[[#Headers],[学年]:[得点]],0)))</f>
        <v/>
      </c>
      <c r="G79" s="115" t="str">
        <f>IF($A79&gt;MAX(入力シート!$AH$6:$AH$505),"",INDEX(テーブル2[[学年]:[判定]],MATCH(体力優良証交付申請書!$A79,入力シート!$AH$6:$AH$505,0),MATCH(体力優良証交付申請書!G$14,テーブル2[[#Headers],[学年]:[得点]],0)))</f>
        <v/>
      </c>
      <c r="H79" s="115" t="str">
        <f>IF($A79&gt;MAX(入力シート!$AH$6:$AH$505),"",INDEX(テーブル2[[学年]:[判定]],MATCH(体力優良証交付申請書!$A79,入力シート!$AH$6:$AH$505,0),MATCH(体力優良証交付申請書!H$14,テーブル2[[#Headers],[学年]:[得点]],0)))</f>
        <v/>
      </c>
      <c r="I79" s="115" t="str">
        <f>IF($A79&gt;MAX(入力シート!$AH$6:$AH$505),"",INDEX(テーブル2[[学年]:[判定]],MATCH(体力優良証交付申請書!$A79,入力シート!$AH$6:$AH$505,0),MATCH(体力優良証交付申請書!I$14,テーブル2[[#Headers],[学年]:[得点]],0)))</f>
        <v/>
      </c>
      <c r="J79" s="115" t="str">
        <f>IF($A79&gt;MAX(入力シート!$AH$6:$AH$505),"",INDEX(テーブル2[[学年]:[判定]],MATCH(体力優良証交付申請書!$A79,入力シート!$AH$6:$AH$505,0),MATCH(体力優良証交付申請書!J$14,テーブル2[[#Headers],[学年]:[得点]],0)))</f>
        <v/>
      </c>
      <c r="K79" s="129" t="str">
        <f>IF($A79&gt;MAX(入力シート!$AH$6:$AH$505),"",INDEX(テーブル2[[学年]:[判定]],MATCH(体力優良証交付申請書!$A79,入力シート!$AH$6:$AH$505,0),MATCH(体力優良証交付申請書!K$14,テーブル2[[#Headers],[学年]:[得点]],0)))</f>
        <v/>
      </c>
      <c r="L79" s="115" t="str">
        <f>IF($A79&gt;MAX(入力シート!$AH$6:$AH$505),"",INDEX(テーブル2[[学年]:[判定]],MATCH(体力優良証交付申請書!$A79,入力シート!$AH$6:$AH$505,0),MATCH(体力優良証交付申請書!L$14,テーブル2[[#Headers],[学年]:[得点]],0)))</f>
        <v/>
      </c>
      <c r="M79" s="115" t="str">
        <f>IF($A79&gt;MAX(入力シート!$AH$6:$AH$505),"",INDEX(テーブル2[[学年]:[判定]],MATCH(体力優良証交付申請書!$A79,入力シート!$AH$6:$AH$505,0),MATCH(体力優良証交付申請書!M$14,テーブル2[[#Headers],[学年]:[得点]],0)))</f>
        <v/>
      </c>
      <c r="N79" s="27" t="str">
        <f>IF($A79&gt;MAX(入力シート!$AH$6:$AH$505),"",INDEX(テーブル2[[学年]:[判定]],MATCH(体力優良証交付申請書!$A79,入力シート!$AH$6:$AH$505,0),MATCH(体力優良証交付申請書!N$14,テーブル2[[#Headers],[学年]:[得点]],0)))</f>
        <v/>
      </c>
    </row>
    <row r="80" spans="1:14" x14ac:dyDescent="0.15">
      <c r="A80" s="17">
        <v>66</v>
      </c>
      <c r="B80" s="115" t="str">
        <f>IF($A80&gt;MAX(入力シート!$AH$6:$AH$505),"",INDEX(テーブル2[[学年]:[判定]],MATCH(体力優良証交付申請書!$A80,入力シート!$AH$6:$AH$505,0),MATCH(体力優良証交付申請書!B$14,テーブル2[[#Headers],[学年]:[得点]],0)))</f>
        <v/>
      </c>
      <c r="C80" s="115" t="str">
        <f>IF($A80&gt;MAX(入力シート!$AH$6:$AH$505),"",INDEX(テーブル2[[学年]:[判定]],MATCH(体力優良証交付申請書!$A80,入力シート!$AH$6:$AH$505,0),MATCH(体力優良証交付申請書!C$14,テーブル2[[#Headers],[学年]:[得点]],0)))</f>
        <v/>
      </c>
      <c r="D80" s="115" t="str">
        <f>IF($A80&gt;MAX(入力シート!$AH$6:$AH$505),"",INDEX(テーブル2[[学年]:[判定]],MATCH(体力優良証交付申請書!$A80,入力シート!$AH$6:$AH$505,0),MATCH(体力優良証交付申請書!D$14,テーブル2[[#Headers],[学年]:[得点]],0)))</f>
        <v/>
      </c>
      <c r="E80" s="115" t="str">
        <f>IF($A80&gt;MAX(入力シート!$AH$6:$AH$505),"",INDEX(テーブル2[[学年]:[判定]],MATCH(体力優良証交付申請書!$A80,入力シート!$AH$6:$AH$505,0),MATCH(体力優良証交付申請書!E$14,テーブル2[[#Headers],[学年]:[得点]],0)))</f>
        <v/>
      </c>
      <c r="F80" s="115" t="str">
        <f>IF($A80&gt;MAX(入力シート!$AH$6:$AH$505),"",INDEX(テーブル2[[学年]:[判定]],MATCH(体力優良証交付申請書!$A80,入力シート!$AH$6:$AH$505,0),MATCH(体力優良証交付申請書!F$14,テーブル2[[#Headers],[学年]:[得点]],0)))</f>
        <v/>
      </c>
      <c r="G80" s="115" t="str">
        <f>IF($A80&gt;MAX(入力シート!$AH$6:$AH$505),"",INDEX(テーブル2[[学年]:[判定]],MATCH(体力優良証交付申請書!$A80,入力シート!$AH$6:$AH$505,0),MATCH(体力優良証交付申請書!G$14,テーブル2[[#Headers],[学年]:[得点]],0)))</f>
        <v/>
      </c>
      <c r="H80" s="115" t="str">
        <f>IF($A80&gt;MAX(入力シート!$AH$6:$AH$505),"",INDEX(テーブル2[[学年]:[判定]],MATCH(体力優良証交付申請書!$A80,入力シート!$AH$6:$AH$505,0),MATCH(体力優良証交付申請書!H$14,テーブル2[[#Headers],[学年]:[得点]],0)))</f>
        <v/>
      </c>
      <c r="I80" s="115" t="str">
        <f>IF($A80&gt;MAX(入力シート!$AH$6:$AH$505),"",INDEX(テーブル2[[学年]:[判定]],MATCH(体力優良証交付申請書!$A80,入力シート!$AH$6:$AH$505,0),MATCH(体力優良証交付申請書!I$14,テーブル2[[#Headers],[学年]:[得点]],0)))</f>
        <v/>
      </c>
      <c r="J80" s="115" t="str">
        <f>IF($A80&gt;MAX(入力シート!$AH$6:$AH$505),"",INDEX(テーブル2[[学年]:[判定]],MATCH(体力優良証交付申請書!$A80,入力シート!$AH$6:$AH$505,0),MATCH(体力優良証交付申請書!J$14,テーブル2[[#Headers],[学年]:[得点]],0)))</f>
        <v/>
      </c>
      <c r="K80" s="129" t="str">
        <f>IF($A80&gt;MAX(入力シート!$AH$6:$AH$505),"",INDEX(テーブル2[[学年]:[判定]],MATCH(体力優良証交付申請書!$A80,入力シート!$AH$6:$AH$505,0),MATCH(体力優良証交付申請書!K$14,テーブル2[[#Headers],[学年]:[得点]],0)))</f>
        <v/>
      </c>
      <c r="L80" s="115" t="str">
        <f>IF($A80&gt;MAX(入力シート!$AH$6:$AH$505),"",INDEX(テーブル2[[学年]:[判定]],MATCH(体力優良証交付申請書!$A80,入力シート!$AH$6:$AH$505,0),MATCH(体力優良証交付申請書!L$14,テーブル2[[#Headers],[学年]:[得点]],0)))</f>
        <v/>
      </c>
      <c r="M80" s="115" t="str">
        <f>IF($A80&gt;MAX(入力シート!$AH$6:$AH$505),"",INDEX(テーブル2[[学年]:[判定]],MATCH(体力優良証交付申請書!$A80,入力シート!$AH$6:$AH$505,0),MATCH(体力優良証交付申請書!M$14,テーブル2[[#Headers],[学年]:[得点]],0)))</f>
        <v/>
      </c>
      <c r="N80" s="27" t="str">
        <f>IF($A80&gt;MAX(入力シート!$AH$6:$AH$505),"",INDEX(テーブル2[[学年]:[判定]],MATCH(体力優良証交付申請書!$A80,入力シート!$AH$6:$AH$505,0),MATCH(体力優良証交付申請書!N$14,テーブル2[[#Headers],[学年]:[得点]],0)))</f>
        <v/>
      </c>
    </row>
    <row r="81" spans="1:14" x14ac:dyDescent="0.15">
      <c r="A81" s="17">
        <v>67</v>
      </c>
      <c r="B81" s="115" t="str">
        <f>IF($A81&gt;MAX(入力シート!$AH$6:$AH$505),"",INDEX(テーブル2[[学年]:[判定]],MATCH(体力優良証交付申請書!$A81,入力シート!$AH$6:$AH$505,0),MATCH(体力優良証交付申請書!B$14,テーブル2[[#Headers],[学年]:[得点]],0)))</f>
        <v/>
      </c>
      <c r="C81" s="115" t="str">
        <f>IF($A81&gt;MAX(入力シート!$AH$6:$AH$505),"",INDEX(テーブル2[[学年]:[判定]],MATCH(体力優良証交付申請書!$A81,入力シート!$AH$6:$AH$505,0),MATCH(体力優良証交付申請書!C$14,テーブル2[[#Headers],[学年]:[得点]],0)))</f>
        <v/>
      </c>
      <c r="D81" s="115" t="str">
        <f>IF($A81&gt;MAX(入力シート!$AH$6:$AH$505),"",INDEX(テーブル2[[学年]:[判定]],MATCH(体力優良証交付申請書!$A81,入力シート!$AH$6:$AH$505,0),MATCH(体力優良証交付申請書!D$14,テーブル2[[#Headers],[学年]:[得点]],0)))</f>
        <v/>
      </c>
      <c r="E81" s="115" t="str">
        <f>IF($A81&gt;MAX(入力シート!$AH$6:$AH$505),"",INDEX(テーブル2[[学年]:[判定]],MATCH(体力優良証交付申請書!$A81,入力シート!$AH$6:$AH$505,0),MATCH(体力優良証交付申請書!E$14,テーブル2[[#Headers],[学年]:[得点]],0)))</f>
        <v/>
      </c>
      <c r="F81" s="115" t="str">
        <f>IF($A81&gt;MAX(入力シート!$AH$6:$AH$505),"",INDEX(テーブル2[[学年]:[判定]],MATCH(体力優良証交付申請書!$A81,入力シート!$AH$6:$AH$505,0),MATCH(体力優良証交付申請書!F$14,テーブル2[[#Headers],[学年]:[得点]],0)))</f>
        <v/>
      </c>
      <c r="G81" s="115" t="str">
        <f>IF($A81&gt;MAX(入力シート!$AH$6:$AH$505),"",INDEX(テーブル2[[学年]:[判定]],MATCH(体力優良証交付申請書!$A81,入力シート!$AH$6:$AH$505,0),MATCH(体力優良証交付申請書!G$14,テーブル2[[#Headers],[学年]:[得点]],0)))</f>
        <v/>
      </c>
      <c r="H81" s="115" t="str">
        <f>IF($A81&gt;MAX(入力シート!$AH$6:$AH$505),"",INDEX(テーブル2[[学年]:[判定]],MATCH(体力優良証交付申請書!$A81,入力シート!$AH$6:$AH$505,0),MATCH(体力優良証交付申請書!H$14,テーブル2[[#Headers],[学年]:[得点]],0)))</f>
        <v/>
      </c>
      <c r="I81" s="115" t="str">
        <f>IF($A81&gt;MAX(入力シート!$AH$6:$AH$505),"",INDEX(テーブル2[[学年]:[判定]],MATCH(体力優良証交付申請書!$A81,入力シート!$AH$6:$AH$505,0),MATCH(体力優良証交付申請書!I$14,テーブル2[[#Headers],[学年]:[得点]],0)))</f>
        <v/>
      </c>
      <c r="J81" s="115" t="str">
        <f>IF($A81&gt;MAX(入力シート!$AH$6:$AH$505),"",INDEX(テーブル2[[学年]:[判定]],MATCH(体力優良証交付申請書!$A81,入力シート!$AH$6:$AH$505,0),MATCH(体力優良証交付申請書!J$14,テーブル2[[#Headers],[学年]:[得点]],0)))</f>
        <v/>
      </c>
      <c r="K81" s="129" t="str">
        <f>IF($A81&gt;MAX(入力シート!$AH$6:$AH$505),"",INDEX(テーブル2[[学年]:[判定]],MATCH(体力優良証交付申請書!$A81,入力シート!$AH$6:$AH$505,0),MATCH(体力優良証交付申請書!K$14,テーブル2[[#Headers],[学年]:[得点]],0)))</f>
        <v/>
      </c>
      <c r="L81" s="115" t="str">
        <f>IF($A81&gt;MAX(入力シート!$AH$6:$AH$505),"",INDEX(テーブル2[[学年]:[判定]],MATCH(体力優良証交付申請書!$A81,入力シート!$AH$6:$AH$505,0),MATCH(体力優良証交付申請書!L$14,テーブル2[[#Headers],[学年]:[得点]],0)))</f>
        <v/>
      </c>
      <c r="M81" s="115" t="str">
        <f>IF($A81&gt;MAX(入力シート!$AH$6:$AH$505),"",INDEX(テーブル2[[学年]:[判定]],MATCH(体力優良証交付申請書!$A81,入力シート!$AH$6:$AH$505,0),MATCH(体力優良証交付申請書!M$14,テーブル2[[#Headers],[学年]:[得点]],0)))</f>
        <v/>
      </c>
      <c r="N81" s="27" t="str">
        <f>IF($A81&gt;MAX(入力シート!$AH$6:$AH$505),"",INDEX(テーブル2[[学年]:[判定]],MATCH(体力優良証交付申請書!$A81,入力シート!$AH$6:$AH$505,0),MATCH(体力優良証交付申請書!N$14,テーブル2[[#Headers],[学年]:[得点]],0)))</f>
        <v/>
      </c>
    </row>
    <row r="82" spans="1:14" x14ac:dyDescent="0.15">
      <c r="A82" s="17">
        <v>68</v>
      </c>
      <c r="B82" s="115" t="str">
        <f>IF($A82&gt;MAX(入力シート!$AH$6:$AH$505),"",INDEX(テーブル2[[学年]:[判定]],MATCH(体力優良証交付申請書!$A82,入力シート!$AH$6:$AH$505,0),MATCH(体力優良証交付申請書!B$14,テーブル2[[#Headers],[学年]:[得点]],0)))</f>
        <v/>
      </c>
      <c r="C82" s="115" t="str">
        <f>IF($A82&gt;MAX(入力シート!$AH$6:$AH$505),"",INDEX(テーブル2[[学年]:[判定]],MATCH(体力優良証交付申請書!$A82,入力シート!$AH$6:$AH$505,0),MATCH(体力優良証交付申請書!C$14,テーブル2[[#Headers],[学年]:[得点]],0)))</f>
        <v/>
      </c>
      <c r="D82" s="115" t="str">
        <f>IF($A82&gt;MAX(入力シート!$AH$6:$AH$505),"",INDEX(テーブル2[[学年]:[判定]],MATCH(体力優良証交付申請書!$A82,入力シート!$AH$6:$AH$505,0),MATCH(体力優良証交付申請書!D$14,テーブル2[[#Headers],[学年]:[得点]],0)))</f>
        <v/>
      </c>
      <c r="E82" s="115" t="str">
        <f>IF($A82&gt;MAX(入力シート!$AH$6:$AH$505),"",INDEX(テーブル2[[学年]:[判定]],MATCH(体力優良証交付申請書!$A82,入力シート!$AH$6:$AH$505,0),MATCH(体力優良証交付申請書!E$14,テーブル2[[#Headers],[学年]:[得点]],0)))</f>
        <v/>
      </c>
      <c r="F82" s="115" t="str">
        <f>IF($A82&gt;MAX(入力シート!$AH$6:$AH$505),"",INDEX(テーブル2[[学年]:[判定]],MATCH(体力優良証交付申請書!$A82,入力シート!$AH$6:$AH$505,0),MATCH(体力優良証交付申請書!F$14,テーブル2[[#Headers],[学年]:[得点]],0)))</f>
        <v/>
      </c>
      <c r="G82" s="115" t="str">
        <f>IF($A82&gt;MAX(入力シート!$AH$6:$AH$505),"",INDEX(テーブル2[[学年]:[判定]],MATCH(体力優良証交付申請書!$A82,入力シート!$AH$6:$AH$505,0),MATCH(体力優良証交付申請書!G$14,テーブル2[[#Headers],[学年]:[得点]],0)))</f>
        <v/>
      </c>
      <c r="H82" s="115" t="str">
        <f>IF($A82&gt;MAX(入力シート!$AH$6:$AH$505),"",INDEX(テーブル2[[学年]:[判定]],MATCH(体力優良証交付申請書!$A82,入力シート!$AH$6:$AH$505,0),MATCH(体力優良証交付申請書!H$14,テーブル2[[#Headers],[学年]:[得点]],0)))</f>
        <v/>
      </c>
      <c r="I82" s="115" t="str">
        <f>IF($A82&gt;MAX(入力シート!$AH$6:$AH$505),"",INDEX(テーブル2[[学年]:[判定]],MATCH(体力優良証交付申請書!$A82,入力シート!$AH$6:$AH$505,0),MATCH(体力優良証交付申請書!I$14,テーブル2[[#Headers],[学年]:[得点]],0)))</f>
        <v/>
      </c>
      <c r="J82" s="115" t="str">
        <f>IF($A82&gt;MAX(入力シート!$AH$6:$AH$505),"",INDEX(テーブル2[[学年]:[判定]],MATCH(体力優良証交付申請書!$A82,入力シート!$AH$6:$AH$505,0),MATCH(体力優良証交付申請書!J$14,テーブル2[[#Headers],[学年]:[得点]],0)))</f>
        <v/>
      </c>
      <c r="K82" s="129" t="str">
        <f>IF($A82&gt;MAX(入力シート!$AH$6:$AH$505),"",INDEX(テーブル2[[学年]:[判定]],MATCH(体力優良証交付申請書!$A82,入力シート!$AH$6:$AH$505,0),MATCH(体力優良証交付申請書!K$14,テーブル2[[#Headers],[学年]:[得点]],0)))</f>
        <v/>
      </c>
      <c r="L82" s="115" t="str">
        <f>IF($A82&gt;MAX(入力シート!$AH$6:$AH$505),"",INDEX(テーブル2[[学年]:[判定]],MATCH(体力優良証交付申請書!$A82,入力シート!$AH$6:$AH$505,0),MATCH(体力優良証交付申請書!L$14,テーブル2[[#Headers],[学年]:[得点]],0)))</f>
        <v/>
      </c>
      <c r="M82" s="115" t="str">
        <f>IF($A82&gt;MAX(入力シート!$AH$6:$AH$505),"",INDEX(テーブル2[[学年]:[判定]],MATCH(体力優良証交付申請書!$A82,入力シート!$AH$6:$AH$505,0),MATCH(体力優良証交付申請書!M$14,テーブル2[[#Headers],[学年]:[得点]],0)))</f>
        <v/>
      </c>
      <c r="N82" s="27" t="str">
        <f>IF($A82&gt;MAX(入力シート!$AH$6:$AH$505),"",INDEX(テーブル2[[学年]:[判定]],MATCH(体力優良証交付申請書!$A82,入力シート!$AH$6:$AH$505,0),MATCH(体力優良証交付申請書!N$14,テーブル2[[#Headers],[学年]:[得点]],0)))</f>
        <v/>
      </c>
    </row>
    <row r="83" spans="1:14" x14ac:dyDescent="0.15">
      <c r="A83" s="17">
        <v>69</v>
      </c>
      <c r="B83" s="115" t="str">
        <f>IF($A83&gt;MAX(入力シート!$AH$6:$AH$505),"",INDEX(テーブル2[[学年]:[判定]],MATCH(体力優良証交付申請書!$A83,入力シート!$AH$6:$AH$505,0),MATCH(体力優良証交付申請書!B$14,テーブル2[[#Headers],[学年]:[得点]],0)))</f>
        <v/>
      </c>
      <c r="C83" s="115" t="str">
        <f>IF($A83&gt;MAX(入力シート!$AH$6:$AH$505),"",INDEX(テーブル2[[学年]:[判定]],MATCH(体力優良証交付申請書!$A83,入力シート!$AH$6:$AH$505,0),MATCH(体力優良証交付申請書!C$14,テーブル2[[#Headers],[学年]:[得点]],0)))</f>
        <v/>
      </c>
      <c r="D83" s="115" t="str">
        <f>IF($A83&gt;MAX(入力シート!$AH$6:$AH$505),"",INDEX(テーブル2[[学年]:[判定]],MATCH(体力優良証交付申請書!$A83,入力シート!$AH$6:$AH$505,0),MATCH(体力優良証交付申請書!D$14,テーブル2[[#Headers],[学年]:[得点]],0)))</f>
        <v/>
      </c>
      <c r="E83" s="115" t="str">
        <f>IF($A83&gt;MAX(入力シート!$AH$6:$AH$505),"",INDEX(テーブル2[[学年]:[判定]],MATCH(体力優良証交付申請書!$A83,入力シート!$AH$6:$AH$505,0),MATCH(体力優良証交付申請書!E$14,テーブル2[[#Headers],[学年]:[得点]],0)))</f>
        <v/>
      </c>
      <c r="F83" s="115" t="str">
        <f>IF($A83&gt;MAX(入力シート!$AH$6:$AH$505),"",INDEX(テーブル2[[学年]:[判定]],MATCH(体力優良証交付申請書!$A83,入力シート!$AH$6:$AH$505,0),MATCH(体力優良証交付申請書!F$14,テーブル2[[#Headers],[学年]:[得点]],0)))</f>
        <v/>
      </c>
      <c r="G83" s="115" t="str">
        <f>IF($A83&gt;MAX(入力シート!$AH$6:$AH$505),"",INDEX(テーブル2[[学年]:[判定]],MATCH(体力優良証交付申請書!$A83,入力シート!$AH$6:$AH$505,0),MATCH(体力優良証交付申請書!G$14,テーブル2[[#Headers],[学年]:[得点]],0)))</f>
        <v/>
      </c>
      <c r="H83" s="115" t="str">
        <f>IF($A83&gt;MAX(入力シート!$AH$6:$AH$505),"",INDEX(テーブル2[[学年]:[判定]],MATCH(体力優良証交付申請書!$A83,入力シート!$AH$6:$AH$505,0),MATCH(体力優良証交付申請書!H$14,テーブル2[[#Headers],[学年]:[得点]],0)))</f>
        <v/>
      </c>
      <c r="I83" s="115" t="str">
        <f>IF($A83&gt;MAX(入力シート!$AH$6:$AH$505),"",INDEX(テーブル2[[学年]:[判定]],MATCH(体力優良証交付申請書!$A83,入力シート!$AH$6:$AH$505,0),MATCH(体力優良証交付申請書!I$14,テーブル2[[#Headers],[学年]:[得点]],0)))</f>
        <v/>
      </c>
      <c r="J83" s="115" t="str">
        <f>IF($A83&gt;MAX(入力シート!$AH$6:$AH$505),"",INDEX(テーブル2[[学年]:[判定]],MATCH(体力優良証交付申請書!$A83,入力シート!$AH$6:$AH$505,0),MATCH(体力優良証交付申請書!J$14,テーブル2[[#Headers],[学年]:[得点]],0)))</f>
        <v/>
      </c>
      <c r="K83" s="129" t="str">
        <f>IF($A83&gt;MAX(入力シート!$AH$6:$AH$505),"",INDEX(テーブル2[[学年]:[判定]],MATCH(体力優良証交付申請書!$A83,入力シート!$AH$6:$AH$505,0),MATCH(体力優良証交付申請書!K$14,テーブル2[[#Headers],[学年]:[得点]],0)))</f>
        <v/>
      </c>
      <c r="L83" s="115" t="str">
        <f>IF($A83&gt;MAX(入力シート!$AH$6:$AH$505),"",INDEX(テーブル2[[学年]:[判定]],MATCH(体力優良証交付申請書!$A83,入力シート!$AH$6:$AH$505,0),MATCH(体力優良証交付申請書!L$14,テーブル2[[#Headers],[学年]:[得点]],0)))</f>
        <v/>
      </c>
      <c r="M83" s="115" t="str">
        <f>IF($A83&gt;MAX(入力シート!$AH$6:$AH$505),"",INDEX(テーブル2[[学年]:[判定]],MATCH(体力優良証交付申請書!$A83,入力シート!$AH$6:$AH$505,0),MATCH(体力優良証交付申請書!M$14,テーブル2[[#Headers],[学年]:[得点]],0)))</f>
        <v/>
      </c>
      <c r="N83" s="27" t="str">
        <f>IF($A83&gt;MAX(入力シート!$AH$6:$AH$505),"",INDEX(テーブル2[[学年]:[判定]],MATCH(体力優良証交付申請書!$A83,入力シート!$AH$6:$AH$505,0),MATCH(体力優良証交付申請書!N$14,テーブル2[[#Headers],[学年]:[得点]],0)))</f>
        <v/>
      </c>
    </row>
    <row r="84" spans="1:14" x14ac:dyDescent="0.15">
      <c r="A84" s="17">
        <v>70</v>
      </c>
      <c r="B84" s="115" t="str">
        <f>IF($A84&gt;MAX(入力シート!$AH$6:$AH$505),"",INDEX(テーブル2[[学年]:[判定]],MATCH(体力優良証交付申請書!$A84,入力シート!$AH$6:$AH$505,0),MATCH(体力優良証交付申請書!B$14,テーブル2[[#Headers],[学年]:[得点]],0)))</f>
        <v/>
      </c>
      <c r="C84" s="115" t="str">
        <f>IF($A84&gt;MAX(入力シート!$AH$6:$AH$505),"",INDEX(テーブル2[[学年]:[判定]],MATCH(体力優良証交付申請書!$A84,入力シート!$AH$6:$AH$505,0),MATCH(体力優良証交付申請書!C$14,テーブル2[[#Headers],[学年]:[得点]],0)))</f>
        <v/>
      </c>
      <c r="D84" s="115" t="str">
        <f>IF($A84&gt;MAX(入力シート!$AH$6:$AH$505),"",INDEX(テーブル2[[学年]:[判定]],MATCH(体力優良証交付申請書!$A84,入力シート!$AH$6:$AH$505,0),MATCH(体力優良証交付申請書!D$14,テーブル2[[#Headers],[学年]:[得点]],0)))</f>
        <v/>
      </c>
      <c r="E84" s="115" t="str">
        <f>IF($A84&gt;MAX(入力シート!$AH$6:$AH$505),"",INDEX(テーブル2[[学年]:[判定]],MATCH(体力優良証交付申請書!$A84,入力シート!$AH$6:$AH$505,0),MATCH(体力優良証交付申請書!E$14,テーブル2[[#Headers],[学年]:[得点]],0)))</f>
        <v/>
      </c>
      <c r="F84" s="115" t="str">
        <f>IF($A84&gt;MAX(入力シート!$AH$6:$AH$505),"",INDEX(テーブル2[[学年]:[判定]],MATCH(体力優良証交付申請書!$A84,入力シート!$AH$6:$AH$505,0),MATCH(体力優良証交付申請書!F$14,テーブル2[[#Headers],[学年]:[得点]],0)))</f>
        <v/>
      </c>
      <c r="G84" s="115" t="str">
        <f>IF($A84&gt;MAX(入力シート!$AH$6:$AH$505),"",INDEX(テーブル2[[学年]:[判定]],MATCH(体力優良証交付申請書!$A84,入力シート!$AH$6:$AH$505,0),MATCH(体力優良証交付申請書!G$14,テーブル2[[#Headers],[学年]:[得点]],0)))</f>
        <v/>
      </c>
      <c r="H84" s="115" t="str">
        <f>IF($A84&gt;MAX(入力シート!$AH$6:$AH$505),"",INDEX(テーブル2[[学年]:[判定]],MATCH(体力優良証交付申請書!$A84,入力シート!$AH$6:$AH$505,0),MATCH(体力優良証交付申請書!H$14,テーブル2[[#Headers],[学年]:[得点]],0)))</f>
        <v/>
      </c>
      <c r="I84" s="115" t="str">
        <f>IF($A84&gt;MAX(入力シート!$AH$6:$AH$505),"",INDEX(テーブル2[[学年]:[判定]],MATCH(体力優良証交付申請書!$A84,入力シート!$AH$6:$AH$505,0),MATCH(体力優良証交付申請書!I$14,テーブル2[[#Headers],[学年]:[得点]],0)))</f>
        <v/>
      </c>
      <c r="J84" s="115" t="str">
        <f>IF($A84&gt;MAX(入力シート!$AH$6:$AH$505),"",INDEX(テーブル2[[学年]:[判定]],MATCH(体力優良証交付申請書!$A84,入力シート!$AH$6:$AH$505,0),MATCH(体力優良証交付申請書!J$14,テーブル2[[#Headers],[学年]:[得点]],0)))</f>
        <v/>
      </c>
      <c r="K84" s="129" t="str">
        <f>IF($A84&gt;MAX(入力シート!$AH$6:$AH$505),"",INDEX(テーブル2[[学年]:[判定]],MATCH(体力優良証交付申請書!$A84,入力シート!$AH$6:$AH$505,0),MATCH(体力優良証交付申請書!K$14,テーブル2[[#Headers],[学年]:[得点]],0)))</f>
        <v/>
      </c>
      <c r="L84" s="115" t="str">
        <f>IF($A84&gt;MAX(入力シート!$AH$6:$AH$505),"",INDEX(テーブル2[[学年]:[判定]],MATCH(体力優良証交付申請書!$A84,入力シート!$AH$6:$AH$505,0),MATCH(体力優良証交付申請書!L$14,テーブル2[[#Headers],[学年]:[得点]],0)))</f>
        <v/>
      </c>
      <c r="M84" s="115" t="str">
        <f>IF($A84&gt;MAX(入力シート!$AH$6:$AH$505),"",INDEX(テーブル2[[学年]:[判定]],MATCH(体力優良証交付申請書!$A84,入力シート!$AH$6:$AH$505,0),MATCH(体力優良証交付申請書!M$14,テーブル2[[#Headers],[学年]:[得点]],0)))</f>
        <v/>
      </c>
      <c r="N84" s="27" t="str">
        <f>IF($A84&gt;MAX(入力シート!$AH$6:$AH$505),"",INDEX(テーブル2[[学年]:[判定]],MATCH(体力優良証交付申請書!$A84,入力シート!$AH$6:$AH$505,0),MATCH(体力優良証交付申請書!N$14,テーブル2[[#Headers],[学年]:[得点]],0)))</f>
        <v/>
      </c>
    </row>
    <row r="85" spans="1:14" x14ac:dyDescent="0.15">
      <c r="A85" s="17">
        <v>71</v>
      </c>
      <c r="B85" s="115" t="str">
        <f>IF($A85&gt;MAX(入力シート!$AH$6:$AH$505),"",INDEX(テーブル2[[学年]:[判定]],MATCH(体力優良証交付申請書!$A85,入力シート!$AH$6:$AH$505,0),MATCH(体力優良証交付申請書!B$14,テーブル2[[#Headers],[学年]:[得点]],0)))</f>
        <v/>
      </c>
      <c r="C85" s="115" t="str">
        <f>IF($A85&gt;MAX(入力シート!$AH$6:$AH$505),"",INDEX(テーブル2[[学年]:[判定]],MATCH(体力優良証交付申請書!$A85,入力シート!$AH$6:$AH$505,0),MATCH(体力優良証交付申請書!C$14,テーブル2[[#Headers],[学年]:[得点]],0)))</f>
        <v/>
      </c>
      <c r="D85" s="115" t="str">
        <f>IF($A85&gt;MAX(入力シート!$AH$6:$AH$505),"",INDEX(テーブル2[[学年]:[判定]],MATCH(体力優良証交付申請書!$A85,入力シート!$AH$6:$AH$505,0),MATCH(体力優良証交付申請書!D$14,テーブル2[[#Headers],[学年]:[得点]],0)))</f>
        <v/>
      </c>
      <c r="E85" s="115" t="str">
        <f>IF($A85&gt;MAX(入力シート!$AH$6:$AH$505),"",INDEX(テーブル2[[学年]:[判定]],MATCH(体力優良証交付申請書!$A85,入力シート!$AH$6:$AH$505,0),MATCH(体力優良証交付申請書!E$14,テーブル2[[#Headers],[学年]:[得点]],0)))</f>
        <v/>
      </c>
      <c r="F85" s="115" t="str">
        <f>IF($A85&gt;MAX(入力シート!$AH$6:$AH$505),"",INDEX(テーブル2[[学年]:[判定]],MATCH(体力優良証交付申請書!$A85,入力シート!$AH$6:$AH$505,0),MATCH(体力優良証交付申請書!F$14,テーブル2[[#Headers],[学年]:[得点]],0)))</f>
        <v/>
      </c>
      <c r="G85" s="115" t="str">
        <f>IF($A85&gt;MAX(入力シート!$AH$6:$AH$505),"",INDEX(テーブル2[[学年]:[判定]],MATCH(体力優良証交付申請書!$A85,入力シート!$AH$6:$AH$505,0),MATCH(体力優良証交付申請書!G$14,テーブル2[[#Headers],[学年]:[得点]],0)))</f>
        <v/>
      </c>
      <c r="H85" s="115" t="str">
        <f>IF($A85&gt;MAX(入力シート!$AH$6:$AH$505),"",INDEX(テーブル2[[学年]:[判定]],MATCH(体力優良証交付申請書!$A85,入力シート!$AH$6:$AH$505,0),MATCH(体力優良証交付申請書!H$14,テーブル2[[#Headers],[学年]:[得点]],0)))</f>
        <v/>
      </c>
      <c r="I85" s="115" t="str">
        <f>IF($A85&gt;MAX(入力シート!$AH$6:$AH$505),"",INDEX(テーブル2[[学年]:[判定]],MATCH(体力優良証交付申請書!$A85,入力シート!$AH$6:$AH$505,0),MATCH(体力優良証交付申請書!I$14,テーブル2[[#Headers],[学年]:[得点]],0)))</f>
        <v/>
      </c>
      <c r="J85" s="115" t="str">
        <f>IF($A85&gt;MAX(入力シート!$AH$6:$AH$505),"",INDEX(テーブル2[[学年]:[判定]],MATCH(体力優良証交付申請書!$A85,入力シート!$AH$6:$AH$505,0),MATCH(体力優良証交付申請書!J$14,テーブル2[[#Headers],[学年]:[得点]],0)))</f>
        <v/>
      </c>
      <c r="K85" s="129" t="str">
        <f>IF($A85&gt;MAX(入力シート!$AH$6:$AH$505),"",INDEX(テーブル2[[学年]:[判定]],MATCH(体力優良証交付申請書!$A85,入力シート!$AH$6:$AH$505,0),MATCH(体力優良証交付申請書!K$14,テーブル2[[#Headers],[学年]:[得点]],0)))</f>
        <v/>
      </c>
      <c r="L85" s="115" t="str">
        <f>IF($A85&gt;MAX(入力シート!$AH$6:$AH$505),"",INDEX(テーブル2[[学年]:[判定]],MATCH(体力優良証交付申請書!$A85,入力シート!$AH$6:$AH$505,0),MATCH(体力優良証交付申請書!L$14,テーブル2[[#Headers],[学年]:[得点]],0)))</f>
        <v/>
      </c>
      <c r="M85" s="115" t="str">
        <f>IF($A85&gt;MAX(入力シート!$AH$6:$AH$505),"",INDEX(テーブル2[[学年]:[判定]],MATCH(体力優良証交付申請書!$A85,入力シート!$AH$6:$AH$505,0),MATCH(体力優良証交付申請書!M$14,テーブル2[[#Headers],[学年]:[得点]],0)))</f>
        <v/>
      </c>
      <c r="N85" s="27" t="str">
        <f>IF($A85&gt;MAX(入力シート!$AH$6:$AH$505),"",INDEX(テーブル2[[学年]:[判定]],MATCH(体力優良証交付申請書!$A85,入力シート!$AH$6:$AH$505,0),MATCH(体力優良証交付申請書!N$14,テーブル2[[#Headers],[学年]:[得点]],0)))</f>
        <v/>
      </c>
    </row>
    <row r="86" spans="1:14" x14ac:dyDescent="0.15">
      <c r="A86" s="17">
        <v>72</v>
      </c>
      <c r="B86" s="115" t="str">
        <f>IF($A86&gt;MAX(入力シート!$AH$6:$AH$505),"",INDEX(テーブル2[[学年]:[判定]],MATCH(体力優良証交付申請書!$A86,入力シート!$AH$6:$AH$505,0),MATCH(体力優良証交付申請書!B$14,テーブル2[[#Headers],[学年]:[得点]],0)))</f>
        <v/>
      </c>
      <c r="C86" s="115" t="str">
        <f>IF($A86&gt;MAX(入力シート!$AH$6:$AH$505),"",INDEX(テーブル2[[学年]:[判定]],MATCH(体力優良証交付申請書!$A86,入力シート!$AH$6:$AH$505,0),MATCH(体力優良証交付申請書!C$14,テーブル2[[#Headers],[学年]:[得点]],0)))</f>
        <v/>
      </c>
      <c r="D86" s="115" t="str">
        <f>IF($A86&gt;MAX(入力シート!$AH$6:$AH$505),"",INDEX(テーブル2[[学年]:[判定]],MATCH(体力優良証交付申請書!$A86,入力シート!$AH$6:$AH$505,0),MATCH(体力優良証交付申請書!D$14,テーブル2[[#Headers],[学年]:[得点]],0)))</f>
        <v/>
      </c>
      <c r="E86" s="115" t="str">
        <f>IF($A86&gt;MAX(入力シート!$AH$6:$AH$505),"",INDEX(テーブル2[[学年]:[判定]],MATCH(体力優良証交付申請書!$A86,入力シート!$AH$6:$AH$505,0),MATCH(体力優良証交付申請書!E$14,テーブル2[[#Headers],[学年]:[得点]],0)))</f>
        <v/>
      </c>
      <c r="F86" s="115" t="str">
        <f>IF($A86&gt;MAX(入力シート!$AH$6:$AH$505),"",INDEX(テーブル2[[学年]:[判定]],MATCH(体力優良証交付申請書!$A86,入力シート!$AH$6:$AH$505,0),MATCH(体力優良証交付申請書!F$14,テーブル2[[#Headers],[学年]:[得点]],0)))</f>
        <v/>
      </c>
      <c r="G86" s="115" t="str">
        <f>IF($A86&gt;MAX(入力シート!$AH$6:$AH$505),"",INDEX(テーブル2[[学年]:[判定]],MATCH(体力優良証交付申請書!$A86,入力シート!$AH$6:$AH$505,0),MATCH(体力優良証交付申請書!G$14,テーブル2[[#Headers],[学年]:[得点]],0)))</f>
        <v/>
      </c>
      <c r="H86" s="115" t="str">
        <f>IF($A86&gt;MAX(入力シート!$AH$6:$AH$505),"",INDEX(テーブル2[[学年]:[判定]],MATCH(体力優良証交付申請書!$A86,入力シート!$AH$6:$AH$505,0),MATCH(体力優良証交付申請書!H$14,テーブル2[[#Headers],[学年]:[得点]],0)))</f>
        <v/>
      </c>
      <c r="I86" s="115" t="str">
        <f>IF($A86&gt;MAX(入力シート!$AH$6:$AH$505),"",INDEX(テーブル2[[学年]:[判定]],MATCH(体力優良証交付申請書!$A86,入力シート!$AH$6:$AH$505,0),MATCH(体力優良証交付申請書!I$14,テーブル2[[#Headers],[学年]:[得点]],0)))</f>
        <v/>
      </c>
      <c r="J86" s="115" t="str">
        <f>IF($A86&gt;MAX(入力シート!$AH$6:$AH$505),"",INDEX(テーブル2[[学年]:[判定]],MATCH(体力優良証交付申請書!$A86,入力シート!$AH$6:$AH$505,0),MATCH(体力優良証交付申請書!J$14,テーブル2[[#Headers],[学年]:[得点]],0)))</f>
        <v/>
      </c>
      <c r="K86" s="129" t="str">
        <f>IF($A86&gt;MAX(入力シート!$AH$6:$AH$505),"",INDEX(テーブル2[[学年]:[判定]],MATCH(体力優良証交付申請書!$A86,入力シート!$AH$6:$AH$505,0),MATCH(体力優良証交付申請書!K$14,テーブル2[[#Headers],[学年]:[得点]],0)))</f>
        <v/>
      </c>
      <c r="L86" s="115" t="str">
        <f>IF($A86&gt;MAX(入力シート!$AH$6:$AH$505),"",INDEX(テーブル2[[学年]:[判定]],MATCH(体力優良証交付申請書!$A86,入力シート!$AH$6:$AH$505,0),MATCH(体力優良証交付申請書!L$14,テーブル2[[#Headers],[学年]:[得点]],0)))</f>
        <v/>
      </c>
      <c r="M86" s="115" t="str">
        <f>IF($A86&gt;MAX(入力シート!$AH$6:$AH$505),"",INDEX(テーブル2[[学年]:[判定]],MATCH(体力優良証交付申請書!$A86,入力シート!$AH$6:$AH$505,0),MATCH(体力優良証交付申請書!M$14,テーブル2[[#Headers],[学年]:[得点]],0)))</f>
        <v/>
      </c>
      <c r="N86" s="27" t="str">
        <f>IF($A86&gt;MAX(入力シート!$AH$6:$AH$505),"",INDEX(テーブル2[[学年]:[判定]],MATCH(体力優良証交付申請書!$A86,入力シート!$AH$6:$AH$505,0),MATCH(体力優良証交付申請書!N$14,テーブル2[[#Headers],[学年]:[得点]],0)))</f>
        <v/>
      </c>
    </row>
    <row r="87" spans="1:14" x14ac:dyDescent="0.15">
      <c r="A87" s="17">
        <v>73</v>
      </c>
      <c r="B87" s="115" t="str">
        <f>IF($A87&gt;MAX(入力シート!$AH$6:$AH$505),"",INDEX(テーブル2[[学年]:[判定]],MATCH(体力優良証交付申請書!$A87,入力シート!$AH$6:$AH$505,0),MATCH(体力優良証交付申請書!B$14,テーブル2[[#Headers],[学年]:[得点]],0)))</f>
        <v/>
      </c>
      <c r="C87" s="115" t="str">
        <f>IF($A87&gt;MAX(入力シート!$AH$6:$AH$505),"",INDEX(テーブル2[[学年]:[判定]],MATCH(体力優良証交付申請書!$A87,入力シート!$AH$6:$AH$505,0),MATCH(体力優良証交付申請書!C$14,テーブル2[[#Headers],[学年]:[得点]],0)))</f>
        <v/>
      </c>
      <c r="D87" s="115" t="str">
        <f>IF($A87&gt;MAX(入力シート!$AH$6:$AH$505),"",INDEX(テーブル2[[学年]:[判定]],MATCH(体力優良証交付申請書!$A87,入力シート!$AH$6:$AH$505,0),MATCH(体力優良証交付申請書!D$14,テーブル2[[#Headers],[学年]:[得点]],0)))</f>
        <v/>
      </c>
      <c r="E87" s="115" t="str">
        <f>IF($A87&gt;MAX(入力シート!$AH$6:$AH$505),"",INDEX(テーブル2[[学年]:[判定]],MATCH(体力優良証交付申請書!$A87,入力シート!$AH$6:$AH$505,0),MATCH(体力優良証交付申請書!E$14,テーブル2[[#Headers],[学年]:[得点]],0)))</f>
        <v/>
      </c>
      <c r="F87" s="115" t="str">
        <f>IF($A87&gt;MAX(入力シート!$AH$6:$AH$505),"",INDEX(テーブル2[[学年]:[判定]],MATCH(体力優良証交付申請書!$A87,入力シート!$AH$6:$AH$505,0),MATCH(体力優良証交付申請書!F$14,テーブル2[[#Headers],[学年]:[得点]],0)))</f>
        <v/>
      </c>
      <c r="G87" s="115" t="str">
        <f>IF($A87&gt;MAX(入力シート!$AH$6:$AH$505),"",INDEX(テーブル2[[学年]:[判定]],MATCH(体力優良証交付申請書!$A87,入力シート!$AH$6:$AH$505,0),MATCH(体力優良証交付申請書!G$14,テーブル2[[#Headers],[学年]:[得点]],0)))</f>
        <v/>
      </c>
      <c r="H87" s="115" t="str">
        <f>IF($A87&gt;MAX(入力シート!$AH$6:$AH$505),"",INDEX(テーブル2[[学年]:[判定]],MATCH(体力優良証交付申請書!$A87,入力シート!$AH$6:$AH$505,0),MATCH(体力優良証交付申請書!H$14,テーブル2[[#Headers],[学年]:[得点]],0)))</f>
        <v/>
      </c>
      <c r="I87" s="115" t="str">
        <f>IF($A87&gt;MAX(入力シート!$AH$6:$AH$505),"",INDEX(テーブル2[[学年]:[判定]],MATCH(体力優良証交付申請書!$A87,入力シート!$AH$6:$AH$505,0),MATCH(体力優良証交付申請書!I$14,テーブル2[[#Headers],[学年]:[得点]],0)))</f>
        <v/>
      </c>
      <c r="J87" s="115" t="str">
        <f>IF($A87&gt;MAX(入力シート!$AH$6:$AH$505),"",INDEX(テーブル2[[学年]:[判定]],MATCH(体力優良証交付申請書!$A87,入力シート!$AH$6:$AH$505,0),MATCH(体力優良証交付申請書!J$14,テーブル2[[#Headers],[学年]:[得点]],0)))</f>
        <v/>
      </c>
      <c r="K87" s="129" t="str">
        <f>IF($A87&gt;MAX(入力シート!$AH$6:$AH$505),"",INDEX(テーブル2[[学年]:[判定]],MATCH(体力優良証交付申請書!$A87,入力シート!$AH$6:$AH$505,0),MATCH(体力優良証交付申請書!K$14,テーブル2[[#Headers],[学年]:[得点]],0)))</f>
        <v/>
      </c>
      <c r="L87" s="115" t="str">
        <f>IF($A87&gt;MAX(入力シート!$AH$6:$AH$505),"",INDEX(テーブル2[[学年]:[判定]],MATCH(体力優良証交付申請書!$A87,入力シート!$AH$6:$AH$505,0),MATCH(体力優良証交付申請書!L$14,テーブル2[[#Headers],[学年]:[得点]],0)))</f>
        <v/>
      </c>
      <c r="M87" s="115" t="str">
        <f>IF($A87&gt;MAX(入力シート!$AH$6:$AH$505),"",INDEX(テーブル2[[学年]:[判定]],MATCH(体力優良証交付申請書!$A87,入力シート!$AH$6:$AH$505,0),MATCH(体力優良証交付申請書!M$14,テーブル2[[#Headers],[学年]:[得点]],0)))</f>
        <v/>
      </c>
      <c r="N87" s="27" t="str">
        <f>IF($A87&gt;MAX(入力シート!$AH$6:$AH$505),"",INDEX(テーブル2[[学年]:[判定]],MATCH(体力優良証交付申請書!$A87,入力シート!$AH$6:$AH$505,0),MATCH(体力優良証交付申請書!N$14,テーブル2[[#Headers],[学年]:[得点]],0)))</f>
        <v/>
      </c>
    </row>
    <row r="88" spans="1:14" x14ac:dyDescent="0.15">
      <c r="A88" s="17">
        <v>74</v>
      </c>
      <c r="B88" s="115" t="str">
        <f>IF($A88&gt;MAX(入力シート!$AH$6:$AH$505),"",INDEX(テーブル2[[学年]:[判定]],MATCH(体力優良証交付申請書!$A88,入力シート!$AH$6:$AH$505,0),MATCH(体力優良証交付申請書!B$14,テーブル2[[#Headers],[学年]:[得点]],0)))</f>
        <v/>
      </c>
      <c r="C88" s="115" t="str">
        <f>IF($A88&gt;MAX(入力シート!$AH$6:$AH$505),"",INDEX(テーブル2[[学年]:[判定]],MATCH(体力優良証交付申請書!$A88,入力シート!$AH$6:$AH$505,0),MATCH(体力優良証交付申請書!C$14,テーブル2[[#Headers],[学年]:[得点]],0)))</f>
        <v/>
      </c>
      <c r="D88" s="115" t="str">
        <f>IF($A88&gt;MAX(入力シート!$AH$6:$AH$505),"",INDEX(テーブル2[[学年]:[判定]],MATCH(体力優良証交付申請書!$A88,入力シート!$AH$6:$AH$505,0),MATCH(体力優良証交付申請書!D$14,テーブル2[[#Headers],[学年]:[得点]],0)))</f>
        <v/>
      </c>
      <c r="E88" s="115" t="str">
        <f>IF($A88&gt;MAX(入力シート!$AH$6:$AH$505),"",INDEX(テーブル2[[学年]:[判定]],MATCH(体力優良証交付申請書!$A88,入力シート!$AH$6:$AH$505,0),MATCH(体力優良証交付申請書!E$14,テーブル2[[#Headers],[学年]:[得点]],0)))</f>
        <v/>
      </c>
      <c r="F88" s="115" t="str">
        <f>IF($A88&gt;MAX(入力シート!$AH$6:$AH$505),"",INDEX(テーブル2[[学年]:[判定]],MATCH(体力優良証交付申請書!$A88,入力シート!$AH$6:$AH$505,0),MATCH(体力優良証交付申請書!F$14,テーブル2[[#Headers],[学年]:[得点]],0)))</f>
        <v/>
      </c>
      <c r="G88" s="115" t="str">
        <f>IF($A88&gt;MAX(入力シート!$AH$6:$AH$505),"",INDEX(テーブル2[[学年]:[判定]],MATCH(体力優良証交付申請書!$A88,入力シート!$AH$6:$AH$505,0),MATCH(体力優良証交付申請書!G$14,テーブル2[[#Headers],[学年]:[得点]],0)))</f>
        <v/>
      </c>
      <c r="H88" s="115" t="str">
        <f>IF($A88&gt;MAX(入力シート!$AH$6:$AH$505),"",INDEX(テーブル2[[学年]:[判定]],MATCH(体力優良証交付申請書!$A88,入力シート!$AH$6:$AH$505,0),MATCH(体力優良証交付申請書!H$14,テーブル2[[#Headers],[学年]:[得点]],0)))</f>
        <v/>
      </c>
      <c r="I88" s="115" t="str">
        <f>IF($A88&gt;MAX(入力シート!$AH$6:$AH$505),"",INDEX(テーブル2[[学年]:[判定]],MATCH(体力優良証交付申請書!$A88,入力シート!$AH$6:$AH$505,0),MATCH(体力優良証交付申請書!I$14,テーブル2[[#Headers],[学年]:[得点]],0)))</f>
        <v/>
      </c>
      <c r="J88" s="115" t="str">
        <f>IF($A88&gt;MAX(入力シート!$AH$6:$AH$505),"",INDEX(テーブル2[[学年]:[判定]],MATCH(体力優良証交付申請書!$A88,入力シート!$AH$6:$AH$505,0),MATCH(体力優良証交付申請書!J$14,テーブル2[[#Headers],[学年]:[得点]],0)))</f>
        <v/>
      </c>
      <c r="K88" s="129" t="str">
        <f>IF($A88&gt;MAX(入力シート!$AH$6:$AH$505),"",INDEX(テーブル2[[学年]:[判定]],MATCH(体力優良証交付申請書!$A88,入力シート!$AH$6:$AH$505,0),MATCH(体力優良証交付申請書!K$14,テーブル2[[#Headers],[学年]:[得点]],0)))</f>
        <v/>
      </c>
      <c r="L88" s="115" t="str">
        <f>IF($A88&gt;MAX(入力シート!$AH$6:$AH$505),"",INDEX(テーブル2[[学年]:[判定]],MATCH(体力優良証交付申請書!$A88,入力シート!$AH$6:$AH$505,0),MATCH(体力優良証交付申請書!L$14,テーブル2[[#Headers],[学年]:[得点]],0)))</f>
        <v/>
      </c>
      <c r="M88" s="115" t="str">
        <f>IF($A88&gt;MAX(入力シート!$AH$6:$AH$505),"",INDEX(テーブル2[[学年]:[判定]],MATCH(体力優良証交付申請書!$A88,入力シート!$AH$6:$AH$505,0),MATCH(体力優良証交付申請書!M$14,テーブル2[[#Headers],[学年]:[得点]],0)))</f>
        <v/>
      </c>
      <c r="N88" s="27" t="str">
        <f>IF($A88&gt;MAX(入力シート!$AH$6:$AH$505),"",INDEX(テーブル2[[学年]:[判定]],MATCH(体力優良証交付申請書!$A88,入力シート!$AH$6:$AH$505,0),MATCH(体力優良証交付申請書!N$14,テーブル2[[#Headers],[学年]:[得点]],0)))</f>
        <v/>
      </c>
    </row>
    <row r="89" spans="1:14" x14ac:dyDescent="0.15">
      <c r="A89" s="17">
        <v>75</v>
      </c>
      <c r="B89" s="115" t="str">
        <f>IF($A89&gt;MAX(入力シート!$AH$6:$AH$505),"",INDEX(テーブル2[[学年]:[判定]],MATCH(体力優良証交付申請書!$A89,入力シート!$AH$6:$AH$505,0),MATCH(体力優良証交付申請書!B$14,テーブル2[[#Headers],[学年]:[得点]],0)))</f>
        <v/>
      </c>
      <c r="C89" s="115" t="str">
        <f>IF($A89&gt;MAX(入力シート!$AH$6:$AH$505),"",INDEX(テーブル2[[学年]:[判定]],MATCH(体力優良証交付申請書!$A89,入力シート!$AH$6:$AH$505,0),MATCH(体力優良証交付申請書!C$14,テーブル2[[#Headers],[学年]:[得点]],0)))</f>
        <v/>
      </c>
      <c r="D89" s="115" t="str">
        <f>IF($A89&gt;MAX(入力シート!$AH$6:$AH$505),"",INDEX(テーブル2[[学年]:[判定]],MATCH(体力優良証交付申請書!$A89,入力シート!$AH$6:$AH$505,0),MATCH(体力優良証交付申請書!D$14,テーブル2[[#Headers],[学年]:[得点]],0)))</f>
        <v/>
      </c>
      <c r="E89" s="115" t="str">
        <f>IF($A89&gt;MAX(入力シート!$AH$6:$AH$505),"",INDEX(テーブル2[[学年]:[判定]],MATCH(体力優良証交付申請書!$A89,入力シート!$AH$6:$AH$505,0),MATCH(体力優良証交付申請書!E$14,テーブル2[[#Headers],[学年]:[得点]],0)))</f>
        <v/>
      </c>
      <c r="F89" s="115" t="str">
        <f>IF($A89&gt;MAX(入力シート!$AH$6:$AH$505),"",INDEX(テーブル2[[学年]:[判定]],MATCH(体力優良証交付申請書!$A89,入力シート!$AH$6:$AH$505,0),MATCH(体力優良証交付申請書!F$14,テーブル2[[#Headers],[学年]:[得点]],0)))</f>
        <v/>
      </c>
      <c r="G89" s="115" t="str">
        <f>IF($A89&gt;MAX(入力シート!$AH$6:$AH$505),"",INDEX(テーブル2[[学年]:[判定]],MATCH(体力優良証交付申請書!$A89,入力シート!$AH$6:$AH$505,0),MATCH(体力優良証交付申請書!G$14,テーブル2[[#Headers],[学年]:[得点]],0)))</f>
        <v/>
      </c>
      <c r="H89" s="115" t="str">
        <f>IF($A89&gt;MAX(入力シート!$AH$6:$AH$505),"",INDEX(テーブル2[[学年]:[判定]],MATCH(体力優良証交付申請書!$A89,入力シート!$AH$6:$AH$505,0),MATCH(体力優良証交付申請書!H$14,テーブル2[[#Headers],[学年]:[得点]],0)))</f>
        <v/>
      </c>
      <c r="I89" s="115" t="str">
        <f>IF($A89&gt;MAX(入力シート!$AH$6:$AH$505),"",INDEX(テーブル2[[学年]:[判定]],MATCH(体力優良証交付申請書!$A89,入力シート!$AH$6:$AH$505,0),MATCH(体力優良証交付申請書!I$14,テーブル2[[#Headers],[学年]:[得点]],0)))</f>
        <v/>
      </c>
      <c r="J89" s="115" t="str">
        <f>IF($A89&gt;MAX(入力シート!$AH$6:$AH$505),"",INDEX(テーブル2[[学年]:[判定]],MATCH(体力優良証交付申請書!$A89,入力シート!$AH$6:$AH$505,0),MATCH(体力優良証交付申請書!J$14,テーブル2[[#Headers],[学年]:[得点]],0)))</f>
        <v/>
      </c>
      <c r="K89" s="129" t="str">
        <f>IF($A89&gt;MAX(入力シート!$AH$6:$AH$505),"",INDEX(テーブル2[[学年]:[判定]],MATCH(体力優良証交付申請書!$A89,入力シート!$AH$6:$AH$505,0),MATCH(体力優良証交付申請書!K$14,テーブル2[[#Headers],[学年]:[得点]],0)))</f>
        <v/>
      </c>
      <c r="L89" s="115" t="str">
        <f>IF($A89&gt;MAX(入力シート!$AH$6:$AH$505),"",INDEX(テーブル2[[学年]:[判定]],MATCH(体力優良証交付申請書!$A89,入力シート!$AH$6:$AH$505,0),MATCH(体力優良証交付申請書!L$14,テーブル2[[#Headers],[学年]:[得点]],0)))</f>
        <v/>
      </c>
      <c r="M89" s="115" t="str">
        <f>IF($A89&gt;MAX(入力シート!$AH$6:$AH$505),"",INDEX(テーブル2[[学年]:[判定]],MATCH(体力優良証交付申請書!$A89,入力シート!$AH$6:$AH$505,0),MATCH(体力優良証交付申請書!M$14,テーブル2[[#Headers],[学年]:[得点]],0)))</f>
        <v/>
      </c>
      <c r="N89" s="27" t="str">
        <f>IF($A89&gt;MAX(入力シート!$AH$6:$AH$505),"",INDEX(テーブル2[[学年]:[判定]],MATCH(体力優良証交付申請書!$A89,入力シート!$AH$6:$AH$505,0),MATCH(体力優良証交付申請書!N$14,テーブル2[[#Headers],[学年]:[得点]],0)))</f>
        <v/>
      </c>
    </row>
    <row r="90" spans="1:14" x14ac:dyDescent="0.15">
      <c r="A90" s="17">
        <v>76</v>
      </c>
      <c r="B90" s="115" t="str">
        <f>IF($A90&gt;MAX(入力シート!$AH$6:$AH$505),"",INDEX(テーブル2[[学年]:[判定]],MATCH(体力優良証交付申請書!$A90,入力シート!$AH$6:$AH$505,0),MATCH(体力優良証交付申請書!B$14,テーブル2[[#Headers],[学年]:[得点]],0)))</f>
        <v/>
      </c>
      <c r="C90" s="115" t="str">
        <f>IF($A90&gt;MAX(入力シート!$AH$6:$AH$505),"",INDEX(テーブル2[[学年]:[判定]],MATCH(体力優良証交付申請書!$A90,入力シート!$AH$6:$AH$505,0),MATCH(体力優良証交付申請書!C$14,テーブル2[[#Headers],[学年]:[得点]],0)))</f>
        <v/>
      </c>
      <c r="D90" s="115" t="str">
        <f>IF($A90&gt;MAX(入力シート!$AH$6:$AH$505),"",INDEX(テーブル2[[学年]:[判定]],MATCH(体力優良証交付申請書!$A90,入力シート!$AH$6:$AH$505,0),MATCH(体力優良証交付申請書!D$14,テーブル2[[#Headers],[学年]:[得点]],0)))</f>
        <v/>
      </c>
      <c r="E90" s="115" t="str">
        <f>IF($A90&gt;MAX(入力シート!$AH$6:$AH$505),"",INDEX(テーブル2[[学年]:[判定]],MATCH(体力優良証交付申請書!$A90,入力シート!$AH$6:$AH$505,0),MATCH(体力優良証交付申請書!E$14,テーブル2[[#Headers],[学年]:[得点]],0)))</f>
        <v/>
      </c>
      <c r="F90" s="115" t="str">
        <f>IF($A90&gt;MAX(入力シート!$AH$6:$AH$505),"",INDEX(テーブル2[[学年]:[判定]],MATCH(体力優良証交付申請書!$A90,入力シート!$AH$6:$AH$505,0),MATCH(体力優良証交付申請書!F$14,テーブル2[[#Headers],[学年]:[得点]],0)))</f>
        <v/>
      </c>
      <c r="G90" s="115" t="str">
        <f>IF($A90&gt;MAX(入力シート!$AH$6:$AH$505),"",INDEX(テーブル2[[学年]:[判定]],MATCH(体力優良証交付申請書!$A90,入力シート!$AH$6:$AH$505,0),MATCH(体力優良証交付申請書!G$14,テーブル2[[#Headers],[学年]:[得点]],0)))</f>
        <v/>
      </c>
      <c r="H90" s="115" t="str">
        <f>IF($A90&gt;MAX(入力シート!$AH$6:$AH$505),"",INDEX(テーブル2[[学年]:[判定]],MATCH(体力優良証交付申請書!$A90,入力シート!$AH$6:$AH$505,0),MATCH(体力優良証交付申請書!H$14,テーブル2[[#Headers],[学年]:[得点]],0)))</f>
        <v/>
      </c>
      <c r="I90" s="115" t="str">
        <f>IF($A90&gt;MAX(入力シート!$AH$6:$AH$505),"",INDEX(テーブル2[[学年]:[判定]],MATCH(体力優良証交付申請書!$A90,入力シート!$AH$6:$AH$505,0),MATCH(体力優良証交付申請書!I$14,テーブル2[[#Headers],[学年]:[得点]],0)))</f>
        <v/>
      </c>
      <c r="J90" s="115" t="str">
        <f>IF($A90&gt;MAX(入力シート!$AH$6:$AH$505),"",INDEX(テーブル2[[学年]:[判定]],MATCH(体力優良証交付申請書!$A90,入力シート!$AH$6:$AH$505,0),MATCH(体力優良証交付申請書!J$14,テーブル2[[#Headers],[学年]:[得点]],0)))</f>
        <v/>
      </c>
      <c r="K90" s="129" t="str">
        <f>IF($A90&gt;MAX(入力シート!$AH$6:$AH$505),"",INDEX(テーブル2[[学年]:[判定]],MATCH(体力優良証交付申請書!$A90,入力シート!$AH$6:$AH$505,0),MATCH(体力優良証交付申請書!K$14,テーブル2[[#Headers],[学年]:[得点]],0)))</f>
        <v/>
      </c>
      <c r="L90" s="115" t="str">
        <f>IF($A90&gt;MAX(入力シート!$AH$6:$AH$505),"",INDEX(テーブル2[[学年]:[判定]],MATCH(体力優良証交付申請書!$A90,入力シート!$AH$6:$AH$505,0),MATCH(体力優良証交付申請書!L$14,テーブル2[[#Headers],[学年]:[得点]],0)))</f>
        <v/>
      </c>
      <c r="M90" s="115" t="str">
        <f>IF($A90&gt;MAX(入力シート!$AH$6:$AH$505),"",INDEX(テーブル2[[学年]:[判定]],MATCH(体力優良証交付申請書!$A90,入力シート!$AH$6:$AH$505,0),MATCH(体力優良証交付申請書!M$14,テーブル2[[#Headers],[学年]:[得点]],0)))</f>
        <v/>
      </c>
      <c r="N90" s="27" t="str">
        <f>IF($A90&gt;MAX(入力シート!$AH$6:$AH$505),"",INDEX(テーブル2[[学年]:[判定]],MATCH(体力優良証交付申請書!$A90,入力シート!$AH$6:$AH$505,0),MATCH(体力優良証交付申請書!N$14,テーブル2[[#Headers],[学年]:[得点]],0)))</f>
        <v/>
      </c>
    </row>
    <row r="91" spans="1:14" x14ac:dyDescent="0.15">
      <c r="A91" s="17">
        <v>77</v>
      </c>
      <c r="B91" s="115" t="str">
        <f>IF($A91&gt;MAX(入力シート!$AH$6:$AH$505),"",INDEX(テーブル2[[学年]:[判定]],MATCH(体力優良証交付申請書!$A91,入力シート!$AH$6:$AH$505,0),MATCH(体力優良証交付申請書!B$14,テーブル2[[#Headers],[学年]:[得点]],0)))</f>
        <v/>
      </c>
      <c r="C91" s="115" t="str">
        <f>IF($A91&gt;MAX(入力シート!$AH$6:$AH$505),"",INDEX(テーブル2[[学年]:[判定]],MATCH(体力優良証交付申請書!$A91,入力シート!$AH$6:$AH$505,0),MATCH(体力優良証交付申請書!C$14,テーブル2[[#Headers],[学年]:[得点]],0)))</f>
        <v/>
      </c>
      <c r="D91" s="115" t="str">
        <f>IF($A91&gt;MAX(入力シート!$AH$6:$AH$505),"",INDEX(テーブル2[[学年]:[判定]],MATCH(体力優良証交付申請書!$A91,入力シート!$AH$6:$AH$505,0),MATCH(体力優良証交付申請書!D$14,テーブル2[[#Headers],[学年]:[得点]],0)))</f>
        <v/>
      </c>
      <c r="E91" s="115" t="str">
        <f>IF($A91&gt;MAX(入力シート!$AH$6:$AH$505),"",INDEX(テーブル2[[学年]:[判定]],MATCH(体力優良証交付申請書!$A91,入力シート!$AH$6:$AH$505,0),MATCH(体力優良証交付申請書!E$14,テーブル2[[#Headers],[学年]:[得点]],0)))</f>
        <v/>
      </c>
      <c r="F91" s="115" t="str">
        <f>IF($A91&gt;MAX(入力シート!$AH$6:$AH$505),"",INDEX(テーブル2[[学年]:[判定]],MATCH(体力優良証交付申請書!$A91,入力シート!$AH$6:$AH$505,0),MATCH(体力優良証交付申請書!F$14,テーブル2[[#Headers],[学年]:[得点]],0)))</f>
        <v/>
      </c>
      <c r="G91" s="115" t="str">
        <f>IF($A91&gt;MAX(入力シート!$AH$6:$AH$505),"",INDEX(テーブル2[[学年]:[判定]],MATCH(体力優良証交付申請書!$A91,入力シート!$AH$6:$AH$505,0),MATCH(体力優良証交付申請書!G$14,テーブル2[[#Headers],[学年]:[得点]],0)))</f>
        <v/>
      </c>
      <c r="H91" s="115" t="str">
        <f>IF($A91&gt;MAX(入力シート!$AH$6:$AH$505),"",INDEX(テーブル2[[学年]:[判定]],MATCH(体力優良証交付申請書!$A91,入力シート!$AH$6:$AH$505,0),MATCH(体力優良証交付申請書!H$14,テーブル2[[#Headers],[学年]:[得点]],0)))</f>
        <v/>
      </c>
      <c r="I91" s="115" t="str">
        <f>IF($A91&gt;MAX(入力シート!$AH$6:$AH$505),"",INDEX(テーブル2[[学年]:[判定]],MATCH(体力優良証交付申請書!$A91,入力シート!$AH$6:$AH$505,0),MATCH(体力優良証交付申請書!I$14,テーブル2[[#Headers],[学年]:[得点]],0)))</f>
        <v/>
      </c>
      <c r="J91" s="115" t="str">
        <f>IF($A91&gt;MAX(入力シート!$AH$6:$AH$505),"",INDEX(テーブル2[[学年]:[判定]],MATCH(体力優良証交付申請書!$A91,入力シート!$AH$6:$AH$505,0),MATCH(体力優良証交付申請書!J$14,テーブル2[[#Headers],[学年]:[得点]],0)))</f>
        <v/>
      </c>
      <c r="K91" s="129" t="str">
        <f>IF($A91&gt;MAX(入力シート!$AH$6:$AH$505),"",INDEX(テーブル2[[学年]:[判定]],MATCH(体力優良証交付申請書!$A91,入力シート!$AH$6:$AH$505,0),MATCH(体力優良証交付申請書!K$14,テーブル2[[#Headers],[学年]:[得点]],0)))</f>
        <v/>
      </c>
      <c r="L91" s="115" t="str">
        <f>IF($A91&gt;MAX(入力シート!$AH$6:$AH$505),"",INDEX(テーブル2[[学年]:[判定]],MATCH(体力優良証交付申請書!$A91,入力シート!$AH$6:$AH$505,0),MATCH(体力優良証交付申請書!L$14,テーブル2[[#Headers],[学年]:[得点]],0)))</f>
        <v/>
      </c>
      <c r="M91" s="115" t="str">
        <f>IF($A91&gt;MAX(入力シート!$AH$6:$AH$505),"",INDEX(テーブル2[[学年]:[判定]],MATCH(体力優良証交付申請書!$A91,入力シート!$AH$6:$AH$505,0),MATCH(体力優良証交付申請書!M$14,テーブル2[[#Headers],[学年]:[得点]],0)))</f>
        <v/>
      </c>
      <c r="N91" s="27" t="str">
        <f>IF($A91&gt;MAX(入力シート!$AH$6:$AH$505),"",INDEX(テーブル2[[学年]:[判定]],MATCH(体力優良証交付申請書!$A91,入力シート!$AH$6:$AH$505,0),MATCH(体力優良証交付申請書!N$14,テーブル2[[#Headers],[学年]:[得点]],0)))</f>
        <v/>
      </c>
    </row>
    <row r="92" spans="1:14" x14ac:dyDescent="0.15">
      <c r="A92" s="17">
        <v>78</v>
      </c>
      <c r="B92" s="115" t="str">
        <f>IF($A92&gt;MAX(入力シート!$AH$6:$AH$505),"",INDEX(テーブル2[[学年]:[判定]],MATCH(体力優良証交付申請書!$A92,入力シート!$AH$6:$AH$505,0),MATCH(体力優良証交付申請書!B$14,テーブル2[[#Headers],[学年]:[得点]],0)))</f>
        <v/>
      </c>
      <c r="C92" s="115" t="str">
        <f>IF($A92&gt;MAX(入力シート!$AH$6:$AH$505),"",INDEX(テーブル2[[学年]:[判定]],MATCH(体力優良証交付申請書!$A92,入力シート!$AH$6:$AH$505,0),MATCH(体力優良証交付申請書!C$14,テーブル2[[#Headers],[学年]:[得点]],0)))</f>
        <v/>
      </c>
      <c r="D92" s="115" t="str">
        <f>IF($A92&gt;MAX(入力シート!$AH$6:$AH$505),"",INDEX(テーブル2[[学年]:[判定]],MATCH(体力優良証交付申請書!$A92,入力シート!$AH$6:$AH$505,0),MATCH(体力優良証交付申請書!D$14,テーブル2[[#Headers],[学年]:[得点]],0)))</f>
        <v/>
      </c>
      <c r="E92" s="115" t="str">
        <f>IF($A92&gt;MAX(入力シート!$AH$6:$AH$505),"",INDEX(テーブル2[[学年]:[判定]],MATCH(体力優良証交付申請書!$A92,入力シート!$AH$6:$AH$505,0),MATCH(体力優良証交付申請書!E$14,テーブル2[[#Headers],[学年]:[得点]],0)))</f>
        <v/>
      </c>
      <c r="F92" s="115" t="str">
        <f>IF($A92&gt;MAX(入力シート!$AH$6:$AH$505),"",INDEX(テーブル2[[学年]:[判定]],MATCH(体力優良証交付申請書!$A92,入力シート!$AH$6:$AH$505,0),MATCH(体力優良証交付申請書!F$14,テーブル2[[#Headers],[学年]:[得点]],0)))</f>
        <v/>
      </c>
      <c r="G92" s="115" t="str">
        <f>IF($A92&gt;MAX(入力シート!$AH$6:$AH$505),"",INDEX(テーブル2[[学年]:[判定]],MATCH(体力優良証交付申請書!$A92,入力シート!$AH$6:$AH$505,0),MATCH(体力優良証交付申請書!G$14,テーブル2[[#Headers],[学年]:[得点]],0)))</f>
        <v/>
      </c>
      <c r="H92" s="115" t="str">
        <f>IF($A92&gt;MAX(入力シート!$AH$6:$AH$505),"",INDEX(テーブル2[[学年]:[判定]],MATCH(体力優良証交付申請書!$A92,入力シート!$AH$6:$AH$505,0),MATCH(体力優良証交付申請書!H$14,テーブル2[[#Headers],[学年]:[得点]],0)))</f>
        <v/>
      </c>
      <c r="I92" s="115" t="str">
        <f>IF($A92&gt;MAX(入力シート!$AH$6:$AH$505),"",INDEX(テーブル2[[学年]:[判定]],MATCH(体力優良証交付申請書!$A92,入力シート!$AH$6:$AH$505,0),MATCH(体力優良証交付申請書!I$14,テーブル2[[#Headers],[学年]:[得点]],0)))</f>
        <v/>
      </c>
      <c r="J92" s="115" t="str">
        <f>IF($A92&gt;MAX(入力シート!$AH$6:$AH$505),"",INDEX(テーブル2[[学年]:[判定]],MATCH(体力優良証交付申請書!$A92,入力シート!$AH$6:$AH$505,0),MATCH(体力優良証交付申請書!J$14,テーブル2[[#Headers],[学年]:[得点]],0)))</f>
        <v/>
      </c>
      <c r="K92" s="129" t="str">
        <f>IF($A92&gt;MAX(入力シート!$AH$6:$AH$505),"",INDEX(テーブル2[[学年]:[判定]],MATCH(体力優良証交付申請書!$A92,入力シート!$AH$6:$AH$505,0),MATCH(体力優良証交付申請書!K$14,テーブル2[[#Headers],[学年]:[得点]],0)))</f>
        <v/>
      </c>
      <c r="L92" s="115" t="str">
        <f>IF($A92&gt;MAX(入力シート!$AH$6:$AH$505),"",INDEX(テーブル2[[学年]:[判定]],MATCH(体力優良証交付申請書!$A92,入力シート!$AH$6:$AH$505,0),MATCH(体力優良証交付申請書!L$14,テーブル2[[#Headers],[学年]:[得点]],0)))</f>
        <v/>
      </c>
      <c r="M92" s="115" t="str">
        <f>IF($A92&gt;MAX(入力シート!$AH$6:$AH$505),"",INDEX(テーブル2[[学年]:[判定]],MATCH(体力優良証交付申請書!$A92,入力シート!$AH$6:$AH$505,0),MATCH(体力優良証交付申請書!M$14,テーブル2[[#Headers],[学年]:[得点]],0)))</f>
        <v/>
      </c>
      <c r="N92" s="27" t="str">
        <f>IF($A92&gt;MAX(入力シート!$AH$6:$AH$505),"",INDEX(テーブル2[[学年]:[判定]],MATCH(体力優良証交付申請書!$A92,入力シート!$AH$6:$AH$505,0),MATCH(体力優良証交付申請書!N$14,テーブル2[[#Headers],[学年]:[得点]],0)))</f>
        <v/>
      </c>
    </row>
    <row r="93" spans="1:14" x14ac:dyDescent="0.15">
      <c r="A93" s="17">
        <v>79</v>
      </c>
      <c r="B93" s="115" t="str">
        <f>IF($A93&gt;MAX(入力シート!$AH$6:$AH$505),"",INDEX(テーブル2[[学年]:[判定]],MATCH(体力優良証交付申請書!$A93,入力シート!$AH$6:$AH$505,0),MATCH(体力優良証交付申請書!B$14,テーブル2[[#Headers],[学年]:[得点]],0)))</f>
        <v/>
      </c>
      <c r="C93" s="115" t="str">
        <f>IF($A93&gt;MAX(入力シート!$AH$6:$AH$505),"",INDEX(テーブル2[[学年]:[判定]],MATCH(体力優良証交付申請書!$A93,入力シート!$AH$6:$AH$505,0),MATCH(体力優良証交付申請書!C$14,テーブル2[[#Headers],[学年]:[得点]],0)))</f>
        <v/>
      </c>
      <c r="D93" s="115" t="str">
        <f>IF($A93&gt;MAX(入力シート!$AH$6:$AH$505),"",INDEX(テーブル2[[学年]:[判定]],MATCH(体力優良証交付申請書!$A93,入力シート!$AH$6:$AH$505,0),MATCH(体力優良証交付申請書!D$14,テーブル2[[#Headers],[学年]:[得点]],0)))</f>
        <v/>
      </c>
      <c r="E93" s="115" t="str">
        <f>IF($A93&gt;MAX(入力シート!$AH$6:$AH$505),"",INDEX(テーブル2[[学年]:[判定]],MATCH(体力優良証交付申請書!$A93,入力シート!$AH$6:$AH$505,0),MATCH(体力優良証交付申請書!E$14,テーブル2[[#Headers],[学年]:[得点]],0)))</f>
        <v/>
      </c>
      <c r="F93" s="115" t="str">
        <f>IF($A93&gt;MAX(入力シート!$AH$6:$AH$505),"",INDEX(テーブル2[[学年]:[判定]],MATCH(体力優良証交付申請書!$A93,入力シート!$AH$6:$AH$505,0),MATCH(体力優良証交付申請書!F$14,テーブル2[[#Headers],[学年]:[得点]],0)))</f>
        <v/>
      </c>
      <c r="G93" s="115" t="str">
        <f>IF($A93&gt;MAX(入力シート!$AH$6:$AH$505),"",INDEX(テーブル2[[学年]:[判定]],MATCH(体力優良証交付申請書!$A93,入力シート!$AH$6:$AH$505,0),MATCH(体力優良証交付申請書!G$14,テーブル2[[#Headers],[学年]:[得点]],0)))</f>
        <v/>
      </c>
      <c r="H93" s="115" t="str">
        <f>IF($A93&gt;MAX(入力シート!$AH$6:$AH$505),"",INDEX(テーブル2[[学年]:[判定]],MATCH(体力優良証交付申請書!$A93,入力シート!$AH$6:$AH$505,0),MATCH(体力優良証交付申請書!H$14,テーブル2[[#Headers],[学年]:[得点]],0)))</f>
        <v/>
      </c>
      <c r="I93" s="115" t="str">
        <f>IF($A93&gt;MAX(入力シート!$AH$6:$AH$505),"",INDEX(テーブル2[[学年]:[判定]],MATCH(体力優良証交付申請書!$A93,入力シート!$AH$6:$AH$505,0),MATCH(体力優良証交付申請書!I$14,テーブル2[[#Headers],[学年]:[得点]],0)))</f>
        <v/>
      </c>
      <c r="J93" s="115" t="str">
        <f>IF($A93&gt;MAX(入力シート!$AH$6:$AH$505),"",INDEX(テーブル2[[学年]:[判定]],MATCH(体力優良証交付申請書!$A93,入力シート!$AH$6:$AH$505,0),MATCH(体力優良証交付申請書!J$14,テーブル2[[#Headers],[学年]:[得点]],0)))</f>
        <v/>
      </c>
      <c r="K93" s="129" t="str">
        <f>IF($A93&gt;MAX(入力シート!$AH$6:$AH$505),"",INDEX(テーブル2[[学年]:[判定]],MATCH(体力優良証交付申請書!$A93,入力シート!$AH$6:$AH$505,0),MATCH(体力優良証交付申請書!K$14,テーブル2[[#Headers],[学年]:[得点]],0)))</f>
        <v/>
      </c>
      <c r="L93" s="115" t="str">
        <f>IF($A93&gt;MAX(入力シート!$AH$6:$AH$505),"",INDEX(テーブル2[[学年]:[判定]],MATCH(体力優良証交付申請書!$A93,入力シート!$AH$6:$AH$505,0),MATCH(体力優良証交付申請書!L$14,テーブル2[[#Headers],[学年]:[得点]],0)))</f>
        <v/>
      </c>
      <c r="M93" s="115" t="str">
        <f>IF($A93&gt;MAX(入力シート!$AH$6:$AH$505),"",INDEX(テーブル2[[学年]:[判定]],MATCH(体力優良証交付申請書!$A93,入力シート!$AH$6:$AH$505,0),MATCH(体力優良証交付申請書!M$14,テーブル2[[#Headers],[学年]:[得点]],0)))</f>
        <v/>
      </c>
      <c r="N93" s="27" t="str">
        <f>IF($A93&gt;MAX(入力シート!$AH$6:$AH$505),"",INDEX(テーブル2[[学年]:[判定]],MATCH(体力優良証交付申請書!$A93,入力シート!$AH$6:$AH$505,0),MATCH(体力優良証交付申請書!N$14,テーブル2[[#Headers],[学年]:[得点]],0)))</f>
        <v/>
      </c>
    </row>
    <row r="94" spans="1:14" x14ac:dyDescent="0.15">
      <c r="A94" s="17">
        <v>80</v>
      </c>
      <c r="B94" s="115" t="str">
        <f>IF($A94&gt;MAX(入力シート!$AH$6:$AH$505),"",INDEX(テーブル2[[学年]:[判定]],MATCH(体力優良証交付申請書!$A94,入力シート!$AH$6:$AH$505,0),MATCH(体力優良証交付申請書!B$14,テーブル2[[#Headers],[学年]:[得点]],0)))</f>
        <v/>
      </c>
      <c r="C94" s="115" t="str">
        <f>IF($A94&gt;MAX(入力シート!$AH$6:$AH$505),"",INDEX(テーブル2[[学年]:[判定]],MATCH(体力優良証交付申請書!$A94,入力シート!$AH$6:$AH$505,0),MATCH(体力優良証交付申請書!C$14,テーブル2[[#Headers],[学年]:[得点]],0)))</f>
        <v/>
      </c>
      <c r="D94" s="115" t="str">
        <f>IF($A94&gt;MAX(入力シート!$AH$6:$AH$505),"",INDEX(テーブル2[[学年]:[判定]],MATCH(体力優良証交付申請書!$A94,入力シート!$AH$6:$AH$505,0),MATCH(体力優良証交付申請書!D$14,テーブル2[[#Headers],[学年]:[得点]],0)))</f>
        <v/>
      </c>
      <c r="E94" s="115" t="str">
        <f>IF($A94&gt;MAX(入力シート!$AH$6:$AH$505),"",INDEX(テーブル2[[学年]:[判定]],MATCH(体力優良証交付申請書!$A94,入力シート!$AH$6:$AH$505,0),MATCH(体力優良証交付申請書!E$14,テーブル2[[#Headers],[学年]:[得点]],0)))</f>
        <v/>
      </c>
      <c r="F94" s="115" t="str">
        <f>IF($A94&gt;MAX(入力シート!$AH$6:$AH$505),"",INDEX(テーブル2[[学年]:[判定]],MATCH(体力優良証交付申請書!$A94,入力シート!$AH$6:$AH$505,0),MATCH(体力優良証交付申請書!F$14,テーブル2[[#Headers],[学年]:[得点]],0)))</f>
        <v/>
      </c>
      <c r="G94" s="115" t="str">
        <f>IF($A94&gt;MAX(入力シート!$AH$6:$AH$505),"",INDEX(テーブル2[[学年]:[判定]],MATCH(体力優良証交付申請書!$A94,入力シート!$AH$6:$AH$505,0),MATCH(体力優良証交付申請書!G$14,テーブル2[[#Headers],[学年]:[得点]],0)))</f>
        <v/>
      </c>
      <c r="H94" s="115" t="str">
        <f>IF($A94&gt;MAX(入力シート!$AH$6:$AH$505),"",INDEX(テーブル2[[学年]:[判定]],MATCH(体力優良証交付申請書!$A94,入力シート!$AH$6:$AH$505,0),MATCH(体力優良証交付申請書!H$14,テーブル2[[#Headers],[学年]:[得点]],0)))</f>
        <v/>
      </c>
      <c r="I94" s="115" t="str">
        <f>IF($A94&gt;MAX(入力シート!$AH$6:$AH$505),"",INDEX(テーブル2[[学年]:[判定]],MATCH(体力優良証交付申請書!$A94,入力シート!$AH$6:$AH$505,0),MATCH(体力優良証交付申請書!I$14,テーブル2[[#Headers],[学年]:[得点]],0)))</f>
        <v/>
      </c>
      <c r="J94" s="115" t="str">
        <f>IF($A94&gt;MAX(入力シート!$AH$6:$AH$505),"",INDEX(テーブル2[[学年]:[判定]],MATCH(体力優良証交付申請書!$A94,入力シート!$AH$6:$AH$505,0),MATCH(体力優良証交付申請書!J$14,テーブル2[[#Headers],[学年]:[得点]],0)))</f>
        <v/>
      </c>
      <c r="K94" s="129" t="str">
        <f>IF($A94&gt;MAX(入力シート!$AH$6:$AH$505),"",INDEX(テーブル2[[学年]:[判定]],MATCH(体力優良証交付申請書!$A94,入力シート!$AH$6:$AH$505,0),MATCH(体力優良証交付申請書!K$14,テーブル2[[#Headers],[学年]:[得点]],0)))</f>
        <v/>
      </c>
      <c r="L94" s="115" t="str">
        <f>IF($A94&gt;MAX(入力シート!$AH$6:$AH$505),"",INDEX(テーブル2[[学年]:[判定]],MATCH(体力優良証交付申請書!$A94,入力シート!$AH$6:$AH$505,0),MATCH(体力優良証交付申請書!L$14,テーブル2[[#Headers],[学年]:[得点]],0)))</f>
        <v/>
      </c>
      <c r="M94" s="115" t="str">
        <f>IF($A94&gt;MAX(入力シート!$AH$6:$AH$505),"",INDEX(テーブル2[[学年]:[判定]],MATCH(体力優良証交付申請書!$A94,入力シート!$AH$6:$AH$505,0),MATCH(体力優良証交付申請書!M$14,テーブル2[[#Headers],[学年]:[得点]],0)))</f>
        <v/>
      </c>
      <c r="N94" s="27" t="str">
        <f>IF($A94&gt;MAX(入力シート!$AH$6:$AH$505),"",INDEX(テーブル2[[学年]:[判定]],MATCH(体力優良証交付申請書!$A94,入力シート!$AH$6:$AH$505,0),MATCH(体力優良証交付申請書!N$14,テーブル2[[#Headers],[学年]:[得点]],0)))</f>
        <v/>
      </c>
    </row>
    <row r="95" spans="1:14" x14ac:dyDescent="0.15">
      <c r="A95" s="17">
        <v>81</v>
      </c>
      <c r="B95" s="115" t="str">
        <f>IF($A95&gt;MAX(入力シート!$AH$6:$AH$505),"",INDEX(テーブル2[[学年]:[判定]],MATCH(体力優良証交付申請書!$A95,入力シート!$AH$6:$AH$505,0),MATCH(体力優良証交付申請書!B$14,テーブル2[[#Headers],[学年]:[得点]],0)))</f>
        <v/>
      </c>
      <c r="C95" s="115" t="str">
        <f>IF($A95&gt;MAX(入力シート!$AH$6:$AH$505),"",INDEX(テーブル2[[学年]:[判定]],MATCH(体力優良証交付申請書!$A95,入力シート!$AH$6:$AH$505,0),MATCH(体力優良証交付申請書!C$14,テーブル2[[#Headers],[学年]:[得点]],0)))</f>
        <v/>
      </c>
      <c r="D95" s="115" t="str">
        <f>IF($A95&gt;MAX(入力シート!$AH$6:$AH$505),"",INDEX(テーブル2[[学年]:[判定]],MATCH(体力優良証交付申請書!$A95,入力シート!$AH$6:$AH$505,0),MATCH(体力優良証交付申請書!D$14,テーブル2[[#Headers],[学年]:[得点]],0)))</f>
        <v/>
      </c>
      <c r="E95" s="115" t="str">
        <f>IF($A95&gt;MAX(入力シート!$AH$6:$AH$505),"",INDEX(テーブル2[[学年]:[判定]],MATCH(体力優良証交付申請書!$A95,入力シート!$AH$6:$AH$505,0),MATCH(体力優良証交付申請書!E$14,テーブル2[[#Headers],[学年]:[得点]],0)))</f>
        <v/>
      </c>
      <c r="F95" s="115" t="str">
        <f>IF($A95&gt;MAX(入力シート!$AH$6:$AH$505),"",INDEX(テーブル2[[学年]:[判定]],MATCH(体力優良証交付申請書!$A95,入力シート!$AH$6:$AH$505,0),MATCH(体力優良証交付申請書!F$14,テーブル2[[#Headers],[学年]:[得点]],0)))</f>
        <v/>
      </c>
      <c r="G95" s="115" t="str">
        <f>IF($A95&gt;MAX(入力シート!$AH$6:$AH$505),"",INDEX(テーブル2[[学年]:[判定]],MATCH(体力優良証交付申請書!$A95,入力シート!$AH$6:$AH$505,0),MATCH(体力優良証交付申請書!G$14,テーブル2[[#Headers],[学年]:[得点]],0)))</f>
        <v/>
      </c>
      <c r="H95" s="115" t="str">
        <f>IF($A95&gt;MAX(入力シート!$AH$6:$AH$505),"",INDEX(テーブル2[[学年]:[判定]],MATCH(体力優良証交付申請書!$A95,入力シート!$AH$6:$AH$505,0),MATCH(体力優良証交付申請書!H$14,テーブル2[[#Headers],[学年]:[得点]],0)))</f>
        <v/>
      </c>
      <c r="I95" s="115" t="str">
        <f>IF($A95&gt;MAX(入力シート!$AH$6:$AH$505),"",INDEX(テーブル2[[学年]:[判定]],MATCH(体力優良証交付申請書!$A95,入力シート!$AH$6:$AH$505,0),MATCH(体力優良証交付申請書!I$14,テーブル2[[#Headers],[学年]:[得点]],0)))</f>
        <v/>
      </c>
      <c r="J95" s="115" t="str">
        <f>IF($A95&gt;MAX(入力シート!$AH$6:$AH$505),"",INDEX(テーブル2[[学年]:[判定]],MATCH(体力優良証交付申請書!$A95,入力シート!$AH$6:$AH$505,0),MATCH(体力優良証交付申請書!J$14,テーブル2[[#Headers],[学年]:[得点]],0)))</f>
        <v/>
      </c>
      <c r="K95" s="129" t="str">
        <f>IF($A95&gt;MAX(入力シート!$AH$6:$AH$505),"",INDEX(テーブル2[[学年]:[判定]],MATCH(体力優良証交付申請書!$A95,入力シート!$AH$6:$AH$505,0),MATCH(体力優良証交付申請書!K$14,テーブル2[[#Headers],[学年]:[得点]],0)))</f>
        <v/>
      </c>
      <c r="L95" s="115" t="str">
        <f>IF($A95&gt;MAX(入力シート!$AH$6:$AH$505),"",INDEX(テーブル2[[学年]:[判定]],MATCH(体力優良証交付申請書!$A95,入力シート!$AH$6:$AH$505,0),MATCH(体力優良証交付申請書!L$14,テーブル2[[#Headers],[学年]:[得点]],0)))</f>
        <v/>
      </c>
      <c r="M95" s="115" t="str">
        <f>IF($A95&gt;MAX(入力シート!$AH$6:$AH$505),"",INDEX(テーブル2[[学年]:[判定]],MATCH(体力優良証交付申請書!$A95,入力シート!$AH$6:$AH$505,0),MATCH(体力優良証交付申請書!M$14,テーブル2[[#Headers],[学年]:[得点]],0)))</f>
        <v/>
      </c>
      <c r="N95" s="27" t="str">
        <f>IF($A95&gt;MAX(入力シート!$AH$6:$AH$505),"",INDEX(テーブル2[[学年]:[判定]],MATCH(体力優良証交付申請書!$A95,入力シート!$AH$6:$AH$505,0),MATCH(体力優良証交付申請書!N$14,テーブル2[[#Headers],[学年]:[得点]],0)))</f>
        <v/>
      </c>
    </row>
    <row r="96" spans="1:14" x14ac:dyDescent="0.15">
      <c r="A96" s="17">
        <v>82</v>
      </c>
      <c r="B96" s="115" t="str">
        <f>IF($A96&gt;MAX(入力シート!$AH$6:$AH$505),"",INDEX(テーブル2[[学年]:[判定]],MATCH(体力優良証交付申請書!$A96,入力シート!$AH$6:$AH$505,0),MATCH(体力優良証交付申請書!B$14,テーブル2[[#Headers],[学年]:[得点]],0)))</f>
        <v/>
      </c>
      <c r="C96" s="115" t="str">
        <f>IF($A96&gt;MAX(入力シート!$AH$6:$AH$505),"",INDEX(テーブル2[[学年]:[判定]],MATCH(体力優良証交付申請書!$A96,入力シート!$AH$6:$AH$505,0),MATCH(体力優良証交付申請書!C$14,テーブル2[[#Headers],[学年]:[得点]],0)))</f>
        <v/>
      </c>
      <c r="D96" s="115" t="str">
        <f>IF($A96&gt;MAX(入力シート!$AH$6:$AH$505),"",INDEX(テーブル2[[学年]:[判定]],MATCH(体力優良証交付申請書!$A96,入力シート!$AH$6:$AH$505,0),MATCH(体力優良証交付申請書!D$14,テーブル2[[#Headers],[学年]:[得点]],0)))</f>
        <v/>
      </c>
      <c r="E96" s="115" t="str">
        <f>IF($A96&gt;MAX(入力シート!$AH$6:$AH$505),"",INDEX(テーブル2[[学年]:[判定]],MATCH(体力優良証交付申請書!$A96,入力シート!$AH$6:$AH$505,0),MATCH(体力優良証交付申請書!E$14,テーブル2[[#Headers],[学年]:[得点]],0)))</f>
        <v/>
      </c>
      <c r="F96" s="115" t="str">
        <f>IF($A96&gt;MAX(入力シート!$AH$6:$AH$505),"",INDEX(テーブル2[[学年]:[判定]],MATCH(体力優良証交付申請書!$A96,入力シート!$AH$6:$AH$505,0),MATCH(体力優良証交付申請書!F$14,テーブル2[[#Headers],[学年]:[得点]],0)))</f>
        <v/>
      </c>
      <c r="G96" s="115" t="str">
        <f>IF($A96&gt;MAX(入力シート!$AH$6:$AH$505),"",INDEX(テーブル2[[学年]:[判定]],MATCH(体力優良証交付申請書!$A96,入力シート!$AH$6:$AH$505,0),MATCH(体力優良証交付申請書!G$14,テーブル2[[#Headers],[学年]:[得点]],0)))</f>
        <v/>
      </c>
      <c r="H96" s="115" t="str">
        <f>IF($A96&gt;MAX(入力シート!$AH$6:$AH$505),"",INDEX(テーブル2[[学年]:[判定]],MATCH(体力優良証交付申請書!$A96,入力シート!$AH$6:$AH$505,0),MATCH(体力優良証交付申請書!H$14,テーブル2[[#Headers],[学年]:[得点]],0)))</f>
        <v/>
      </c>
      <c r="I96" s="115" t="str">
        <f>IF($A96&gt;MAX(入力シート!$AH$6:$AH$505),"",INDEX(テーブル2[[学年]:[判定]],MATCH(体力優良証交付申請書!$A96,入力シート!$AH$6:$AH$505,0),MATCH(体力優良証交付申請書!I$14,テーブル2[[#Headers],[学年]:[得点]],0)))</f>
        <v/>
      </c>
      <c r="J96" s="115" t="str">
        <f>IF($A96&gt;MAX(入力シート!$AH$6:$AH$505),"",INDEX(テーブル2[[学年]:[判定]],MATCH(体力優良証交付申請書!$A96,入力シート!$AH$6:$AH$505,0),MATCH(体力優良証交付申請書!J$14,テーブル2[[#Headers],[学年]:[得点]],0)))</f>
        <v/>
      </c>
      <c r="K96" s="129" t="str">
        <f>IF($A96&gt;MAX(入力シート!$AH$6:$AH$505),"",INDEX(テーブル2[[学年]:[判定]],MATCH(体力優良証交付申請書!$A96,入力シート!$AH$6:$AH$505,0),MATCH(体力優良証交付申請書!K$14,テーブル2[[#Headers],[学年]:[得点]],0)))</f>
        <v/>
      </c>
      <c r="L96" s="115" t="str">
        <f>IF($A96&gt;MAX(入力シート!$AH$6:$AH$505),"",INDEX(テーブル2[[学年]:[判定]],MATCH(体力優良証交付申請書!$A96,入力シート!$AH$6:$AH$505,0),MATCH(体力優良証交付申請書!L$14,テーブル2[[#Headers],[学年]:[得点]],0)))</f>
        <v/>
      </c>
      <c r="M96" s="115" t="str">
        <f>IF($A96&gt;MAX(入力シート!$AH$6:$AH$505),"",INDEX(テーブル2[[学年]:[判定]],MATCH(体力優良証交付申請書!$A96,入力シート!$AH$6:$AH$505,0),MATCH(体力優良証交付申請書!M$14,テーブル2[[#Headers],[学年]:[得点]],0)))</f>
        <v/>
      </c>
      <c r="N96" s="27" t="str">
        <f>IF($A96&gt;MAX(入力シート!$AH$6:$AH$505),"",INDEX(テーブル2[[学年]:[判定]],MATCH(体力優良証交付申請書!$A96,入力シート!$AH$6:$AH$505,0),MATCH(体力優良証交付申請書!N$14,テーブル2[[#Headers],[学年]:[得点]],0)))</f>
        <v/>
      </c>
    </row>
    <row r="97" spans="1:14" x14ac:dyDescent="0.15">
      <c r="A97" s="17">
        <v>83</v>
      </c>
      <c r="B97" s="115" t="str">
        <f>IF($A97&gt;MAX(入力シート!$AH$6:$AH$505),"",INDEX(テーブル2[[学年]:[判定]],MATCH(体力優良証交付申請書!$A97,入力シート!$AH$6:$AH$505,0),MATCH(体力優良証交付申請書!B$14,テーブル2[[#Headers],[学年]:[得点]],0)))</f>
        <v/>
      </c>
      <c r="C97" s="115" t="str">
        <f>IF($A97&gt;MAX(入力シート!$AH$6:$AH$505),"",INDEX(テーブル2[[学年]:[判定]],MATCH(体力優良証交付申請書!$A97,入力シート!$AH$6:$AH$505,0),MATCH(体力優良証交付申請書!C$14,テーブル2[[#Headers],[学年]:[得点]],0)))</f>
        <v/>
      </c>
      <c r="D97" s="115" t="str">
        <f>IF($A97&gt;MAX(入力シート!$AH$6:$AH$505),"",INDEX(テーブル2[[学年]:[判定]],MATCH(体力優良証交付申請書!$A97,入力シート!$AH$6:$AH$505,0),MATCH(体力優良証交付申請書!D$14,テーブル2[[#Headers],[学年]:[得点]],0)))</f>
        <v/>
      </c>
      <c r="E97" s="115" t="str">
        <f>IF($A97&gt;MAX(入力シート!$AH$6:$AH$505),"",INDEX(テーブル2[[学年]:[判定]],MATCH(体力優良証交付申請書!$A97,入力シート!$AH$6:$AH$505,0),MATCH(体力優良証交付申請書!E$14,テーブル2[[#Headers],[学年]:[得点]],0)))</f>
        <v/>
      </c>
      <c r="F97" s="115" t="str">
        <f>IF($A97&gt;MAX(入力シート!$AH$6:$AH$505),"",INDEX(テーブル2[[学年]:[判定]],MATCH(体力優良証交付申請書!$A97,入力シート!$AH$6:$AH$505,0),MATCH(体力優良証交付申請書!F$14,テーブル2[[#Headers],[学年]:[得点]],0)))</f>
        <v/>
      </c>
      <c r="G97" s="115" t="str">
        <f>IF($A97&gt;MAX(入力シート!$AH$6:$AH$505),"",INDEX(テーブル2[[学年]:[判定]],MATCH(体力優良証交付申請書!$A97,入力シート!$AH$6:$AH$505,0),MATCH(体力優良証交付申請書!G$14,テーブル2[[#Headers],[学年]:[得点]],0)))</f>
        <v/>
      </c>
      <c r="H97" s="115" t="str">
        <f>IF($A97&gt;MAX(入力シート!$AH$6:$AH$505),"",INDEX(テーブル2[[学年]:[判定]],MATCH(体力優良証交付申請書!$A97,入力シート!$AH$6:$AH$505,0),MATCH(体力優良証交付申請書!H$14,テーブル2[[#Headers],[学年]:[得点]],0)))</f>
        <v/>
      </c>
      <c r="I97" s="115" t="str">
        <f>IF($A97&gt;MAX(入力シート!$AH$6:$AH$505),"",INDEX(テーブル2[[学年]:[判定]],MATCH(体力優良証交付申請書!$A97,入力シート!$AH$6:$AH$505,0),MATCH(体力優良証交付申請書!I$14,テーブル2[[#Headers],[学年]:[得点]],0)))</f>
        <v/>
      </c>
      <c r="J97" s="115" t="str">
        <f>IF($A97&gt;MAX(入力シート!$AH$6:$AH$505),"",INDEX(テーブル2[[学年]:[判定]],MATCH(体力優良証交付申請書!$A97,入力シート!$AH$6:$AH$505,0),MATCH(体力優良証交付申請書!J$14,テーブル2[[#Headers],[学年]:[得点]],0)))</f>
        <v/>
      </c>
      <c r="K97" s="129" t="str">
        <f>IF($A97&gt;MAX(入力シート!$AH$6:$AH$505),"",INDEX(テーブル2[[学年]:[判定]],MATCH(体力優良証交付申請書!$A97,入力シート!$AH$6:$AH$505,0),MATCH(体力優良証交付申請書!K$14,テーブル2[[#Headers],[学年]:[得点]],0)))</f>
        <v/>
      </c>
      <c r="L97" s="115" t="str">
        <f>IF($A97&gt;MAX(入力シート!$AH$6:$AH$505),"",INDEX(テーブル2[[学年]:[判定]],MATCH(体力優良証交付申請書!$A97,入力シート!$AH$6:$AH$505,0),MATCH(体力優良証交付申請書!L$14,テーブル2[[#Headers],[学年]:[得点]],0)))</f>
        <v/>
      </c>
      <c r="M97" s="115" t="str">
        <f>IF($A97&gt;MAX(入力シート!$AH$6:$AH$505),"",INDEX(テーブル2[[学年]:[判定]],MATCH(体力優良証交付申請書!$A97,入力シート!$AH$6:$AH$505,0),MATCH(体力優良証交付申請書!M$14,テーブル2[[#Headers],[学年]:[得点]],0)))</f>
        <v/>
      </c>
      <c r="N97" s="27" t="str">
        <f>IF($A97&gt;MAX(入力シート!$AH$6:$AH$505),"",INDEX(テーブル2[[学年]:[判定]],MATCH(体力優良証交付申請書!$A97,入力シート!$AH$6:$AH$505,0),MATCH(体力優良証交付申請書!N$14,テーブル2[[#Headers],[学年]:[得点]],0)))</f>
        <v/>
      </c>
    </row>
    <row r="98" spans="1:14" x14ac:dyDescent="0.15">
      <c r="A98" s="17">
        <v>84</v>
      </c>
      <c r="B98" s="115" t="str">
        <f>IF($A98&gt;MAX(入力シート!$AH$6:$AH$505),"",INDEX(テーブル2[[学年]:[判定]],MATCH(体力優良証交付申請書!$A98,入力シート!$AH$6:$AH$505,0),MATCH(体力優良証交付申請書!B$14,テーブル2[[#Headers],[学年]:[得点]],0)))</f>
        <v/>
      </c>
      <c r="C98" s="115" t="str">
        <f>IF($A98&gt;MAX(入力シート!$AH$6:$AH$505),"",INDEX(テーブル2[[学年]:[判定]],MATCH(体力優良証交付申請書!$A98,入力シート!$AH$6:$AH$505,0),MATCH(体力優良証交付申請書!C$14,テーブル2[[#Headers],[学年]:[得点]],0)))</f>
        <v/>
      </c>
      <c r="D98" s="115" t="str">
        <f>IF($A98&gt;MAX(入力シート!$AH$6:$AH$505),"",INDEX(テーブル2[[学年]:[判定]],MATCH(体力優良証交付申請書!$A98,入力シート!$AH$6:$AH$505,0),MATCH(体力優良証交付申請書!D$14,テーブル2[[#Headers],[学年]:[得点]],0)))</f>
        <v/>
      </c>
      <c r="E98" s="115" t="str">
        <f>IF($A98&gt;MAX(入力シート!$AH$6:$AH$505),"",INDEX(テーブル2[[学年]:[判定]],MATCH(体力優良証交付申請書!$A98,入力シート!$AH$6:$AH$505,0),MATCH(体力優良証交付申請書!E$14,テーブル2[[#Headers],[学年]:[得点]],0)))</f>
        <v/>
      </c>
      <c r="F98" s="115" t="str">
        <f>IF($A98&gt;MAX(入力シート!$AH$6:$AH$505),"",INDEX(テーブル2[[学年]:[判定]],MATCH(体力優良証交付申請書!$A98,入力シート!$AH$6:$AH$505,0),MATCH(体力優良証交付申請書!F$14,テーブル2[[#Headers],[学年]:[得点]],0)))</f>
        <v/>
      </c>
      <c r="G98" s="115" t="str">
        <f>IF($A98&gt;MAX(入力シート!$AH$6:$AH$505),"",INDEX(テーブル2[[学年]:[判定]],MATCH(体力優良証交付申請書!$A98,入力シート!$AH$6:$AH$505,0),MATCH(体力優良証交付申請書!G$14,テーブル2[[#Headers],[学年]:[得点]],0)))</f>
        <v/>
      </c>
      <c r="H98" s="115" t="str">
        <f>IF($A98&gt;MAX(入力シート!$AH$6:$AH$505),"",INDEX(テーブル2[[学年]:[判定]],MATCH(体力優良証交付申請書!$A98,入力シート!$AH$6:$AH$505,0),MATCH(体力優良証交付申請書!H$14,テーブル2[[#Headers],[学年]:[得点]],0)))</f>
        <v/>
      </c>
      <c r="I98" s="115" t="str">
        <f>IF($A98&gt;MAX(入力シート!$AH$6:$AH$505),"",INDEX(テーブル2[[学年]:[判定]],MATCH(体力優良証交付申請書!$A98,入力シート!$AH$6:$AH$505,0),MATCH(体力優良証交付申請書!I$14,テーブル2[[#Headers],[学年]:[得点]],0)))</f>
        <v/>
      </c>
      <c r="J98" s="115" t="str">
        <f>IF($A98&gt;MAX(入力シート!$AH$6:$AH$505),"",INDEX(テーブル2[[学年]:[判定]],MATCH(体力優良証交付申請書!$A98,入力シート!$AH$6:$AH$505,0),MATCH(体力優良証交付申請書!J$14,テーブル2[[#Headers],[学年]:[得点]],0)))</f>
        <v/>
      </c>
      <c r="K98" s="129" t="str">
        <f>IF($A98&gt;MAX(入力シート!$AH$6:$AH$505),"",INDEX(テーブル2[[学年]:[判定]],MATCH(体力優良証交付申請書!$A98,入力シート!$AH$6:$AH$505,0),MATCH(体力優良証交付申請書!K$14,テーブル2[[#Headers],[学年]:[得点]],0)))</f>
        <v/>
      </c>
      <c r="L98" s="115" t="str">
        <f>IF($A98&gt;MAX(入力シート!$AH$6:$AH$505),"",INDEX(テーブル2[[学年]:[判定]],MATCH(体力優良証交付申請書!$A98,入力シート!$AH$6:$AH$505,0),MATCH(体力優良証交付申請書!L$14,テーブル2[[#Headers],[学年]:[得点]],0)))</f>
        <v/>
      </c>
      <c r="M98" s="115" t="str">
        <f>IF($A98&gt;MAX(入力シート!$AH$6:$AH$505),"",INDEX(テーブル2[[学年]:[判定]],MATCH(体力優良証交付申請書!$A98,入力シート!$AH$6:$AH$505,0),MATCH(体力優良証交付申請書!M$14,テーブル2[[#Headers],[学年]:[得点]],0)))</f>
        <v/>
      </c>
      <c r="N98" s="27" t="str">
        <f>IF($A98&gt;MAX(入力シート!$AH$6:$AH$505),"",INDEX(テーブル2[[学年]:[判定]],MATCH(体力優良証交付申請書!$A98,入力シート!$AH$6:$AH$505,0),MATCH(体力優良証交付申請書!N$14,テーブル2[[#Headers],[学年]:[得点]],0)))</f>
        <v/>
      </c>
    </row>
    <row r="99" spans="1:14" x14ac:dyDescent="0.15">
      <c r="A99" s="17">
        <v>85</v>
      </c>
      <c r="B99" s="115" t="str">
        <f>IF($A99&gt;MAX(入力シート!$AH$6:$AH$505),"",INDEX(テーブル2[[学年]:[判定]],MATCH(体力優良証交付申請書!$A99,入力シート!$AH$6:$AH$505,0),MATCH(体力優良証交付申請書!B$14,テーブル2[[#Headers],[学年]:[得点]],0)))</f>
        <v/>
      </c>
      <c r="C99" s="115" t="str">
        <f>IF($A99&gt;MAX(入力シート!$AH$6:$AH$505),"",INDEX(テーブル2[[学年]:[判定]],MATCH(体力優良証交付申請書!$A99,入力シート!$AH$6:$AH$505,0),MATCH(体力優良証交付申請書!C$14,テーブル2[[#Headers],[学年]:[得点]],0)))</f>
        <v/>
      </c>
      <c r="D99" s="115" t="str">
        <f>IF($A99&gt;MAX(入力シート!$AH$6:$AH$505),"",INDEX(テーブル2[[学年]:[判定]],MATCH(体力優良証交付申請書!$A99,入力シート!$AH$6:$AH$505,0),MATCH(体力優良証交付申請書!D$14,テーブル2[[#Headers],[学年]:[得点]],0)))</f>
        <v/>
      </c>
      <c r="E99" s="115" t="str">
        <f>IF($A99&gt;MAX(入力シート!$AH$6:$AH$505),"",INDEX(テーブル2[[学年]:[判定]],MATCH(体力優良証交付申請書!$A99,入力シート!$AH$6:$AH$505,0),MATCH(体力優良証交付申請書!E$14,テーブル2[[#Headers],[学年]:[得点]],0)))</f>
        <v/>
      </c>
      <c r="F99" s="115" t="str">
        <f>IF($A99&gt;MAX(入力シート!$AH$6:$AH$505),"",INDEX(テーブル2[[学年]:[判定]],MATCH(体力優良証交付申請書!$A99,入力シート!$AH$6:$AH$505,0),MATCH(体力優良証交付申請書!F$14,テーブル2[[#Headers],[学年]:[得点]],0)))</f>
        <v/>
      </c>
      <c r="G99" s="115" t="str">
        <f>IF($A99&gt;MAX(入力シート!$AH$6:$AH$505),"",INDEX(テーブル2[[学年]:[判定]],MATCH(体力優良証交付申請書!$A99,入力シート!$AH$6:$AH$505,0),MATCH(体力優良証交付申請書!G$14,テーブル2[[#Headers],[学年]:[得点]],0)))</f>
        <v/>
      </c>
      <c r="H99" s="115" t="str">
        <f>IF($A99&gt;MAX(入力シート!$AH$6:$AH$505),"",INDEX(テーブル2[[学年]:[判定]],MATCH(体力優良証交付申請書!$A99,入力シート!$AH$6:$AH$505,0),MATCH(体力優良証交付申請書!H$14,テーブル2[[#Headers],[学年]:[得点]],0)))</f>
        <v/>
      </c>
      <c r="I99" s="115" t="str">
        <f>IF($A99&gt;MAX(入力シート!$AH$6:$AH$505),"",INDEX(テーブル2[[学年]:[判定]],MATCH(体力優良証交付申請書!$A99,入力シート!$AH$6:$AH$505,0),MATCH(体力優良証交付申請書!I$14,テーブル2[[#Headers],[学年]:[得点]],0)))</f>
        <v/>
      </c>
      <c r="J99" s="115" t="str">
        <f>IF($A99&gt;MAX(入力シート!$AH$6:$AH$505),"",INDEX(テーブル2[[学年]:[判定]],MATCH(体力優良証交付申請書!$A99,入力シート!$AH$6:$AH$505,0),MATCH(体力優良証交付申請書!J$14,テーブル2[[#Headers],[学年]:[得点]],0)))</f>
        <v/>
      </c>
      <c r="K99" s="129" t="str">
        <f>IF($A99&gt;MAX(入力シート!$AH$6:$AH$505),"",INDEX(テーブル2[[学年]:[判定]],MATCH(体力優良証交付申請書!$A99,入力シート!$AH$6:$AH$505,0),MATCH(体力優良証交付申請書!K$14,テーブル2[[#Headers],[学年]:[得点]],0)))</f>
        <v/>
      </c>
      <c r="L99" s="115" t="str">
        <f>IF($A99&gt;MAX(入力シート!$AH$6:$AH$505),"",INDEX(テーブル2[[学年]:[判定]],MATCH(体力優良証交付申請書!$A99,入力シート!$AH$6:$AH$505,0),MATCH(体力優良証交付申請書!L$14,テーブル2[[#Headers],[学年]:[得点]],0)))</f>
        <v/>
      </c>
      <c r="M99" s="115" t="str">
        <f>IF($A99&gt;MAX(入力シート!$AH$6:$AH$505),"",INDEX(テーブル2[[学年]:[判定]],MATCH(体力優良証交付申請書!$A99,入力シート!$AH$6:$AH$505,0),MATCH(体力優良証交付申請書!M$14,テーブル2[[#Headers],[学年]:[得点]],0)))</f>
        <v/>
      </c>
      <c r="N99" s="27" t="str">
        <f>IF($A99&gt;MAX(入力シート!$AH$6:$AH$505),"",INDEX(テーブル2[[学年]:[判定]],MATCH(体力優良証交付申請書!$A99,入力シート!$AH$6:$AH$505,0),MATCH(体力優良証交付申請書!N$14,テーブル2[[#Headers],[学年]:[得点]],0)))</f>
        <v/>
      </c>
    </row>
    <row r="100" spans="1:14" x14ac:dyDescent="0.15">
      <c r="A100" s="17">
        <v>86</v>
      </c>
      <c r="B100" s="115" t="str">
        <f>IF($A100&gt;MAX(入力シート!$AH$6:$AH$505),"",INDEX(テーブル2[[学年]:[判定]],MATCH(体力優良証交付申請書!$A100,入力シート!$AH$6:$AH$505,0),MATCH(体力優良証交付申請書!B$14,テーブル2[[#Headers],[学年]:[得点]],0)))</f>
        <v/>
      </c>
      <c r="C100" s="115" t="str">
        <f>IF($A100&gt;MAX(入力シート!$AH$6:$AH$505),"",INDEX(テーブル2[[学年]:[判定]],MATCH(体力優良証交付申請書!$A100,入力シート!$AH$6:$AH$505,0),MATCH(体力優良証交付申請書!C$14,テーブル2[[#Headers],[学年]:[得点]],0)))</f>
        <v/>
      </c>
      <c r="D100" s="115" t="str">
        <f>IF($A100&gt;MAX(入力シート!$AH$6:$AH$505),"",INDEX(テーブル2[[学年]:[判定]],MATCH(体力優良証交付申請書!$A100,入力シート!$AH$6:$AH$505,0),MATCH(体力優良証交付申請書!D$14,テーブル2[[#Headers],[学年]:[得点]],0)))</f>
        <v/>
      </c>
      <c r="E100" s="115" t="str">
        <f>IF($A100&gt;MAX(入力シート!$AH$6:$AH$505),"",INDEX(テーブル2[[学年]:[判定]],MATCH(体力優良証交付申請書!$A100,入力シート!$AH$6:$AH$505,0),MATCH(体力優良証交付申請書!E$14,テーブル2[[#Headers],[学年]:[得点]],0)))</f>
        <v/>
      </c>
      <c r="F100" s="115" t="str">
        <f>IF($A100&gt;MAX(入力シート!$AH$6:$AH$505),"",INDEX(テーブル2[[学年]:[判定]],MATCH(体力優良証交付申請書!$A100,入力シート!$AH$6:$AH$505,0),MATCH(体力優良証交付申請書!F$14,テーブル2[[#Headers],[学年]:[得点]],0)))</f>
        <v/>
      </c>
      <c r="G100" s="115" t="str">
        <f>IF($A100&gt;MAX(入力シート!$AH$6:$AH$505),"",INDEX(テーブル2[[学年]:[判定]],MATCH(体力優良証交付申請書!$A100,入力シート!$AH$6:$AH$505,0),MATCH(体力優良証交付申請書!G$14,テーブル2[[#Headers],[学年]:[得点]],0)))</f>
        <v/>
      </c>
      <c r="H100" s="115" t="str">
        <f>IF($A100&gt;MAX(入力シート!$AH$6:$AH$505),"",INDEX(テーブル2[[学年]:[判定]],MATCH(体力優良証交付申請書!$A100,入力シート!$AH$6:$AH$505,0),MATCH(体力優良証交付申請書!H$14,テーブル2[[#Headers],[学年]:[得点]],0)))</f>
        <v/>
      </c>
      <c r="I100" s="115" t="str">
        <f>IF($A100&gt;MAX(入力シート!$AH$6:$AH$505),"",INDEX(テーブル2[[学年]:[判定]],MATCH(体力優良証交付申請書!$A100,入力シート!$AH$6:$AH$505,0),MATCH(体力優良証交付申請書!I$14,テーブル2[[#Headers],[学年]:[得点]],0)))</f>
        <v/>
      </c>
      <c r="J100" s="115" t="str">
        <f>IF($A100&gt;MAX(入力シート!$AH$6:$AH$505),"",INDEX(テーブル2[[学年]:[判定]],MATCH(体力優良証交付申請書!$A100,入力シート!$AH$6:$AH$505,0),MATCH(体力優良証交付申請書!J$14,テーブル2[[#Headers],[学年]:[得点]],0)))</f>
        <v/>
      </c>
      <c r="K100" s="129" t="str">
        <f>IF($A100&gt;MAX(入力シート!$AH$6:$AH$505),"",INDEX(テーブル2[[学年]:[判定]],MATCH(体力優良証交付申請書!$A100,入力シート!$AH$6:$AH$505,0),MATCH(体力優良証交付申請書!K$14,テーブル2[[#Headers],[学年]:[得点]],0)))</f>
        <v/>
      </c>
      <c r="L100" s="115" t="str">
        <f>IF($A100&gt;MAX(入力シート!$AH$6:$AH$505),"",INDEX(テーブル2[[学年]:[判定]],MATCH(体力優良証交付申請書!$A100,入力シート!$AH$6:$AH$505,0),MATCH(体力優良証交付申請書!L$14,テーブル2[[#Headers],[学年]:[得点]],0)))</f>
        <v/>
      </c>
      <c r="M100" s="115" t="str">
        <f>IF($A100&gt;MAX(入力シート!$AH$6:$AH$505),"",INDEX(テーブル2[[学年]:[判定]],MATCH(体力優良証交付申請書!$A100,入力シート!$AH$6:$AH$505,0),MATCH(体力優良証交付申請書!M$14,テーブル2[[#Headers],[学年]:[得点]],0)))</f>
        <v/>
      </c>
      <c r="N100" s="27" t="str">
        <f>IF($A100&gt;MAX(入力シート!$AH$6:$AH$505),"",INDEX(テーブル2[[学年]:[判定]],MATCH(体力優良証交付申請書!$A100,入力シート!$AH$6:$AH$505,0),MATCH(体力優良証交付申請書!N$14,テーブル2[[#Headers],[学年]:[得点]],0)))</f>
        <v/>
      </c>
    </row>
    <row r="101" spans="1:14" x14ac:dyDescent="0.15">
      <c r="A101" s="17">
        <v>87</v>
      </c>
      <c r="B101" s="115" t="str">
        <f>IF($A101&gt;MAX(入力シート!$AH$6:$AH$505),"",INDEX(テーブル2[[学年]:[判定]],MATCH(体力優良証交付申請書!$A101,入力シート!$AH$6:$AH$505,0),MATCH(体力優良証交付申請書!B$14,テーブル2[[#Headers],[学年]:[得点]],0)))</f>
        <v/>
      </c>
      <c r="C101" s="115" t="str">
        <f>IF($A101&gt;MAX(入力シート!$AH$6:$AH$505),"",INDEX(テーブル2[[学年]:[判定]],MATCH(体力優良証交付申請書!$A101,入力シート!$AH$6:$AH$505,0),MATCH(体力優良証交付申請書!C$14,テーブル2[[#Headers],[学年]:[得点]],0)))</f>
        <v/>
      </c>
      <c r="D101" s="115" t="str">
        <f>IF($A101&gt;MAX(入力シート!$AH$6:$AH$505),"",INDEX(テーブル2[[学年]:[判定]],MATCH(体力優良証交付申請書!$A101,入力シート!$AH$6:$AH$505,0),MATCH(体力優良証交付申請書!D$14,テーブル2[[#Headers],[学年]:[得点]],0)))</f>
        <v/>
      </c>
      <c r="E101" s="115" t="str">
        <f>IF($A101&gt;MAX(入力シート!$AH$6:$AH$505),"",INDEX(テーブル2[[学年]:[判定]],MATCH(体力優良証交付申請書!$A101,入力シート!$AH$6:$AH$505,0),MATCH(体力優良証交付申請書!E$14,テーブル2[[#Headers],[学年]:[得点]],0)))</f>
        <v/>
      </c>
      <c r="F101" s="115" t="str">
        <f>IF($A101&gt;MAX(入力シート!$AH$6:$AH$505),"",INDEX(テーブル2[[学年]:[判定]],MATCH(体力優良証交付申請書!$A101,入力シート!$AH$6:$AH$505,0),MATCH(体力優良証交付申請書!F$14,テーブル2[[#Headers],[学年]:[得点]],0)))</f>
        <v/>
      </c>
      <c r="G101" s="115" t="str">
        <f>IF($A101&gt;MAX(入力シート!$AH$6:$AH$505),"",INDEX(テーブル2[[学年]:[判定]],MATCH(体力優良証交付申請書!$A101,入力シート!$AH$6:$AH$505,0),MATCH(体力優良証交付申請書!G$14,テーブル2[[#Headers],[学年]:[得点]],0)))</f>
        <v/>
      </c>
      <c r="H101" s="115" t="str">
        <f>IF($A101&gt;MAX(入力シート!$AH$6:$AH$505),"",INDEX(テーブル2[[学年]:[判定]],MATCH(体力優良証交付申請書!$A101,入力シート!$AH$6:$AH$505,0),MATCH(体力優良証交付申請書!H$14,テーブル2[[#Headers],[学年]:[得点]],0)))</f>
        <v/>
      </c>
      <c r="I101" s="115" t="str">
        <f>IF($A101&gt;MAX(入力シート!$AH$6:$AH$505),"",INDEX(テーブル2[[学年]:[判定]],MATCH(体力優良証交付申請書!$A101,入力シート!$AH$6:$AH$505,0),MATCH(体力優良証交付申請書!I$14,テーブル2[[#Headers],[学年]:[得点]],0)))</f>
        <v/>
      </c>
      <c r="J101" s="115" t="str">
        <f>IF($A101&gt;MAX(入力シート!$AH$6:$AH$505),"",INDEX(テーブル2[[学年]:[判定]],MATCH(体力優良証交付申請書!$A101,入力シート!$AH$6:$AH$505,0),MATCH(体力優良証交付申請書!J$14,テーブル2[[#Headers],[学年]:[得点]],0)))</f>
        <v/>
      </c>
      <c r="K101" s="129" t="str">
        <f>IF($A101&gt;MAX(入力シート!$AH$6:$AH$505),"",INDEX(テーブル2[[学年]:[判定]],MATCH(体力優良証交付申請書!$A101,入力シート!$AH$6:$AH$505,0),MATCH(体力優良証交付申請書!K$14,テーブル2[[#Headers],[学年]:[得点]],0)))</f>
        <v/>
      </c>
      <c r="L101" s="115" t="str">
        <f>IF($A101&gt;MAX(入力シート!$AH$6:$AH$505),"",INDEX(テーブル2[[学年]:[判定]],MATCH(体力優良証交付申請書!$A101,入力シート!$AH$6:$AH$505,0),MATCH(体力優良証交付申請書!L$14,テーブル2[[#Headers],[学年]:[得点]],0)))</f>
        <v/>
      </c>
      <c r="M101" s="115" t="str">
        <f>IF($A101&gt;MAX(入力シート!$AH$6:$AH$505),"",INDEX(テーブル2[[学年]:[判定]],MATCH(体力優良証交付申請書!$A101,入力シート!$AH$6:$AH$505,0),MATCH(体力優良証交付申請書!M$14,テーブル2[[#Headers],[学年]:[得点]],0)))</f>
        <v/>
      </c>
      <c r="N101" s="27" t="str">
        <f>IF($A101&gt;MAX(入力シート!$AH$6:$AH$505),"",INDEX(テーブル2[[学年]:[判定]],MATCH(体力優良証交付申請書!$A101,入力シート!$AH$6:$AH$505,0),MATCH(体力優良証交付申請書!N$14,テーブル2[[#Headers],[学年]:[得点]],0)))</f>
        <v/>
      </c>
    </row>
    <row r="102" spans="1:14" x14ac:dyDescent="0.15">
      <c r="A102" s="17">
        <v>88</v>
      </c>
      <c r="B102" s="115" t="str">
        <f>IF($A102&gt;MAX(入力シート!$AH$6:$AH$505),"",INDEX(テーブル2[[学年]:[判定]],MATCH(体力優良証交付申請書!$A102,入力シート!$AH$6:$AH$505,0),MATCH(体力優良証交付申請書!B$14,テーブル2[[#Headers],[学年]:[得点]],0)))</f>
        <v/>
      </c>
      <c r="C102" s="115" t="str">
        <f>IF($A102&gt;MAX(入力シート!$AH$6:$AH$505),"",INDEX(テーブル2[[学年]:[判定]],MATCH(体力優良証交付申請書!$A102,入力シート!$AH$6:$AH$505,0),MATCH(体力優良証交付申請書!C$14,テーブル2[[#Headers],[学年]:[得点]],0)))</f>
        <v/>
      </c>
      <c r="D102" s="115" t="str">
        <f>IF($A102&gt;MAX(入力シート!$AH$6:$AH$505),"",INDEX(テーブル2[[学年]:[判定]],MATCH(体力優良証交付申請書!$A102,入力シート!$AH$6:$AH$505,0),MATCH(体力優良証交付申請書!D$14,テーブル2[[#Headers],[学年]:[得点]],0)))</f>
        <v/>
      </c>
      <c r="E102" s="115" t="str">
        <f>IF($A102&gt;MAX(入力シート!$AH$6:$AH$505),"",INDEX(テーブル2[[学年]:[判定]],MATCH(体力優良証交付申請書!$A102,入力シート!$AH$6:$AH$505,0),MATCH(体力優良証交付申請書!E$14,テーブル2[[#Headers],[学年]:[得点]],0)))</f>
        <v/>
      </c>
      <c r="F102" s="115" t="str">
        <f>IF($A102&gt;MAX(入力シート!$AH$6:$AH$505),"",INDEX(テーブル2[[学年]:[判定]],MATCH(体力優良証交付申請書!$A102,入力シート!$AH$6:$AH$505,0),MATCH(体力優良証交付申請書!F$14,テーブル2[[#Headers],[学年]:[得点]],0)))</f>
        <v/>
      </c>
      <c r="G102" s="115" t="str">
        <f>IF($A102&gt;MAX(入力シート!$AH$6:$AH$505),"",INDEX(テーブル2[[学年]:[判定]],MATCH(体力優良証交付申請書!$A102,入力シート!$AH$6:$AH$505,0),MATCH(体力優良証交付申請書!G$14,テーブル2[[#Headers],[学年]:[得点]],0)))</f>
        <v/>
      </c>
      <c r="H102" s="115" t="str">
        <f>IF($A102&gt;MAX(入力シート!$AH$6:$AH$505),"",INDEX(テーブル2[[学年]:[判定]],MATCH(体力優良証交付申請書!$A102,入力シート!$AH$6:$AH$505,0),MATCH(体力優良証交付申請書!H$14,テーブル2[[#Headers],[学年]:[得点]],0)))</f>
        <v/>
      </c>
      <c r="I102" s="115" t="str">
        <f>IF($A102&gt;MAX(入力シート!$AH$6:$AH$505),"",INDEX(テーブル2[[学年]:[判定]],MATCH(体力優良証交付申請書!$A102,入力シート!$AH$6:$AH$505,0),MATCH(体力優良証交付申請書!I$14,テーブル2[[#Headers],[学年]:[得点]],0)))</f>
        <v/>
      </c>
      <c r="J102" s="115" t="str">
        <f>IF($A102&gt;MAX(入力シート!$AH$6:$AH$505),"",INDEX(テーブル2[[学年]:[判定]],MATCH(体力優良証交付申請書!$A102,入力シート!$AH$6:$AH$505,0),MATCH(体力優良証交付申請書!J$14,テーブル2[[#Headers],[学年]:[得点]],0)))</f>
        <v/>
      </c>
      <c r="K102" s="129" t="str">
        <f>IF($A102&gt;MAX(入力シート!$AH$6:$AH$505),"",INDEX(テーブル2[[学年]:[判定]],MATCH(体力優良証交付申請書!$A102,入力シート!$AH$6:$AH$505,0),MATCH(体力優良証交付申請書!K$14,テーブル2[[#Headers],[学年]:[得点]],0)))</f>
        <v/>
      </c>
      <c r="L102" s="115" t="str">
        <f>IF($A102&gt;MAX(入力シート!$AH$6:$AH$505),"",INDEX(テーブル2[[学年]:[判定]],MATCH(体力優良証交付申請書!$A102,入力シート!$AH$6:$AH$505,0),MATCH(体力優良証交付申請書!L$14,テーブル2[[#Headers],[学年]:[得点]],0)))</f>
        <v/>
      </c>
      <c r="M102" s="115" t="str">
        <f>IF($A102&gt;MAX(入力シート!$AH$6:$AH$505),"",INDEX(テーブル2[[学年]:[判定]],MATCH(体力優良証交付申請書!$A102,入力シート!$AH$6:$AH$505,0),MATCH(体力優良証交付申請書!M$14,テーブル2[[#Headers],[学年]:[得点]],0)))</f>
        <v/>
      </c>
      <c r="N102" s="27" t="str">
        <f>IF($A102&gt;MAX(入力シート!$AH$6:$AH$505),"",INDEX(テーブル2[[学年]:[判定]],MATCH(体力優良証交付申請書!$A102,入力シート!$AH$6:$AH$505,0),MATCH(体力優良証交付申請書!N$14,テーブル2[[#Headers],[学年]:[得点]],0)))</f>
        <v/>
      </c>
    </row>
    <row r="103" spans="1:14" x14ac:dyDescent="0.15">
      <c r="A103" s="17">
        <v>89</v>
      </c>
      <c r="B103" s="115" t="str">
        <f>IF($A103&gt;MAX(入力シート!$AH$6:$AH$505),"",INDEX(テーブル2[[学年]:[判定]],MATCH(体力優良証交付申請書!$A103,入力シート!$AH$6:$AH$505,0),MATCH(体力優良証交付申請書!B$14,テーブル2[[#Headers],[学年]:[得点]],0)))</f>
        <v/>
      </c>
      <c r="C103" s="115" t="str">
        <f>IF($A103&gt;MAX(入力シート!$AH$6:$AH$505),"",INDEX(テーブル2[[学年]:[判定]],MATCH(体力優良証交付申請書!$A103,入力シート!$AH$6:$AH$505,0),MATCH(体力優良証交付申請書!C$14,テーブル2[[#Headers],[学年]:[得点]],0)))</f>
        <v/>
      </c>
      <c r="D103" s="115" t="str">
        <f>IF($A103&gt;MAX(入力シート!$AH$6:$AH$505),"",INDEX(テーブル2[[学年]:[判定]],MATCH(体力優良証交付申請書!$A103,入力シート!$AH$6:$AH$505,0),MATCH(体力優良証交付申請書!D$14,テーブル2[[#Headers],[学年]:[得点]],0)))</f>
        <v/>
      </c>
      <c r="E103" s="115" t="str">
        <f>IF($A103&gt;MAX(入力シート!$AH$6:$AH$505),"",INDEX(テーブル2[[学年]:[判定]],MATCH(体力優良証交付申請書!$A103,入力シート!$AH$6:$AH$505,0),MATCH(体力優良証交付申請書!E$14,テーブル2[[#Headers],[学年]:[得点]],0)))</f>
        <v/>
      </c>
      <c r="F103" s="115" t="str">
        <f>IF($A103&gt;MAX(入力シート!$AH$6:$AH$505),"",INDEX(テーブル2[[学年]:[判定]],MATCH(体力優良証交付申請書!$A103,入力シート!$AH$6:$AH$505,0),MATCH(体力優良証交付申請書!F$14,テーブル2[[#Headers],[学年]:[得点]],0)))</f>
        <v/>
      </c>
      <c r="G103" s="115" t="str">
        <f>IF($A103&gt;MAX(入力シート!$AH$6:$AH$505),"",INDEX(テーブル2[[学年]:[判定]],MATCH(体力優良証交付申請書!$A103,入力シート!$AH$6:$AH$505,0),MATCH(体力優良証交付申請書!G$14,テーブル2[[#Headers],[学年]:[得点]],0)))</f>
        <v/>
      </c>
      <c r="H103" s="115" t="str">
        <f>IF($A103&gt;MAX(入力シート!$AH$6:$AH$505),"",INDEX(テーブル2[[学年]:[判定]],MATCH(体力優良証交付申請書!$A103,入力シート!$AH$6:$AH$505,0),MATCH(体力優良証交付申請書!H$14,テーブル2[[#Headers],[学年]:[得点]],0)))</f>
        <v/>
      </c>
      <c r="I103" s="115" t="str">
        <f>IF($A103&gt;MAX(入力シート!$AH$6:$AH$505),"",INDEX(テーブル2[[学年]:[判定]],MATCH(体力優良証交付申請書!$A103,入力シート!$AH$6:$AH$505,0),MATCH(体力優良証交付申請書!I$14,テーブル2[[#Headers],[学年]:[得点]],0)))</f>
        <v/>
      </c>
      <c r="J103" s="115" t="str">
        <f>IF($A103&gt;MAX(入力シート!$AH$6:$AH$505),"",INDEX(テーブル2[[学年]:[判定]],MATCH(体力優良証交付申請書!$A103,入力シート!$AH$6:$AH$505,0),MATCH(体力優良証交付申請書!J$14,テーブル2[[#Headers],[学年]:[得点]],0)))</f>
        <v/>
      </c>
      <c r="K103" s="129" t="str">
        <f>IF($A103&gt;MAX(入力シート!$AH$6:$AH$505),"",INDEX(テーブル2[[学年]:[判定]],MATCH(体力優良証交付申請書!$A103,入力シート!$AH$6:$AH$505,0),MATCH(体力優良証交付申請書!K$14,テーブル2[[#Headers],[学年]:[得点]],0)))</f>
        <v/>
      </c>
      <c r="L103" s="115" t="str">
        <f>IF($A103&gt;MAX(入力シート!$AH$6:$AH$505),"",INDEX(テーブル2[[学年]:[判定]],MATCH(体力優良証交付申請書!$A103,入力シート!$AH$6:$AH$505,0),MATCH(体力優良証交付申請書!L$14,テーブル2[[#Headers],[学年]:[得点]],0)))</f>
        <v/>
      </c>
      <c r="M103" s="115" t="str">
        <f>IF($A103&gt;MAX(入力シート!$AH$6:$AH$505),"",INDEX(テーブル2[[学年]:[判定]],MATCH(体力優良証交付申請書!$A103,入力シート!$AH$6:$AH$505,0),MATCH(体力優良証交付申請書!M$14,テーブル2[[#Headers],[学年]:[得点]],0)))</f>
        <v/>
      </c>
      <c r="N103" s="27" t="str">
        <f>IF($A103&gt;MAX(入力シート!$AH$6:$AH$505),"",INDEX(テーブル2[[学年]:[判定]],MATCH(体力優良証交付申請書!$A103,入力シート!$AH$6:$AH$505,0),MATCH(体力優良証交付申請書!N$14,テーブル2[[#Headers],[学年]:[得点]],0)))</f>
        <v/>
      </c>
    </row>
    <row r="104" spans="1:14" x14ac:dyDescent="0.15">
      <c r="A104" s="17">
        <v>90</v>
      </c>
      <c r="B104" s="115" t="str">
        <f>IF($A104&gt;MAX(入力シート!$AH$6:$AH$505),"",INDEX(テーブル2[[学年]:[判定]],MATCH(体力優良証交付申請書!$A104,入力シート!$AH$6:$AH$505,0),MATCH(体力優良証交付申請書!B$14,テーブル2[[#Headers],[学年]:[得点]],0)))</f>
        <v/>
      </c>
      <c r="C104" s="115" t="str">
        <f>IF($A104&gt;MAX(入力シート!$AH$6:$AH$505),"",INDEX(テーブル2[[学年]:[判定]],MATCH(体力優良証交付申請書!$A104,入力シート!$AH$6:$AH$505,0),MATCH(体力優良証交付申請書!C$14,テーブル2[[#Headers],[学年]:[得点]],0)))</f>
        <v/>
      </c>
      <c r="D104" s="115" t="str">
        <f>IF($A104&gt;MAX(入力シート!$AH$6:$AH$505),"",INDEX(テーブル2[[学年]:[判定]],MATCH(体力優良証交付申請書!$A104,入力シート!$AH$6:$AH$505,0),MATCH(体力優良証交付申請書!D$14,テーブル2[[#Headers],[学年]:[得点]],0)))</f>
        <v/>
      </c>
      <c r="E104" s="115" t="str">
        <f>IF($A104&gt;MAX(入力シート!$AH$6:$AH$505),"",INDEX(テーブル2[[学年]:[判定]],MATCH(体力優良証交付申請書!$A104,入力シート!$AH$6:$AH$505,0),MATCH(体力優良証交付申請書!E$14,テーブル2[[#Headers],[学年]:[得点]],0)))</f>
        <v/>
      </c>
      <c r="F104" s="115" t="str">
        <f>IF($A104&gt;MAX(入力シート!$AH$6:$AH$505),"",INDEX(テーブル2[[学年]:[判定]],MATCH(体力優良証交付申請書!$A104,入力シート!$AH$6:$AH$505,0),MATCH(体力優良証交付申請書!F$14,テーブル2[[#Headers],[学年]:[得点]],0)))</f>
        <v/>
      </c>
      <c r="G104" s="115" t="str">
        <f>IF($A104&gt;MAX(入力シート!$AH$6:$AH$505),"",INDEX(テーブル2[[学年]:[判定]],MATCH(体力優良証交付申請書!$A104,入力シート!$AH$6:$AH$505,0),MATCH(体力優良証交付申請書!G$14,テーブル2[[#Headers],[学年]:[得点]],0)))</f>
        <v/>
      </c>
      <c r="H104" s="115" t="str">
        <f>IF($A104&gt;MAX(入力シート!$AH$6:$AH$505),"",INDEX(テーブル2[[学年]:[判定]],MATCH(体力優良証交付申請書!$A104,入力シート!$AH$6:$AH$505,0),MATCH(体力優良証交付申請書!H$14,テーブル2[[#Headers],[学年]:[得点]],0)))</f>
        <v/>
      </c>
      <c r="I104" s="115" t="str">
        <f>IF($A104&gt;MAX(入力シート!$AH$6:$AH$505),"",INDEX(テーブル2[[学年]:[判定]],MATCH(体力優良証交付申請書!$A104,入力シート!$AH$6:$AH$505,0),MATCH(体力優良証交付申請書!I$14,テーブル2[[#Headers],[学年]:[得点]],0)))</f>
        <v/>
      </c>
      <c r="J104" s="115" t="str">
        <f>IF($A104&gt;MAX(入力シート!$AH$6:$AH$505),"",INDEX(テーブル2[[学年]:[判定]],MATCH(体力優良証交付申請書!$A104,入力シート!$AH$6:$AH$505,0),MATCH(体力優良証交付申請書!J$14,テーブル2[[#Headers],[学年]:[得点]],0)))</f>
        <v/>
      </c>
      <c r="K104" s="129" t="str">
        <f>IF($A104&gt;MAX(入力シート!$AH$6:$AH$505),"",INDEX(テーブル2[[学年]:[判定]],MATCH(体力優良証交付申請書!$A104,入力シート!$AH$6:$AH$505,0),MATCH(体力優良証交付申請書!K$14,テーブル2[[#Headers],[学年]:[得点]],0)))</f>
        <v/>
      </c>
      <c r="L104" s="115" t="str">
        <f>IF($A104&gt;MAX(入力シート!$AH$6:$AH$505),"",INDEX(テーブル2[[学年]:[判定]],MATCH(体力優良証交付申請書!$A104,入力シート!$AH$6:$AH$505,0),MATCH(体力優良証交付申請書!L$14,テーブル2[[#Headers],[学年]:[得点]],0)))</f>
        <v/>
      </c>
      <c r="M104" s="115" t="str">
        <f>IF($A104&gt;MAX(入力シート!$AH$6:$AH$505),"",INDEX(テーブル2[[学年]:[判定]],MATCH(体力優良証交付申請書!$A104,入力シート!$AH$6:$AH$505,0),MATCH(体力優良証交付申請書!M$14,テーブル2[[#Headers],[学年]:[得点]],0)))</f>
        <v/>
      </c>
      <c r="N104" s="27" t="str">
        <f>IF($A104&gt;MAX(入力シート!$AH$6:$AH$505),"",INDEX(テーブル2[[学年]:[判定]],MATCH(体力優良証交付申請書!$A104,入力シート!$AH$6:$AH$505,0),MATCH(体力優良証交付申請書!N$14,テーブル2[[#Headers],[学年]:[得点]],0)))</f>
        <v/>
      </c>
    </row>
    <row r="105" spans="1:14" x14ac:dyDescent="0.15">
      <c r="A105" s="17">
        <v>91</v>
      </c>
      <c r="B105" s="115" t="str">
        <f>IF($A105&gt;MAX(入力シート!$AH$6:$AH$505),"",INDEX(テーブル2[[学年]:[判定]],MATCH(体力優良証交付申請書!$A105,入力シート!$AH$6:$AH$505,0),MATCH(体力優良証交付申請書!B$14,テーブル2[[#Headers],[学年]:[得点]],0)))</f>
        <v/>
      </c>
      <c r="C105" s="115" t="str">
        <f>IF($A105&gt;MAX(入力シート!$AH$6:$AH$505),"",INDEX(テーブル2[[学年]:[判定]],MATCH(体力優良証交付申請書!$A105,入力シート!$AH$6:$AH$505,0),MATCH(体力優良証交付申請書!C$14,テーブル2[[#Headers],[学年]:[得点]],0)))</f>
        <v/>
      </c>
      <c r="D105" s="115" t="str">
        <f>IF($A105&gt;MAX(入力シート!$AH$6:$AH$505),"",INDEX(テーブル2[[学年]:[判定]],MATCH(体力優良証交付申請書!$A105,入力シート!$AH$6:$AH$505,0),MATCH(体力優良証交付申請書!D$14,テーブル2[[#Headers],[学年]:[得点]],0)))</f>
        <v/>
      </c>
      <c r="E105" s="115" t="str">
        <f>IF($A105&gt;MAX(入力シート!$AH$6:$AH$505),"",INDEX(テーブル2[[学年]:[判定]],MATCH(体力優良証交付申請書!$A105,入力シート!$AH$6:$AH$505,0),MATCH(体力優良証交付申請書!E$14,テーブル2[[#Headers],[学年]:[得点]],0)))</f>
        <v/>
      </c>
      <c r="F105" s="115" t="str">
        <f>IF($A105&gt;MAX(入力シート!$AH$6:$AH$505),"",INDEX(テーブル2[[学年]:[判定]],MATCH(体力優良証交付申請書!$A105,入力シート!$AH$6:$AH$505,0),MATCH(体力優良証交付申請書!F$14,テーブル2[[#Headers],[学年]:[得点]],0)))</f>
        <v/>
      </c>
      <c r="G105" s="115" t="str">
        <f>IF($A105&gt;MAX(入力シート!$AH$6:$AH$505),"",INDEX(テーブル2[[学年]:[判定]],MATCH(体力優良証交付申請書!$A105,入力シート!$AH$6:$AH$505,0),MATCH(体力優良証交付申請書!G$14,テーブル2[[#Headers],[学年]:[得点]],0)))</f>
        <v/>
      </c>
      <c r="H105" s="115" t="str">
        <f>IF($A105&gt;MAX(入力シート!$AH$6:$AH$505),"",INDEX(テーブル2[[学年]:[判定]],MATCH(体力優良証交付申請書!$A105,入力シート!$AH$6:$AH$505,0),MATCH(体力優良証交付申請書!H$14,テーブル2[[#Headers],[学年]:[得点]],0)))</f>
        <v/>
      </c>
      <c r="I105" s="115" t="str">
        <f>IF($A105&gt;MAX(入力シート!$AH$6:$AH$505),"",INDEX(テーブル2[[学年]:[判定]],MATCH(体力優良証交付申請書!$A105,入力シート!$AH$6:$AH$505,0),MATCH(体力優良証交付申請書!I$14,テーブル2[[#Headers],[学年]:[得点]],0)))</f>
        <v/>
      </c>
      <c r="J105" s="115" t="str">
        <f>IF($A105&gt;MAX(入力シート!$AH$6:$AH$505),"",INDEX(テーブル2[[学年]:[判定]],MATCH(体力優良証交付申請書!$A105,入力シート!$AH$6:$AH$505,0),MATCH(体力優良証交付申請書!J$14,テーブル2[[#Headers],[学年]:[得点]],0)))</f>
        <v/>
      </c>
      <c r="K105" s="129" t="str">
        <f>IF($A105&gt;MAX(入力シート!$AH$6:$AH$505),"",INDEX(テーブル2[[学年]:[判定]],MATCH(体力優良証交付申請書!$A105,入力シート!$AH$6:$AH$505,0),MATCH(体力優良証交付申請書!K$14,テーブル2[[#Headers],[学年]:[得点]],0)))</f>
        <v/>
      </c>
      <c r="L105" s="115" t="str">
        <f>IF($A105&gt;MAX(入力シート!$AH$6:$AH$505),"",INDEX(テーブル2[[学年]:[判定]],MATCH(体力優良証交付申請書!$A105,入力シート!$AH$6:$AH$505,0),MATCH(体力優良証交付申請書!L$14,テーブル2[[#Headers],[学年]:[得点]],0)))</f>
        <v/>
      </c>
      <c r="M105" s="115" t="str">
        <f>IF($A105&gt;MAX(入力シート!$AH$6:$AH$505),"",INDEX(テーブル2[[学年]:[判定]],MATCH(体力優良証交付申請書!$A105,入力シート!$AH$6:$AH$505,0),MATCH(体力優良証交付申請書!M$14,テーブル2[[#Headers],[学年]:[得点]],0)))</f>
        <v/>
      </c>
      <c r="N105" s="27" t="str">
        <f>IF($A105&gt;MAX(入力シート!$AH$6:$AH$505),"",INDEX(テーブル2[[学年]:[判定]],MATCH(体力優良証交付申請書!$A105,入力シート!$AH$6:$AH$505,0),MATCH(体力優良証交付申請書!N$14,テーブル2[[#Headers],[学年]:[得点]],0)))</f>
        <v/>
      </c>
    </row>
    <row r="106" spans="1:14" x14ac:dyDescent="0.15">
      <c r="A106" s="17">
        <v>92</v>
      </c>
      <c r="B106" s="115" t="str">
        <f>IF($A106&gt;MAX(入力シート!$AH$6:$AH$505),"",INDEX(テーブル2[[学年]:[判定]],MATCH(体力優良証交付申請書!$A106,入力シート!$AH$6:$AH$505,0),MATCH(体力優良証交付申請書!B$14,テーブル2[[#Headers],[学年]:[得点]],0)))</f>
        <v/>
      </c>
      <c r="C106" s="115" t="str">
        <f>IF($A106&gt;MAX(入力シート!$AH$6:$AH$505),"",INDEX(テーブル2[[学年]:[判定]],MATCH(体力優良証交付申請書!$A106,入力シート!$AH$6:$AH$505,0),MATCH(体力優良証交付申請書!C$14,テーブル2[[#Headers],[学年]:[得点]],0)))</f>
        <v/>
      </c>
      <c r="D106" s="115" t="str">
        <f>IF($A106&gt;MAX(入力シート!$AH$6:$AH$505),"",INDEX(テーブル2[[学年]:[判定]],MATCH(体力優良証交付申請書!$A106,入力シート!$AH$6:$AH$505,0),MATCH(体力優良証交付申請書!D$14,テーブル2[[#Headers],[学年]:[得点]],0)))</f>
        <v/>
      </c>
      <c r="E106" s="115" t="str">
        <f>IF($A106&gt;MAX(入力シート!$AH$6:$AH$505),"",INDEX(テーブル2[[学年]:[判定]],MATCH(体力優良証交付申請書!$A106,入力シート!$AH$6:$AH$505,0),MATCH(体力優良証交付申請書!E$14,テーブル2[[#Headers],[学年]:[得点]],0)))</f>
        <v/>
      </c>
      <c r="F106" s="115" t="str">
        <f>IF($A106&gt;MAX(入力シート!$AH$6:$AH$505),"",INDEX(テーブル2[[学年]:[判定]],MATCH(体力優良証交付申請書!$A106,入力シート!$AH$6:$AH$505,0),MATCH(体力優良証交付申請書!F$14,テーブル2[[#Headers],[学年]:[得点]],0)))</f>
        <v/>
      </c>
      <c r="G106" s="115" t="str">
        <f>IF($A106&gt;MAX(入力シート!$AH$6:$AH$505),"",INDEX(テーブル2[[学年]:[判定]],MATCH(体力優良証交付申請書!$A106,入力シート!$AH$6:$AH$505,0),MATCH(体力優良証交付申請書!G$14,テーブル2[[#Headers],[学年]:[得点]],0)))</f>
        <v/>
      </c>
      <c r="H106" s="115" t="str">
        <f>IF($A106&gt;MAX(入力シート!$AH$6:$AH$505),"",INDEX(テーブル2[[学年]:[判定]],MATCH(体力優良証交付申請書!$A106,入力シート!$AH$6:$AH$505,0),MATCH(体力優良証交付申請書!H$14,テーブル2[[#Headers],[学年]:[得点]],0)))</f>
        <v/>
      </c>
      <c r="I106" s="115" t="str">
        <f>IF($A106&gt;MAX(入力シート!$AH$6:$AH$505),"",INDEX(テーブル2[[学年]:[判定]],MATCH(体力優良証交付申請書!$A106,入力シート!$AH$6:$AH$505,0),MATCH(体力優良証交付申請書!I$14,テーブル2[[#Headers],[学年]:[得点]],0)))</f>
        <v/>
      </c>
      <c r="J106" s="115" t="str">
        <f>IF($A106&gt;MAX(入力シート!$AH$6:$AH$505),"",INDEX(テーブル2[[学年]:[判定]],MATCH(体力優良証交付申請書!$A106,入力シート!$AH$6:$AH$505,0),MATCH(体力優良証交付申請書!J$14,テーブル2[[#Headers],[学年]:[得点]],0)))</f>
        <v/>
      </c>
      <c r="K106" s="129" t="str">
        <f>IF($A106&gt;MAX(入力シート!$AH$6:$AH$505),"",INDEX(テーブル2[[学年]:[判定]],MATCH(体力優良証交付申請書!$A106,入力シート!$AH$6:$AH$505,0),MATCH(体力優良証交付申請書!K$14,テーブル2[[#Headers],[学年]:[得点]],0)))</f>
        <v/>
      </c>
      <c r="L106" s="115" t="str">
        <f>IF($A106&gt;MAX(入力シート!$AH$6:$AH$505),"",INDEX(テーブル2[[学年]:[判定]],MATCH(体力優良証交付申請書!$A106,入力シート!$AH$6:$AH$505,0),MATCH(体力優良証交付申請書!L$14,テーブル2[[#Headers],[学年]:[得点]],0)))</f>
        <v/>
      </c>
      <c r="M106" s="115" t="str">
        <f>IF($A106&gt;MAX(入力シート!$AH$6:$AH$505),"",INDEX(テーブル2[[学年]:[判定]],MATCH(体力優良証交付申請書!$A106,入力シート!$AH$6:$AH$505,0),MATCH(体力優良証交付申請書!M$14,テーブル2[[#Headers],[学年]:[得点]],0)))</f>
        <v/>
      </c>
      <c r="N106" s="27" t="str">
        <f>IF($A106&gt;MAX(入力シート!$AH$6:$AH$505),"",INDEX(テーブル2[[学年]:[判定]],MATCH(体力優良証交付申請書!$A106,入力シート!$AH$6:$AH$505,0),MATCH(体力優良証交付申請書!N$14,テーブル2[[#Headers],[学年]:[得点]],0)))</f>
        <v/>
      </c>
    </row>
    <row r="107" spans="1:14" x14ac:dyDescent="0.15">
      <c r="A107" s="17">
        <v>93</v>
      </c>
      <c r="B107" s="115" t="str">
        <f>IF($A107&gt;MAX(入力シート!$AH$6:$AH$505),"",INDEX(テーブル2[[学年]:[判定]],MATCH(体力優良証交付申請書!$A107,入力シート!$AH$6:$AH$505,0),MATCH(体力優良証交付申請書!B$14,テーブル2[[#Headers],[学年]:[得点]],0)))</f>
        <v/>
      </c>
      <c r="C107" s="115" t="str">
        <f>IF($A107&gt;MAX(入力シート!$AH$6:$AH$505),"",INDEX(テーブル2[[学年]:[判定]],MATCH(体力優良証交付申請書!$A107,入力シート!$AH$6:$AH$505,0),MATCH(体力優良証交付申請書!C$14,テーブル2[[#Headers],[学年]:[得点]],0)))</f>
        <v/>
      </c>
      <c r="D107" s="115" t="str">
        <f>IF($A107&gt;MAX(入力シート!$AH$6:$AH$505),"",INDEX(テーブル2[[学年]:[判定]],MATCH(体力優良証交付申請書!$A107,入力シート!$AH$6:$AH$505,0),MATCH(体力優良証交付申請書!D$14,テーブル2[[#Headers],[学年]:[得点]],0)))</f>
        <v/>
      </c>
      <c r="E107" s="115" t="str">
        <f>IF($A107&gt;MAX(入力シート!$AH$6:$AH$505),"",INDEX(テーブル2[[学年]:[判定]],MATCH(体力優良証交付申請書!$A107,入力シート!$AH$6:$AH$505,0),MATCH(体力優良証交付申請書!E$14,テーブル2[[#Headers],[学年]:[得点]],0)))</f>
        <v/>
      </c>
      <c r="F107" s="115" t="str">
        <f>IF($A107&gt;MAX(入力シート!$AH$6:$AH$505),"",INDEX(テーブル2[[学年]:[判定]],MATCH(体力優良証交付申請書!$A107,入力シート!$AH$6:$AH$505,0),MATCH(体力優良証交付申請書!F$14,テーブル2[[#Headers],[学年]:[得点]],0)))</f>
        <v/>
      </c>
      <c r="G107" s="115" t="str">
        <f>IF($A107&gt;MAX(入力シート!$AH$6:$AH$505),"",INDEX(テーブル2[[学年]:[判定]],MATCH(体力優良証交付申請書!$A107,入力シート!$AH$6:$AH$505,0),MATCH(体力優良証交付申請書!G$14,テーブル2[[#Headers],[学年]:[得点]],0)))</f>
        <v/>
      </c>
      <c r="H107" s="115" t="str">
        <f>IF($A107&gt;MAX(入力シート!$AH$6:$AH$505),"",INDEX(テーブル2[[学年]:[判定]],MATCH(体力優良証交付申請書!$A107,入力シート!$AH$6:$AH$505,0),MATCH(体力優良証交付申請書!H$14,テーブル2[[#Headers],[学年]:[得点]],0)))</f>
        <v/>
      </c>
      <c r="I107" s="115" t="str">
        <f>IF($A107&gt;MAX(入力シート!$AH$6:$AH$505),"",INDEX(テーブル2[[学年]:[判定]],MATCH(体力優良証交付申請書!$A107,入力シート!$AH$6:$AH$505,0),MATCH(体力優良証交付申請書!I$14,テーブル2[[#Headers],[学年]:[得点]],0)))</f>
        <v/>
      </c>
      <c r="J107" s="115" t="str">
        <f>IF($A107&gt;MAX(入力シート!$AH$6:$AH$505),"",INDEX(テーブル2[[学年]:[判定]],MATCH(体力優良証交付申請書!$A107,入力シート!$AH$6:$AH$505,0),MATCH(体力優良証交付申請書!J$14,テーブル2[[#Headers],[学年]:[得点]],0)))</f>
        <v/>
      </c>
      <c r="K107" s="129" t="str">
        <f>IF($A107&gt;MAX(入力シート!$AH$6:$AH$505),"",INDEX(テーブル2[[学年]:[判定]],MATCH(体力優良証交付申請書!$A107,入力シート!$AH$6:$AH$505,0),MATCH(体力優良証交付申請書!K$14,テーブル2[[#Headers],[学年]:[得点]],0)))</f>
        <v/>
      </c>
      <c r="L107" s="115" t="str">
        <f>IF($A107&gt;MAX(入力シート!$AH$6:$AH$505),"",INDEX(テーブル2[[学年]:[判定]],MATCH(体力優良証交付申請書!$A107,入力シート!$AH$6:$AH$505,0),MATCH(体力優良証交付申請書!L$14,テーブル2[[#Headers],[学年]:[得点]],0)))</f>
        <v/>
      </c>
      <c r="M107" s="115" t="str">
        <f>IF($A107&gt;MAX(入力シート!$AH$6:$AH$505),"",INDEX(テーブル2[[学年]:[判定]],MATCH(体力優良証交付申請書!$A107,入力シート!$AH$6:$AH$505,0),MATCH(体力優良証交付申請書!M$14,テーブル2[[#Headers],[学年]:[得点]],0)))</f>
        <v/>
      </c>
      <c r="N107" s="27" t="str">
        <f>IF($A107&gt;MAX(入力シート!$AH$6:$AH$505),"",INDEX(テーブル2[[学年]:[判定]],MATCH(体力優良証交付申請書!$A107,入力シート!$AH$6:$AH$505,0),MATCH(体力優良証交付申請書!N$14,テーブル2[[#Headers],[学年]:[得点]],0)))</f>
        <v/>
      </c>
    </row>
    <row r="108" spans="1:14" x14ac:dyDescent="0.15">
      <c r="A108" s="17">
        <v>94</v>
      </c>
      <c r="B108" s="115" t="str">
        <f>IF($A108&gt;MAX(入力シート!$AH$6:$AH$505),"",INDEX(テーブル2[[学年]:[判定]],MATCH(体力優良証交付申請書!$A108,入力シート!$AH$6:$AH$505,0),MATCH(体力優良証交付申請書!B$14,テーブル2[[#Headers],[学年]:[得点]],0)))</f>
        <v/>
      </c>
      <c r="C108" s="115" t="str">
        <f>IF($A108&gt;MAX(入力シート!$AH$6:$AH$505),"",INDEX(テーブル2[[学年]:[判定]],MATCH(体力優良証交付申請書!$A108,入力シート!$AH$6:$AH$505,0),MATCH(体力優良証交付申請書!C$14,テーブル2[[#Headers],[学年]:[得点]],0)))</f>
        <v/>
      </c>
      <c r="D108" s="115" t="str">
        <f>IF($A108&gt;MAX(入力シート!$AH$6:$AH$505),"",INDEX(テーブル2[[学年]:[判定]],MATCH(体力優良証交付申請書!$A108,入力シート!$AH$6:$AH$505,0),MATCH(体力優良証交付申請書!D$14,テーブル2[[#Headers],[学年]:[得点]],0)))</f>
        <v/>
      </c>
      <c r="E108" s="115" t="str">
        <f>IF($A108&gt;MAX(入力シート!$AH$6:$AH$505),"",INDEX(テーブル2[[学年]:[判定]],MATCH(体力優良証交付申請書!$A108,入力シート!$AH$6:$AH$505,0),MATCH(体力優良証交付申請書!E$14,テーブル2[[#Headers],[学年]:[得点]],0)))</f>
        <v/>
      </c>
      <c r="F108" s="115" t="str">
        <f>IF($A108&gt;MAX(入力シート!$AH$6:$AH$505),"",INDEX(テーブル2[[学年]:[判定]],MATCH(体力優良証交付申請書!$A108,入力シート!$AH$6:$AH$505,0),MATCH(体力優良証交付申請書!F$14,テーブル2[[#Headers],[学年]:[得点]],0)))</f>
        <v/>
      </c>
      <c r="G108" s="115" t="str">
        <f>IF($A108&gt;MAX(入力シート!$AH$6:$AH$505),"",INDEX(テーブル2[[学年]:[判定]],MATCH(体力優良証交付申請書!$A108,入力シート!$AH$6:$AH$505,0),MATCH(体力優良証交付申請書!G$14,テーブル2[[#Headers],[学年]:[得点]],0)))</f>
        <v/>
      </c>
      <c r="H108" s="115" t="str">
        <f>IF($A108&gt;MAX(入力シート!$AH$6:$AH$505),"",INDEX(テーブル2[[学年]:[判定]],MATCH(体力優良証交付申請書!$A108,入力シート!$AH$6:$AH$505,0),MATCH(体力優良証交付申請書!H$14,テーブル2[[#Headers],[学年]:[得点]],0)))</f>
        <v/>
      </c>
      <c r="I108" s="115" t="str">
        <f>IF($A108&gt;MAX(入力シート!$AH$6:$AH$505),"",INDEX(テーブル2[[学年]:[判定]],MATCH(体力優良証交付申請書!$A108,入力シート!$AH$6:$AH$505,0),MATCH(体力優良証交付申請書!I$14,テーブル2[[#Headers],[学年]:[得点]],0)))</f>
        <v/>
      </c>
      <c r="J108" s="115" t="str">
        <f>IF($A108&gt;MAX(入力シート!$AH$6:$AH$505),"",INDEX(テーブル2[[学年]:[判定]],MATCH(体力優良証交付申請書!$A108,入力シート!$AH$6:$AH$505,0),MATCH(体力優良証交付申請書!J$14,テーブル2[[#Headers],[学年]:[得点]],0)))</f>
        <v/>
      </c>
      <c r="K108" s="129" t="str">
        <f>IF($A108&gt;MAX(入力シート!$AH$6:$AH$505),"",INDEX(テーブル2[[学年]:[判定]],MATCH(体力優良証交付申請書!$A108,入力シート!$AH$6:$AH$505,0),MATCH(体力優良証交付申請書!K$14,テーブル2[[#Headers],[学年]:[得点]],0)))</f>
        <v/>
      </c>
      <c r="L108" s="115" t="str">
        <f>IF($A108&gt;MAX(入力シート!$AH$6:$AH$505),"",INDEX(テーブル2[[学年]:[判定]],MATCH(体力優良証交付申請書!$A108,入力シート!$AH$6:$AH$505,0),MATCH(体力優良証交付申請書!L$14,テーブル2[[#Headers],[学年]:[得点]],0)))</f>
        <v/>
      </c>
      <c r="M108" s="115" t="str">
        <f>IF($A108&gt;MAX(入力シート!$AH$6:$AH$505),"",INDEX(テーブル2[[学年]:[判定]],MATCH(体力優良証交付申請書!$A108,入力シート!$AH$6:$AH$505,0),MATCH(体力優良証交付申請書!M$14,テーブル2[[#Headers],[学年]:[得点]],0)))</f>
        <v/>
      </c>
      <c r="N108" s="27" t="str">
        <f>IF($A108&gt;MAX(入力シート!$AH$6:$AH$505),"",INDEX(テーブル2[[学年]:[判定]],MATCH(体力優良証交付申請書!$A108,入力シート!$AH$6:$AH$505,0),MATCH(体力優良証交付申請書!N$14,テーブル2[[#Headers],[学年]:[得点]],0)))</f>
        <v/>
      </c>
    </row>
    <row r="109" spans="1:14" x14ac:dyDescent="0.15">
      <c r="A109" s="17">
        <v>95</v>
      </c>
      <c r="B109" s="115" t="str">
        <f>IF($A109&gt;MAX(入力シート!$AH$6:$AH$505),"",INDEX(テーブル2[[学年]:[判定]],MATCH(体力優良証交付申請書!$A109,入力シート!$AH$6:$AH$505,0),MATCH(体力優良証交付申請書!B$14,テーブル2[[#Headers],[学年]:[得点]],0)))</f>
        <v/>
      </c>
      <c r="C109" s="115" t="str">
        <f>IF($A109&gt;MAX(入力シート!$AH$6:$AH$505),"",INDEX(テーブル2[[学年]:[判定]],MATCH(体力優良証交付申請書!$A109,入力シート!$AH$6:$AH$505,0),MATCH(体力優良証交付申請書!C$14,テーブル2[[#Headers],[学年]:[得点]],0)))</f>
        <v/>
      </c>
      <c r="D109" s="115" t="str">
        <f>IF($A109&gt;MAX(入力シート!$AH$6:$AH$505),"",INDEX(テーブル2[[学年]:[判定]],MATCH(体力優良証交付申請書!$A109,入力シート!$AH$6:$AH$505,0),MATCH(体力優良証交付申請書!D$14,テーブル2[[#Headers],[学年]:[得点]],0)))</f>
        <v/>
      </c>
      <c r="E109" s="115" t="str">
        <f>IF($A109&gt;MAX(入力シート!$AH$6:$AH$505),"",INDEX(テーブル2[[学年]:[判定]],MATCH(体力優良証交付申請書!$A109,入力シート!$AH$6:$AH$505,0),MATCH(体力優良証交付申請書!E$14,テーブル2[[#Headers],[学年]:[得点]],0)))</f>
        <v/>
      </c>
      <c r="F109" s="115" t="str">
        <f>IF($A109&gt;MAX(入力シート!$AH$6:$AH$505),"",INDEX(テーブル2[[学年]:[判定]],MATCH(体力優良証交付申請書!$A109,入力シート!$AH$6:$AH$505,0),MATCH(体力優良証交付申請書!F$14,テーブル2[[#Headers],[学年]:[得点]],0)))</f>
        <v/>
      </c>
      <c r="G109" s="115" t="str">
        <f>IF($A109&gt;MAX(入力シート!$AH$6:$AH$505),"",INDEX(テーブル2[[学年]:[判定]],MATCH(体力優良証交付申請書!$A109,入力シート!$AH$6:$AH$505,0),MATCH(体力優良証交付申請書!G$14,テーブル2[[#Headers],[学年]:[得点]],0)))</f>
        <v/>
      </c>
      <c r="H109" s="115" t="str">
        <f>IF($A109&gt;MAX(入力シート!$AH$6:$AH$505),"",INDEX(テーブル2[[学年]:[判定]],MATCH(体力優良証交付申請書!$A109,入力シート!$AH$6:$AH$505,0),MATCH(体力優良証交付申請書!H$14,テーブル2[[#Headers],[学年]:[得点]],0)))</f>
        <v/>
      </c>
      <c r="I109" s="115" t="str">
        <f>IF($A109&gt;MAX(入力シート!$AH$6:$AH$505),"",INDEX(テーブル2[[学年]:[判定]],MATCH(体力優良証交付申請書!$A109,入力シート!$AH$6:$AH$505,0),MATCH(体力優良証交付申請書!I$14,テーブル2[[#Headers],[学年]:[得点]],0)))</f>
        <v/>
      </c>
      <c r="J109" s="115" t="str">
        <f>IF($A109&gt;MAX(入力シート!$AH$6:$AH$505),"",INDEX(テーブル2[[学年]:[判定]],MATCH(体力優良証交付申請書!$A109,入力シート!$AH$6:$AH$505,0),MATCH(体力優良証交付申請書!J$14,テーブル2[[#Headers],[学年]:[得点]],0)))</f>
        <v/>
      </c>
      <c r="K109" s="129" t="str">
        <f>IF($A109&gt;MAX(入力シート!$AH$6:$AH$505),"",INDEX(テーブル2[[学年]:[判定]],MATCH(体力優良証交付申請書!$A109,入力シート!$AH$6:$AH$505,0),MATCH(体力優良証交付申請書!K$14,テーブル2[[#Headers],[学年]:[得点]],0)))</f>
        <v/>
      </c>
      <c r="L109" s="115" t="str">
        <f>IF($A109&gt;MAX(入力シート!$AH$6:$AH$505),"",INDEX(テーブル2[[学年]:[判定]],MATCH(体力優良証交付申請書!$A109,入力シート!$AH$6:$AH$505,0),MATCH(体力優良証交付申請書!L$14,テーブル2[[#Headers],[学年]:[得点]],0)))</f>
        <v/>
      </c>
      <c r="M109" s="115" t="str">
        <f>IF($A109&gt;MAX(入力シート!$AH$6:$AH$505),"",INDEX(テーブル2[[学年]:[判定]],MATCH(体力優良証交付申請書!$A109,入力シート!$AH$6:$AH$505,0),MATCH(体力優良証交付申請書!M$14,テーブル2[[#Headers],[学年]:[得点]],0)))</f>
        <v/>
      </c>
      <c r="N109" s="27" t="str">
        <f>IF($A109&gt;MAX(入力シート!$AH$6:$AH$505),"",INDEX(テーブル2[[学年]:[判定]],MATCH(体力優良証交付申請書!$A109,入力シート!$AH$6:$AH$505,0),MATCH(体力優良証交付申請書!N$14,テーブル2[[#Headers],[学年]:[得点]],0)))</f>
        <v/>
      </c>
    </row>
    <row r="110" spans="1:14" x14ac:dyDescent="0.15">
      <c r="A110" s="17">
        <v>96</v>
      </c>
      <c r="B110" s="115" t="str">
        <f>IF($A110&gt;MAX(入力シート!$AH$6:$AH$505),"",INDEX(テーブル2[[学年]:[判定]],MATCH(体力優良証交付申請書!$A110,入力シート!$AH$6:$AH$505,0),MATCH(体力優良証交付申請書!B$14,テーブル2[[#Headers],[学年]:[得点]],0)))</f>
        <v/>
      </c>
      <c r="C110" s="115" t="str">
        <f>IF($A110&gt;MAX(入力シート!$AH$6:$AH$505),"",INDEX(テーブル2[[学年]:[判定]],MATCH(体力優良証交付申請書!$A110,入力シート!$AH$6:$AH$505,0),MATCH(体力優良証交付申請書!C$14,テーブル2[[#Headers],[学年]:[得点]],0)))</f>
        <v/>
      </c>
      <c r="D110" s="115" t="str">
        <f>IF($A110&gt;MAX(入力シート!$AH$6:$AH$505),"",INDEX(テーブル2[[学年]:[判定]],MATCH(体力優良証交付申請書!$A110,入力シート!$AH$6:$AH$505,0),MATCH(体力優良証交付申請書!D$14,テーブル2[[#Headers],[学年]:[得点]],0)))</f>
        <v/>
      </c>
      <c r="E110" s="115" t="str">
        <f>IF($A110&gt;MAX(入力シート!$AH$6:$AH$505),"",INDEX(テーブル2[[学年]:[判定]],MATCH(体力優良証交付申請書!$A110,入力シート!$AH$6:$AH$505,0),MATCH(体力優良証交付申請書!E$14,テーブル2[[#Headers],[学年]:[得点]],0)))</f>
        <v/>
      </c>
      <c r="F110" s="115" t="str">
        <f>IF($A110&gt;MAX(入力シート!$AH$6:$AH$505),"",INDEX(テーブル2[[学年]:[判定]],MATCH(体力優良証交付申請書!$A110,入力シート!$AH$6:$AH$505,0),MATCH(体力優良証交付申請書!F$14,テーブル2[[#Headers],[学年]:[得点]],0)))</f>
        <v/>
      </c>
      <c r="G110" s="115" t="str">
        <f>IF($A110&gt;MAX(入力シート!$AH$6:$AH$505),"",INDEX(テーブル2[[学年]:[判定]],MATCH(体力優良証交付申請書!$A110,入力シート!$AH$6:$AH$505,0),MATCH(体力優良証交付申請書!G$14,テーブル2[[#Headers],[学年]:[得点]],0)))</f>
        <v/>
      </c>
      <c r="H110" s="115" t="str">
        <f>IF($A110&gt;MAX(入力シート!$AH$6:$AH$505),"",INDEX(テーブル2[[学年]:[判定]],MATCH(体力優良証交付申請書!$A110,入力シート!$AH$6:$AH$505,0),MATCH(体力優良証交付申請書!H$14,テーブル2[[#Headers],[学年]:[得点]],0)))</f>
        <v/>
      </c>
      <c r="I110" s="115" t="str">
        <f>IF($A110&gt;MAX(入力シート!$AH$6:$AH$505),"",INDEX(テーブル2[[学年]:[判定]],MATCH(体力優良証交付申請書!$A110,入力シート!$AH$6:$AH$505,0),MATCH(体力優良証交付申請書!I$14,テーブル2[[#Headers],[学年]:[得点]],0)))</f>
        <v/>
      </c>
      <c r="J110" s="115" t="str">
        <f>IF($A110&gt;MAX(入力シート!$AH$6:$AH$505),"",INDEX(テーブル2[[学年]:[判定]],MATCH(体力優良証交付申請書!$A110,入力シート!$AH$6:$AH$505,0),MATCH(体力優良証交付申請書!J$14,テーブル2[[#Headers],[学年]:[得点]],0)))</f>
        <v/>
      </c>
      <c r="K110" s="129" t="str">
        <f>IF($A110&gt;MAX(入力シート!$AH$6:$AH$505),"",INDEX(テーブル2[[学年]:[判定]],MATCH(体力優良証交付申請書!$A110,入力シート!$AH$6:$AH$505,0),MATCH(体力優良証交付申請書!K$14,テーブル2[[#Headers],[学年]:[得点]],0)))</f>
        <v/>
      </c>
      <c r="L110" s="115" t="str">
        <f>IF($A110&gt;MAX(入力シート!$AH$6:$AH$505),"",INDEX(テーブル2[[学年]:[判定]],MATCH(体力優良証交付申請書!$A110,入力シート!$AH$6:$AH$505,0),MATCH(体力優良証交付申請書!L$14,テーブル2[[#Headers],[学年]:[得点]],0)))</f>
        <v/>
      </c>
      <c r="M110" s="115" t="str">
        <f>IF($A110&gt;MAX(入力シート!$AH$6:$AH$505),"",INDEX(テーブル2[[学年]:[判定]],MATCH(体力優良証交付申請書!$A110,入力シート!$AH$6:$AH$505,0),MATCH(体力優良証交付申請書!M$14,テーブル2[[#Headers],[学年]:[得点]],0)))</f>
        <v/>
      </c>
      <c r="N110" s="27" t="str">
        <f>IF($A110&gt;MAX(入力シート!$AH$6:$AH$505),"",INDEX(テーブル2[[学年]:[判定]],MATCH(体力優良証交付申請書!$A110,入力シート!$AH$6:$AH$505,0),MATCH(体力優良証交付申請書!N$14,テーブル2[[#Headers],[学年]:[得点]],0)))</f>
        <v/>
      </c>
    </row>
    <row r="111" spans="1:14" x14ac:dyDescent="0.15">
      <c r="A111" s="17">
        <v>97</v>
      </c>
      <c r="B111" s="115" t="str">
        <f>IF($A111&gt;MAX(入力シート!$AH$6:$AH$505),"",INDEX(テーブル2[[学年]:[判定]],MATCH(体力優良証交付申請書!$A111,入力シート!$AH$6:$AH$505,0),MATCH(体力優良証交付申請書!B$14,テーブル2[[#Headers],[学年]:[得点]],0)))</f>
        <v/>
      </c>
      <c r="C111" s="115" t="str">
        <f>IF($A111&gt;MAX(入力シート!$AH$6:$AH$505),"",INDEX(テーブル2[[学年]:[判定]],MATCH(体力優良証交付申請書!$A111,入力シート!$AH$6:$AH$505,0),MATCH(体力優良証交付申請書!C$14,テーブル2[[#Headers],[学年]:[得点]],0)))</f>
        <v/>
      </c>
      <c r="D111" s="115" t="str">
        <f>IF($A111&gt;MAX(入力シート!$AH$6:$AH$505),"",INDEX(テーブル2[[学年]:[判定]],MATCH(体力優良証交付申請書!$A111,入力シート!$AH$6:$AH$505,0),MATCH(体力優良証交付申請書!D$14,テーブル2[[#Headers],[学年]:[得点]],0)))</f>
        <v/>
      </c>
      <c r="E111" s="115" t="str">
        <f>IF($A111&gt;MAX(入力シート!$AH$6:$AH$505),"",INDEX(テーブル2[[学年]:[判定]],MATCH(体力優良証交付申請書!$A111,入力シート!$AH$6:$AH$505,0),MATCH(体力優良証交付申請書!E$14,テーブル2[[#Headers],[学年]:[得点]],0)))</f>
        <v/>
      </c>
      <c r="F111" s="115" t="str">
        <f>IF($A111&gt;MAX(入力シート!$AH$6:$AH$505),"",INDEX(テーブル2[[学年]:[判定]],MATCH(体力優良証交付申請書!$A111,入力シート!$AH$6:$AH$505,0),MATCH(体力優良証交付申請書!F$14,テーブル2[[#Headers],[学年]:[得点]],0)))</f>
        <v/>
      </c>
      <c r="G111" s="115" t="str">
        <f>IF($A111&gt;MAX(入力シート!$AH$6:$AH$505),"",INDEX(テーブル2[[学年]:[判定]],MATCH(体力優良証交付申請書!$A111,入力シート!$AH$6:$AH$505,0),MATCH(体力優良証交付申請書!G$14,テーブル2[[#Headers],[学年]:[得点]],0)))</f>
        <v/>
      </c>
      <c r="H111" s="115" t="str">
        <f>IF($A111&gt;MAX(入力シート!$AH$6:$AH$505),"",INDEX(テーブル2[[学年]:[判定]],MATCH(体力優良証交付申請書!$A111,入力シート!$AH$6:$AH$505,0),MATCH(体力優良証交付申請書!H$14,テーブル2[[#Headers],[学年]:[得点]],0)))</f>
        <v/>
      </c>
      <c r="I111" s="115" t="str">
        <f>IF($A111&gt;MAX(入力シート!$AH$6:$AH$505),"",INDEX(テーブル2[[学年]:[判定]],MATCH(体力優良証交付申請書!$A111,入力シート!$AH$6:$AH$505,0),MATCH(体力優良証交付申請書!I$14,テーブル2[[#Headers],[学年]:[得点]],0)))</f>
        <v/>
      </c>
      <c r="J111" s="115" t="str">
        <f>IF($A111&gt;MAX(入力シート!$AH$6:$AH$505),"",INDEX(テーブル2[[学年]:[判定]],MATCH(体力優良証交付申請書!$A111,入力シート!$AH$6:$AH$505,0),MATCH(体力優良証交付申請書!J$14,テーブル2[[#Headers],[学年]:[得点]],0)))</f>
        <v/>
      </c>
      <c r="K111" s="129" t="str">
        <f>IF($A111&gt;MAX(入力シート!$AH$6:$AH$505),"",INDEX(テーブル2[[学年]:[判定]],MATCH(体力優良証交付申請書!$A111,入力シート!$AH$6:$AH$505,0),MATCH(体力優良証交付申請書!K$14,テーブル2[[#Headers],[学年]:[得点]],0)))</f>
        <v/>
      </c>
      <c r="L111" s="115" t="str">
        <f>IF($A111&gt;MAX(入力シート!$AH$6:$AH$505),"",INDEX(テーブル2[[学年]:[判定]],MATCH(体力優良証交付申請書!$A111,入力シート!$AH$6:$AH$505,0),MATCH(体力優良証交付申請書!L$14,テーブル2[[#Headers],[学年]:[得点]],0)))</f>
        <v/>
      </c>
      <c r="M111" s="115" t="str">
        <f>IF($A111&gt;MAX(入力シート!$AH$6:$AH$505),"",INDEX(テーブル2[[学年]:[判定]],MATCH(体力優良証交付申請書!$A111,入力シート!$AH$6:$AH$505,0),MATCH(体力優良証交付申請書!M$14,テーブル2[[#Headers],[学年]:[得点]],0)))</f>
        <v/>
      </c>
      <c r="N111" s="27" t="str">
        <f>IF($A111&gt;MAX(入力シート!$AH$6:$AH$505),"",INDEX(テーブル2[[学年]:[判定]],MATCH(体力優良証交付申請書!$A111,入力シート!$AH$6:$AH$505,0),MATCH(体力優良証交付申請書!N$14,テーブル2[[#Headers],[学年]:[得点]],0)))</f>
        <v/>
      </c>
    </row>
    <row r="112" spans="1:14" x14ac:dyDescent="0.15">
      <c r="A112" s="17">
        <v>98</v>
      </c>
      <c r="B112" s="115" t="str">
        <f>IF($A112&gt;MAX(入力シート!$AH$6:$AH$505),"",INDEX(テーブル2[[学年]:[判定]],MATCH(体力優良証交付申請書!$A112,入力シート!$AH$6:$AH$505,0),MATCH(体力優良証交付申請書!B$14,テーブル2[[#Headers],[学年]:[得点]],0)))</f>
        <v/>
      </c>
      <c r="C112" s="115" t="str">
        <f>IF($A112&gt;MAX(入力シート!$AH$6:$AH$505),"",INDEX(テーブル2[[学年]:[判定]],MATCH(体力優良証交付申請書!$A112,入力シート!$AH$6:$AH$505,0),MATCH(体力優良証交付申請書!C$14,テーブル2[[#Headers],[学年]:[得点]],0)))</f>
        <v/>
      </c>
      <c r="D112" s="115" t="str">
        <f>IF($A112&gt;MAX(入力シート!$AH$6:$AH$505),"",INDEX(テーブル2[[学年]:[判定]],MATCH(体力優良証交付申請書!$A112,入力シート!$AH$6:$AH$505,0),MATCH(体力優良証交付申請書!D$14,テーブル2[[#Headers],[学年]:[得点]],0)))</f>
        <v/>
      </c>
      <c r="E112" s="115" t="str">
        <f>IF($A112&gt;MAX(入力シート!$AH$6:$AH$505),"",INDEX(テーブル2[[学年]:[判定]],MATCH(体力優良証交付申請書!$A112,入力シート!$AH$6:$AH$505,0),MATCH(体力優良証交付申請書!E$14,テーブル2[[#Headers],[学年]:[得点]],0)))</f>
        <v/>
      </c>
      <c r="F112" s="115" t="str">
        <f>IF($A112&gt;MAX(入力シート!$AH$6:$AH$505),"",INDEX(テーブル2[[学年]:[判定]],MATCH(体力優良証交付申請書!$A112,入力シート!$AH$6:$AH$505,0),MATCH(体力優良証交付申請書!F$14,テーブル2[[#Headers],[学年]:[得点]],0)))</f>
        <v/>
      </c>
      <c r="G112" s="115" t="str">
        <f>IF($A112&gt;MAX(入力シート!$AH$6:$AH$505),"",INDEX(テーブル2[[学年]:[判定]],MATCH(体力優良証交付申請書!$A112,入力シート!$AH$6:$AH$505,0),MATCH(体力優良証交付申請書!G$14,テーブル2[[#Headers],[学年]:[得点]],0)))</f>
        <v/>
      </c>
      <c r="H112" s="115" t="str">
        <f>IF($A112&gt;MAX(入力シート!$AH$6:$AH$505),"",INDEX(テーブル2[[学年]:[判定]],MATCH(体力優良証交付申請書!$A112,入力シート!$AH$6:$AH$505,0),MATCH(体力優良証交付申請書!H$14,テーブル2[[#Headers],[学年]:[得点]],0)))</f>
        <v/>
      </c>
      <c r="I112" s="115" t="str">
        <f>IF($A112&gt;MAX(入力シート!$AH$6:$AH$505),"",INDEX(テーブル2[[学年]:[判定]],MATCH(体力優良証交付申請書!$A112,入力シート!$AH$6:$AH$505,0),MATCH(体力優良証交付申請書!I$14,テーブル2[[#Headers],[学年]:[得点]],0)))</f>
        <v/>
      </c>
      <c r="J112" s="115" t="str">
        <f>IF($A112&gt;MAX(入力シート!$AH$6:$AH$505),"",INDEX(テーブル2[[学年]:[判定]],MATCH(体力優良証交付申請書!$A112,入力シート!$AH$6:$AH$505,0),MATCH(体力優良証交付申請書!J$14,テーブル2[[#Headers],[学年]:[得点]],0)))</f>
        <v/>
      </c>
      <c r="K112" s="129" t="str">
        <f>IF($A112&gt;MAX(入力シート!$AH$6:$AH$505),"",INDEX(テーブル2[[学年]:[判定]],MATCH(体力優良証交付申請書!$A112,入力シート!$AH$6:$AH$505,0),MATCH(体力優良証交付申請書!K$14,テーブル2[[#Headers],[学年]:[得点]],0)))</f>
        <v/>
      </c>
      <c r="L112" s="115" t="str">
        <f>IF($A112&gt;MAX(入力シート!$AH$6:$AH$505),"",INDEX(テーブル2[[学年]:[判定]],MATCH(体力優良証交付申請書!$A112,入力シート!$AH$6:$AH$505,0),MATCH(体力優良証交付申請書!L$14,テーブル2[[#Headers],[学年]:[得点]],0)))</f>
        <v/>
      </c>
      <c r="M112" s="115" t="str">
        <f>IF($A112&gt;MAX(入力シート!$AH$6:$AH$505),"",INDEX(テーブル2[[学年]:[判定]],MATCH(体力優良証交付申請書!$A112,入力シート!$AH$6:$AH$505,0),MATCH(体力優良証交付申請書!M$14,テーブル2[[#Headers],[学年]:[得点]],0)))</f>
        <v/>
      </c>
      <c r="N112" s="27" t="str">
        <f>IF($A112&gt;MAX(入力シート!$AH$6:$AH$505),"",INDEX(テーブル2[[学年]:[判定]],MATCH(体力優良証交付申請書!$A112,入力シート!$AH$6:$AH$505,0),MATCH(体力優良証交付申請書!N$14,テーブル2[[#Headers],[学年]:[得点]],0)))</f>
        <v/>
      </c>
    </row>
    <row r="113" spans="1:14" x14ac:dyDescent="0.15">
      <c r="A113" s="17">
        <v>99</v>
      </c>
      <c r="B113" s="115" t="str">
        <f>IF($A113&gt;MAX(入力シート!$AH$6:$AH$505),"",INDEX(テーブル2[[学年]:[判定]],MATCH(体力優良証交付申請書!$A113,入力シート!$AH$6:$AH$505,0),MATCH(体力優良証交付申請書!B$14,テーブル2[[#Headers],[学年]:[得点]],0)))</f>
        <v/>
      </c>
      <c r="C113" s="115" t="str">
        <f>IF($A113&gt;MAX(入力シート!$AH$6:$AH$505),"",INDEX(テーブル2[[学年]:[判定]],MATCH(体力優良証交付申請書!$A113,入力シート!$AH$6:$AH$505,0),MATCH(体力優良証交付申請書!C$14,テーブル2[[#Headers],[学年]:[得点]],0)))</f>
        <v/>
      </c>
      <c r="D113" s="115" t="str">
        <f>IF($A113&gt;MAX(入力シート!$AH$6:$AH$505),"",INDEX(テーブル2[[学年]:[判定]],MATCH(体力優良証交付申請書!$A113,入力シート!$AH$6:$AH$505,0),MATCH(体力優良証交付申請書!D$14,テーブル2[[#Headers],[学年]:[得点]],0)))</f>
        <v/>
      </c>
      <c r="E113" s="115" t="str">
        <f>IF($A113&gt;MAX(入力シート!$AH$6:$AH$505),"",INDEX(テーブル2[[学年]:[判定]],MATCH(体力優良証交付申請書!$A113,入力シート!$AH$6:$AH$505,0),MATCH(体力優良証交付申請書!E$14,テーブル2[[#Headers],[学年]:[得点]],0)))</f>
        <v/>
      </c>
      <c r="F113" s="115" t="str">
        <f>IF($A113&gt;MAX(入力シート!$AH$6:$AH$505),"",INDEX(テーブル2[[学年]:[判定]],MATCH(体力優良証交付申請書!$A113,入力シート!$AH$6:$AH$505,0),MATCH(体力優良証交付申請書!F$14,テーブル2[[#Headers],[学年]:[得点]],0)))</f>
        <v/>
      </c>
      <c r="G113" s="115" t="str">
        <f>IF($A113&gt;MAX(入力シート!$AH$6:$AH$505),"",INDEX(テーブル2[[学年]:[判定]],MATCH(体力優良証交付申請書!$A113,入力シート!$AH$6:$AH$505,0),MATCH(体力優良証交付申請書!G$14,テーブル2[[#Headers],[学年]:[得点]],0)))</f>
        <v/>
      </c>
      <c r="H113" s="115" t="str">
        <f>IF($A113&gt;MAX(入力シート!$AH$6:$AH$505),"",INDEX(テーブル2[[学年]:[判定]],MATCH(体力優良証交付申請書!$A113,入力シート!$AH$6:$AH$505,0),MATCH(体力優良証交付申請書!H$14,テーブル2[[#Headers],[学年]:[得点]],0)))</f>
        <v/>
      </c>
      <c r="I113" s="115" t="str">
        <f>IF($A113&gt;MAX(入力シート!$AH$6:$AH$505),"",INDEX(テーブル2[[学年]:[判定]],MATCH(体力優良証交付申請書!$A113,入力シート!$AH$6:$AH$505,0),MATCH(体力優良証交付申請書!I$14,テーブル2[[#Headers],[学年]:[得点]],0)))</f>
        <v/>
      </c>
      <c r="J113" s="115" t="str">
        <f>IF($A113&gt;MAX(入力シート!$AH$6:$AH$505),"",INDEX(テーブル2[[学年]:[判定]],MATCH(体力優良証交付申請書!$A113,入力シート!$AH$6:$AH$505,0),MATCH(体力優良証交付申請書!J$14,テーブル2[[#Headers],[学年]:[得点]],0)))</f>
        <v/>
      </c>
      <c r="K113" s="129" t="str">
        <f>IF($A113&gt;MAX(入力シート!$AH$6:$AH$505),"",INDEX(テーブル2[[学年]:[判定]],MATCH(体力優良証交付申請書!$A113,入力シート!$AH$6:$AH$505,0),MATCH(体力優良証交付申請書!K$14,テーブル2[[#Headers],[学年]:[得点]],0)))</f>
        <v/>
      </c>
      <c r="L113" s="115" t="str">
        <f>IF($A113&gt;MAX(入力シート!$AH$6:$AH$505),"",INDEX(テーブル2[[学年]:[判定]],MATCH(体力優良証交付申請書!$A113,入力シート!$AH$6:$AH$505,0),MATCH(体力優良証交付申請書!L$14,テーブル2[[#Headers],[学年]:[得点]],0)))</f>
        <v/>
      </c>
      <c r="M113" s="115" t="str">
        <f>IF($A113&gt;MAX(入力シート!$AH$6:$AH$505),"",INDEX(テーブル2[[学年]:[判定]],MATCH(体力優良証交付申請書!$A113,入力シート!$AH$6:$AH$505,0),MATCH(体力優良証交付申請書!M$14,テーブル2[[#Headers],[学年]:[得点]],0)))</f>
        <v/>
      </c>
      <c r="N113" s="27" t="str">
        <f>IF($A113&gt;MAX(入力シート!$AH$6:$AH$505),"",INDEX(テーブル2[[学年]:[判定]],MATCH(体力優良証交付申請書!$A113,入力シート!$AH$6:$AH$505,0),MATCH(体力優良証交付申請書!N$14,テーブル2[[#Headers],[学年]:[得点]],0)))</f>
        <v/>
      </c>
    </row>
    <row r="114" spans="1:14" x14ac:dyDescent="0.15">
      <c r="A114" s="17">
        <v>100</v>
      </c>
      <c r="B114" s="115" t="str">
        <f>IF($A114&gt;MAX(入力シート!$AH$6:$AH$505),"",INDEX(テーブル2[[学年]:[判定]],MATCH(体力優良証交付申請書!$A114,入力シート!$AH$6:$AH$505,0),MATCH(体力優良証交付申請書!B$14,テーブル2[[#Headers],[学年]:[得点]],0)))</f>
        <v/>
      </c>
      <c r="C114" s="115" t="str">
        <f>IF($A114&gt;MAX(入力シート!$AH$6:$AH$505),"",INDEX(テーブル2[[学年]:[判定]],MATCH(体力優良証交付申請書!$A114,入力シート!$AH$6:$AH$505,0),MATCH(体力優良証交付申請書!C$14,テーブル2[[#Headers],[学年]:[得点]],0)))</f>
        <v/>
      </c>
      <c r="D114" s="115" t="str">
        <f>IF($A114&gt;MAX(入力シート!$AH$6:$AH$505),"",INDEX(テーブル2[[学年]:[判定]],MATCH(体力優良証交付申請書!$A114,入力シート!$AH$6:$AH$505,0),MATCH(体力優良証交付申請書!D$14,テーブル2[[#Headers],[学年]:[得点]],0)))</f>
        <v/>
      </c>
      <c r="E114" s="115" t="str">
        <f>IF($A114&gt;MAX(入力シート!$AH$6:$AH$505),"",INDEX(テーブル2[[学年]:[判定]],MATCH(体力優良証交付申請書!$A114,入力シート!$AH$6:$AH$505,0),MATCH(体力優良証交付申請書!E$14,テーブル2[[#Headers],[学年]:[得点]],0)))</f>
        <v/>
      </c>
      <c r="F114" s="115" t="str">
        <f>IF($A114&gt;MAX(入力シート!$AH$6:$AH$505),"",INDEX(テーブル2[[学年]:[判定]],MATCH(体力優良証交付申請書!$A114,入力シート!$AH$6:$AH$505,0),MATCH(体力優良証交付申請書!F$14,テーブル2[[#Headers],[学年]:[得点]],0)))</f>
        <v/>
      </c>
      <c r="G114" s="115" t="str">
        <f>IF($A114&gt;MAX(入力シート!$AH$6:$AH$505),"",INDEX(テーブル2[[学年]:[判定]],MATCH(体力優良証交付申請書!$A114,入力シート!$AH$6:$AH$505,0),MATCH(体力優良証交付申請書!G$14,テーブル2[[#Headers],[学年]:[得点]],0)))</f>
        <v/>
      </c>
      <c r="H114" s="115" t="str">
        <f>IF($A114&gt;MAX(入力シート!$AH$6:$AH$505),"",INDEX(テーブル2[[学年]:[判定]],MATCH(体力優良証交付申請書!$A114,入力シート!$AH$6:$AH$505,0),MATCH(体力優良証交付申請書!H$14,テーブル2[[#Headers],[学年]:[得点]],0)))</f>
        <v/>
      </c>
      <c r="I114" s="115" t="str">
        <f>IF($A114&gt;MAX(入力シート!$AH$6:$AH$505),"",INDEX(テーブル2[[学年]:[判定]],MATCH(体力優良証交付申請書!$A114,入力シート!$AH$6:$AH$505,0),MATCH(体力優良証交付申請書!I$14,テーブル2[[#Headers],[学年]:[得点]],0)))</f>
        <v/>
      </c>
      <c r="J114" s="115" t="str">
        <f>IF($A114&gt;MAX(入力シート!$AH$6:$AH$505),"",INDEX(テーブル2[[学年]:[判定]],MATCH(体力優良証交付申請書!$A114,入力シート!$AH$6:$AH$505,0),MATCH(体力優良証交付申請書!J$14,テーブル2[[#Headers],[学年]:[得点]],0)))</f>
        <v/>
      </c>
      <c r="K114" s="129" t="str">
        <f>IF($A114&gt;MAX(入力シート!$AH$6:$AH$505),"",INDEX(テーブル2[[学年]:[判定]],MATCH(体力優良証交付申請書!$A114,入力シート!$AH$6:$AH$505,0),MATCH(体力優良証交付申請書!K$14,テーブル2[[#Headers],[学年]:[得点]],0)))</f>
        <v/>
      </c>
      <c r="L114" s="115" t="str">
        <f>IF($A114&gt;MAX(入力シート!$AH$6:$AH$505),"",INDEX(テーブル2[[学年]:[判定]],MATCH(体力優良証交付申請書!$A114,入力シート!$AH$6:$AH$505,0),MATCH(体力優良証交付申請書!L$14,テーブル2[[#Headers],[学年]:[得点]],0)))</f>
        <v/>
      </c>
      <c r="M114" s="115" t="str">
        <f>IF($A114&gt;MAX(入力シート!$AH$6:$AH$505),"",INDEX(テーブル2[[学年]:[判定]],MATCH(体力優良証交付申請書!$A114,入力シート!$AH$6:$AH$505,0),MATCH(体力優良証交付申請書!M$14,テーブル2[[#Headers],[学年]:[得点]],0)))</f>
        <v/>
      </c>
      <c r="N114" s="27" t="str">
        <f>IF($A114&gt;MAX(入力シート!$AH$6:$AH$505),"",INDEX(テーブル2[[学年]:[判定]],MATCH(体力優良証交付申請書!$A114,入力シート!$AH$6:$AH$505,0),MATCH(体力優良証交付申請書!N$14,テーブル2[[#Headers],[学年]:[得点]],0)))</f>
        <v/>
      </c>
    </row>
    <row r="115" spans="1:14" x14ac:dyDescent="0.15">
      <c r="A115" s="17">
        <v>101</v>
      </c>
      <c r="B115" s="115" t="str">
        <f>IF($A115&gt;MAX(入力シート!$AH$6:$AH$505),"",INDEX(テーブル2[[学年]:[判定]],MATCH(体力優良証交付申請書!$A115,入力シート!$AH$6:$AH$505,0),MATCH(体力優良証交付申請書!B$14,テーブル2[[#Headers],[学年]:[得点]],0)))</f>
        <v/>
      </c>
      <c r="C115" s="115" t="str">
        <f>IF($A115&gt;MAX(入力シート!$AH$6:$AH$505),"",INDEX(テーブル2[[学年]:[判定]],MATCH(体力優良証交付申請書!$A115,入力シート!$AH$6:$AH$505,0),MATCH(体力優良証交付申請書!C$14,テーブル2[[#Headers],[学年]:[得点]],0)))</f>
        <v/>
      </c>
      <c r="D115" s="115" t="str">
        <f>IF($A115&gt;MAX(入力シート!$AH$6:$AH$505),"",INDEX(テーブル2[[学年]:[判定]],MATCH(体力優良証交付申請書!$A115,入力シート!$AH$6:$AH$505,0),MATCH(体力優良証交付申請書!D$14,テーブル2[[#Headers],[学年]:[得点]],0)))</f>
        <v/>
      </c>
      <c r="E115" s="115" t="str">
        <f>IF($A115&gt;MAX(入力シート!$AH$6:$AH$505),"",INDEX(テーブル2[[学年]:[判定]],MATCH(体力優良証交付申請書!$A115,入力シート!$AH$6:$AH$505,0),MATCH(体力優良証交付申請書!E$14,テーブル2[[#Headers],[学年]:[得点]],0)))</f>
        <v/>
      </c>
      <c r="F115" s="115" t="str">
        <f>IF($A115&gt;MAX(入力シート!$AH$6:$AH$505),"",INDEX(テーブル2[[学年]:[判定]],MATCH(体力優良証交付申請書!$A115,入力シート!$AH$6:$AH$505,0),MATCH(体力優良証交付申請書!F$14,テーブル2[[#Headers],[学年]:[得点]],0)))</f>
        <v/>
      </c>
      <c r="G115" s="115" t="str">
        <f>IF($A115&gt;MAX(入力シート!$AH$6:$AH$505),"",INDEX(テーブル2[[学年]:[判定]],MATCH(体力優良証交付申請書!$A115,入力シート!$AH$6:$AH$505,0),MATCH(体力優良証交付申請書!G$14,テーブル2[[#Headers],[学年]:[得点]],0)))</f>
        <v/>
      </c>
      <c r="H115" s="115" t="str">
        <f>IF($A115&gt;MAX(入力シート!$AH$6:$AH$505),"",INDEX(テーブル2[[学年]:[判定]],MATCH(体力優良証交付申請書!$A115,入力シート!$AH$6:$AH$505,0),MATCH(体力優良証交付申請書!H$14,テーブル2[[#Headers],[学年]:[得点]],0)))</f>
        <v/>
      </c>
      <c r="I115" s="115" t="str">
        <f>IF($A115&gt;MAX(入力シート!$AH$6:$AH$505),"",INDEX(テーブル2[[学年]:[判定]],MATCH(体力優良証交付申請書!$A115,入力シート!$AH$6:$AH$505,0),MATCH(体力優良証交付申請書!I$14,テーブル2[[#Headers],[学年]:[得点]],0)))</f>
        <v/>
      </c>
      <c r="J115" s="115" t="str">
        <f>IF($A115&gt;MAX(入力シート!$AH$6:$AH$505),"",INDEX(テーブル2[[学年]:[判定]],MATCH(体力優良証交付申請書!$A115,入力シート!$AH$6:$AH$505,0),MATCH(体力優良証交付申請書!J$14,テーブル2[[#Headers],[学年]:[得点]],0)))</f>
        <v/>
      </c>
      <c r="K115" s="129" t="str">
        <f>IF($A115&gt;MAX(入力シート!$AH$6:$AH$505),"",INDEX(テーブル2[[学年]:[判定]],MATCH(体力優良証交付申請書!$A115,入力シート!$AH$6:$AH$505,0),MATCH(体力優良証交付申請書!K$14,テーブル2[[#Headers],[学年]:[得点]],0)))</f>
        <v/>
      </c>
      <c r="L115" s="115" t="str">
        <f>IF($A115&gt;MAX(入力シート!$AH$6:$AH$505),"",INDEX(テーブル2[[学年]:[判定]],MATCH(体力優良証交付申請書!$A115,入力シート!$AH$6:$AH$505,0),MATCH(体力優良証交付申請書!L$14,テーブル2[[#Headers],[学年]:[得点]],0)))</f>
        <v/>
      </c>
      <c r="M115" s="115" t="str">
        <f>IF($A115&gt;MAX(入力シート!$AH$6:$AH$505),"",INDEX(テーブル2[[学年]:[判定]],MATCH(体力優良証交付申請書!$A115,入力シート!$AH$6:$AH$505,0),MATCH(体力優良証交付申請書!M$14,テーブル2[[#Headers],[学年]:[得点]],0)))</f>
        <v/>
      </c>
      <c r="N115" s="27" t="str">
        <f>IF($A115&gt;MAX(入力シート!$AH$6:$AH$505),"",INDEX(テーブル2[[学年]:[判定]],MATCH(体力優良証交付申請書!$A115,入力シート!$AH$6:$AH$505,0),MATCH(体力優良証交付申請書!N$14,テーブル2[[#Headers],[学年]:[得点]],0)))</f>
        <v/>
      </c>
    </row>
    <row r="116" spans="1:14" x14ac:dyDescent="0.15">
      <c r="A116" s="17">
        <v>102</v>
      </c>
      <c r="B116" s="115" t="str">
        <f>IF($A116&gt;MAX(入力シート!$AH$6:$AH$505),"",INDEX(テーブル2[[学年]:[判定]],MATCH(体力優良証交付申請書!$A116,入力シート!$AH$6:$AH$505,0),MATCH(体力優良証交付申請書!B$14,テーブル2[[#Headers],[学年]:[得点]],0)))</f>
        <v/>
      </c>
      <c r="C116" s="115" t="str">
        <f>IF($A116&gt;MAX(入力シート!$AH$6:$AH$505),"",INDEX(テーブル2[[学年]:[判定]],MATCH(体力優良証交付申請書!$A116,入力シート!$AH$6:$AH$505,0),MATCH(体力優良証交付申請書!C$14,テーブル2[[#Headers],[学年]:[得点]],0)))</f>
        <v/>
      </c>
      <c r="D116" s="115" t="str">
        <f>IF($A116&gt;MAX(入力シート!$AH$6:$AH$505),"",INDEX(テーブル2[[学年]:[判定]],MATCH(体力優良証交付申請書!$A116,入力シート!$AH$6:$AH$505,0),MATCH(体力優良証交付申請書!D$14,テーブル2[[#Headers],[学年]:[得点]],0)))</f>
        <v/>
      </c>
      <c r="E116" s="115" t="str">
        <f>IF($A116&gt;MAX(入力シート!$AH$6:$AH$505),"",INDEX(テーブル2[[学年]:[判定]],MATCH(体力優良証交付申請書!$A116,入力シート!$AH$6:$AH$505,0),MATCH(体力優良証交付申請書!E$14,テーブル2[[#Headers],[学年]:[得点]],0)))</f>
        <v/>
      </c>
      <c r="F116" s="115" t="str">
        <f>IF($A116&gt;MAX(入力シート!$AH$6:$AH$505),"",INDEX(テーブル2[[学年]:[判定]],MATCH(体力優良証交付申請書!$A116,入力シート!$AH$6:$AH$505,0),MATCH(体力優良証交付申請書!F$14,テーブル2[[#Headers],[学年]:[得点]],0)))</f>
        <v/>
      </c>
      <c r="G116" s="115" t="str">
        <f>IF($A116&gt;MAX(入力シート!$AH$6:$AH$505),"",INDEX(テーブル2[[学年]:[判定]],MATCH(体力優良証交付申請書!$A116,入力シート!$AH$6:$AH$505,0),MATCH(体力優良証交付申請書!G$14,テーブル2[[#Headers],[学年]:[得点]],0)))</f>
        <v/>
      </c>
      <c r="H116" s="115" t="str">
        <f>IF($A116&gt;MAX(入力シート!$AH$6:$AH$505),"",INDEX(テーブル2[[学年]:[判定]],MATCH(体力優良証交付申請書!$A116,入力シート!$AH$6:$AH$505,0),MATCH(体力優良証交付申請書!H$14,テーブル2[[#Headers],[学年]:[得点]],0)))</f>
        <v/>
      </c>
      <c r="I116" s="115" t="str">
        <f>IF($A116&gt;MAX(入力シート!$AH$6:$AH$505),"",INDEX(テーブル2[[学年]:[判定]],MATCH(体力優良証交付申請書!$A116,入力シート!$AH$6:$AH$505,0),MATCH(体力優良証交付申請書!I$14,テーブル2[[#Headers],[学年]:[得点]],0)))</f>
        <v/>
      </c>
      <c r="J116" s="115" t="str">
        <f>IF($A116&gt;MAX(入力シート!$AH$6:$AH$505),"",INDEX(テーブル2[[学年]:[判定]],MATCH(体力優良証交付申請書!$A116,入力シート!$AH$6:$AH$505,0),MATCH(体力優良証交付申請書!J$14,テーブル2[[#Headers],[学年]:[得点]],0)))</f>
        <v/>
      </c>
      <c r="K116" s="129" t="str">
        <f>IF($A116&gt;MAX(入力シート!$AH$6:$AH$505),"",INDEX(テーブル2[[学年]:[判定]],MATCH(体力優良証交付申請書!$A116,入力シート!$AH$6:$AH$505,0),MATCH(体力優良証交付申請書!K$14,テーブル2[[#Headers],[学年]:[得点]],0)))</f>
        <v/>
      </c>
      <c r="L116" s="115" t="str">
        <f>IF($A116&gt;MAX(入力シート!$AH$6:$AH$505),"",INDEX(テーブル2[[学年]:[判定]],MATCH(体力優良証交付申請書!$A116,入力シート!$AH$6:$AH$505,0),MATCH(体力優良証交付申請書!L$14,テーブル2[[#Headers],[学年]:[得点]],0)))</f>
        <v/>
      </c>
      <c r="M116" s="115" t="str">
        <f>IF($A116&gt;MAX(入力シート!$AH$6:$AH$505),"",INDEX(テーブル2[[学年]:[判定]],MATCH(体力優良証交付申請書!$A116,入力シート!$AH$6:$AH$505,0),MATCH(体力優良証交付申請書!M$14,テーブル2[[#Headers],[学年]:[得点]],0)))</f>
        <v/>
      </c>
      <c r="N116" s="27" t="str">
        <f>IF($A116&gt;MAX(入力シート!$AH$6:$AH$505),"",INDEX(テーブル2[[学年]:[判定]],MATCH(体力優良証交付申請書!$A116,入力シート!$AH$6:$AH$505,0),MATCH(体力優良証交付申請書!N$14,テーブル2[[#Headers],[学年]:[得点]],0)))</f>
        <v/>
      </c>
    </row>
    <row r="117" spans="1:14" x14ac:dyDescent="0.15">
      <c r="A117" s="17">
        <v>103</v>
      </c>
      <c r="B117" s="115" t="str">
        <f>IF($A117&gt;MAX(入力シート!$AH$6:$AH$505),"",INDEX(テーブル2[[学年]:[判定]],MATCH(体力優良証交付申請書!$A117,入力シート!$AH$6:$AH$505,0),MATCH(体力優良証交付申請書!B$14,テーブル2[[#Headers],[学年]:[得点]],0)))</f>
        <v/>
      </c>
      <c r="C117" s="115" t="str">
        <f>IF($A117&gt;MAX(入力シート!$AH$6:$AH$505),"",INDEX(テーブル2[[学年]:[判定]],MATCH(体力優良証交付申請書!$A117,入力シート!$AH$6:$AH$505,0),MATCH(体力優良証交付申請書!C$14,テーブル2[[#Headers],[学年]:[得点]],0)))</f>
        <v/>
      </c>
      <c r="D117" s="115" t="str">
        <f>IF($A117&gt;MAX(入力シート!$AH$6:$AH$505),"",INDEX(テーブル2[[学年]:[判定]],MATCH(体力優良証交付申請書!$A117,入力シート!$AH$6:$AH$505,0),MATCH(体力優良証交付申請書!D$14,テーブル2[[#Headers],[学年]:[得点]],0)))</f>
        <v/>
      </c>
      <c r="E117" s="115" t="str">
        <f>IF($A117&gt;MAX(入力シート!$AH$6:$AH$505),"",INDEX(テーブル2[[学年]:[判定]],MATCH(体力優良証交付申請書!$A117,入力シート!$AH$6:$AH$505,0),MATCH(体力優良証交付申請書!E$14,テーブル2[[#Headers],[学年]:[得点]],0)))</f>
        <v/>
      </c>
      <c r="F117" s="115" t="str">
        <f>IF($A117&gt;MAX(入力シート!$AH$6:$AH$505),"",INDEX(テーブル2[[学年]:[判定]],MATCH(体力優良証交付申請書!$A117,入力シート!$AH$6:$AH$505,0),MATCH(体力優良証交付申請書!F$14,テーブル2[[#Headers],[学年]:[得点]],0)))</f>
        <v/>
      </c>
      <c r="G117" s="115" t="str">
        <f>IF($A117&gt;MAX(入力シート!$AH$6:$AH$505),"",INDEX(テーブル2[[学年]:[判定]],MATCH(体力優良証交付申請書!$A117,入力シート!$AH$6:$AH$505,0),MATCH(体力優良証交付申請書!G$14,テーブル2[[#Headers],[学年]:[得点]],0)))</f>
        <v/>
      </c>
      <c r="H117" s="115" t="str">
        <f>IF($A117&gt;MAX(入力シート!$AH$6:$AH$505),"",INDEX(テーブル2[[学年]:[判定]],MATCH(体力優良証交付申請書!$A117,入力シート!$AH$6:$AH$505,0),MATCH(体力優良証交付申請書!H$14,テーブル2[[#Headers],[学年]:[得点]],0)))</f>
        <v/>
      </c>
      <c r="I117" s="115" t="str">
        <f>IF($A117&gt;MAX(入力シート!$AH$6:$AH$505),"",INDEX(テーブル2[[学年]:[判定]],MATCH(体力優良証交付申請書!$A117,入力シート!$AH$6:$AH$505,0),MATCH(体力優良証交付申請書!I$14,テーブル2[[#Headers],[学年]:[得点]],0)))</f>
        <v/>
      </c>
      <c r="J117" s="115" t="str">
        <f>IF($A117&gt;MAX(入力シート!$AH$6:$AH$505),"",INDEX(テーブル2[[学年]:[判定]],MATCH(体力優良証交付申請書!$A117,入力シート!$AH$6:$AH$505,0),MATCH(体力優良証交付申請書!J$14,テーブル2[[#Headers],[学年]:[得点]],0)))</f>
        <v/>
      </c>
      <c r="K117" s="129" t="str">
        <f>IF($A117&gt;MAX(入力シート!$AH$6:$AH$505),"",INDEX(テーブル2[[学年]:[判定]],MATCH(体力優良証交付申請書!$A117,入力シート!$AH$6:$AH$505,0),MATCH(体力優良証交付申請書!K$14,テーブル2[[#Headers],[学年]:[得点]],0)))</f>
        <v/>
      </c>
      <c r="L117" s="115" t="str">
        <f>IF($A117&gt;MAX(入力シート!$AH$6:$AH$505),"",INDEX(テーブル2[[学年]:[判定]],MATCH(体力優良証交付申請書!$A117,入力シート!$AH$6:$AH$505,0),MATCH(体力優良証交付申請書!L$14,テーブル2[[#Headers],[学年]:[得点]],0)))</f>
        <v/>
      </c>
      <c r="M117" s="115" t="str">
        <f>IF($A117&gt;MAX(入力シート!$AH$6:$AH$505),"",INDEX(テーブル2[[学年]:[判定]],MATCH(体力優良証交付申請書!$A117,入力シート!$AH$6:$AH$505,0),MATCH(体力優良証交付申請書!M$14,テーブル2[[#Headers],[学年]:[得点]],0)))</f>
        <v/>
      </c>
      <c r="N117" s="27" t="str">
        <f>IF($A117&gt;MAX(入力シート!$AH$6:$AH$505),"",INDEX(テーブル2[[学年]:[判定]],MATCH(体力優良証交付申請書!$A117,入力シート!$AH$6:$AH$505,0),MATCH(体力優良証交付申請書!N$14,テーブル2[[#Headers],[学年]:[得点]],0)))</f>
        <v/>
      </c>
    </row>
    <row r="118" spans="1:14" x14ac:dyDescent="0.15">
      <c r="A118" s="17">
        <v>104</v>
      </c>
      <c r="B118" s="115" t="str">
        <f>IF($A118&gt;MAX(入力シート!$AH$6:$AH$505),"",INDEX(テーブル2[[学年]:[判定]],MATCH(体力優良証交付申請書!$A118,入力シート!$AH$6:$AH$505,0),MATCH(体力優良証交付申請書!B$14,テーブル2[[#Headers],[学年]:[得点]],0)))</f>
        <v/>
      </c>
      <c r="C118" s="115" t="str">
        <f>IF($A118&gt;MAX(入力シート!$AH$6:$AH$505),"",INDEX(テーブル2[[学年]:[判定]],MATCH(体力優良証交付申請書!$A118,入力シート!$AH$6:$AH$505,0),MATCH(体力優良証交付申請書!C$14,テーブル2[[#Headers],[学年]:[得点]],0)))</f>
        <v/>
      </c>
      <c r="D118" s="115" t="str">
        <f>IF($A118&gt;MAX(入力シート!$AH$6:$AH$505),"",INDEX(テーブル2[[学年]:[判定]],MATCH(体力優良証交付申請書!$A118,入力シート!$AH$6:$AH$505,0),MATCH(体力優良証交付申請書!D$14,テーブル2[[#Headers],[学年]:[得点]],0)))</f>
        <v/>
      </c>
      <c r="E118" s="115" t="str">
        <f>IF($A118&gt;MAX(入力シート!$AH$6:$AH$505),"",INDEX(テーブル2[[学年]:[判定]],MATCH(体力優良証交付申請書!$A118,入力シート!$AH$6:$AH$505,0),MATCH(体力優良証交付申請書!E$14,テーブル2[[#Headers],[学年]:[得点]],0)))</f>
        <v/>
      </c>
      <c r="F118" s="115" t="str">
        <f>IF($A118&gt;MAX(入力シート!$AH$6:$AH$505),"",INDEX(テーブル2[[学年]:[判定]],MATCH(体力優良証交付申請書!$A118,入力シート!$AH$6:$AH$505,0),MATCH(体力優良証交付申請書!F$14,テーブル2[[#Headers],[学年]:[得点]],0)))</f>
        <v/>
      </c>
      <c r="G118" s="115" t="str">
        <f>IF($A118&gt;MAX(入力シート!$AH$6:$AH$505),"",INDEX(テーブル2[[学年]:[判定]],MATCH(体力優良証交付申請書!$A118,入力シート!$AH$6:$AH$505,0),MATCH(体力優良証交付申請書!G$14,テーブル2[[#Headers],[学年]:[得点]],0)))</f>
        <v/>
      </c>
      <c r="H118" s="115" t="str">
        <f>IF($A118&gt;MAX(入力シート!$AH$6:$AH$505),"",INDEX(テーブル2[[学年]:[判定]],MATCH(体力優良証交付申請書!$A118,入力シート!$AH$6:$AH$505,0),MATCH(体力優良証交付申請書!H$14,テーブル2[[#Headers],[学年]:[得点]],0)))</f>
        <v/>
      </c>
      <c r="I118" s="115" t="str">
        <f>IF($A118&gt;MAX(入力シート!$AH$6:$AH$505),"",INDEX(テーブル2[[学年]:[判定]],MATCH(体力優良証交付申請書!$A118,入力シート!$AH$6:$AH$505,0),MATCH(体力優良証交付申請書!I$14,テーブル2[[#Headers],[学年]:[得点]],0)))</f>
        <v/>
      </c>
      <c r="J118" s="115" t="str">
        <f>IF($A118&gt;MAX(入力シート!$AH$6:$AH$505),"",INDEX(テーブル2[[学年]:[判定]],MATCH(体力優良証交付申請書!$A118,入力シート!$AH$6:$AH$505,0),MATCH(体力優良証交付申請書!J$14,テーブル2[[#Headers],[学年]:[得点]],0)))</f>
        <v/>
      </c>
      <c r="K118" s="129" t="str">
        <f>IF($A118&gt;MAX(入力シート!$AH$6:$AH$505),"",INDEX(テーブル2[[学年]:[判定]],MATCH(体力優良証交付申請書!$A118,入力シート!$AH$6:$AH$505,0),MATCH(体力優良証交付申請書!K$14,テーブル2[[#Headers],[学年]:[得点]],0)))</f>
        <v/>
      </c>
      <c r="L118" s="115" t="str">
        <f>IF($A118&gt;MAX(入力シート!$AH$6:$AH$505),"",INDEX(テーブル2[[学年]:[判定]],MATCH(体力優良証交付申請書!$A118,入力シート!$AH$6:$AH$505,0),MATCH(体力優良証交付申請書!L$14,テーブル2[[#Headers],[学年]:[得点]],0)))</f>
        <v/>
      </c>
      <c r="M118" s="115" t="str">
        <f>IF($A118&gt;MAX(入力シート!$AH$6:$AH$505),"",INDEX(テーブル2[[学年]:[判定]],MATCH(体力優良証交付申請書!$A118,入力シート!$AH$6:$AH$505,0),MATCH(体力優良証交付申請書!M$14,テーブル2[[#Headers],[学年]:[得点]],0)))</f>
        <v/>
      </c>
      <c r="N118" s="27" t="str">
        <f>IF($A118&gt;MAX(入力シート!$AH$6:$AH$505),"",INDEX(テーブル2[[学年]:[判定]],MATCH(体力優良証交付申請書!$A118,入力シート!$AH$6:$AH$505,0),MATCH(体力優良証交付申請書!N$14,テーブル2[[#Headers],[学年]:[得点]],0)))</f>
        <v/>
      </c>
    </row>
    <row r="119" spans="1:14" x14ac:dyDescent="0.15">
      <c r="A119" s="17">
        <v>105</v>
      </c>
      <c r="B119" s="115" t="str">
        <f>IF($A119&gt;MAX(入力シート!$AH$6:$AH$505),"",INDEX(テーブル2[[学年]:[判定]],MATCH(体力優良証交付申請書!$A119,入力シート!$AH$6:$AH$505,0),MATCH(体力優良証交付申請書!B$14,テーブル2[[#Headers],[学年]:[得点]],0)))</f>
        <v/>
      </c>
      <c r="C119" s="115" t="str">
        <f>IF($A119&gt;MAX(入力シート!$AH$6:$AH$505),"",INDEX(テーブル2[[学年]:[判定]],MATCH(体力優良証交付申請書!$A119,入力シート!$AH$6:$AH$505,0),MATCH(体力優良証交付申請書!C$14,テーブル2[[#Headers],[学年]:[得点]],0)))</f>
        <v/>
      </c>
      <c r="D119" s="115" t="str">
        <f>IF($A119&gt;MAX(入力シート!$AH$6:$AH$505),"",INDEX(テーブル2[[学年]:[判定]],MATCH(体力優良証交付申請書!$A119,入力シート!$AH$6:$AH$505,0),MATCH(体力優良証交付申請書!D$14,テーブル2[[#Headers],[学年]:[得点]],0)))</f>
        <v/>
      </c>
      <c r="E119" s="115" t="str">
        <f>IF($A119&gt;MAX(入力シート!$AH$6:$AH$505),"",INDEX(テーブル2[[学年]:[判定]],MATCH(体力優良証交付申請書!$A119,入力シート!$AH$6:$AH$505,0),MATCH(体力優良証交付申請書!E$14,テーブル2[[#Headers],[学年]:[得点]],0)))</f>
        <v/>
      </c>
      <c r="F119" s="115" t="str">
        <f>IF($A119&gt;MAX(入力シート!$AH$6:$AH$505),"",INDEX(テーブル2[[学年]:[判定]],MATCH(体力優良証交付申請書!$A119,入力シート!$AH$6:$AH$505,0),MATCH(体力優良証交付申請書!F$14,テーブル2[[#Headers],[学年]:[得点]],0)))</f>
        <v/>
      </c>
      <c r="G119" s="115" t="str">
        <f>IF($A119&gt;MAX(入力シート!$AH$6:$AH$505),"",INDEX(テーブル2[[学年]:[判定]],MATCH(体力優良証交付申請書!$A119,入力シート!$AH$6:$AH$505,0),MATCH(体力優良証交付申請書!G$14,テーブル2[[#Headers],[学年]:[得点]],0)))</f>
        <v/>
      </c>
      <c r="H119" s="115" t="str">
        <f>IF($A119&gt;MAX(入力シート!$AH$6:$AH$505),"",INDEX(テーブル2[[学年]:[判定]],MATCH(体力優良証交付申請書!$A119,入力シート!$AH$6:$AH$505,0),MATCH(体力優良証交付申請書!H$14,テーブル2[[#Headers],[学年]:[得点]],0)))</f>
        <v/>
      </c>
      <c r="I119" s="115" t="str">
        <f>IF($A119&gt;MAX(入力シート!$AH$6:$AH$505),"",INDEX(テーブル2[[学年]:[判定]],MATCH(体力優良証交付申請書!$A119,入力シート!$AH$6:$AH$505,0),MATCH(体力優良証交付申請書!I$14,テーブル2[[#Headers],[学年]:[得点]],0)))</f>
        <v/>
      </c>
      <c r="J119" s="115" t="str">
        <f>IF($A119&gt;MAX(入力シート!$AH$6:$AH$505),"",INDEX(テーブル2[[学年]:[判定]],MATCH(体力優良証交付申請書!$A119,入力シート!$AH$6:$AH$505,0),MATCH(体力優良証交付申請書!J$14,テーブル2[[#Headers],[学年]:[得点]],0)))</f>
        <v/>
      </c>
      <c r="K119" s="129" t="str">
        <f>IF($A119&gt;MAX(入力シート!$AH$6:$AH$505),"",INDEX(テーブル2[[学年]:[判定]],MATCH(体力優良証交付申請書!$A119,入力シート!$AH$6:$AH$505,0),MATCH(体力優良証交付申請書!K$14,テーブル2[[#Headers],[学年]:[得点]],0)))</f>
        <v/>
      </c>
      <c r="L119" s="115" t="str">
        <f>IF($A119&gt;MAX(入力シート!$AH$6:$AH$505),"",INDEX(テーブル2[[学年]:[判定]],MATCH(体力優良証交付申請書!$A119,入力シート!$AH$6:$AH$505,0),MATCH(体力優良証交付申請書!L$14,テーブル2[[#Headers],[学年]:[得点]],0)))</f>
        <v/>
      </c>
      <c r="M119" s="115" t="str">
        <f>IF($A119&gt;MAX(入力シート!$AH$6:$AH$505),"",INDEX(テーブル2[[学年]:[判定]],MATCH(体力優良証交付申請書!$A119,入力シート!$AH$6:$AH$505,0),MATCH(体力優良証交付申請書!M$14,テーブル2[[#Headers],[学年]:[得点]],0)))</f>
        <v/>
      </c>
      <c r="N119" s="27" t="str">
        <f>IF($A119&gt;MAX(入力シート!$AH$6:$AH$505),"",INDEX(テーブル2[[学年]:[判定]],MATCH(体力優良証交付申請書!$A119,入力シート!$AH$6:$AH$505,0),MATCH(体力優良証交付申請書!N$14,テーブル2[[#Headers],[学年]:[得点]],0)))</f>
        <v/>
      </c>
    </row>
    <row r="120" spans="1:14" x14ac:dyDescent="0.15">
      <c r="A120" s="17">
        <v>106</v>
      </c>
      <c r="B120" s="115" t="str">
        <f>IF($A120&gt;MAX(入力シート!$AH$6:$AH$505),"",INDEX(テーブル2[[学年]:[判定]],MATCH(体力優良証交付申請書!$A120,入力シート!$AH$6:$AH$505,0),MATCH(体力優良証交付申請書!B$14,テーブル2[[#Headers],[学年]:[得点]],0)))</f>
        <v/>
      </c>
      <c r="C120" s="115" t="str">
        <f>IF($A120&gt;MAX(入力シート!$AH$6:$AH$505),"",INDEX(テーブル2[[学年]:[判定]],MATCH(体力優良証交付申請書!$A120,入力シート!$AH$6:$AH$505,0),MATCH(体力優良証交付申請書!C$14,テーブル2[[#Headers],[学年]:[得点]],0)))</f>
        <v/>
      </c>
      <c r="D120" s="115" t="str">
        <f>IF($A120&gt;MAX(入力シート!$AH$6:$AH$505),"",INDEX(テーブル2[[学年]:[判定]],MATCH(体力優良証交付申請書!$A120,入力シート!$AH$6:$AH$505,0),MATCH(体力優良証交付申請書!D$14,テーブル2[[#Headers],[学年]:[得点]],0)))</f>
        <v/>
      </c>
      <c r="E120" s="115" t="str">
        <f>IF($A120&gt;MAX(入力シート!$AH$6:$AH$505),"",INDEX(テーブル2[[学年]:[判定]],MATCH(体力優良証交付申請書!$A120,入力シート!$AH$6:$AH$505,0),MATCH(体力優良証交付申請書!E$14,テーブル2[[#Headers],[学年]:[得点]],0)))</f>
        <v/>
      </c>
      <c r="F120" s="115" t="str">
        <f>IF($A120&gt;MAX(入力シート!$AH$6:$AH$505),"",INDEX(テーブル2[[学年]:[判定]],MATCH(体力優良証交付申請書!$A120,入力シート!$AH$6:$AH$505,0),MATCH(体力優良証交付申請書!F$14,テーブル2[[#Headers],[学年]:[得点]],0)))</f>
        <v/>
      </c>
      <c r="G120" s="115" t="str">
        <f>IF($A120&gt;MAX(入力シート!$AH$6:$AH$505),"",INDEX(テーブル2[[学年]:[判定]],MATCH(体力優良証交付申請書!$A120,入力シート!$AH$6:$AH$505,0),MATCH(体力優良証交付申請書!G$14,テーブル2[[#Headers],[学年]:[得点]],0)))</f>
        <v/>
      </c>
      <c r="H120" s="115" t="str">
        <f>IF($A120&gt;MAX(入力シート!$AH$6:$AH$505),"",INDEX(テーブル2[[学年]:[判定]],MATCH(体力優良証交付申請書!$A120,入力シート!$AH$6:$AH$505,0),MATCH(体力優良証交付申請書!H$14,テーブル2[[#Headers],[学年]:[得点]],0)))</f>
        <v/>
      </c>
      <c r="I120" s="115" t="str">
        <f>IF($A120&gt;MAX(入力シート!$AH$6:$AH$505),"",INDEX(テーブル2[[学年]:[判定]],MATCH(体力優良証交付申請書!$A120,入力シート!$AH$6:$AH$505,0),MATCH(体力優良証交付申請書!I$14,テーブル2[[#Headers],[学年]:[得点]],0)))</f>
        <v/>
      </c>
      <c r="J120" s="115" t="str">
        <f>IF($A120&gt;MAX(入力シート!$AH$6:$AH$505),"",INDEX(テーブル2[[学年]:[判定]],MATCH(体力優良証交付申請書!$A120,入力シート!$AH$6:$AH$505,0),MATCH(体力優良証交付申請書!J$14,テーブル2[[#Headers],[学年]:[得点]],0)))</f>
        <v/>
      </c>
      <c r="K120" s="129" t="str">
        <f>IF($A120&gt;MAX(入力シート!$AH$6:$AH$505),"",INDEX(テーブル2[[学年]:[判定]],MATCH(体力優良証交付申請書!$A120,入力シート!$AH$6:$AH$505,0),MATCH(体力優良証交付申請書!K$14,テーブル2[[#Headers],[学年]:[得点]],0)))</f>
        <v/>
      </c>
      <c r="L120" s="115" t="str">
        <f>IF($A120&gt;MAX(入力シート!$AH$6:$AH$505),"",INDEX(テーブル2[[学年]:[判定]],MATCH(体力優良証交付申請書!$A120,入力シート!$AH$6:$AH$505,0),MATCH(体力優良証交付申請書!L$14,テーブル2[[#Headers],[学年]:[得点]],0)))</f>
        <v/>
      </c>
      <c r="M120" s="115" t="str">
        <f>IF($A120&gt;MAX(入力シート!$AH$6:$AH$505),"",INDEX(テーブル2[[学年]:[判定]],MATCH(体力優良証交付申請書!$A120,入力シート!$AH$6:$AH$505,0),MATCH(体力優良証交付申請書!M$14,テーブル2[[#Headers],[学年]:[得点]],0)))</f>
        <v/>
      </c>
      <c r="N120" s="27" t="str">
        <f>IF($A120&gt;MAX(入力シート!$AH$6:$AH$505),"",INDEX(テーブル2[[学年]:[判定]],MATCH(体力優良証交付申請書!$A120,入力シート!$AH$6:$AH$505,0),MATCH(体力優良証交付申請書!N$14,テーブル2[[#Headers],[学年]:[得点]],0)))</f>
        <v/>
      </c>
    </row>
    <row r="121" spans="1:14" x14ac:dyDescent="0.15">
      <c r="A121" s="17">
        <v>107</v>
      </c>
      <c r="B121" s="115" t="str">
        <f>IF($A121&gt;MAX(入力シート!$AH$6:$AH$505),"",INDEX(テーブル2[[学年]:[判定]],MATCH(体力優良証交付申請書!$A121,入力シート!$AH$6:$AH$505,0),MATCH(体力優良証交付申請書!B$14,テーブル2[[#Headers],[学年]:[得点]],0)))</f>
        <v/>
      </c>
      <c r="C121" s="115" t="str">
        <f>IF($A121&gt;MAX(入力シート!$AH$6:$AH$505),"",INDEX(テーブル2[[学年]:[判定]],MATCH(体力優良証交付申請書!$A121,入力シート!$AH$6:$AH$505,0),MATCH(体力優良証交付申請書!C$14,テーブル2[[#Headers],[学年]:[得点]],0)))</f>
        <v/>
      </c>
      <c r="D121" s="115" t="str">
        <f>IF($A121&gt;MAX(入力シート!$AH$6:$AH$505),"",INDEX(テーブル2[[学年]:[判定]],MATCH(体力優良証交付申請書!$A121,入力シート!$AH$6:$AH$505,0),MATCH(体力優良証交付申請書!D$14,テーブル2[[#Headers],[学年]:[得点]],0)))</f>
        <v/>
      </c>
      <c r="E121" s="115" t="str">
        <f>IF($A121&gt;MAX(入力シート!$AH$6:$AH$505),"",INDEX(テーブル2[[学年]:[判定]],MATCH(体力優良証交付申請書!$A121,入力シート!$AH$6:$AH$505,0),MATCH(体力優良証交付申請書!E$14,テーブル2[[#Headers],[学年]:[得点]],0)))</f>
        <v/>
      </c>
      <c r="F121" s="115" t="str">
        <f>IF($A121&gt;MAX(入力シート!$AH$6:$AH$505),"",INDEX(テーブル2[[学年]:[判定]],MATCH(体力優良証交付申請書!$A121,入力シート!$AH$6:$AH$505,0),MATCH(体力優良証交付申請書!F$14,テーブル2[[#Headers],[学年]:[得点]],0)))</f>
        <v/>
      </c>
      <c r="G121" s="115" t="str">
        <f>IF($A121&gt;MAX(入力シート!$AH$6:$AH$505),"",INDEX(テーブル2[[学年]:[判定]],MATCH(体力優良証交付申請書!$A121,入力シート!$AH$6:$AH$505,0),MATCH(体力優良証交付申請書!G$14,テーブル2[[#Headers],[学年]:[得点]],0)))</f>
        <v/>
      </c>
      <c r="H121" s="115" t="str">
        <f>IF($A121&gt;MAX(入力シート!$AH$6:$AH$505),"",INDEX(テーブル2[[学年]:[判定]],MATCH(体力優良証交付申請書!$A121,入力シート!$AH$6:$AH$505,0),MATCH(体力優良証交付申請書!H$14,テーブル2[[#Headers],[学年]:[得点]],0)))</f>
        <v/>
      </c>
      <c r="I121" s="115" t="str">
        <f>IF($A121&gt;MAX(入力シート!$AH$6:$AH$505),"",INDEX(テーブル2[[学年]:[判定]],MATCH(体力優良証交付申請書!$A121,入力シート!$AH$6:$AH$505,0),MATCH(体力優良証交付申請書!I$14,テーブル2[[#Headers],[学年]:[得点]],0)))</f>
        <v/>
      </c>
      <c r="J121" s="115" t="str">
        <f>IF($A121&gt;MAX(入力シート!$AH$6:$AH$505),"",INDEX(テーブル2[[学年]:[判定]],MATCH(体力優良証交付申請書!$A121,入力シート!$AH$6:$AH$505,0),MATCH(体力優良証交付申請書!J$14,テーブル2[[#Headers],[学年]:[得点]],0)))</f>
        <v/>
      </c>
      <c r="K121" s="129" t="str">
        <f>IF($A121&gt;MAX(入力シート!$AH$6:$AH$505),"",INDEX(テーブル2[[学年]:[判定]],MATCH(体力優良証交付申請書!$A121,入力シート!$AH$6:$AH$505,0),MATCH(体力優良証交付申請書!K$14,テーブル2[[#Headers],[学年]:[得点]],0)))</f>
        <v/>
      </c>
      <c r="L121" s="115" t="str">
        <f>IF($A121&gt;MAX(入力シート!$AH$6:$AH$505),"",INDEX(テーブル2[[学年]:[判定]],MATCH(体力優良証交付申請書!$A121,入力シート!$AH$6:$AH$505,0),MATCH(体力優良証交付申請書!L$14,テーブル2[[#Headers],[学年]:[得点]],0)))</f>
        <v/>
      </c>
      <c r="M121" s="115" t="str">
        <f>IF($A121&gt;MAX(入力シート!$AH$6:$AH$505),"",INDEX(テーブル2[[学年]:[判定]],MATCH(体力優良証交付申請書!$A121,入力シート!$AH$6:$AH$505,0),MATCH(体力優良証交付申請書!M$14,テーブル2[[#Headers],[学年]:[得点]],0)))</f>
        <v/>
      </c>
      <c r="N121" s="27" t="str">
        <f>IF($A121&gt;MAX(入力シート!$AH$6:$AH$505),"",INDEX(テーブル2[[学年]:[判定]],MATCH(体力優良証交付申請書!$A121,入力シート!$AH$6:$AH$505,0),MATCH(体力優良証交付申請書!N$14,テーブル2[[#Headers],[学年]:[得点]],0)))</f>
        <v/>
      </c>
    </row>
    <row r="122" spans="1:14" x14ac:dyDescent="0.15">
      <c r="A122" s="17">
        <v>108</v>
      </c>
      <c r="B122" s="115" t="str">
        <f>IF($A122&gt;MAX(入力シート!$AH$6:$AH$505),"",INDEX(テーブル2[[学年]:[判定]],MATCH(体力優良証交付申請書!$A122,入力シート!$AH$6:$AH$505,0),MATCH(体力優良証交付申請書!B$14,テーブル2[[#Headers],[学年]:[得点]],0)))</f>
        <v/>
      </c>
      <c r="C122" s="115" t="str">
        <f>IF($A122&gt;MAX(入力シート!$AH$6:$AH$505),"",INDEX(テーブル2[[学年]:[判定]],MATCH(体力優良証交付申請書!$A122,入力シート!$AH$6:$AH$505,0),MATCH(体力優良証交付申請書!C$14,テーブル2[[#Headers],[学年]:[得点]],0)))</f>
        <v/>
      </c>
      <c r="D122" s="115" t="str">
        <f>IF($A122&gt;MAX(入力シート!$AH$6:$AH$505),"",INDEX(テーブル2[[学年]:[判定]],MATCH(体力優良証交付申請書!$A122,入力シート!$AH$6:$AH$505,0),MATCH(体力優良証交付申請書!D$14,テーブル2[[#Headers],[学年]:[得点]],0)))</f>
        <v/>
      </c>
      <c r="E122" s="115" t="str">
        <f>IF($A122&gt;MAX(入力シート!$AH$6:$AH$505),"",INDEX(テーブル2[[学年]:[判定]],MATCH(体力優良証交付申請書!$A122,入力シート!$AH$6:$AH$505,0),MATCH(体力優良証交付申請書!E$14,テーブル2[[#Headers],[学年]:[得点]],0)))</f>
        <v/>
      </c>
      <c r="F122" s="115" t="str">
        <f>IF($A122&gt;MAX(入力シート!$AH$6:$AH$505),"",INDEX(テーブル2[[学年]:[判定]],MATCH(体力優良証交付申請書!$A122,入力シート!$AH$6:$AH$505,0),MATCH(体力優良証交付申請書!F$14,テーブル2[[#Headers],[学年]:[得点]],0)))</f>
        <v/>
      </c>
      <c r="G122" s="115" t="str">
        <f>IF($A122&gt;MAX(入力シート!$AH$6:$AH$505),"",INDEX(テーブル2[[学年]:[判定]],MATCH(体力優良証交付申請書!$A122,入力シート!$AH$6:$AH$505,0),MATCH(体力優良証交付申請書!G$14,テーブル2[[#Headers],[学年]:[得点]],0)))</f>
        <v/>
      </c>
      <c r="H122" s="115" t="str">
        <f>IF($A122&gt;MAX(入力シート!$AH$6:$AH$505),"",INDEX(テーブル2[[学年]:[判定]],MATCH(体力優良証交付申請書!$A122,入力シート!$AH$6:$AH$505,0),MATCH(体力優良証交付申請書!H$14,テーブル2[[#Headers],[学年]:[得点]],0)))</f>
        <v/>
      </c>
      <c r="I122" s="115" t="str">
        <f>IF($A122&gt;MAX(入力シート!$AH$6:$AH$505),"",INDEX(テーブル2[[学年]:[判定]],MATCH(体力優良証交付申請書!$A122,入力シート!$AH$6:$AH$505,0),MATCH(体力優良証交付申請書!I$14,テーブル2[[#Headers],[学年]:[得点]],0)))</f>
        <v/>
      </c>
      <c r="J122" s="115" t="str">
        <f>IF($A122&gt;MAX(入力シート!$AH$6:$AH$505),"",INDEX(テーブル2[[学年]:[判定]],MATCH(体力優良証交付申請書!$A122,入力シート!$AH$6:$AH$505,0),MATCH(体力優良証交付申請書!J$14,テーブル2[[#Headers],[学年]:[得点]],0)))</f>
        <v/>
      </c>
      <c r="K122" s="129" t="str">
        <f>IF($A122&gt;MAX(入力シート!$AH$6:$AH$505),"",INDEX(テーブル2[[学年]:[判定]],MATCH(体力優良証交付申請書!$A122,入力シート!$AH$6:$AH$505,0),MATCH(体力優良証交付申請書!K$14,テーブル2[[#Headers],[学年]:[得点]],0)))</f>
        <v/>
      </c>
      <c r="L122" s="115" t="str">
        <f>IF($A122&gt;MAX(入力シート!$AH$6:$AH$505),"",INDEX(テーブル2[[学年]:[判定]],MATCH(体力優良証交付申請書!$A122,入力シート!$AH$6:$AH$505,0),MATCH(体力優良証交付申請書!L$14,テーブル2[[#Headers],[学年]:[得点]],0)))</f>
        <v/>
      </c>
      <c r="M122" s="115" t="str">
        <f>IF($A122&gt;MAX(入力シート!$AH$6:$AH$505),"",INDEX(テーブル2[[学年]:[判定]],MATCH(体力優良証交付申請書!$A122,入力シート!$AH$6:$AH$505,0),MATCH(体力優良証交付申請書!M$14,テーブル2[[#Headers],[学年]:[得点]],0)))</f>
        <v/>
      </c>
      <c r="N122" s="27" t="str">
        <f>IF($A122&gt;MAX(入力シート!$AH$6:$AH$505),"",INDEX(テーブル2[[学年]:[判定]],MATCH(体力優良証交付申請書!$A122,入力シート!$AH$6:$AH$505,0),MATCH(体力優良証交付申請書!N$14,テーブル2[[#Headers],[学年]:[得点]],0)))</f>
        <v/>
      </c>
    </row>
    <row r="123" spans="1:14" x14ac:dyDescent="0.15">
      <c r="A123" s="17">
        <v>109</v>
      </c>
      <c r="B123" s="115" t="str">
        <f>IF($A123&gt;MAX(入力シート!$AH$6:$AH$505),"",INDEX(テーブル2[[学年]:[判定]],MATCH(体力優良証交付申請書!$A123,入力シート!$AH$6:$AH$505,0),MATCH(体力優良証交付申請書!B$14,テーブル2[[#Headers],[学年]:[得点]],0)))</f>
        <v/>
      </c>
      <c r="C123" s="115" t="str">
        <f>IF($A123&gt;MAX(入力シート!$AH$6:$AH$505),"",INDEX(テーブル2[[学年]:[判定]],MATCH(体力優良証交付申請書!$A123,入力シート!$AH$6:$AH$505,0),MATCH(体力優良証交付申請書!C$14,テーブル2[[#Headers],[学年]:[得点]],0)))</f>
        <v/>
      </c>
      <c r="D123" s="115" t="str">
        <f>IF($A123&gt;MAX(入力シート!$AH$6:$AH$505),"",INDEX(テーブル2[[学年]:[判定]],MATCH(体力優良証交付申請書!$A123,入力シート!$AH$6:$AH$505,0),MATCH(体力優良証交付申請書!D$14,テーブル2[[#Headers],[学年]:[得点]],0)))</f>
        <v/>
      </c>
      <c r="E123" s="115" t="str">
        <f>IF($A123&gt;MAX(入力シート!$AH$6:$AH$505),"",INDEX(テーブル2[[学年]:[判定]],MATCH(体力優良証交付申請書!$A123,入力シート!$AH$6:$AH$505,0),MATCH(体力優良証交付申請書!E$14,テーブル2[[#Headers],[学年]:[得点]],0)))</f>
        <v/>
      </c>
      <c r="F123" s="115" t="str">
        <f>IF($A123&gt;MAX(入力シート!$AH$6:$AH$505),"",INDEX(テーブル2[[学年]:[判定]],MATCH(体力優良証交付申請書!$A123,入力シート!$AH$6:$AH$505,0),MATCH(体力優良証交付申請書!F$14,テーブル2[[#Headers],[学年]:[得点]],0)))</f>
        <v/>
      </c>
      <c r="G123" s="115" t="str">
        <f>IF($A123&gt;MAX(入力シート!$AH$6:$AH$505),"",INDEX(テーブル2[[学年]:[判定]],MATCH(体力優良証交付申請書!$A123,入力シート!$AH$6:$AH$505,0),MATCH(体力優良証交付申請書!G$14,テーブル2[[#Headers],[学年]:[得点]],0)))</f>
        <v/>
      </c>
      <c r="H123" s="115" t="str">
        <f>IF($A123&gt;MAX(入力シート!$AH$6:$AH$505),"",INDEX(テーブル2[[学年]:[判定]],MATCH(体力優良証交付申請書!$A123,入力シート!$AH$6:$AH$505,0),MATCH(体力優良証交付申請書!H$14,テーブル2[[#Headers],[学年]:[得点]],0)))</f>
        <v/>
      </c>
      <c r="I123" s="115" t="str">
        <f>IF($A123&gt;MAX(入力シート!$AH$6:$AH$505),"",INDEX(テーブル2[[学年]:[判定]],MATCH(体力優良証交付申請書!$A123,入力シート!$AH$6:$AH$505,0),MATCH(体力優良証交付申請書!I$14,テーブル2[[#Headers],[学年]:[得点]],0)))</f>
        <v/>
      </c>
      <c r="J123" s="115" t="str">
        <f>IF($A123&gt;MAX(入力シート!$AH$6:$AH$505),"",INDEX(テーブル2[[学年]:[判定]],MATCH(体力優良証交付申請書!$A123,入力シート!$AH$6:$AH$505,0),MATCH(体力優良証交付申請書!J$14,テーブル2[[#Headers],[学年]:[得点]],0)))</f>
        <v/>
      </c>
      <c r="K123" s="129" t="str">
        <f>IF($A123&gt;MAX(入力シート!$AH$6:$AH$505),"",INDEX(テーブル2[[学年]:[判定]],MATCH(体力優良証交付申請書!$A123,入力シート!$AH$6:$AH$505,0),MATCH(体力優良証交付申請書!K$14,テーブル2[[#Headers],[学年]:[得点]],0)))</f>
        <v/>
      </c>
      <c r="L123" s="115" t="str">
        <f>IF($A123&gt;MAX(入力シート!$AH$6:$AH$505),"",INDEX(テーブル2[[学年]:[判定]],MATCH(体力優良証交付申請書!$A123,入力シート!$AH$6:$AH$505,0),MATCH(体力優良証交付申請書!L$14,テーブル2[[#Headers],[学年]:[得点]],0)))</f>
        <v/>
      </c>
      <c r="M123" s="115" t="str">
        <f>IF($A123&gt;MAX(入力シート!$AH$6:$AH$505),"",INDEX(テーブル2[[学年]:[判定]],MATCH(体力優良証交付申請書!$A123,入力シート!$AH$6:$AH$505,0),MATCH(体力優良証交付申請書!M$14,テーブル2[[#Headers],[学年]:[得点]],0)))</f>
        <v/>
      </c>
      <c r="N123" s="27" t="str">
        <f>IF($A123&gt;MAX(入力シート!$AH$6:$AH$505),"",INDEX(テーブル2[[学年]:[判定]],MATCH(体力優良証交付申請書!$A123,入力シート!$AH$6:$AH$505,0),MATCH(体力優良証交付申請書!N$14,テーブル2[[#Headers],[学年]:[得点]],0)))</f>
        <v/>
      </c>
    </row>
    <row r="124" spans="1:14" x14ac:dyDescent="0.15">
      <c r="A124" s="17">
        <v>110</v>
      </c>
      <c r="B124" s="115" t="str">
        <f>IF($A124&gt;MAX(入力シート!$AH$6:$AH$505),"",INDEX(テーブル2[[学年]:[判定]],MATCH(体力優良証交付申請書!$A124,入力シート!$AH$6:$AH$505,0),MATCH(体力優良証交付申請書!B$14,テーブル2[[#Headers],[学年]:[得点]],0)))</f>
        <v/>
      </c>
      <c r="C124" s="115" t="str">
        <f>IF($A124&gt;MAX(入力シート!$AH$6:$AH$505),"",INDEX(テーブル2[[学年]:[判定]],MATCH(体力優良証交付申請書!$A124,入力シート!$AH$6:$AH$505,0),MATCH(体力優良証交付申請書!C$14,テーブル2[[#Headers],[学年]:[得点]],0)))</f>
        <v/>
      </c>
      <c r="D124" s="115" t="str">
        <f>IF($A124&gt;MAX(入力シート!$AH$6:$AH$505),"",INDEX(テーブル2[[学年]:[判定]],MATCH(体力優良証交付申請書!$A124,入力シート!$AH$6:$AH$505,0),MATCH(体力優良証交付申請書!D$14,テーブル2[[#Headers],[学年]:[得点]],0)))</f>
        <v/>
      </c>
      <c r="E124" s="115" t="str">
        <f>IF($A124&gt;MAX(入力シート!$AH$6:$AH$505),"",INDEX(テーブル2[[学年]:[判定]],MATCH(体力優良証交付申請書!$A124,入力シート!$AH$6:$AH$505,0),MATCH(体力優良証交付申請書!E$14,テーブル2[[#Headers],[学年]:[得点]],0)))</f>
        <v/>
      </c>
      <c r="F124" s="115" t="str">
        <f>IF($A124&gt;MAX(入力シート!$AH$6:$AH$505),"",INDEX(テーブル2[[学年]:[判定]],MATCH(体力優良証交付申請書!$A124,入力シート!$AH$6:$AH$505,0),MATCH(体力優良証交付申請書!F$14,テーブル2[[#Headers],[学年]:[得点]],0)))</f>
        <v/>
      </c>
      <c r="G124" s="115" t="str">
        <f>IF($A124&gt;MAX(入力シート!$AH$6:$AH$505),"",INDEX(テーブル2[[学年]:[判定]],MATCH(体力優良証交付申請書!$A124,入力シート!$AH$6:$AH$505,0),MATCH(体力優良証交付申請書!G$14,テーブル2[[#Headers],[学年]:[得点]],0)))</f>
        <v/>
      </c>
      <c r="H124" s="115" t="str">
        <f>IF($A124&gt;MAX(入力シート!$AH$6:$AH$505),"",INDEX(テーブル2[[学年]:[判定]],MATCH(体力優良証交付申請書!$A124,入力シート!$AH$6:$AH$505,0),MATCH(体力優良証交付申請書!H$14,テーブル2[[#Headers],[学年]:[得点]],0)))</f>
        <v/>
      </c>
      <c r="I124" s="115" t="str">
        <f>IF($A124&gt;MAX(入力シート!$AH$6:$AH$505),"",INDEX(テーブル2[[学年]:[判定]],MATCH(体力優良証交付申請書!$A124,入力シート!$AH$6:$AH$505,0),MATCH(体力優良証交付申請書!I$14,テーブル2[[#Headers],[学年]:[得点]],0)))</f>
        <v/>
      </c>
      <c r="J124" s="115" t="str">
        <f>IF($A124&gt;MAX(入力シート!$AH$6:$AH$505),"",INDEX(テーブル2[[学年]:[判定]],MATCH(体力優良証交付申請書!$A124,入力シート!$AH$6:$AH$505,0),MATCH(体力優良証交付申請書!J$14,テーブル2[[#Headers],[学年]:[得点]],0)))</f>
        <v/>
      </c>
      <c r="K124" s="129" t="str">
        <f>IF($A124&gt;MAX(入力シート!$AH$6:$AH$505),"",INDEX(テーブル2[[学年]:[判定]],MATCH(体力優良証交付申請書!$A124,入力シート!$AH$6:$AH$505,0),MATCH(体力優良証交付申請書!K$14,テーブル2[[#Headers],[学年]:[得点]],0)))</f>
        <v/>
      </c>
      <c r="L124" s="115" t="str">
        <f>IF($A124&gt;MAX(入力シート!$AH$6:$AH$505),"",INDEX(テーブル2[[学年]:[判定]],MATCH(体力優良証交付申請書!$A124,入力シート!$AH$6:$AH$505,0),MATCH(体力優良証交付申請書!L$14,テーブル2[[#Headers],[学年]:[得点]],0)))</f>
        <v/>
      </c>
      <c r="M124" s="115" t="str">
        <f>IF($A124&gt;MAX(入力シート!$AH$6:$AH$505),"",INDEX(テーブル2[[学年]:[判定]],MATCH(体力優良証交付申請書!$A124,入力シート!$AH$6:$AH$505,0),MATCH(体力優良証交付申請書!M$14,テーブル2[[#Headers],[学年]:[得点]],0)))</f>
        <v/>
      </c>
      <c r="N124" s="27" t="str">
        <f>IF($A124&gt;MAX(入力シート!$AH$6:$AH$505),"",INDEX(テーブル2[[学年]:[判定]],MATCH(体力優良証交付申請書!$A124,入力シート!$AH$6:$AH$505,0),MATCH(体力優良証交付申請書!N$14,テーブル2[[#Headers],[学年]:[得点]],0)))</f>
        <v/>
      </c>
    </row>
    <row r="125" spans="1:14" x14ac:dyDescent="0.15">
      <c r="A125" s="17">
        <v>111</v>
      </c>
      <c r="B125" s="115" t="str">
        <f>IF($A125&gt;MAX(入力シート!$AH$6:$AH$505),"",INDEX(テーブル2[[学年]:[判定]],MATCH(体力優良証交付申請書!$A125,入力シート!$AH$6:$AH$505,0),MATCH(体力優良証交付申請書!B$14,テーブル2[[#Headers],[学年]:[得点]],0)))</f>
        <v/>
      </c>
      <c r="C125" s="115" t="str">
        <f>IF($A125&gt;MAX(入力シート!$AH$6:$AH$505),"",INDEX(テーブル2[[学年]:[判定]],MATCH(体力優良証交付申請書!$A125,入力シート!$AH$6:$AH$505,0),MATCH(体力優良証交付申請書!C$14,テーブル2[[#Headers],[学年]:[得点]],0)))</f>
        <v/>
      </c>
      <c r="D125" s="115" t="str">
        <f>IF($A125&gt;MAX(入力シート!$AH$6:$AH$505),"",INDEX(テーブル2[[学年]:[判定]],MATCH(体力優良証交付申請書!$A125,入力シート!$AH$6:$AH$505,0),MATCH(体力優良証交付申請書!D$14,テーブル2[[#Headers],[学年]:[得点]],0)))</f>
        <v/>
      </c>
      <c r="E125" s="115" t="str">
        <f>IF($A125&gt;MAX(入力シート!$AH$6:$AH$505),"",INDEX(テーブル2[[学年]:[判定]],MATCH(体力優良証交付申請書!$A125,入力シート!$AH$6:$AH$505,0),MATCH(体力優良証交付申請書!E$14,テーブル2[[#Headers],[学年]:[得点]],0)))</f>
        <v/>
      </c>
      <c r="F125" s="115" t="str">
        <f>IF($A125&gt;MAX(入力シート!$AH$6:$AH$505),"",INDEX(テーブル2[[学年]:[判定]],MATCH(体力優良証交付申請書!$A125,入力シート!$AH$6:$AH$505,0),MATCH(体力優良証交付申請書!F$14,テーブル2[[#Headers],[学年]:[得点]],0)))</f>
        <v/>
      </c>
      <c r="G125" s="115" t="str">
        <f>IF($A125&gt;MAX(入力シート!$AH$6:$AH$505),"",INDEX(テーブル2[[学年]:[判定]],MATCH(体力優良証交付申請書!$A125,入力シート!$AH$6:$AH$505,0),MATCH(体力優良証交付申請書!G$14,テーブル2[[#Headers],[学年]:[得点]],0)))</f>
        <v/>
      </c>
      <c r="H125" s="115" t="str">
        <f>IF($A125&gt;MAX(入力シート!$AH$6:$AH$505),"",INDEX(テーブル2[[学年]:[判定]],MATCH(体力優良証交付申請書!$A125,入力シート!$AH$6:$AH$505,0),MATCH(体力優良証交付申請書!H$14,テーブル2[[#Headers],[学年]:[得点]],0)))</f>
        <v/>
      </c>
      <c r="I125" s="115" t="str">
        <f>IF($A125&gt;MAX(入力シート!$AH$6:$AH$505),"",INDEX(テーブル2[[学年]:[判定]],MATCH(体力優良証交付申請書!$A125,入力シート!$AH$6:$AH$505,0),MATCH(体力優良証交付申請書!I$14,テーブル2[[#Headers],[学年]:[得点]],0)))</f>
        <v/>
      </c>
      <c r="J125" s="115" t="str">
        <f>IF($A125&gt;MAX(入力シート!$AH$6:$AH$505),"",INDEX(テーブル2[[学年]:[判定]],MATCH(体力優良証交付申請書!$A125,入力シート!$AH$6:$AH$505,0),MATCH(体力優良証交付申請書!J$14,テーブル2[[#Headers],[学年]:[得点]],0)))</f>
        <v/>
      </c>
      <c r="K125" s="129" t="str">
        <f>IF($A125&gt;MAX(入力シート!$AH$6:$AH$505),"",INDEX(テーブル2[[学年]:[判定]],MATCH(体力優良証交付申請書!$A125,入力シート!$AH$6:$AH$505,0),MATCH(体力優良証交付申請書!K$14,テーブル2[[#Headers],[学年]:[得点]],0)))</f>
        <v/>
      </c>
      <c r="L125" s="115" t="str">
        <f>IF($A125&gt;MAX(入力シート!$AH$6:$AH$505),"",INDEX(テーブル2[[学年]:[判定]],MATCH(体力優良証交付申請書!$A125,入力シート!$AH$6:$AH$505,0),MATCH(体力優良証交付申請書!L$14,テーブル2[[#Headers],[学年]:[得点]],0)))</f>
        <v/>
      </c>
      <c r="M125" s="115" t="str">
        <f>IF($A125&gt;MAX(入力シート!$AH$6:$AH$505),"",INDEX(テーブル2[[学年]:[判定]],MATCH(体力優良証交付申請書!$A125,入力シート!$AH$6:$AH$505,0),MATCH(体力優良証交付申請書!M$14,テーブル2[[#Headers],[学年]:[得点]],0)))</f>
        <v/>
      </c>
      <c r="N125" s="27" t="str">
        <f>IF($A125&gt;MAX(入力シート!$AH$6:$AH$505),"",INDEX(テーブル2[[学年]:[判定]],MATCH(体力優良証交付申請書!$A125,入力シート!$AH$6:$AH$505,0),MATCH(体力優良証交付申請書!N$14,テーブル2[[#Headers],[学年]:[得点]],0)))</f>
        <v/>
      </c>
    </row>
    <row r="126" spans="1:14" x14ac:dyDescent="0.15">
      <c r="A126" s="17">
        <v>112</v>
      </c>
      <c r="B126" s="115" t="str">
        <f>IF($A126&gt;MAX(入力シート!$AH$6:$AH$505),"",INDEX(テーブル2[[学年]:[判定]],MATCH(体力優良証交付申請書!$A126,入力シート!$AH$6:$AH$505,0),MATCH(体力優良証交付申請書!B$14,テーブル2[[#Headers],[学年]:[得点]],0)))</f>
        <v/>
      </c>
      <c r="C126" s="115" t="str">
        <f>IF($A126&gt;MAX(入力シート!$AH$6:$AH$505),"",INDEX(テーブル2[[学年]:[判定]],MATCH(体力優良証交付申請書!$A126,入力シート!$AH$6:$AH$505,0),MATCH(体力優良証交付申請書!C$14,テーブル2[[#Headers],[学年]:[得点]],0)))</f>
        <v/>
      </c>
      <c r="D126" s="115" t="str">
        <f>IF($A126&gt;MAX(入力シート!$AH$6:$AH$505),"",INDEX(テーブル2[[学年]:[判定]],MATCH(体力優良証交付申請書!$A126,入力シート!$AH$6:$AH$505,0),MATCH(体力優良証交付申請書!D$14,テーブル2[[#Headers],[学年]:[得点]],0)))</f>
        <v/>
      </c>
      <c r="E126" s="115" t="str">
        <f>IF($A126&gt;MAX(入力シート!$AH$6:$AH$505),"",INDEX(テーブル2[[学年]:[判定]],MATCH(体力優良証交付申請書!$A126,入力シート!$AH$6:$AH$505,0),MATCH(体力優良証交付申請書!E$14,テーブル2[[#Headers],[学年]:[得点]],0)))</f>
        <v/>
      </c>
      <c r="F126" s="115" t="str">
        <f>IF($A126&gt;MAX(入力シート!$AH$6:$AH$505),"",INDEX(テーブル2[[学年]:[判定]],MATCH(体力優良証交付申請書!$A126,入力シート!$AH$6:$AH$505,0),MATCH(体力優良証交付申請書!F$14,テーブル2[[#Headers],[学年]:[得点]],0)))</f>
        <v/>
      </c>
      <c r="G126" s="115" t="str">
        <f>IF($A126&gt;MAX(入力シート!$AH$6:$AH$505),"",INDEX(テーブル2[[学年]:[判定]],MATCH(体力優良証交付申請書!$A126,入力シート!$AH$6:$AH$505,0),MATCH(体力優良証交付申請書!G$14,テーブル2[[#Headers],[学年]:[得点]],0)))</f>
        <v/>
      </c>
      <c r="H126" s="115" t="str">
        <f>IF($A126&gt;MAX(入力シート!$AH$6:$AH$505),"",INDEX(テーブル2[[学年]:[判定]],MATCH(体力優良証交付申請書!$A126,入力シート!$AH$6:$AH$505,0),MATCH(体力優良証交付申請書!H$14,テーブル2[[#Headers],[学年]:[得点]],0)))</f>
        <v/>
      </c>
      <c r="I126" s="115" t="str">
        <f>IF($A126&gt;MAX(入力シート!$AH$6:$AH$505),"",INDEX(テーブル2[[学年]:[判定]],MATCH(体力優良証交付申請書!$A126,入力シート!$AH$6:$AH$505,0),MATCH(体力優良証交付申請書!I$14,テーブル2[[#Headers],[学年]:[得点]],0)))</f>
        <v/>
      </c>
      <c r="J126" s="115" t="str">
        <f>IF($A126&gt;MAX(入力シート!$AH$6:$AH$505),"",INDEX(テーブル2[[学年]:[判定]],MATCH(体力優良証交付申請書!$A126,入力シート!$AH$6:$AH$505,0),MATCH(体力優良証交付申請書!J$14,テーブル2[[#Headers],[学年]:[得点]],0)))</f>
        <v/>
      </c>
      <c r="K126" s="129" t="str">
        <f>IF($A126&gt;MAX(入力シート!$AH$6:$AH$505),"",INDEX(テーブル2[[学年]:[判定]],MATCH(体力優良証交付申請書!$A126,入力シート!$AH$6:$AH$505,0),MATCH(体力優良証交付申請書!K$14,テーブル2[[#Headers],[学年]:[得点]],0)))</f>
        <v/>
      </c>
      <c r="L126" s="115" t="str">
        <f>IF($A126&gt;MAX(入力シート!$AH$6:$AH$505),"",INDEX(テーブル2[[学年]:[判定]],MATCH(体力優良証交付申請書!$A126,入力シート!$AH$6:$AH$505,0),MATCH(体力優良証交付申請書!L$14,テーブル2[[#Headers],[学年]:[得点]],0)))</f>
        <v/>
      </c>
      <c r="M126" s="115" t="str">
        <f>IF($A126&gt;MAX(入力シート!$AH$6:$AH$505),"",INDEX(テーブル2[[学年]:[判定]],MATCH(体力優良証交付申請書!$A126,入力シート!$AH$6:$AH$505,0),MATCH(体力優良証交付申請書!M$14,テーブル2[[#Headers],[学年]:[得点]],0)))</f>
        <v/>
      </c>
      <c r="N126" s="27" t="str">
        <f>IF($A126&gt;MAX(入力シート!$AH$6:$AH$505),"",INDEX(テーブル2[[学年]:[判定]],MATCH(体力優良証交付申請書!$A126,入力シート!$AH$6:$AH$505,0),MATCH(体力優良証交付申請書!N$14,テーブル2[[#Headers],[学年]:[得点]],0)))</f>
        <v/>
      </c>
    </row>
    <row r="127" spans="1:14" x14ac:dyDescent="0.15">
      <c r="A127" s="17">
        <v>113</v>
      </c>
      <c r="B127" s="115" t="str">
        <f>IF($A127&gt;MAX(入力シート!$AH$6:$AH$505),"",INDEX(テーブル2[[学年]:[判定]],MATCH(体力優良証交付申請書!$A127,入力シート!$AH$6:$AH$505,0),MATCH(体力優良証交付申請書!B$14,テーブル2[[#Headers],[学年]:[得点]],0)))</f>
        <v/>
      </c>
      <c r="C127" s="115" t="str">
        <f>IF($A127&gt;MAX(入力シート!$AH$6:$AH$505),"",INDEX(テーブル2[[学年]:[判定]],MATCH(体力優良証交付申請書!$A127,入力シート!$AH$6:$AH$505,0),MATCH(体力優良証交付申請書!C$14,テーブル2[[#Headers],[学年]:[得点]],0)))</f>
        <v/>
      </c>
      <c r="D127" s="115" t="str">
        <f>IF($A127&gt;MAX(入力シート!$AH$6:$AH$505),"",INDEX(テーブル2[[学年]:[判定]],MATCH(体力優良証交付申請書!$A127,入力シート!$AH$6:$AH$505,0),MATCH(体力優良証交付申請書!D$14,テーブル2[[#Headers],[学年]:[得点]],0)))</f>
        <v/>
      </c>
      <c r="E127" s="115" t="str">
        <f>IF($A127&gt;MAX(入力シート!$AH$6:$AH$505),"",INDEX(テーブル2[[学年]:[判定]],MATCH(体力優良証交付申請書!$A127,入力シート!$AH$6:$AH$505,0),MATCH(体力優良証交付申請書!E$14,テーブル2[[#Headers],[学年]:[得点]],0)))</f>
        <v/>
      </c>
      <c r="F127" s="115" t="str">
        <f>IF($A127&gt;MAX(入力シート!$AH$6:$AH$505),"",INDEX(テーブル2[[学年]:[判定]],MATCH(体力優良証交付申請書!$A127,入力シート!$AH$6:$AH$505,0),MATCH(体力優良証交付申請書!F$14,テーブル2[[#Headers],[学年]:[得点]],0)))</f>
        <v/>
      </c>
      <c r="G127" s="115" t="str">
        <f>IF($A127&gt;MAX(入力シート!$AH$6:$AH$505),"",INDEX(テーブル2[[学年]:[判定]],MATCH(体力優良証交付申請書!$A127,入力シート!$AH$6:$AH$505,0),MATCH(体力優良証交付申請書!G$14,テーブル2[[#Headers],[学年]:[得点]],0)))</f>
        <v/>
      </c>
      <c r="H127" s="115" t="str">
        <f>IF($A127&gt;MAX(入力シート!$AH$6:$AH$505),"",INDEX(テーブル2[[学年]:[判定]],MATCH(体力優良証交付申請書!$A127,入力シート!$AH$6:$AH$505,0),MATCH(体力優良証交付申請書!H$14,テーブル2[[#Headers],[学年]:[得点]],0)))</f>
        <v/>
      </c>
      <c r="I127" s="115" t="str">
        <f>IF($A127&gt;MAX(入力シート!$AH$6:$AH$505),"",INDEX(テーブル2[[学年]:[判定]],MATCH(体力優良証交付申請書!$A127,入力シート!$AH$6:$AH$505,0),MATCH(体力優良証交付申請書!I$14,テーブル2[[#Headers],[学年]:[得点]],0)))</f>
        <v/>
      </c>
      <c r="J127" s="115" t="str">
        <f>IF($A127&gt;MAX(入力シート!$AH$6:$AH$505),"",INDEX(テーブル2[[学年]:[判定]],MATCH(体力優良証交付申請書!$A127,入力シート!$AH$6:$AH$505,0),MATCH(体力優良証交付申請書!J$14,テーブル2[[#Headers],[学年]:[得点]],0)))</f>
        <v/>
      </c>
      <c r="K127" s="129" t="str">
        <f>IF($A127&gt;MAX(入力シート!$AH$6:$AH$505),"",INDEX(テーブル2[[学年]:[判定]],MATCH(体力優良証交付申請書!$A127,入力シート!$AH$6:$AH$505,0),MATCH(体力優良証交付申請書!K$14,テーブル2[[#Headers],[学年]:[得点]],0)))</f>
        <v/>
      </c>
      <c r="L127" s="115" t="str">
        <f>IF($A127&gt;MAX(入力シート!$AH$6:$AH$505),"",INDEX(テーブル2[[学年]:[判定]],MATCH(体力優良証交付申請書!$A127,入力シート!$AH$6:$AH$505,0),MATCH(体力優良証交付申請書!L$14,テーブル2[[#Headers],[学年]:[得点]],0)))</f>
        <v/>
      </c>
      <c r="M127" s="115" t="str">
        <f>IF($A127&gt;MAX(入力シート!$AH$6:$AH$505),"",INDEX(テーブル2[[学年]:[判定]],MATCH(体力優良証交付申請書!$A127,入力シート!$AH$6:$AH$505,0),MATCH(体力優良証交付申請書!M$14,テーブル2[[#Headers],[学年]:[得点]],0)))</f>
        <v/>
      </c>
      <c r="N127" s="27" t="str">
        <f>IF($A127&gt;MAX(入力シート!$AH$6:$AH$505),"",INDEX(テーブル2[[学年]:[判定]],MATCH(体力優良証交付申請書!$A127,入力シート!$AH$6:$AH$505,0),MATCH(体力優良証交付申請書!N$14,テーブル2[[#Headers],[学年]:[得点]],0)))</f>
        <v/>
      </c>
    </row>
    <row r="128" spans="1:14" x14ac:dyDescent="0.15">
      <c r="A128" s="17">
        <v>114</v>
      </c>
      <c r="B128" s="115" t="str">
        <f>IF($A128&gt;MAX(入力シート!$AH$6:$AH$505),"",INDEX(テーブル2[[学年]:[判定]],MATCH(体力優良証交付申請書!$A128,入力シート!$AH$6:$AH$505,0),MATCH(体力優良証交付申請書!B$14,テーブル2[[#Headers],[学年]:[得点]],0)))</f>
        <v/>
      </c>
      <c r="C128" s="115" t="str">
        <f>IF($A128&gt;MAX(入力シート!$AH$6:$AH$505),"",INDEX(テーブル2[[学年]:[判定]],MATCH(体力優良証交付申請書!$A128,入力シート!$AH$6:$AH$505,0),MATCH(体力優良証交付申請書!C$14,テーブル2[[#Headers],[学年]:[得点]],0)))</f>
        <v/>
      </c>
      <c r="D128" s="115" t="str">
        <f>IF($A128&gt;MAX(入力シート!$AH$6:$AH$505),"",INDEX(テーブル2[[学年]:[判定]],MATCH(体力優良証交付申請書!$A128,入力シート!$AH$6:$AH$505,0),MATCH(体力優良証交付申請書!D$14,テーブル2[[#Headers],[学年]:[得点]],0)))</f>
        <v/>
      </c>
      <c r="E128" s="115" t="str">
        <f>IF($A128&gt;MAX(入力シート!$AH$6:$AH$505),"",INDEX(テーブル2[[学年]:[判定]],MATCH(体力優良証交付申請書!$A128,入力シート!$AH$6:$AH$505,0),MATCH(体力優良証交付申請書!E$14,テーブル2[[#Headers],[学年]:[得点]],0)))</f>
        <v/>
      </c>
      <c r="F128" s="115" t="str">
        <f>IF($A128&gt;MAX(入力シート!$AH$6:$AH$505),"",INDEX(テーブル2[[学年]:[判定]],MATCH(体力優良証交付申請書!$A128,入力シート!$AH$6:$AH$505,0),MATCH(体力優良証交付申請書!F$14,テーブル2[[#Headers],[学年]:[得点]],0)))</f>
        <v/>
      </c>
      <c r="G128" s="115" t="str">
        <f>IF($A128&gt;MAX(入力シート!$AH$6:$AH$505),"",INDEX(テーブル2[[学年]:[判定]],MATCH(体力優良証交付申請書!$A128,入力シート!$AH$6:$AH$505,0),MATCH(体力優良証交付申請書!G$14,テーブル2[[#Headers],[学年]:[得点]],0)))</f>
        <v/>
      </c>
      <c r="H128" s="115" t="str">
        <f>IF($A128&gt;MAX(入力シート!$AH$6:$AH$505),"",INDEX(テーブル2[[学年]:[判定]],MATCH(体力優良証交付申請書!$A128,入力シート!$AH$6:$AH$505,0),MATCH(体力優良証交付申請書!H$14,テーブル2[[#Headers],[学年]:[得点]],0)))</f>
        <v/>
      </c>
      <c r="I128" s="115" t="str">
        <f>IF($A128&gt;MAX(入力シート!$AH$6:$AH$505),"",INDEX(テーブル2[[学年]:[判定]],MATCH(体力優良証交付申請書!$A128,入力シート!$AH$6:$AH$505,0),MATCH(体力優良証交付申請書!I$14,テーブル2[[#Headers],[学年]:[得点]],0)))</f>
        <v/>
      </c>
      <c r="J128" s="115" t="str">
        <f>IF($A128&gt;MAX(入力シート!$AH$6:$AH$505),"",INDEX(テーブル2[[学年]:[判定]],MATCH(体力優良証交付申請書!$A128,入力シート!$AH$6:$AH$505,0),MATCH(体力優良証交付申請書!J$14,テーブル2[[#Headers],[学年]:[得点]],0)))</f>
        <v/>
      </c>
      <c r="K128" s="129" t="str">
        <f>IF($A128&gt;MAX(入力シート!$AH$6:$AH$505),"",INDEX(テーブル2[[学年]:[判定]],MATCH(体力優良証交付申請書!$A128,入力シート!$AH$6:$AH$505,0),MATCH(体力優良証交付申請書!K$14,テーブル2[[#Headers],[学年]:[得点]],0)))</f>
        <v/>
      </c>
      <c r="L128" s="115" t="str">
        <f>IF($A128&gt;MAX(入力シート!$AH$6:$AH$505),"",INDEX(テーブル2[[学年]:[判定]],MATCH(体力優良証交付申請書!$A128,入力シート!$AH$6:$AH$505,0),MATCH(体力優良証交付申請書!L$14,テーブル2[[#Headers],[学年]:[得点]],0)))</f>
        <v/>
      </c>
      <c r="M128" s="115" t="str">
        <f>IF($A128&gt;MAX(入力シート!$AH$6:$AH$505),"",INDEX(テーブル2[[学年]:[判定]],MATCH(体力優良証交付申請書!$A128,入力シート!$AH$6:$AH$505,0),MATCH(体力優良証交付申請書!M$14,テーブル2[[#Headers],[学年]:[得点]],0)))</f>
        <v/>
      </c>
      <c r="N128" s="27" t="str">
        <f>IF($A128&gt;MAX(入力シート!$AH$6:$AH$505),"",INDEX(テーブル2[[学年]:[判定]],MATCH(体力優良証交付申請書!$A128,入力シート!$AH$6:$AH$505,0),MATCH(体力優良証交付申請書!N$14,テーブル2[[#Headers],[学年]:[得点]],0)))</f>
        <v/>
      </c>
    </row>
    <row r="129" spans="1:14" x14ac:dyDescent="0.15">
      <c r="A129" s="17">
        <v>115</v>
      </c>
      <c r="B129" s="115" t="str">
        <f>IF($A129&gt;MAX(入力シート!$AH$6:$AH$505),"",INDEX(テーブル2[[学年]:[判定]],MATCH(体力優良証交付申請書!$A129,入力シート!$AH$6:$AH$505,0),MATCH(体力優良証交付申請書!B$14,テーブル2[[#Headers],[学年]:[得点]],0)))</f>
        <v/>
      </c>
      <c r="C129" s="115" t="str">
        <f>IF($A129&gt;MAX(入力シート!$AH$6:$AH$505),"",INDEX(テーブル2[[学年]:[判定]],MATCH(体力優良証交付申請書!$A129,入力シート!$AH$6:$AH$505,0),MATCH(体力優良証交付申請書!C$14,テーブル2[[#Headers],[学年]:[得点]],0)))</f>
        <v/>
      </c>
      <c r="D129" s="115" t="str">
        <f>IF($A129&gt;MAX(入力シート!$AH$6:$AH$505),"",INDEX(テーブル2[[学年]:[判定]],MATCH(体力優良証交付申請書!$A129,入力シート!$AH$6:$AH$505,0),MATCH(体力優良証交付申請書!D$14,テーブル2[[#Headers],[学年]:[得点]],0)))</f>
        <v/>
      </c>
      <c r="E129" s="115" t="str">
        <f>IF($A129&gt;MAX(入力シート!$AH$6:$AH$505),"",INDEX(テーブル2[[学年]:[判定]],MATCH(体力優良証交付申請書!$A129,入力シート!$AH$6:$AH$505,0),MATCH(体力優良証交付申請書!E$14,テーブル2[[#Headers],[学年]:[得点]],0)))</f>
        <v/>
      </c>
      <c r="F129" s="115" t="str">
        <f>IF($A129&gt;MAX(入力シート!$AH$6:$AH$505),"",INDEX(テーブル2[[学年]:[判定]],MATCH(体力優良証交付申請書!$A129,入力シート!$AH$6:$AH$505,0),MATCH(体力優良証交付申請書!F$14,テーブル2[[#Headers],[学年]:[得点]],0)))</f>
        <v/>
      </c>
      <c r="G129" s="115" t="str">
        <f>IF($A129&gt;MAX(入力シート!$AH$6:$AH$505),"",INDEX(テーブル2[[学年]:[判定]],MATCH(体力優良証交付申請書!$A129,入力シート!$AH$6:$AH$505,0),MATCH(体力優良証交付申請書!G$14,テーブル2[[#Headers],[学年]:[得点]],0)))</f>
        <v/>
      </c>
      <c r="H129" s="115" t="str">
        <f>IF($A129&gt;MAX(入力シート!$AH$6:$AH$505),"",INDEX(テーブル2[[学年]:[判定]],MATCH(体力優良証交付申請書!$A129,入力シート!$AH$6:$AH$505,0),MATCH(体力優良証交付申請書!H$14,テーブル2[[#Headers],[学年]:[得点]],0)))</f>
        <v/>
      </c>
      <c r="I129" s="115" t="str">
        <f>IF($A129&gt;MAX(入力シート!$AH$6:$AH$505),"",INDEX(テーブル2[[学年]:[判定]],MATCH(体力優良証交付申請書!$A129,入力シート!$AH$6:$AH$505,0),MATCH(体力優良証交付申請書!I$14,テーブル2[[#Headers],[学年]:[得点]],0)))</f>
        <v/>
      </c>
      <c r="J129" s="115" t="str">
        <f>IF($A129&gt;MAX(入力シート!$AH$6:$AH$505),"",INDEX(テーブル2[[学年]:[判定]],MATCH(体力優良証交付申請書!$A129,入力シート!$AH$6:$AH$505,0),MATCH(体力優良証交付申請書!J$14,テーブル2[[#Headers],[学年]:[得点]],0)))</f>
        <v/>
      </c>
      <c r="K129" s="129" t="str">
        <f>IF($A129&gt;MAX(入力シート!$AH$6:$AH$505),"",INDEX(テーブル2[[学年]:[判定]],MATCH(体力優良証交付申請書!$A129,入力シート!$AH$6:$AH$505,0),MATCH(体力優良証交付申請書!K$14,テーブル2[[#Headers],[学年]:[得点]],0)))</f>
        <v/>
      </c>
      <c r="L129" s="115" t="str">
        <f>IF($A129&gt;MAX(入力シート!$AH$6:$AH$505),"",INDEX(テーブル2[[学年]:[判定]],MATCH(体力優良証交付申請書!$A129,入力シート!$AH$6:$AH$505,0),MATCH(体力優良証交付申請書!L$14,テーブル2[[#Headers],[学年]:[得点]],0)))</f>
        <v/>
      </c>
      <c r="M129" s="115" t="str">
        <f>IF($A129&gt;MAX(入力シート!$AH$6:$AH$505),"",INDEX(テーブル2[[学年]:[判定]],MATCH(体力優良証交付申請書!$A129,入力シート!$AH$6:$AH$505,0),MATCH(体力優良証交付申請書!M$14,テーブル2[[#Headers],[学年]:[得点]],0)))</f>
        <v/>
      </c>
      <c r="N129" s="27" t="str">
        <f>IF($A129&gt;MAX(入力シート!$AH$6:$AH$505),"",INDEX(テーブル2[[学年]:[判定]],MATCH(体力優良証交付申請書!$A129,入力シート!$AH$6:$AH$505,0),MATCH(体力優良証交付申請書!N$14,テーブル2[[#Headers],[学年]:[得点]],0)))</f>
        <v/>
      </c>
    </row>
    <row r="130" spans="1:14" x14ac:dyDescent="0.15">
      <c r="A130" s="17">
        <v>116</v>
      </c>
      <c r="B130" s="115" t="str">
        <f>IF($A130&gt;MAX(入力シート!$AH$6:$AH$505),"",INDEX(テーブル2[[学年]:[判定]],MATCH(体力優良証交付申請書!$A130,入力シート!$AH$6:$AH$505,0),MATCH(体力優良証交付申請書!B$14,テーブル2[[#Headers],[学年]:[得点]],0)))</f>
        <v/>
      </c>
      <c r="C130" s="115" t="str">
        <f>IF($A130&gt;MAX(入力シート!$AH$6:$AH$505),"",INDEX(テーブル2[[学年]:[判定]],MATCH(体力優良証交付申請書!$A130,入力シート!$AH$6:$AH$505,0),MATCH(体力優良証交付申請書!C$14,テーブル2[[#Headers],[学年]:[得点]],0)))</f>
        <v/>
      </c>
      <c r="D130" s="115" t="str">
        <f>IF($A130&gt;MAX(入力シート!$AH$6:$AH$505),"",INDEX(テーブル2[[学年]:[判定]],MATCH(体力優良証交付申請書!$A130,入力シート!$AH$6:$AH$505,0),MATCH(体力優良証交付申請書!D$14,テーブル2[[#Headers],[学年]:[得点]],0)))</f>
        <v/>
      </c>
      <c r="E130" s="115" t="str">
        <f>IF($A130&gt;MAX(入力シート!$AH$6:$AH$505),"",INDEX(テーブル2[[学年]:[判定]],MATCH(体力優良証交付申請書!$A130,入力シート!$AH$6:$AH$505,0),MATCH(体力優良証交付申請書!E$14,テーブル2[[#Headers],[学年]:[得点]],0)))</f>
        <v/>
      </c>
      <c r="F130" s="115" t="str">
        <f>IF($A130&gt;MAX(入力シート!$AH$6:$AH$505),"",INDEX(テーブル2[[学年]:[判定]],MATCH(体力優良証交付申請書!$A130,入力シート!$AH$6:$AH$505,0),MATCH(体力優良証交付申請書!F$14,テーブル2[[#Headers],[学年]:[得点]],0)))</f>
        <v/>
      </c>
      <c r="G130" s="115" t="str">
        <f>IF($A130&gt;MAX(入力シート!$AH$6:$AH$505),"",INDEX(テーブル2[[学年]:[判定]],MATCH(体力優良証交付申請書!$A130,入力シート!$AH$6:$AH$505,0),MATCH(体力優良証交付申請書!G$14,テーブル2[[#Headers],[学年]:[得点]],0)))</f>
        <v/>
      </c>
      <c r="H130" s="115" t="str">
        <f>IF($A130&gt;MAX(入力シート!$AH$6:$AH$505),"",INDEX(テーブル2[[学年]:[判定]],MATCH(体力優良証交付申請書!$A130,入力シート!$AH$6:$AH$505,0),MATCH(体力優良証交付申請書!H$14,テーブル2[[#Headers],[学年]:[得点]],0)))</f>
        <v/>
      </c>
      <c r="I130" s="115" t="str">
        <f>IF($A130&gt;MAX(入力シート!$AH$6:$AH$505),"",INDEX(テーブル2[[学年]:[判定]],MATCH(体力優良証交付申請書!$A130,入力シート!$AH$6:$AH$505,0),MATCH(体力優良証交付申請書!I$14,テーブル2[[#Headers],[学年]:[得点]],0)))</f>
        <v/>
      </c>
      <c r="J130" s="115" t="str">
        <f>IF($A130&gt;MAX(入力シート!$AH$6:$AH$505),"",INDEX(テーブル2[[学年]:[判定]],MATCH(体力優良証交付申請書!$A130,入力シート!$AH$6:$AH$505,0),MATCH(体力優良証交付申請書!J$14,テーブル2[[#Headers],[学年]:[得点]],0)))</f>
        <v/>
      </c>
      <c r="K130" s="129" t="str">
        <f>IF($A130&gt;MAX(入力シート!$AH$6:$AH$505),"",INDEX(テーブル2[[学年]:[判定]],MATCH(体力優良証交付申請書!$A130,入力シート!$AH$6:$AH$505,0),MATCH(体力優良証交付申請書!K$14,テーブル2[[#Headers],[学年]:[得点]],0)))</f>
        <v/>
      </c>
      <c r="L130" s="115" t="str">
        <f>IF($A130&gt;MAX(入力シート!$AH$6:$AH$505),"",INDEX(テーブル2[[学年]:[判定]],MATCH(体力優良証交付申請書!$A130,入力シート!$AH$6:$AH$505,0),MATCH(体力優良証交付申請書!L$14,テーブル2[[#Headers],[学年]:[得点]],0)))</f>
        <v/>
      </c>
      <c r="M130" s="115" t="str">
        <f>IF($A130&gt;MAX(入力シート!$AH$6:$AH$505),"",INDEX(テーブル2[[学年]:[判定]],MATCH(体力優良証交付申請書!$A130,入力シート!$AH$6:$AH$505,0),MATCH(体力優良証交付申請書!M$14,テーブル2[[#Headers],[学年]:[得点]],0)))</f>
        <v/>
      </c>
      <c r="N130" s="27" t="str">
        <f>IF($A130&gt;MAX(入力シート!$AH$6:$AH$505),"",INDEX(テーブル2[[学年]:[判定]],MATCH(体力優良証交付申請書!$A130,入力シート!$AH$6:$AH$505,0),MATCH(体力優良証交付申請書!N$14,テーブル2[[#Headers],[学年]:[得点]],0)))</f>
        <v/>
      </c>
    </row>
    <row r="131" spans="1:14" x14ac:dyDescent="0.15">
      <c r="A131" s="17">
        <v>117</v>
      </c>
      <c r="B131" s="115" t="str">
        <f>IF($A131&gt;MAX(入力シート!$AH$6:$AH$505),"",INDEX(テーブル2[[学年]:[判定]],MATCH(体力優良証交付申請書!$A131,入力シート!$AH$6:$AH$505,0),MATCH(体力優良証交付申請書!B$14,テーブル2[[#Headers],[学年]:[得点]],0)))</f>
        <v/>
      </c>
      <c r="C131" s="115" t="str">
        <f>IF($A131&gt;MAX(入力シート!$AH$6:$AH$505),"",INDEX(テーブル2[[学年]:[判定]],MATCH(体力優良証交付申請書!$A131,入力シート!$AH$6:$AH$505,0),MATCH(体力優良証交付申請書!C$14,テーブル2[[#Headers],[学年]:[得点]],0)))</f>
        <v/>
      </c>
      <c r="D131" s="115" t="str">
        <f>IF($A131&gt;MAX(入力シート!$AH$6:$AH$505),"",INDEX(テーブル2[[学年]:[判定]],MATCH(体力優良証交付申請書!$A131,入力シート!$AH$6:$AH$505,0),MATCH(体力優良証交付申請書!D$14,テーブル2[[#Headers],[学年]:[得点]],0)))</f>
        <v/>
      </c>
      <c r="E131" s="115" t="str">
        <f>IF($A131&gt;MAX(入力シート!$AH$6:$AH$505),"",INDEX(テーブル2[[学年]:[判定]],MATCH(体力優良証交付申請書!$A131,入力シート!$AH$6:$AH$505,0),MATCH(体力優良証交付申請書!E$14,テーブル2[[#Headers],[学年]:[得点]],0)))</f>
        <v/>
      </c>
      <c r="F131" s="115" t="str">
        <f>IF($A131&gt;MAX(入力シート!$AH$6:$AH$505),"",INDEX(テーブル2[[学年]:[判定]],MATCH(体力優良証交付申請書!$A131,入力シート!$AH$6:$AH$505,0),MATCH(体力優良証交付申請書!F$14,テーブル2[[#Headers],[学年]:[得点]],0)))</f>
        <v/>
      </c>
      <c r="G131" s="115" t="str">
        <f>IF($A131&gt;MAX(入力シート!$AH$6:$AH$505),"",INDEX(テーブル2[[学年]:[判定]],MATCH(体力優良証交付申請書!$A131,入力シート!$AH$6:$AH$505,0),MATCH(体力優良証交付申請書!G$14,テーブル2[[#Headers],[学年]:[得点]],0)))</f>
        <v/>
      </c>
      <c r="H131" s="115" t="str">
        <f>IF($A131&gt;MAX(入力シート!$AH$6:$AH$505),"",INDEX(テーブル2[[学年]:[判定]],MATCH(体力優良証交付申請書!$A131,入力シート!$AH$6:$AH$505,0),MATCH(体力優良証交付申請書!H$14,テーブル2[[#Headers],[学年]:[得点]],0)))</f>
        <v/>
      </c>
      <c r="I131" s="115" t="str">
        <f>IF($A131&gt;MAX(入力シート!$AH$6:$AH$505),"",INDEX(テーブル2[[学年]:[判定]],MATCH(体力優良証交付申請書!$A131,入力シート!$AH$6:$AH$505,0),MATCH(体力優良証交付申請書!I$14,テーブル2[[#Headers],[学年]:[得点]],0)))</f>
        <v/>
      </c>
      <c r="J131" s="115" t="str">
        <f>IF($A131&gt;MAX(入力シート!$AH$6:$AH$505),"",INDEX(テーブル2[[学年]:[判定]],MATCH(体力優良証交付申請書!$A131,入力シート!$AH$6:$AH$505,0),MATCH(体力優良証交付申請書!J$14,テーブル2[[#Headers],[学年]:[得点]],0)))</f>
        <v/>
      </c>
      <c r="K131" s="129" t="str">
        <f>IF($A131&gt;MAX(入力シート!$AH$6:$AH$505),"",INDEX(テーブル2[[学年]:[判定]],MATCH(体力優良証交付申請書!$A131,入力シート!$AH$6:$AH$505,0),MATCH(体力優良証交付申請書!K$14,テーブル2[[#Headers],[学年]:[得点]],0)))</f>
        <v/>
      </c>
      <c r="L131" s="115" t="str">
        <f>IF($A131&gt;MAX(入力シート!$AH$6:$AH$505),"",INDEX(テーブル2[[学年]:[判定]],MATCH(体力優良証交付申請書!$A131,入力シート!$AH$6:$AH$505,0),MATCH(体力優良証交付申請書!L$14,テーブル2[[#Headers],[学年]:[得点]],0)))</f>
        <v/>
      </c>
      <c r="M131" s="115" t="str">
        <f>IF($A131&gt;MAX(入力シート!$AH$6:$AH$505),"",INDEX(テーブル2[[学年]:[判定]],MATCH(体力優良証交付申請書!$A131,入力シート!$AH$6:$AH$505,0),MATCH(体力優良証交付申請書!M$14,テーブル2[[#Headers],[学年]:[得点]],0)))</f>
        <v/>
      </c>
      <c r="N131" s="27" t="str">
        <f>IF($A131&gt;MAX(入力シート!$AH$6:$AH$505),"",INDEX(テーブル2[[学年]:[判定]],MATCH(体力優良証交付申請書!$A131,入力シート!$AH$6:$AH$505,0),MATCH(体力優良証交付申請書!N$14,テーブル2[[#Headers],[学年]:[得点]],0)))</f>
        <v/>
      </c>
    </row>
    <row r="132" spans="1:14" x14ac:dyDescent="0.15">
      <c r="A132" s="17">
        <v>118</v>
      </c>
      <c r="B132" s="115" t="str">
        <f>IF($A132&gt;MAX(入力シート!$AH$6:$AH$505),"",INDEX(テーブル2[[学年]:[判定]],MATCH(体力優良証交付申請書!$A132,入力シート!$AH$6:$AH$505,0),MATCH(体力優良証交付申請書!B$14,テーブル2[[#Headers],[学年]:[得点]],0)))</f>
        <v/>
      </c>
      <c r="C132" s="115" t="str">
        <f>IF($A132&gt;MAX(入力シート!$AH$6:$AH$505),"",INDEX(テーブル2[[学年]:[判定]],MATCH(体力優良証交付申請書!$A132,入力シート!$AH$6:$AH$505,0),MATCH(体力優良証交付申請書!C$14,テーブル2[[#Headers],[学年]:[得点]],0)))</f>
        <v/>
      </c>
      <c r="D132" s="115" t="str">
        <f>IF($A132&gt;MAX(入力シート!$AH$6:$AH$505),"",INDEX(テーブル2[[学年]:[判定]],MATCH(体力優良証交付申請書!$A132,入力シート!$AH$6:$AH$505,0),MATCH(体力優良証交付申請書!D$14,テーブル2[[#Headers],[学年]:[得点]],0)))</f>
        <v/>
      </c>
      <c r="E132" s="115" t="str">
        <f>IF($A132&gt;MAX(入力シート!$AH$6:$AH$505),"",INDEX(テーブル2[[学年]:[判定]],MATCH(体力優良証交付申請書!$A132,入力シート!$AH$6:$AH$505,0),MATCH(体力優良証交付申請書!E$14,テーブル2[[#Headers],[学年]:[得点]],0)))</f>
        <v/>
      </c>
      <c r="F132" s="115" t="str">
        <f>IF($A132&gt;MAX(入力シート!$AH$6:$AH$505),"",INDEX(テーブル2[[学年]:[判定]],MATCH(体力優良証交付申請書!$A132,入力シート!$AH$6:$AH$505,0),MATCH(体力優良証交付申請書!F$14,テーブル2[[#Headers],[学年]:[得点]],0)))</f>
        <v/>
      </c>
      <c r="G132" s="115" t="str">
        <f>IF($A132&gt;MAX(入力シート!$AH$6:$AH$505),"",INDEX(テーブル2[[学年]:[判定]],MATCH(体力優良証交付申請書!$A132,入力シート!$AH$6:$AH$505,0),MATCH(体力優良証交付申請書!G$14,テーブル2[[#Headers],[学年]:[得点]],0)))</f>
        <v/>
      </c>
      <c r="H132" s="115" t="str">
        <f>IF($A132&gt;MAX(入力シート!$AH$6:$AH$505),"",INDEX(テーブル2[[学年]:[判定]],MATCH(体力優良証交付申請書!$A132,入力シート!$AH$6:$AH$505,0),MATCH(体力優良証交付申請書!H$14,テーブル2[[#Headers],[学年]:[得点]],0)))</f>
        <v/>
      </c>
      <c r="I132" s="115" t="str">
        <f>IF($A132&gt;MAX(入力シート!$AH$6:$AH$505),"",INDEX(テーブル2[[学年]:[判定]],MATCH(体力優良証交付申請書!$A132,入力シート!$AH$6:$AH$505,0),MATCH(体力優良証交付申請書!I$14,テーブル2[[#Headers],[学年]:[得点]],0)))</f>
        <v/>
      </c>
      <c r="J132" s="115" t="str">
        <f>IF($A132&gt;MAX(入力シート!$AH$6:$AH$505),"",INDEX(テーブル2[[学年]:[判定]],MATCH(体力優良証交付申請書!$A132,入力シート!$AH$6:$AH$505,0),MATCH(体力優良証交付申請書!J$14,テーブル2[[#Headers],[学年]:[得点]],0)))</f>
        <v/>
      </c>
      <c r="K132" s="129" t="str">
        <f>IF($A132&gt;MAX(入力シート!$AH$6:$AH$505),"",INDEX(テーブル2[[学年]:[判定]],MATCH(体力優良証交付申請書!$A132,入力シート!$AH$6:$AH$505,0),MATCH(体力優良証交付申請書!K$14,テーブル2[[#Headers],[学年]:[得点]],0)))</f>
        <v/>
      </c>
      <c r="L132" s="115" t="str">
        <f>IF($A132&gt;MAX(入力シート!$AH$6:$AH$505),"",INDEX(テーブル2[[学年]:[判定]],MATCH(体力優良証交付申請書!$A132,入力シート!$AH$6:$AH$505,0),MATCH(体力優良証交付申請書!L$14,テーブル2[[#Headers],[学年]:[得点]],0)))</f>
        <v/>
      </c>
      <c r="M132" s="115" t="str">
        <f>IF($A132&gt;MAX(入力シート!$AH$6:$AH$505),"",INDEX(テーブル2[[学年]:[判定]],MATCH(体力優良証交付申請書!$A132,入力シート!$AH$6:$AH$505,0),MATCH(体力優良証交付申請書!M$14,テーブル2[[#Headers],[学年]:[得点]],0)))</f>
        <v/>
      </c>
      <c r="N132" s="27" t="str">
        <f>IF($A132&gt;MAX(入力シート!$AH$6:$AH$505),"",INDEX(テーブル2[[学年]:[判定]],MATCH(体力優良証交付申請書!$A132,入力シート!$AH$6:$AH$505,0),MATCH(体力優良証交付申請書!N$14,テーブル2[[#Headers],[学年]:[得点]],0)))</f>
        <v/>
      </c>
    </row>
    <row r="133" spans="1:14" x14ac:dyDescent="0.15">
      <c r="A133" s="17">
        <v>119</v>
      </c>
      <c r="B133" s="115" t="str">
        <f>IF($A133&gt;MAX(入力シート!$AH$6:$AH$505),"",INDEX(テーブル2[[学年]:[判定]],MATCH(体力優良証交付申請書!$A133,入力シート!$AH$6:$AH$505,0),MATCH(体力優良証交付申請書!B$14,テーブル2[[#Headers],[学年]:[得点]],0)))</f>
        <v/>
      </c>
      <c r="C133" s="115" t="str">
        <f>IF($A133&gt;MAX(入力シート!$AH$6:$AH$505),"",INDEX(テーブル2[[学年]:[判定]],MATCH(体力優良証交付申請書!$A133,入力シート!$AH$6:$AH$505,0),MATCH(体力優良証交付申請書!C$14,テーブル2[[#Headers],[学年]:[得点]],0)))</f>
        <v/>
      </c>
      <c r="D133" s="115" t="str">
        <f>IF($A133&gt;MAX(入力シート!$AH$6:$AH$505),"",INDEX(テーブル2[[学年]:[判定]],MATCH(体力優良証交付申請書!$A133,入力シート!$AH$6:$AH$505,0),MATCH(体力優良証交付申請書!D$14,テーブル2[[#Headers],[学年]:[得点]],0)))</f>
        <v/>
      </c>
      <c r="E133" s="115" t="str">
        <f>IF($A133&gt;MAX(入力シート!$AH$6:$AH$505),"",INDEX(テーブル2[[学年]:[判定]],MATCH(体力優良証交付申請書!$A133,入力シート!$AH$6:$AH$505,0),MATCH(体力優良証交付申請書!E$14,テーブル2[[#Headers],[学年]:[得点]],0)))</f>
        <v/>
      </c>
      <c r="F133" s="115" t="str">
        <f>IF($A133&gt;MAX(入力シート!$AH$6:$AH$505),"",INDEX(テーブル2[[学年]:[判定]],MATCH(体力優良証交付申請書!$A133,入力シート!$AH$6:$AH$505,0),MATCH(体力優良証交付申請書!F$14,テーブル2[[#Headers],[学年]:[得点]],0)))</f>
        <v/>
      </c>
      <c r="G133" s="115" t="str">
        <f>IF($A133&gt;MAX(入力シート!$AH$6:$AH$505),"",INDEX(テーブル2[[学年]:[判定]],MATCH(体力優良証交付申請書!$A133,入力シート!$AH$6:$AH$505,0),MATCH(体力優良証交付申請書!G$14,テーブル2[[#Headers],[学年]:[得点]],0)))</f>
        <v/>
      </c>
      <c r="H133" s="115" t="str">
        <f>IF($A133&gt;MAX(入力シート!$AH$6:$AH$505),"",INDEX(テーブル2[[学年]:[判定]],MATCH(体力優良証交付申請書!$A133,入力シート!$AH$6:$AH$505,0),MATCH(体力優良証交付申請書!H$14,テーブル2[[#Headers],[学年]:[得点]],0)))</f>
        <v/>
      </c>
      <c r="I133" s="115" t="str">
        <f>IF($A133&gt;MAX(入力シート!$AH$6:$AH$505),"",INDEX(テーブル2[[学年]:[判定]],MATCH(体力優良証交付申請書!$A133,入力シート!$AH$6:$AH$505,0),MATCH(体力優良証交付申請書!I$14,テーブル2[[#Headers],[学年]:[得点]],0)))</f>
        <v/>
      </c>
      <c r="J133" s="115" t="str">
        <f>IF($A133&gt;MAX(入力シート!$AH$6:$AH$505),"",INDEX(テーブル2[[学年]:[判定]],MATCH(体力優良証交付申請書!$A133,入力シート!$AH$6:$AH$505,0),MATCH(体力優良証交付申請書!J$14,テーブル2[[#Headers],[学年]:[得点]],0)))</f>
        <v/>
      </c>
      <c r="K133" s="129" t="str">
        <f>IF($A133&gt;MAX(入力シート!$AH$6:$AH$505),"",INDEX(テーブル2[[学年]:[判定]],MATCH(体力優良証交付申請書!$A133,入力シート!$AH$6:$AH$505,0),MATCH(体力優良証交付申請書!K$14,テーブル2[[#Headers],[学年]:[得点]],0)))</f>
        <v/>
      </c>
      <c r="L133" s="115" t="str">
        <f>IF($A133&gt;MAX(入力シート!$AH$6:$AH$505),"",INDEX(テーブル2[[学年]:[判定]],MATCH(体力優良証交付申請書!$A133,入力シート!$AH$6:$AH$505,0),MATCH(体力優良証交付申請書!L$14,テーブル2[[#Headers],[学年]:[得点]],0)))</f>
        <v/>
      </c>
      <c r="M133" s="115" t="str">
        <f>IF($A133&gt;MAX(入力シート!$AH$6:$AH$505),"",INDEX(テーブル2[[学年]:[判定]],MATCH(体力優良証交付申請書!$A133,入力シート!$AH$6:$AH$505,0),MATCH(体力優良証交付申請書!M$14,テーブル2[[#Headers],[学年]:[得点]],0)))</f>
        <v/>
      </c>
      <c r="N133" s="27" t="str">
        <f>IF($A133&gt;MAX(入力シート!$AH$6:$AH$505),"",INDEX(テーブル2[[学年]:[判定]],MATCH(体力優良証交付申請書!$A133,入力シート!$AH$6:$AH$505,0),MATCH(体力優良証交付申請書!N$14,テーブル2[[#Headers],[学年]:[得点]],0)))</f>
        <v/>
      </c>
    </row>
    <row r="134" spans="1:14" x14ac:dyDescent="0.15">
      <c r="A134" s="17">
        <v>120</v>
      </c>
      <c r="B134" s="115" t="str">
        <f>IF($A134&gt;MAX(入力シート!$AH$6:$AH$505),"",INDEX(テーブル2[[学年]:[判定]],MATCH(体力優良証交付申請書!$A134,入力シート!$AH$6:$AH$505,0),MATCH(体力優良証交付申請書!B$14,テーブル2[[#Headers],[学年]:[得点]],0)))</f>
        <v/>
      </c>
      <c r="C134" s="115" t="str">
        <f>IF($A134&gt;MAX(入力シート!$AH$6:$AH$505),"",INDEX(テーブル2[[学年]:[判定]],MATCH(体力優良証交付申請書!$A134,入力シート!$AH$6:$AH$505,0),MATCH(体力優良証交付申請書!C$14,テーブル2[[#Headers],[学年]:[得点]],0)))</f>
        <v/>
      </c>
      <c r="D134" s="115" t="str">
        <f>IF($A134&gt;MAX(入力シート!$AH$6:$AH$505),"",INDEX(テーブル2[[学年]:[判定]],MATCH(体力優良証交付申請書!$A134,入力シート!$AH$6:$AH$505,0),MATCH(体力優良証交付申請書!D$14,テーブル2[[#Headers],[学年]:[得点]],0)))</f>
        <v/>
      </c>
      <c r="E134" s="115" t="str">
        <f>IF($A134&gt;MAX(入力シート!$AH$6:$AH$505),"",INDEX(テーブル2[[学年]:[判定]],MATCH(体力優良証交付申請書!$A134,入力シート!$AH$6:$AH$505,0),MATCH(体力優良証交付申請書!E$14,テーブル2[[#Headers],[学年]:[得点]],0)))</f>
        <v/>
      </c>
      <c r="F134" s="115" t="str">
        <f>IF($A134&gt;MAX(入力シート!$AH$6:$AH$505),"",INDEX(テーブル2[[学年]:[判定]],MATCH(体力優良証交付申請書!$A134,入力シート!$AH$6:$AH$505,0),MATCH(体力優良証交付申請書!F$14,テーブル2[[#Headers],[学年]:[得点]],0)))</f>
        <v/>
      </c>
      <c r="G134" s="115" t="str">
        <f>IF($A134&gt;MAX(入力シート!$AH$6:$AH$505),"",INDEX(テーブル2[[学年]:[判定]],MATCH(体力優良証交付申請書!$A134,入力シート!$AH$6:$AH$505,0),MATCH(体力優良証交付申請書!G$14,テーブル2[[#Headers],[学年]:[得点]],0)))</f>
        <v/>
      </c>
      <c r="H134" s="115" t="str">
        <f>IF($A134&gt;MAX(入力シート!$AH$6:$AH$505),"",INDEX(テーブル2[[学年]:[判定]],MATCH(体力優良証交付申請書!$A134,入力シート!$AH$6:$AH$505,0),MATCH(体力優良証交付申請書!H$14,テーブル2[[#Headers],[学年]:[得点]],0)))</f>
        <v/>
      </c>
      <c r="I134" s="115" t="str">
        <f>IF($A134&gt;MAX(入力シート!$AH$6:$AH$505),"",INDEX(テーブル2[[学年]:[判定]],MATCH(体力優良証交付申請書!$A134,入力シート!$AH$6:$AH$505,0),MATCH(体力優良証交付申請書!I$14,テーブル2[[#Headers],[学年]:[得点]],0)))</f>
        <v/>
      </c>
      <c r="J134" s="115" t="str">
        <f>IF($A134&gt;MAX(入力シート!$AH$6:$AH$505),"",INDEX(テーブル2[[学年]:[判定]],MATCH(体力優良証交付申請書!$A134,入力シート!$AH$6:$AH$505,0),MATCH(体力優良証交付申請書!J$14,テーブル2[[#Headers],[学年]:[得点]],0)))</f>
        <v/>
      </c>
      <c r="K134" s="129" t="str">
        <f>IF($A134&gt;MAX(入力シート!$AH$6:$AH$505),"",INDEX(テーブル2[[学年]:[判定]],MATCH(体力優良証交付申請書!$A134,入力シート!$AH$6:$AH$505,0),MATCH(体力優良証交付申請書!K$14,テーブル2[[#Headers],[学年]:[得点]],0)))</f>
        <v/>
      </c>
      <c r="L134" s="115" t="str">
        <f>IF($A134&gt;MAX(入力シート!$AH$6:$AH$505),"",INDEX(テーブル2[[学年]:[判定]],MATCH(体力優良証交付申請書!$A134,入力シート!$AH$6:$AH$505,0),MATCH(体力優良証交付申請書!L$14,テーブル2[[#Headers],[学年]:[得点]],0)))</f>
        <v/>
      </c>
      <c r="M134" s="115" t="str">
        <f>IF($A134&gt;MAX(入力シート!$AH$6:$AH$505),"",INDEX(テーブル2[[学年]:[判定]],MATCH(体力優良証交付申請書!$A134,入力シート!$AH$6:$AH$505,0),MATCH(体力優良証交付申請書!M$14,テーブル2[[#Headers],[学年]:[得点]],0)))</f>
        <v/>
      </c>
      <c r="N134" s="27" t="str">
        <f>IF($A134&gt;MAX(入力シート!$AH$6:$AH$505),"",INDEX(テーブル2[[学年]:[判定]],MATCH(体力優良証交付申請書!$A134,入力シート!$AH$6:$AH$505,0),MATCH(体力優良証交付申請書!N$14,テーブル2[[#Headers],[学年]:[得点]],0)))</f>
        <v/>
      </c>
    </row>
    <row r="135" spans="1:14" x14ac:dyDescent="0.15">
      <c r="A135" s="17">
        <v>121</v>
      </c>
      <c r="B135" s="115" t="str">
        <f>IF($A135&gt;MAX(入力シート!$AH$6:$AH$505),"",INDEX(テーブル2[[学年]:[判定]],MATCH(体力優良証交付申請書!$A135,入力シート!$AH$6:$AH$505,0),MATCH(体力優良証交付申請書!B$14,テーブル2[[#Headers],[学年]:[得点]],0)))</f>
        <v/>
      </c>
      <c r="C135" s="115" t="str">
        <f>IF($A135&gt;MAX(入力シート!$AH$6:$AH$505),"",INDEX(テーブル2[[学年]:[判定]],MATCH(体力優良証交付申請書!$A135,入力シート!$AH$6:$AH$505,0),MATCH(体力優良証交付申請書!C$14,テーブル2[[#Headers],[学年]:[得点]],0)))</f>
        <v/>
      </c>
      <c r="D135" s="115" t="str">
        <f>IF($A135&gt;MAX(入力シート!$AH$6:$AH$505),"",INDEX(テーブル2[[学年]:[判定]],MATCH(体力優良証交付申請書!$A135,入力シート!$AH$6:$AH$505,0),MATCH(体力優良証交付申請書!D$14,テーブル2[[#Headers],[学年]:[得点]],0)))</f>
        <v/>
      </c>
      <c r="E135" s="115" t="str">
        <f>IF($A135&gt;MAX(入力シート!$AH$6:$AH$505),"",INDEX(テーブル2[[学年]:[判定]],MATCH(体力優良証交付申請書!$A135,入力シート!$AH$6:$AH$505,0),MATCH(体力優良証交付申請書!E$14,テーブル2[[#Headers],[学年]:[得点]],0)))</f>
        <v/>
      </c>
      <c r="F135" s="115" t="str">
        <f>IF($A135&gt;MAX(入力シート!$AH$6:$AH$505),"",INDEX(テーブル2[[学年]:[判定]],MATCH(体力優良証交付申請書!$A135,入力シート!$AH$6:$AH$505,0),MATCH(体力優良証交付申請書!F$14,テーブル2[[#Headers],[学年]:[得点]],0)))</f>
        <v/>
      </c>
      <c r="G135" s="115" t="str">
        <f>IF($A135&gt;MAX(入力シート!$AH$6:$AH$505),"",INDEX(テーブル2[[学年]:[判定]],MATCH(体力優良証交付申請書!$A135,入力シート!$AH$6:$AH$505,0),MATCH(体力優良証交付申請書!G$14,テーブル2[[#Headers],[学年]:[得点]],0)))</f>
        <v/>
      </c>
      <c r="H135" s="115" t="str">
        <f>IF($A135&gt;MAX(入力シート!$AH$6:$AH$505),"",INDEX(テーブル2[[学年]:[判定]],MATCH(体力優良証交付申請書!$A135,入力シート!$AH$6:$AH$505,0),MATCH(体力優良証交付申請書!H$14,テーブル2[[#Headers],[学年]:[得点]],0)))</f>
        <v/>
      </c>
      <c r="I135" s="115" t="str">
        <f>IF($A135&gt;MAX(入力シート!$AH$6:$AH$505),"",INDEX(テーブル2[[学年]:[判定]],MATCH(体力優良証交付申請書!$A135,入力シート!$AH$6:$AH$505,0),MATCH(体力優良証交付申請書!I$14,テーブル2[[#Headers],[学年]:[得点]],0)))</f>
        <v/>
      </c>
      <c r="J135" s="115" t="str">
        <f>IF($A135&gt;MAX(入力シート!$AH$6:$AH$505),"",INDEX(テーブル2[[学年]:[判定]],MATCH(体力優良証交付申請書!$A135,入力シート!$AH$6:$AH$505,0),MATCH(体力優良証交付申請書!J$14,テーブル2[[#Headers],[学年]:[得点]],0)))</f>
        <v/>
      </c>
      <c r="K135" s="129" t="str">
        <f>IF($A135&gt;MAX(入力シート!$AH$6:$AH$505),"",INDEX(テーブル2[[学年]:[判定]],MATCH(体力優良証交付申請書!$A135,入力シート!$AH$6:$AH$505,0),MATCH(体力優良証交付申請書!K$14,テーブル2[[#Headers],[学年]:[得点]],0)))</f>
        <v/>
      </c>
      <c r="L135" s="115" t="str">
        <f>IF($A135&gt;MAX(入力シート!$AH$6:$AH$505),"",INDEX(テーブル2[[学年]:[判定]],MATCH(体力優良証交付申請書!$A135,入力シート!$AH$6:$AH$505,0),MATCH(体力優良証交付申請書!L$14,テーブル2[[#Headers],[学年]:[得点]],0)))</f>
        <v/>
      </c>
      <c r="M135" s="115" t="str">
        <f>IF($A135&gt;MAX(入力シート!$AH$6:$AH$505),"",INDEX(テーブル2[[学年]:[判定]],MATCH(体力優良証交付申請書!$A135,入力シート!$AH$6:$AH$505,0),MATCH(体力優良証交付申請書!M$14,テーブル2[[#Headers],[学年]:[得点]],0)))</f>
        <v/>
      </c>
      <c r="N135" s="27" t="str">
        <f>IF($A135&gt;MAX(入力シート!$AH$6:$AH$505),"",INDEX(テーブル2[[学年]:[判定]],MATCH(体力優良証交付申請書!$A135,入力シート!$AH$6:$AH$505,0),MATCH(体力優良証交付申請書!N$14,テーブル2[[#Headers],[学年]:[得点]],0)))</f>
        <v/>
      </c>
    </row>
    <row r="136" spans="1:14" x14ac:dyDescent="0.15">
      <c r="A136" s="17">
        <v>122</v>
      </c>
      <c r="B136" s="115" t="str">
        <f>IF($A136&gt;MAX(入力シート!$AH$6:$AH$505),"",INDEX(テーブル2[[学年]:[判定]],MATCH(体力優良証交付申請書!$A136,入力シート!$AH$6:$AH$505,0),MATCH(体力優良証交付申請書!B$14,テーブル2[[#Headers],[学年]:[得点]],0)))</f>
        <v/>
      </c>
      <c r="C136" s="115" t="str">
        <f>IF($A136&gt;MAX(入力シート!$AH$6:$AH$505),"",INDEX(テーブル2[[学年]:[判定]],MATCH(体力優良証交付申請書!$A136,入力シート!$AH$6:$AH$505,0),MATCH(体力優良証交付申請書!C$14,テーブル2[[#Headers],[学年]:[得点]],0)))</f>
        <v/>
      </c>
      <c r="D136" s="115" t="str">
        <f>IF($A136&gt;MAX(入力シート!$AH$6:$AH$505),"",INDEX(テーブル2[[学年]:[判定]],MATCH(体力優良証交付申請書!$A136,入力シート!$AH$6:$AH$505,0),MATCH(体力優良証交付申請書!D$14,テーブル2[[#Headers],[学年]:[得点]],0)))</f>
        <v/>
      </c>
      <c r="E136" s="115" t="str">
        <f>IF($A136&gt;MAX(入力シート!$AH$6:$AH$505),"",INDEX(テーブル2[[学年]:[判定]],MATCH(体力優良証交付申請書!$A136,入力シート!$AH$6:$AH$505,0),MATCH(体力優良証交付申請書!E$14,テーブル2[[#Headers],[学年]:[得点]],0)))</f>
        <v/>
      </c>
      <c r="F136" s="115" t="str">
        <f>IF($A136&gt;MAX(入力シート!$AH$6:$AH$505),"",INDEX(テーブル2[[学年]:[判定]],MATCH(体力優良証交付申請書!$A136,入力シート!$AH$6:$AH$505,0),MATCH(体力優良証交付申請書!F$14,テーブル2[[#Headers],[学年]:[得点]],0)))</f>
        <v/>
      </c>
      <c r="G136" s="115" t="str">
        <f>IF($A136&gt;MAX(入力シート!$AH$6:$AH$505),"",INDEX(テーブル2[[学年]:[判定]],MATCH(体力優良証交付申請書!$A136,入力シート!$AH$6:$AH$505,0),MATCH(体力優良証交付申請書!G$14,テーブル2[[#Headers],[学年]:[得点]],0)))</f>
        <v/>
      </c>
      <c r="H136" s="115" t="str">
        <f>IF($A136&gt;MAX(入力シート!$AH$6:$AH$505),"",INDEX(テーブル2[[学年]:[判定]],MATCH(体力優良証交付申請書!$A136,入力シート!$AH$6:$AH$505,0),MATCH(体力優良証交付申請書!H$14,テーブル2[[#Headers],[学年]:[得点]],0)))</f>
        <v/>
      </c>
      <c r="I136" s="115" t="str">
        <f>IF($A136&gt;MAX(入力シート!$AH$6:$AH$505),"",INDEX(テーブル2[[学年]:[判定]],MATCH(体力優良証交付申請書!$A136,入力シート!$AH$6:$AH$505,0),MATCH(体力優良証交付申請書!I$14,テーブル2[[#Headers],[学年]:[得点]],0)))</f>
        <v/>
      </c>
      <c r="J136" s="115" t="str">
        <f>IF($A136&gt;MAX(入力シート!$AH$6:$AH$505),"",INDEX(テーブル2[[学年]:[判定]],MATCH(体力優良証交付申請書!$A136,入力シート!$AH$6:$AH$505,0),MATCH(体力優良証交付申請書!J$14,テーブル2[[#Headers],[学年]:[得点]],0)))</f>
        <v/>
      </c>
      <c r="K136" s="129" t="str">
        <f>IF($A136&gt;MAX(入力シート!$AH$6:$AH$505),"",INDEX(テーブル2[[学年]:[判定]],MATCH(体力優良証交付申請書!$A136,入力シート!$AH$6:$AH$505,0),MATCH(体力優良証交付申請書!K$14,テーブル2[[#Headers],[学年]:[得点]],0)))</f>
        <v/>
      </c>
      <c r="L136" s="115" t="str">
        <f>IF($A136&gt;MAX(入力シート!$AH$6:$AH$505),"",INDEX(テーブル2[[学年]:[判定]],MATCH(体力優良証交付申請書!$A136,入力シート!$AH$6:$AH$505,0),MATCH(体力優良証交付申請書!L$14,テーブル2[[#Headers],[学年]:[得点]],0)))</f>
        <v/>
      </c>
      <c r="M136" s="115" t="str">
        <f>IF($A136&gt;MAX(入力シート!$AH$6:$AH$505),"",INDEX(テーブル2[[学年]:[判定]],MATCH(体力優良証交付申請書!$A136,入力シート!$AH$6:$AH$505,0),MATCH(体力優良証交付申請書!M$14,テーブル2[[#Headers],[学年]:[得点]],0)))</f>
        <v/>
      </c>
      <c r="N136" s="27" t="str">
        <f>IF($A136&gt;MAX(入力シート!$AH$6:$AH$505),"",INDEX(テーブル2[[学年]:[判定]],MATCH(体力優良証交付申請書!$A136,入力シート!$AH$6:$AH$505,0),MATCH(体力優良証交付申請書!N$14,テーブル2[[#Headers],[学年]:[得点]],0)))</f>
        <v/>
      </c>
    </row>
    <row r="137" spans="1:14" x14ac:dyDescent="0.15">
      <c r="A137" s="17">
        <v>123</v>
      </c>
      <c r="B137" s="115" t="str">
        <f>IF($A137&gt;MAX(入力シート!$AH$6:$AH$505),"",INDEX(テーブル2[[学年]:[判定]],MATCH(体力優良証交付申請書!$A137,入力シート!$AH$6:$AH$505,0),MATCH(体力優良証交付申請書!B$14,テーブル2[[#Headers],[学年]:[得点]],0)))</f>
        <v/>
      </c>
      <c r="C137" s="115" t="str">
        <f>IF($A137&gt;MAX(入力シート!$AH$6:$AH$505),"",INDEX(テーブル2[[学年]:[判定]],MATCH(体力優良証交付申請書!$A137,入力シート!$AH$6:$AH$505,0),MATCH(体力優良証交付申請書!C$14,テーブル2[[#Headers],[学年]:[得点]],0)))</f>
        <v/>
      </c>
      <c r="D137" s="115" t="str">
        <f>IF($A137&gt;MAX(入力シート!$AH$6:$AH$505),"",INDEX(テーブル2[[学年]:[判定]],MATCH(体力優良証交付申請書!$A137,入力シート!$AH$6:$AH$505,0),MATCH(体力優良証交付申請書!D$14,テーブル2[[#Headers],[学年]:[得点]],0)))</f>
        <v/>
      </c>
      <c r="E137" s="115" t="str">
        <f>IF($A137&gt;MAX(入力シート!$AH$6:$AH$505),"",INDEX(テーブル2[[学年]:[判定]],MATCH(体力優良証交付申請書!$A137,入力シート!$AH$6:$AH$505,0),MATCH(体力優良証交付申請書!E$14,テーブル2[[#Headers],[学年]:[得点]],0)))</f>
        <v/>
      </c>
      <c r="F137" s="115" t="str">
        <f>IF($A137&gt;MAX(入力シート!$AH$6:$AH$505),"",INDEX(テーブル2[[学年]:[判定]],MATCH(体力優良証交付申請書!$A137,入力シート!$AH$6:$AH$505,0),MATCH(体力優良証交付申請書!F$14,テーブル2[[#Headers],[学年]:[得点]],0)))</f>
        <v/>
      </c>
      <c r="G137" s="115" t="str">
        <f>IF($A137&gt;MAX(入力シート!$AH$6:$AH$505),"",INDEX(テーブル2[[学年]:[判定]],MATCH(体力優良証交付申請書!$A137,入力シート!$AH$6:$AH$505,0),MATCH(体力優良証交付申請書!G$14,テーブル2[[#Headers],[学年]:[得点]],0)))</f>
        <v/>
      </c>
      <c r="H137" s="115" t="str">
        <f>IF($A137&gt;MAX(入力シート!$AH$6:$AH$505),"",INDEX(テーブル2[[学年]:[判定]],MATCH(体力優良証交付申請書!$A137,入力シート!$AH$6:$AH$505,0),MATCH(体力優良証交付申請書!H$14,テーブル2[[#Headers],[学年]:[得点]],0)))</f>
        <v/>
      </c>
      <c r="I137" s="115" t="str">
        <f>IF($A137&gt;MAX(入力シート!$AH$6:$AH$505),"",INDEX(テーブル2[[学年]:[判定]],MATCH(体力優良証交付申請書!$A137,入力シート!$AH$6:$AH$505,0),MATCH(体力優良証交付申請書!I$14,テーブル2[[#Headers],[学年]:[得点]],0)))</f>
        <v/>
      </c>
      <c r="J137" s="115" t="str">
        <f>IF($A137&gt;MAX(入力シート!$AH$6:$AH$505),"",INDEX(テーブル2[[学年]:[判定]],MATCH(体力優良証交付申請書!$A137,入力シート!$AH$6:$AH$505,0),MATCH(体力優良証交付申請書!J$14,テーブル2[[#Headers],[学年]:[得点]],0)))</f>
        <v/>
      </c>
      <c r="K137" s="129" t="str">
        <f>IF($A137&gt;MAX(入力シート!$AH$6:$AH$505),"",INDEX(テーブル2[[学年]:[判定]],MATCH(体力優良証交付申請書!$A137,入力シート!$AH$6:$AH$505,0),MATCH(体力優良証交付申請書!K$14,テーブル2[[#Headers],[学年]:[得点]],0)))</f>
        <v/>
      </c>
      <c r="L137" s="115" t="str">
        <f>IF($A137&gt;MAX(入力シート!$AH$6:$AH$505),"",INDEX(テーブル2[[学年]:[判定]],MATCH(体力優良証交付申請書!$A137,入力シート!$AH$6:$AH$505,0),MATCH(体力優良証交付申請書!L$14,テーブル2[[#Headers],[学年]:[得点]],0)))</f>
        <v/>
      </c>
      <c r="M137" s="115" t="str">
        <f>IF($A137&gt;MAX(入力シート!$AH$6:$AH$505),"",INDEX(テーブル2[[学年]:[判定]],MATCH(体力優良証交付申請書!$A137,入力シート!$AH$6:$AH$505,0),MATCH(体力優良証交付申請書!M$14,テーブル2[[#Headers],[学年]:[得点]],0)))</f>
        <v/>
      </c>
      <c r="N137" s="27" t="str">
        <f>IF($A137&gt;MAX(入力シート!$AH$6:$AH$505),"",INDEX(テーブル2[[学年]:[判定]],MATCH(体力優良証交付申請書!$A137,入力シート!$AH$6:$AH$505,0),MATCH(体力優良証交付申請書!N$14,テーブル2[[#Headers],[学年]:[得点]],0)))</f>
        <v/>
      </c>
    </row>
    <row r="138" spans="1:14" x14ac:dyDescent="0.15">
      <c r="A138" s="17">
        <v>124</v>
      </c>
      <c r="B138" s="115" t="str">
        <f>IF($A138&gt;MAX(入力シート!$AH$6:$AH$505),"",INDEX(テーブル2[[学年]:[判定]],MATCH(体力優良証交付申請書!$A138,入力シート!$AH$6:$AH$505,0),MATCH(体力優良証交付申請書!B$14,テーブル2[[#Headers],[学年]:[得点]],0)))</f>
        <v/>
      </c>
      <c r="C138" s="115" t="str">
        <f>IF($A138&gt;MAX(入力シート!$AH$6:$AH$505),"",INDEX(テーブル2[[学年]:[判定]],MATCH(体力優良証交付申請書!$A138,入力シート!$AH$6:$AH$505,0),MATCH(体力優良証交付申請書!C$14,テーブル2[[#Headers],[学年]:[得点]],0)))</f>
        <v/>
      </c>
      <c r="D138" s="115" t="str">
        <f>IF($A138&gt;MAX(入力シート!$AH$6:$AH$505),"",INDEX(テーブル2[[学年]:[判定]],MATCH(体力優良証交付申請書!$A138,入力シート!$AH$6:$AH$505,0),MATCH(体力優良証交付申請書!D$14,テーブル2[[#Headers],[学年]:[得点]],0)))</f>
        <v/>
      </c>
      <c r="E138" s="115" t="str">
        <f>IF($A138&gt;MAX(入力シート!$AH$6:$AH$505),"",INDEX(テーブル2[[学年]:[判定]],MATCH(体力優良証交付申請書!$A138,入力シート!$AH$6:$AH$505,0),MATCH(体力優良証交付申請書!E$14,テーブル2[[#Headers],[学年]:[得点]],0)))</f>
        <v/>
      </c>
      <c r="F138" s="115" t="str">
        <f>IF($A138&gt;MAX(入力シート!$AH$6:$AH$505),"",INDEX(テーブル2[[学年]:[判定]],MATCH(体力優良証交付申請書!$A138,入力シート!$AH$6:$AH$505,0),MATCH(体力優良証交付申請書!F$14,テーブル2[[#Headers],[学年]:[得点]],0)))</f>
        <v/>
      </c>
      <c r="G138" s="115" t="str">
        <f>IF($A138&gt;MAX(入力シート!$AH$6:$AH$505),"",INDEX(テーブル2[[学年]:[判定]],MATCH(体力優良証交付申請書!$A138,入力シート!$AH$6:$AH$505,0),MATCH(体力優良証交付申請書!G$14,テーブル2[[#Headers],[学年]:[得点]],0)))</f>
        <v/>
      </c>
      <c r="H138" s="115" t="str">
        <f>IF($A138&gt;MAX(入力シート!$AH$6:$AH$505),"",INDEX(テーブル2[[学年]:[判定]],MATCH(体力優良証交付申請書!$A138,入力シート!$AH$6:$AH$505,0),MATCH(体力優良証交付申請書!H$14,テーブル2[[#Headers],[学年]:[得点]],0)))</f>
        <v/>
      </c>
      <c r="I138" s="115" t="str">
        <f>IF($A138&gt;MAX(入力シート!$AH$6:$AH$505),"",INDEX(テーブル2[[学年]:[判定]],MATCH(体力優良証交付申請書!$A138,入力シート!$AH$6:$AH$505,0),MATCH(体力優良証交付申請書!I$14,テーブル2[[#Headers],[学年]:[得点]],0)))</f>
        <v/>
      </c>
      <c r="J138" s="115" t="str">
        <f>IF($A138&gt;MAX(入力シート!$AH$6:$AH$505),"",INDEX(テーブル2[[学年]:[判定]],MATCH(体力優良証交付申請書!$A138,入力シート!$AH$6:$AH$505,0),MATCH(体力優良証交付申請書!J$14,テーブル2[[#Headers],[学年]:[得点]],0)))</f>
        <v/>
      </c>
      <c r="K138" s="129" t="str">
        <f>IF($A138&gt;MAX(入力シート!$AH$6:$AH$505),"",INDEX(テーブル2[[学年]:[判定]],MATCH(体力優良証交付申請書!$A138,入力シート!$AH$6:$AH$505,0),MATCH(体力優良証交付申請書!K$14,テーブル2[[#Headers],[学年]:[得点]],0)))</f>
        <v/>
      </c>
      <c r="L138" s="115" t="str">
        <f>IF($A138&gt;MAX(入力シート!$AH$6:$AH$505),"",INDEX(テーブル2[[学年]:[判定]],MATCH(体力優良証交付申請書!$A138,入力シート!$AH$6:$AH$505,0),MATCH(体力優良証交付申請書!L$14,テーブル2[[#Headers],[学年]:[得点]],0)))</f>
        <v/>
      </c>
      <c r="M138" s="115" t="str">
        <f>IF($A138&gt;MAX(入力シート!$AH$6:$AH$505),"",INDEX(テーブル2[[学年]:[判定]],MATCH(体力優良証交付申請書!$A138,入力シート!$AH$6:$AH$505,0),MATCH(体力優良証交付申請書!M$14,テーブル2[[#Headers],[学年]:[得点]],0)))</f>
        <v/>
      </c>
      <c r="N138" s="27" t="str">
        <f>IF($A138&gt;MAX(入力シート!$AH$6:$AH$505),"",INDEX(テーブル2[[学年]:[判定]],MATCH(体力優良証交付申請書!$A138,入力シート!$AH$6:$AH$505,0),MATCH(体力優良証交付申請書!N$14,テーブル2[[#Headers],[学年]:[得点]],0)))</f>
        <v/>
      </c>
    </row>
    <row r="139" spans="1:14" x14ac:dyDescent="0.15">
      <c r="A139" s="17">
        <v>125</v>
      </c>
      <c r="B139" s="115" t="str">
        <f>IF($A139&gt;MAX(入力シート!$AH$6:$AH$505),"",INDEX(テーブル2[[学年]:[判定]],MATCH(体力優良証交付申請書!$A139,入力シート!$AH$6:$AH$505,0),MATCH(体力優良証交付申請書!B$14,テーブル2[[#Headers],[学年]:[得点]],0)))</f>
        <v/>
      </c>
      <c r="C139" s="115" t="str">
        <f>IF($A139&gt;MAX(入力シート!$AH$6:$AH$505),"",INDEX(テーブル2[[学年]:[判定]],MATCH(体力優良証交付申請書!$A139,入力シート!$AH$6:$AH$505,0),MATCH(体力優良証交付申請書!C$14,テーブル2[[#Headers],[学年]:[得点]],0)))</f>
        <v/>
      </c>
      <c r="D139" s="115" t="str">
        <f>IF($A139&gt;MAX(入力シート!$AH$6:$AH$505),"",INDEX(テーブル2[[学年]:[判定]],MATCH(体力優良証交付申請書!$A139,入力シート!$AH$6:$AH$505,0),MATCH(体力優良証交付申請書!D$14,テーブル2[[#Headers],[学年]:[得点]],0)))</f>
        <v/>
      </c>
      <c r="E139" s="115" t="str">
        <f>IF($A139&gt;MAX(入力シート!$AH$6:$AH$505),"",INDEX(テーブル2[[学年]:[判定]],MATCH(体力優良証交付申請書!$A139,入力シート!$AH$6:$AH$505,0),MATCH(体力優良証交付申請書!E$14,テーブル2[[#Headers],[学年]:[得点]],0)))</f>
        <v/>
      </c>
      <c r="F139" s="115" t="str">
        <f>IF($A139&gt;MAX(入力シート!$AH$6:$AH$505),"",INDEX(テーブル2[[学年]:[判定]],MATCH(体力優良証交付申請書!$A139,入力シート!$AH$6:$AH$505,0),MATCH(体力優良証交付申請書!F$14,テーブル2[[#Headers],[学年]:[得点]],0)))</f>
        <v/>
      </c>
      <c r="G139" s="115" t="str">
        <f>IF($A139&gt;MAX(入力シート!$AH$6:$AH$505),"",INDEX(テーブル2[[学年]:[判定]],MATCH(体力優良証交付申請書!$A139,入力シート!$AH$6:$AH$505,0),MATCH(体力優良証交付申請書!G$14,テーブル2[[#Headers],[学年]:[得点]],0)))</f>
        <v/>
      </c>
      <c r="H139" s="115" t="str">
        <f>IF($A139&gt;MAX(入力シート!$AH$6:$AH$505),"",INDEX(テーブル2[[学年]:[判定]],MATCH(体力優良証交付申請書!$A139,入力シート!$AH$6:$AH$505,0),MATCH(体力優良証交付申請書!H$14,テーブル2[[#Headers],[学年]:[得点]],0)))</f>
        <v/>
      </c>
      <c r="I139" s="115" t="str">
        <f>IF($A139&gt;MAX(入力シート!$AH$6:$AH$505),"",INDEX(テーブル2[[学年]:[判定]],MATCH(体力優良証交付申請書!$A139,入力シート!$AH$6:$AH$505,0),MATCH(体力優良証交付申請書!I$14,テーブル2[[#Headers],[学年]:[得点]],0)))</f>
        <v/>
      </c>
      <c r="J139" s="115" t="str">
        <f>IF($A139&gt;MAX(入力シート!$AH$6:$AH$505),"",INDEX(テーブル2[[学年]:[判定]],MATCH(体力優良証交付申請書!$A139,入力シート!$AH$6:$AH$505,0),MATCH(体力優良証交付申請書!J$14,テーブル2[[#Headers],[学年]:[得点]],0)))</f>
        <v/>
      </c>
      <c r="K139" s="129" t="str">
        <f>IF($A139&gt;MAX(入力シート!$AH$6:$AH$505),"",INDEX(テーブル2[[学年]:[判定]],MATCH(体力優良証交付申請書!$A139,入力シート!$AH$6:$AH$505,0),MATCH(体力優良証交付申請書!K$14,テーブル2[[#Headers],[学年]:[得点]],0)))</f>
        <v/>
      </c>
      <c r="L139" s="115" t="str">
        <f>IF($A139&gt;MAX(入力シート!$AH$6:$AH$505),"",INDEX(テーブル2[[学年]:[判定]],MATCH(体力優良証交付申請書!$A139,入力シート!$AH$6:$AH$505,0),MATCH(体力優良証交付申請書!L$14,テーブル2[[#Headers],[学年]:[得点]],0)))</f>
        <v/>
      </c>
      <c r="M139" s="115" t="str">
        <f>IF($A139&gt;MAX(入力シート!$AH$6:$AH$505),"",INDEX(テーブル2[[学年]:[判定]],MATCH(体力優良証交付申請書!$A139,入力シート!$AH$6:$AH$505,0),MATCH(体力優良証交付申請書!M$14,テーブル2[[#Headers],[学年]:[得点]],0)))</f>
        <v/>
      </c>
      <c r="N139" s="27" t="str">
        <f>IF($A139&gt;MAX(入力シート!$AH$6:$AH$505),"",INDEX(テーブル2[[学年]:[判定]],MATCH(体力優良証交付申請書!$A139,入力シート!$AH$6:$AH$505,0),MATCH(体力優良証交付申請書!N$14,テーブル2[[#Headers],[学年]:[得点]],0)))</f>
        <v/>
      </c>
    </row>
    <row r="140" spans="1:14" x14ac:dyDescent="0.15">
      <c r="A140" s="17">
        <v>126</v>
      </c>
      <c r="B140" s="115" t="str">
        <f>IF($A140&gt;MAX(入力シート!$AH$6:$AH$505),"",INDEX(テーブル2[[学年]:[判定]],MATCH(体力優良証交付申請書!$A140,入力シート!$AH$6:$AH$505,0),MATCH(体力優良証交付申請書!B$14,テーブル2[[#Headers],[学年]:[得点]],0)))</f>
        <v/>
      </c>
      <c r="C140" s="115" t="str">
        <f>IF($A140&gt;MAX(入力シート!$AH$6:$AH$505),"",INDEX(テーブル2[[学年]:[判定]],MATCH(体力優良証交付申請書!$A140,入力シート!$AH$6:$AH$505,0),MATCH(体力優良証交付申請書!C$14,テーブル2[[#Headers],[学年]:[得点]],0)))</f>
        <v/>
      </c>
      <c r="D140" s="115" t="str">
        <f>IF($A140&gt;MAX(入力シート!$AH$6:$AH$505),"",INDEX(テーブル2[[学年]:[判定]],MATCH(体力優良証交付申請書!$A140,入力シート!$AH$6:$AH$505,0),MATCH(体力優良証交付申請書!D$14,テーブル2[[#Headers],[学年]:[得点]],0)))</f>
        <v/>
      </c>
      <c r="E140" s="115" t="str">
        <f>IF($A140&gt;MAX(入力シート!$AH$6:$AH$505),"",INDEX(テーブル2[[学年]:[判定]],MATCH(体力優良証交付申請書!$A140,入力シート!$AH$6:$AH$505,0),MATCH(体力優良証交付申請書!E$14,テーブル2[[#Headers],[学年]:[得点]],0)))</f>
        <v/>
      </c>
      <c r="F140" s="115" t="str">
        <f>IF($A140&gt;MAX(入力シート!$AH$6:$AH$505),"",INDEX(テーブル2[[学年]:[判定]],MATCH(体力優良証交付申請書!$A140,入力シート!$AH$6:$AH$505,0),MATCH(体力優良証交付申請書!F$14,テーブル2[[#Headers],[学年]:[得点]],0)))</f>
        <v/>
      </c>
      <c r="G140" s="115" t="str">
        <f>IF($A140&gt;MAX(入力シート!$AH$6:$AH$505),"",INDEX(テーブル2[[学年]:[判定]],MATCH(体力優良証交付申請書!$A140,入力シート!$AH$6:$AH$505,0),MATCH(体力優良証交付申請書!G$14,テーブル2[[#Headers],[学年]:[得点]],0)))</f>
        <v/>
      </c>
      <c r="H140" s="115" t="str">
        <f>IF($A140&gt;MAX(入力シート!$AH$6:$AH$505),"",INDEX(テーブル2[[学年]:[判定]],MATCH(体力優良証交付申請書!$A140,入力シート!$AH$6:$AH$505,0),MATCH(体力優良証交付申請書!H$14,テーブル2[[#Headers],[学年]:[得点]],0)))</f>
        <v/>
      </c>
      <c r="I140" s="115" t="str">
        <f>IF($A140&gt;MAX(入力シート!$AH$6:$AH$505),"",INDEX(テーブル2[[学年]:[判定]],MATCH(体力優良証交付申請書!$A140,入力シート!$AH$6:$AH$505,0),MATCH(体力優良証交付申請書!I$14,テーブル2[[#Headers],[学年]:[得点]],0)))</f>
        <v/>
      </c>
      <c r="J140" s="115" t="str">
        <f>IF($A140&gt;MAX(入力シート!$AH$6:$AH$505),"",INDEX(テーブル2[[学年]:[判定]],MATCH(体力優良証交付申請書!$A140,入力シート!$AH$6:$AH$505,0),MATCH(体力優良証交付申請書!J$14,テーブル2[[#Headers],[学年]:[得点]],0)))</f>
        <v/>
      </c>
      <c r="K140" s="129" t="str">
        <f>IF($A140&gt;MAX(入力シート!$AH$6:$AH$505),"",INDEX(テーブル2[[学年]:[判定]],MATCH(体力優良証交付申請書!$A140,入力シート!$AH$6:$AH$505,0),MATCH(体力優良証交付申請書!K$14,テーブル2[[#Headers],[学年]:[得点]],0)))</f>
        <v/>
      </c>
      <c r="L140" s="115" t="str">
        <f>IF($A140&gt;MAX(入力シート!$AH$6:$AH$505),"",INDEX(テーブル2[[学年]:[判定]],MATCH(体力優良証交付申請書!$A140,入力シート!$AH$6:$AH$505,0),MATCH(体力優良証交付申請書!L$14,テーブル2[[#Headers],[学年]:[得点]],0)))</f>
        <v/>
      </c>
      <c r="M140" s="115" t="str">
        <f>IF($A140&gt;MAX(入力シート!$AH$6:$AH$505),"",INDEX(テーブル2[[学年]:[判定]],MATCH(体力優良証交付申請書!$A140,入力シート!$AH$6:$AH$505,0),MATCH(体力優良証交付申請書!M$14,テーブル2[[#Headers],[学年]:[得点]],0)))</f>
        <v/>
      </c>
      <c r="N140" s="27" t="str">
        <f>IF($A140&gt;MAX(入力シート!$AH$6:$AH$505),"",INDEX(テーブル2[[学年]:[判定]],MATCH(体力優良証交付申請書!$A140,入力シート!$AH$6:$AH$505,0),MATCH(体力優良証交付申請書!N$14,テーブル2[[#Headers],[学年]:[得点]],0)))</f>
        <v/>
      </c>
    </row>
    <row r="141" spans="1:14" x14ac:dyDescent="0.15">
      <c r="A141" s="17">
        <v>127</v>
      </c>
      <c r="B141" s="115" t="str">
        <f>IF($A141&gt;MAX(入力シート!$AH$6:$AH$505),"",INDEX(テーブル2[[学年]:[判定]],MATCH(体力優良証交付申請書!$A141,入力シート!$AH$6:$AH$505,0),MATCH(体力優良証交付申請書!B$14,テーブル2[[#Headers],[学年]:[得点]],0)))</f>
        <v/>
      </c>
      <c r="C141" s="115" t="str">
        <f>IF($A141&gt;MAX(入力シート!$AH$6:$AH$505),"",INDEX(テーブル2[[学年]:[判定]],MATCH(体力優良証交付申請書!$A141,入力シート!$AH$6:$AH$505,0),MATCH(体力優良証交付申請書!C$14,テーブル2[[#Headers],[学年]:[得点]],0)))</f>
        <v/>
      </c>
      <c r="D141" s="115" t="str">
        <f>IF($A141&gt;MAX(入力シート!$AH$6:$AH$505),"",INDEX(テーブル2[[学年]:[判定]],MATCH(体力優良証交付申請書!$A141,入力シート!$AH$6:$AH$505,0),MATCH(体力優良証交付申請書!D$14,テーブル2[[#Headers],[学年]:[得点]],0)))</f>
        <v/>
      </c>
      <c r="E141" s="115" t="str">
        <f>IF($A141&gt;MAX(入力シート!$AH$6:$AH$505),"",INDEX(テーブル2[[学年]:[判定]],MATCH(体力優良証交付申請書!$A141,入力シート!$AH$6:$AH$505,0),MATCH(体力優良証交付申請書!E$14,テーブル2[[#Headers],[学年]:[得点]],0)))</f>
        <v/>
      </c>
      <c r="F141" s="115" t="str">
        <f>IF($A141&gt;MAX(入力シート!$AH$6:$AH$505),"",INDEX(テーブル2[[学年]:[判定]],MATCH(体力優良証交付申請書!$A141,入力シート!$AH$6:$AH$505,0),MATCH(体力優良証交付申請書!F$14,テーブル2[[#Headers],[学年]:[得点]],0)))</f>
        <v/>
      </c>
      <c r="G141" s="115" t="str">
        <f>IF($A141&gt;MAX(入力シート!$AH$6:$AH$505),"",INDEX(テーブル2[[学年]:[判定]],MATCH(体力優良証交付申請書!$A141,入力シート!$AH$6:$AH$505,0),MATCH(体力優良証交付申請書!G$14,テーブル2[[#Headers],[学年]:[得点]],0)))</f>
        <v/>
      </c>
      <c r="H141" s="115" t="str">
        <f>IF($A141&gt;MAX(入力シート!$AH$6:$AH$505),"",INDEX(テーブル2[[学年]:[判定]],MATCH(体力優良証交付申請書!$A141,入力シート!$AH$6:$AH$505,0),MATCH(体力優良証交付申請書!H$14,テーブル2[[#Headers],[学年]:[得点]],0)))</f>
        <v/>
      </c>
      <c r="I141" s="115" t="str">
        <f>IF($A141&gt;MAX(入力シート!$AH$6:$AH$505),"",INDEX(テーブル2[[学年]:[判定]],MATCH(体力優良証交付申請書!$A141,入力シート!$AH$6:$AH$505,0),MATCH(体力優良証交付申請書!I$14,テーブル2[[#Headers],[学年]:[得点]],0)))</f>
        <v/>
      </c>
      <c r="J141" s="115" t="str">
        <f>IF($A141&gt;MAX(入力シート!$AH$6:$AH$505),"",INDEX(テーブル2[[学年]:[判定]],MATCH(体力優良証交付申請書!$A141,入力シート!$AH$6:$AH$505,0),MATCH(体力優良証交付申請書!J$14,テーブル2[[#Headers],[学年]:[得点]],0)))</f>
        <v/>
      </c>
      <c r="K141" s="129" t="str">
        <f>IF($A141&gt;MAX(入力シート!$AH$6:$AH$505),"",INDEX(テーブル2[[学年]:[判定]],MATCH(体力優良証交付申請書!$A141,入力シート!$AH$6:$AH$505,0),MATCH(体力優良証交付申請書!K$14,テーブル2[[#Headers],[学年]:[得点]],0)))</f>
        <v/>
      </c>
      <c r="L141" s="115" t="str">
        <f>IF($A141&gt;MAX(入力シート!$AH$6:$AH$505),"",INDEX(テーブル2[[学年]:[判定]],MATCH(体力優良証交付申請書!$A141,入力シート!$AH$6:$AH$505,0),MATCH(体力優良証交付申請書!L$14,テーブル2[[#Headers],[学年]:[得点]],0)))</f>
        <v/>
      </c>
      <c r="M141" s="115" t="str">
        <f>IF($A141&gt;MAX(入力シート!$AH$6:$AH$505),"",INDEX(テーブル2[[学年]:[判定]],MATCH(体力優良証交付申請書!$A141,入力シート!$AH$6:$AH$505,0),MATCH(体力優良証交付申請書!M$14,テーブル2[[#Headers],[学年]:[得点]],0)))</f>
        <v/>
      </c>
      <c r="N141" s="27" t="str">
        <f>IF($A141&gt;MAX(入力シート!$AH$6:$AH$505),"",INDEX(テーブル2[[学年]:[判定]],MATCH(体力優良証交付申請書!$A141,入力シート!$AH$6:$AH$505,0),MATCH(体力優良証交付申請書!N$14,テーブル2[[#Headers],[学年]:[得点]],0)))</f>
        <v/>
      </c>
    </row>
    <row r="142" spans="1:14" x14ac:dyDescent="0.15">
      <c r="A142" s="17">
        <v>128</v>
      </c>
      <c r="B142" s="115" t="str">
        <f>IF($A142&gt;MAX(入力シート!$AH$6:$AH$505),"",INDEX(テーブル2[[学年]:[判定]],MATCH(体力優良証交付申請書!$A142,入力シート!$AH$6:$AH$505,0),MATCH(体力優良証交付申請書!B$14,テーブル2[[#Headers],[学年]:[得点]],0)))</f>
        <v/>
      </c>
      <c r="C142" s="115" t="str">
        <f>IF($A142&gt;MAX(入力シート!$AH$6:$AH$505),"",INDEX(テーブル2[[学年]:[判定]],MATCH(体力優良証交付申請書!$A142,入力シート!$AH$6:$AH$505,0),MATCH(体力優良証交付申請書!C$14,テーブル2[[#Headers],[学年]:[得点]],0)))</f>
        <v/>
      </c>
      <c r="D142" s="115" t="str">
        <f>IF($A142&gt;MAX(入力シート!$AH$6:$AH$505),"",INDEX(テーブル2[[学年]:[判定]],MATCH(体力優良証交付申請書!$A142,入力シート!$AH$6:$AH$505,0),MATCH(体力優良証交付申請書!D$14,テーブル2[[#Headers],[学年]:[得点]],0)))</f>
        <v/>
      </c>
      <c r="E142" s="115" t="str">
        <f>IF($A142&gt;MAX(入力シート!$AH$6:$AH$505),"",INDEX(テーブル2[[学年]:[判定]],MATCH(体力優良証交付申請書!$A142,入力シート!$AH$6:$AH$505,0),MATCH(体力優良証交付申請書!E$14,テーブル2[[#Headers],[学年]:[得点]],0)))</f>
        <v/>
      </c>
      <c r="F142" s="115" t="str">
        <f>IF($A142&gt;MAX(入力シート!$AH$6:$AH$505),"",INDEX(テーブル2[[学年]:[判定]],MATCH(体力優良証交付申請書!$A142,入力シート!$AH$6:$AH$505,0),MATCH(体力優良証交付申請書!F$14,テーブル2[[#Headers],[学年]:[得点]],0)))</f>
        <v/>
      </c>
      <c r="G142" s="115" t="str">
        <f>IF($A142&gt;MAX(入力シート!$AH$6:$AH$505),"",INDEX(テーブル2[[学年]:[判定]],MATCH(体力優良証交付申請書!$A142,入力シート!$AH$6:$AH$505,0),MATCH(体力優良証交付申請書!G$14,テーブル2[[#Headers],[学年]:[得点]],0)))</f>
        <v/>
      </c>
      <c r="H142" s="115" t="str">
        <f>IF($A142&gt;MAX(入力シート!$AH$6:$AH$505),"",INDEX(テーブル2[[学年]:[判定]],MATCH(体力優良証交付申請書!$A142,入力シート!$AH$6:$AH$505,0),MATCH(体力優良証交付申請書!H$14,テーブル2[[#Headers],[学年]:[得点]],0)))</f>
        <v/>
      </c>
      <c r="I142" s="115" t="str">
        <f>IF($A142&gt;MAX(入力シート!$AH$6:$AH$505),"",INDEX(テーブル2[[学年]:[判定]],MATCH(体力優良証交付申請書!$A142,入力シート!$AH$6:$AH$505,0),MATCH(体力優良証交付申請書!I$14,テーブル2[[#Headers],[学年]:[得点]],0)))</f>
        <v/>
      </c>
      <c r="J142" s="115" t="str">
        <f>IF($A142&gt;MAX(入力シート!$AH$6:$AH$505),"",INDEX(テーブル2[[学年]:[判定]],MATCH(体力優良証交付申請書!$A142,入力シート!$AH$6:$AH$505,0),MATCH(体力優良証交付申請書!J$14,テーブル2[[#Headers],[学年]:[得点]],0)))</f>
        <v/>
      </c>
      <c r="K142" s="129" t="str">
        <f>IF($A142&gt;MAX(入力シート!$AH$6:$AH$505),"",INDEX(テーブル2[[学年]:[判定]],MATCH(体力優良証交付申請書!$A142,入力シート!$AH$6:$AH$505,0),MATCH(体力優良証交付申請書!K$14,テーブル2[[#Headers],[学年]:[得点]],0)))</f>
        <v/>
      </c>
      <c r="L142" s="115" t="str">
        <f>IF($A142&gt;MAX(入力シート!$AH$6:$AH$505),"",INDEX(テーブル2[[学年]:[判定]],MATCH(体力優良証交付申請書!$A142,入力シート!$AH$6:$AH$505,0),MATCH(体力優良証交付申請書!L$14,テーブル2[[#Headers],[学年]:[得点]],0)))</f>
        <v/>
      </c>
      <c r="M142" s="115" t="str">
        <f>IF($A142&gt;MAX(入力シート!$AH$6:$AH$505),"",INDEX(テーブル2[[学年]:[判定]],MATCH(体力優良証交付申請書!$A142,入力シート!$AH$6:$AH$505,0),MATCH(体力優良証交付申請書!M$14,テーブル2[[#Headers],[学年]:[得点]],0)))</f>
        <v/>
      </c>
      <c r="N142" s="27" t="str">
        <f>IF($A142&gt;MAX(入力シート!$AH$6:$AH$505),"",INDEX(テーブル2[[学年]:[判定]],MATCH(体力優良証交付申請書!$A142,入力シート!$AH$6:$AH$505,0),MATCH(体力優良証交付申請書!N$14,テーブル2[[#Headers],[学年]:[得点]],0)))</f>
        <v/>
      </c>
    </row>
    <row r="143" spans="1:14" x14ac:dyDescent="0.15">
      <c r="A143" s="17">
        <v>129</v>
      </c>
      <c r="B143" s="115" t="str">
        <f>IF($A143&gt;MAX(入力シート!$AH$6:$AH$505),"",INDEX(テーブル2[[学年]:[判定]],MATCH(体力優良証交付申請書!$A143,入力シート!$AH$6:$AH$505,0),MATCH(体力優良証交付申請書!B$14,テーブル2[[#Headers],[学年]:[得点]],0)))</f>
        <v/>
      </c>
      <c r="C143" s="115" t="str">
        <f>IF($A143&gt;MAX(入力シート!$AH$6:$AH$505),"",INDEX(テーブル2[[学年]:[判定]],MATCH(体力優良証交付申請書!$A143,入力シート!$AH$6:$AH$505,0),MATCH(体力優良証交付申請書!C$14,テーブル2[[#Headers],[学年]:[得点]],0)))</f>
        <v/>
      </c>
      <c r="D143" s="115" t="str">
        <f>IF($A143&gt;MAX(入力シート!$AH$6:$AH$505),"",INDEX(テーブル2[[学年]:[判定]],MATCH(体力優良証交付申請書!$A143,入力シート!$AH$6:$AH$505,0),MATCH(体力優良証交付申請書!D$14,テーブル2[[#Headers],[学年]:[得点]],0)))</f>
        <v/>
      </c>
      <c r="E143" s="115" t="str">
        <f>IF($A143&gt;MAX(入力シート!$AH$6:$AH$505),"",INDEX(テーブル2[[学年]:[判定]],MATCH(体力優良証交付申請書!$A143,入力シート!$AH$6:$AH$505,0),MATCH(体力優良証交付申請書!E$14,テーブル2[[#Headers],[学年]:[得点]],0)))</f>
        <v/>
      </c>
      <c r="F143" s="115" t="str">
        <f>IF($A143&gt;MAX(入力シート!$AH$6:$AH$505),"",INDEX(テーブル2[[学年]:[判定]],MATCH(体力優良証交付申請書!$A143,入力シート!$AH$6:$AH$505,0),MATCH(体力優良証交付申請書!F$14,テーブル2[[#Headers],[学年]:[得点]],0)))</f>
        <v/>
      </c>
      <c r="G143" s="115" t="str">
        <f>IF($A143&gt;MAX(入力シート!$AH$6:$AH$505),"",INDEX(テーブル2[[学年]:[判定]],MATCH(体力優良証交付申請書!$A143,入力シート!$AH$6:$AH$505,0),MATCH(体力優良証交付申請書!G$14,テーブル2[[#Headers],[学年]:[得点]],0)))</f>
        <v/>
      </c>
      <c r="H143" s="115" t="str">
        <f>IF($A143&gt;MAX(入力シート!$AH$6:$AH$505),"",INDEX(テーブル2[[学年]:[判定]],MATCH(体力優良証交付申請書!$A143,入力シート!$AH$6:$AH$505,0),MATCH(体力優良証交付申請書!H$14,テーブル2[[#Headers],[学年]:[得点]],0)))</f>
        <v/>
      </c>
      <c r="I143" s="115" t="str">
        <f>IF($A143&gt;MAX(入力シート!$AH$6:$AH$505),"",INDEX(テーブル2[[学年]:[判定]],MATCH(体力優良証交付申請書!$A143,入力シート!$AH$6:$AH$505,0),MATCH(体力優良証交付申請書!I$14,テーブル2[[#Headers],[学年]:[得点]],0)))</f>
        <v/>
      </c>
      <c r="J143" s="115" t="str">
        <f>IF($A143&gt;MAX(入力シート!$AH$6:$AH$505),"",INDEX(テーブル2[[学年]:[判定]],MATCH(体力優良証交付申請書!$A143,入力シート!$AH$6:$AH$505,0),MATCH(体力優良証交付申請書!J$14,テーブル2[[#Headers],[学年]:[得点]],0)))</f>
        <v/>
      </c>
      <c r="K143" s="129" t="str">
        <f>IF($A143&gt;MAX(入力シート!$AH$6:$AH$505),"",INDEX(テーブル2[[学年]:[判定]],MATCH(体力優良証交付申請書!$A143,入力シート!$AH$6:$AH$505,0),MATCH(体力優良証交付申請書!K$14,テーブル2[[#Headers],[学年]:[得点]],0)))</f>
        <v/>
      </c>
      <c r="L143" s="115" t="str">
        <f>IF($A143&gt;MAX(入力シート!$AH$6:$AH$505),"",INDEX(テーブル2[[学年]:[判定]],MATCH(体力優良証交付申請書!$A143,入力シート!$AH$6:$AH$505,0),MATCH(体力優良証交付申請書!L$14,テーブル2[[#Headers],[学年]:[得点]],0)))</f>
        <v/>
      </c>
      <c r="M143" s="115" t="str">
        <f>IF($A143&gt;MAX(入力シート!$AH$6:$AH$505),"",INDEX(テーブル2[[学年]:[判定]],MATCH(体力優良証交付申請書!$A143,入力シート!$AH$6:$AH$505,0),MATCH(体力優良証交付申請書!M$14,テーブル2[[#Headers],[学年]:[得点]],0)))</f>
        <v/>
      </c>
      <c r="N143" s="27" t="str">
        <f>IF($A143&gt;MAX(入力シート!$AH$6:$AH$505),"",INDEX(テーブル2[[学年]:[判定]],MATCH(体力優良証交付申請書!$A143,入力シート!$AH$6:$AH$505,0),MATCH(体力優良証交付申請書!N$14,テーブル2[[#Headers],[学年]:[得点]],0)))</f>
        <v/>
      </c>
    </row>
    <row r="144" spans="1:14" x14ac:dyDescent="0.15">
      <c r="A144" s="17">
        <v>130</v>
      </c>
      <c r="B144" s="115" t="str">
        <f>IF($A144&gt;MAX(入力シート!$AH$6:$AH$505),"",INDEX(テーブル2[[学年]:[判定]],MATCH(体力優良証交付申請書!$A144,入力シート!$AH$6:$AH$505,0),MATCH(体力優良証交付申請書!B$14,テーブル2[[#Headers],[学年]:[得点]],0)))</f>
        <v/>
      </c>
      <c r="C144" s="115" t="str">
        <f>IF($A144&gt;MAX(入力シート!$AH$6:$AH$505),"",INDEX(テーブル2[[学年]:[判定]],MATCH(体力優良証交付申請書!$A144,入力シート!$AH$6:$AH$505,0),MATCH(体力優良証交付申請書!C$14,テーブル2[[#Headers],[学年]:[得点]],0)))</f>
        <v/>
      </c>
      <c r="D144" s="115" t="str">
        <f>IF($A144&gt;MAX(入力シート!$AH$6:$AH$505),"",INDEX(テーブル2[[学年]:[判定]],MATCH(体力優良証交付申請書!$A144,入力シート!$AH$6:$AH$505,0),MATCH(体力優良証交付申請書!D$14,テーブル2[[#Headers],[学年]:[得点]],0)))</f>
        <v/>
      </c>
      <c r="E144" s="115" t="str">
        <f>IF($A144&gt;MAX(入力シート!$AH$6:$AH$505),"",INDEX(テーブル2[[学年]:[判定]],MATCH(体力優良証交付申請書!$A144,入力シート!$AH$6:$AH$505,0),MATCH(体力優良証交付申請書!E$14,テーブル2[[#Headers],[学年]:[得点]],0)))</f>
        <v/>
      </c>
      <c r="F144" s="115" t="str">
        <f>IF($A144&gt;MAX(入力シート!$AH$6:$AH$505),"",INDEX(テーブル2[[学年]:[判定]],MATCH(体力優良証交付申請書!$A144,入力シート!$AH$6:$AH$505,0),MATCH(体力優良証交付申請書!F$14,テーブル2[[#Headers],[学年]:[得点]],0)))</f>
        <v/>
      </c>
      <c r="G144" s="115" t="str">
        <f>IF($A144&gt;MAX(入力シート!$AH$6:$AH$505),"",INDEX(テーブル2[[学年]:[判定]],MATCH(体力優良証交付申請書!$A144,入力シート!$AH$6:$AH$505,0),MATCH(体力優良証交付申請書!G$14,テーブル2[[#Headers],[学年]:[得点]],0)))</f>
        <v/>
      </c>
      <c r="H144" s="115" t="str">
        <f>IF($A144&gt;MAX(入力シート!$AH$6:$AH$505),"",INDEX(テーブル2[[学年]:[判定]],MATCH(体力優良証交付申請書!$A144,入力シート!$AH$6:$AH$505,0),MATCH(体力優良証交付申請書!H$14,テーブル2[[#Headers],[学年]:[得点]],0)))</f>
        <v/>
      </c>
      <c r="I144" s="115" t="str">
        <f>IF($A144&gt;MAX(入力シート!$AH$6:$AH$505),"",INDEX(テーブル2[[学年]:[判定]],MATCH(体力優良証交付申請書!$A144,入力シート!$AH$6:$AH$505,0),MATCH(体力優良証交付申請書!I$14,テーブル2[[#Headers],[学年]:[得点]],0)))</f>
        <v/>
      </c>
      <c r="J144" s="115" t="str">
        <f>IF($A144&gt;MAX(入力シート!$AH$6:$AH$505),"",INDEX(テーブル2[[学年]:[判定]],MATCH(体力優良証交付申請書!$A144,入力シート!$AH$6:$AH$505,0),MATCH(体力優良証交付申請書!J$14,テーブル2[[#Headers],[学年]:[得点]],0)))</f>
        <v/>
      </c>
      <c r="K144" s="129" t="str">
        <f>IF($A144&gt;MAX(入力シート!$AH$6:$AH$505),"",INDEX(テーブル2[[学年]:[判定]],MATCH(体力優良証交付申請書!$A144,入力シート!$AH$6:$AH$505,0),MATCH(体力優良証交付申請書!K$14,テーブル2[[#Headers],[学年]:[得点]],0)))</f>
        <v/>
      </c>
      <c r="L144" s="115" t="str">
        <f>IF($A144&gt;MAX(入力シート!$AH$6:$AH$505),"",INDEX(テーブル2[[学年]:[判定]],MATCH(体力優良証交付申請書!$A144,入力シート!$AH$6:$AH$505,0),MATCH(体力優良証交付申請書!L$14,テーブル2[[#Headers],[学年]:[得点]],0)))</f>
        <v/>
      </c>
      <c r="M144" s="115" t="str">
        <f>IF($A144&gt;MAX(入力シート!$AH$6:$AH$505),"",INDEX(テーブル2[[学年]:[判定]],MATCH(体力優良証交付申請書!$A144,入力シート!$AH$6:$AH$505,0),MATCH(体力優良証交付申請書!M$14,テーブル2[[#Headers],[学年]:[得点]],0)))</f>
        <v/>
      </c>
      <c r="N144" s="27" t="str">
        <f>IF($A144&gt;MAX(入力シート!$AH$6:$AH$505),"",INDEX(テーブル2[[学年]:[判定]],MATCH(体力優良証交付申請書!$A144,入力シート!$AH$6:$AH$505,0),MATCH(体力優良証交付申請書!N$14,テーブル2[[#Headers],[学年]:[得点]],0)))</f>
        <v/>
      </c>
    </row>
    <row r="145" spans="1:14" x14ac:dyDescent="0.15">
      <c r="A145" s="17">
        <v>131</v>
      </c>
      <c r="B145" s="115" t="str">
        <f>IF($A145&gt;MAX(入力シート!$AH$6:$AH$505),"",INDEX(テーブル2[[学年]:[判定]],MATCH(体力優良証交付申請書!$A145,入力シート!$AH$6:$AH$505,0),MATCH(体力優良証交付申請書!B$14,テーブル2[[#Headers],[学年]:[得点]],0)))</f>
        <v/>
      </c>
      <c r="C145" s="115" t="str">
        <f>IF($A145&gt;MAX(入力シート!$AH$6:$AH$505),"",INDEX(テーブル2[[学年]:[判定]],MATCH(体力優良証交付申請書!$A145,入力シート!$AH$6:$AH$505,0),MATCH(体力優良証交付申請書!C$14,テーブル2[[#Headers],[学年]:[得点]],0)))</f>
        <v/>
      </c>
      <c r="D145" s="115" t="str">
        <f>IF($A145&gt;MAX(入力シート!$AH$6:$AH$505),"",INDEX(テーブル2[[学年]:[判定]],MATCH(体力優良証交付申請書!$A145,入力シート!$AH$6:$AH$505,0),MATCH(体力優良証交付申請書!D$14,テーブル2[[#Headers],[学年]:[得点]],0)))</f>
        <v/>
      </c>
      <c r="E145" s="115" t="str">
        <f>IF($A145&gt;MAX(入力シート!$AH$6:$AH$505),"",INDEX(テーブル2[[学年]:[判定]],MATCH(体力優良証交付申請書!$A145,入力シート!$AH$6:$AH$505,0),MATCH(体力優良証交付申請書!E$14,テーブル2[[#Headers],[学年]:[得点]],0)))</f>
        <v/>
      </c>
      <c r="F145" s="115" t="str">
        <f>IF($A145&gt;MAX(入力シート!$AH$6:$AH$505),"",INDEX(テーブル2[[学年]:[判定]],MATCH(体力優良証交付申請書!$A145,入力シート!$AH$6:$AH$505,0),MATCH(体力優良証交付申請書!F$14,テーブル2[[#Headers],[学年]:[得点]],0)))</f>
        <v/>
      </c>
      <c r="G145" s="115" t="str">
        <f>IF($A145&gt;MAX(入力シート!$AH$6:$AH$505),"",INDEX(テーブル2[[学年]:[判定]],MATCH(体力優良証交付申請書!$A145,入力シート!$AH$6:$AH$505,0),MATCH(体力優良証交付申請書!G$14,テーブル2[[#Headers],[学年]:[得点]],0)))</f>
        <v/>
      </c>
      <c r="H145" s="115" t="str">
        <f>IF($A145&gt;MAX(入力シート!$AH$6:$AH$505),"",INDEX(テーブル2[[学年]:[判定]],MATCH(体力優良証交付申請書!$A145,入力シート!$AH$6:$AH$505,0),MATCH(体力優良証交付申請書!H$14,テーブル2[[#Headers],[学年]:[得点]],0)))</f>
        <v/>
      </c>
      <c r="I145" s="115" t="str">
        <f>IF($A145&gt;MAX(入力シート!$AH$6:$AH$505),"",INDEX(テーブル2[[学年]:[判定]],MATCH(体力優良証交付申請書!$A145,入力シート!$AH$6:$AH$505,0),MATCH(体力優良証交付申請書!I$14,テーブル2[[#Headers],[学年]:[得点]],0)))</f>
        <v/>
      </c>
      <c r="J145" s="115" t="str">
        <f>IF($A145&gt;MAX(入力シート!$AH$6:$AH$505),"",INDEX(テーブル2[[学年]:[判定]],MATCH(体力優良証交付申請書!$A145,入力シート!$AH$6:$AH$505,0),MATCH(体力優良証交付申請書!J$14,テーブル2[[#Headers],[学年]:[得点]],0)))</f>
        <v/>
      </c>
      <c r="K145" s="129" t="str">
        <f>IF($A145&gt;MAX(入力シート!$AH$6:$AH$505),"",INDEX(テーブル2[[学年]:[判定]],MATCH(体力優良証交付申請書!$A145,入力シート!$AH$6:$AH$505,0),MATCH(体力優良証交付申請書!K$14,テーブル2[[#Headers],[学年]:[得点]],0)))</f>
        <v/>
      </c>
      <c r="L145" s="115" t="str">
        <f>IF($A145&gt;MAX(入力シート!$AH$6:$AH$505),"",INDEX(テーブル2[[学年]:[判定]],MATCH(体力優良証交付申請書!$A145,入力シート!$AH$6:$AH$505,0),MATCH(体力優良証交付申請書!L$14,テーブル2[[#Headers],[学年]:[得点]],0)))</f>
        <v/>
      </c>
      <c r="M145" s="115" t="str">
        <f>IF($A145&gt;MAX(入力シート!$AH$6:$AH$505),"",INDEX(テーブル2[[学年]:[判定]],MATCH(体力優良証交付申請書!$A145,入力シート!$AH$6:$AH$505,0),MATCH(体力優良証交付申請書!M$14,テーブル2[[#Headers],[学年]:[得点]],0)))</f>
        <v/>
      </c>
      <c r="N145" s="27" t="str">
        <f>IF($A145&gt;MAX(入力シート!$AH$6:$AH$505),"",INDEX(テーブル2[[学年]:[判定]],MATCH(体力優良証交付申請書!$A145,入力シート!$AH$6:$AH$505,0),MATCH(体力優良証交付申請書!N$14,テーブル2[[#Headers],[学年]:[得点]],0)))</f>
        <v/>
      </c>
    </row>
    <row r="146" spans="1:14" x14ac:dyDescent="0.15">
      <c r="A146" s="17">
        <v>132</v>
      </c>
      <c r="B146" s="115" t="str">
        <f>IF($A146&gt;MAX(入力シート!$AH$6:$AH$505),"",INDEX(テーブル2[[学年]:[判定]],MATCH(体力優良証交付申請書!$A146,入力シート!$AH$6:$AH$505,0),MATCH(体力優良証交付申請書!B$14,テーブル2[[#Headers],[学年]:[得点]],0)))</f>
        <v/>
      </c>
      <c r="C146" s="115" t="str">
        <f>IF($A146&gt;MAX(入力シート!$AH$6:$AH$505),"",INDEX(テーブル2[[学年]:[判定]],MATCH(体力優良証交付申請書!$A146,入力シート!$AH$6:$AH$505,0),MATCH(体力優良証交付申請書!C$14,テーブル2[[#Headers],[学年]:[得点]],0)))</f>
        <v/>
      </c>
      <c r="D146" s="115" t="str">
        <f>IF($A146&gt;MAX(入力シート!$AH$6:$AH$505),"",INDEX(テーブル2[[学年]:[判定]],MATCH(体力優良証交付申請書!$A146,入力シート!$AH$6:$AH$505,0),MATCH(体力優良証交付申請書!D$14,テーブル2[[#Headers],[学年]:[得点]],0)))</f>
        <v/>
      </c>
      <c r="E146" s="115" t="str">
        <f>IF($A146&gt;MAX(入力シート!$AH$6:$AH$505),"",INDEX(テーブル2[[学年]:[判定]],MATCH(体力優良証交付申請書!$A146,入力シート!$AH$6:$AH$505,0),MATCH(体力優良証交付申請書!E$14,テーブル2[[#Headers],[学年]:[得点]],0)))</f>
        <v/>
      </c>
      <c r="F146" s="115" t="str">
        <f>IF($A146&gt;MAX(入力シート!$AH$6:$AH$505),"",INDEX(テーブル2[[学年]:[判定]],MATCH(体力優良証交付申請書!$A146,入力シート!$AH$6:$AH$505,0),MATCH(体力優良証交付申請書!F$14,テーブル2[[#Headers],[学年]:[得点]],0)))</f>
        <v/>
      </c>
      <c r="G146" s="115" t="str">
        <f>IF($A146&gt;MAX(入力シート!$AH$6:$AH$505),"",INDEX(テーブル2[[学年]:[判定]],MATCH(体力優良証交付申請書!$A146,入力シート!$AH$6:$AH$505,0),MATCH(体力優良証交付申請書!G$14,テーブル2[[#Headers],[学年]:[得点]],0)))</f>
        <v/>
      </c>
      <c r="H146" s="115" t="str">
        <f>IF($A146&gt;MAX(入力シート!$AH$6:$AH$505),"",INDEX(テーブル2[[学年]:[判定]],MATCH(体力優良証交付申請書!$A146,入力シート!$AH$6:$AH$505,0),MATCH(体力優良証交付申請書!H$14,テーブル2[[#Headers],[学年]:[得点]],0)))</f>
        <v/>
      </c>
      <c r="I146" s="115" t="str">
        <f>IF($A146&gt;MAX(入力シート!$AH$6:$AH$505),"",INDEX(テーブル2[[学年]:[判定]],MATCH(体力優良証交付申請書!$A146,入力シート!$AH$6:$AH$505,0),MATCH(体力優良証交付申請書!I$14,テーブル2[[#Headers],[学年]:[得点]],0)))</f>
        <v/>
      </c>
      <c r="J146" s="115" t="str">
        <f>IF($A146&gt;MAX(入力シート!$AH$6:$AH$505),"",INDEX(テーブル2[[学年]:[判定]],MATCH(体力優良証交付申請書!$A146,入力シート!$AH$6:$AH$505,0),MATCH(体力優良証交付申請書!J$14,テーブル2[[#Headers],[学年]:[得点]],0)))</f>
        <v/>
      </c>
      <c r="K146" s="129" t="str">
        <f>IF($A146&gt;MAX(入力シート!$AH$6:$AH$505),"",INDEX(テーブル2[[学年]:[判定]],MATCH(体力優良証交付申請書!$A146,入力シート!$AH$6:$AH$505,0),MATCH(体力優良証交付申請書!K$14,テーブル2[[#Headers],[学年]:[得点]],0)))</f>
        <v/>
      </c>
      <c r="L146" s="115" t="str">
        <f>IF($A146&gt;MAX(入力シート!$AH$6:$AH$505),"",INDEX(テーブル2[[学年]:[判定]],MATCH(体力優良証交付申請書!$A146,入力シート!$AH$6:$AH$505,0),MATCH(体力優良証交付申請書!L$14,テーブル2[[#Headers],[学年]:[得点]],0)))</f>
        <v/>
      </c>
      <c r="M146" s="115" t="str">
        <f>IF($A146&gt;MAX(入力シート!$AH$6:$AH$505),"",INDEX(テーブル2[[学年]:[判定]],MATCH(体力優良証交付申請書!$A146,入力シート!$AH$6:$AH$505,0),MATCH(体力優良証交付申請書!M$14,テーブル2[[#Headers],[学年]:[得点]],0)))</f>
        <v/>
      </c>
      <c r="N146" s="27" t="str">
        <f>IF($A146&gt;MAX(入力シート!$AH$6:$AH$505),"",INDEX(テーブル2[[学年]:[判定]],MATCH(体力優良証交付申請書!$A146,入力シート!$AH$6:$AH$505,0),MATCH(体力優良証交付申請書!N$14,テーブル2[[#Headers],[学年]:[得点]],0)))</f>
        <v/>
      </c>
    </row>
    <row r="147" spans="1:14" x14ac:dyDescent="0.15">
      <c r="A147" s="17">
        <v>133</v>
      </c>
      <c r="B147" s="115" t="str">
        <f>IF($A147&gt;MAX(入力シート!$AH$6:$AH$505),"",INDEX(テーブル2[[学年]:[判定]],MATCH(体力優良証交付申請書!$A147,入力シート!$AH$6:$AH$505,0),MATCH(体力優良証交付申請書!B$14,テーブル2[[#Headers],[学年]:[得点]],0)))</f>
        <v/>
      </c>
      <c r="C147" s="115" t="str">
        <f>IF($A147&gt;MAX(入力シート!$AH$6:$AH$505),"",INDEX(テーブル2[[学年]:[判定]],MATCH(体力優良証交付申請書!$A147,入力シート!$AH$6:$AH$505,0),MATCH(体力優良証交付申請書!C$14,テーブル2[[#Headers],[学年]:[得点]],0)))</f>
        <v/>
      </c>
      <c r="D147" s="115" t="str">
        <f>IF($A147&gt;MAX(入力シート!$AH$6:$AH$505),"",INDEX(テーブル2[[学年]:[判定]],MATCH(体力優良証交付申請書!$A147,入力シート!$AH$6:$AH$505,0),MATCH(体力優良証交付申請書!D$14,テーブル2[[#Headers],[学年]:[得点]],0)))</f>
        <v/>
      </c>
      <c r="E147" s="115" t="str">
        <f>IF($A147&gt;MAX(入力シート!$AH$6:$AH$505),"",INDEX(テーブル2[[学年]:[判定]],MATCH(体力優良証交付申請書!$A147,入力シート!$AH$6:$AH$505,0),MATCH(体力優良証交付申請書!E$14,テーブル2[[#Headers],[学年]:[得点]],0)))</f>
        <v/>
      </c>
      <c r="F147" s="115" t="str">
        <f>IF($A147&gt;MAX(入力シート!$AH$6:$AH$505),"",INDEX(テーブル2[[学年]:[判定]],MATCH(体力優良証交付申請書!$A147,入力シート!$AH$6:$AH$505,0),MATCH(体力優良証交付申請書!F$14,テーブル2[[#Headers],[学年]:[得点]],0)))</f>
        <v/>
      </c>
      <c r="G147" s="115" t="str">
        <f>IF($A147&gt;MAX(入力シート!$AH$6:$AH$505),"",INDEX(テーブル2[[学年]:[判定]],MATCH(体力優良証交付申請書!$A147,入力シート!$AH$6:$AH$505,0),MATCH(体力優良証交付申請書!G$14,テーブル2[[#Headers],[学年]:[得点]],0)))</f>
        <v/>
      </c>
      <c r="H147" s="115" t="str">
        <f>IF($A147&gt;MAX(入力シート!$AH$6:$AH$505),"",INDEX(テーブル2[[学年]:[判定]],MATCH(体力優良証交付申請書!$A147,入力シート!$AH$6:$AH$505,0),MATCH(体力優良証交付申請書!H$14,テーブル2[[#Headers],[学年]:[得点]],0)))</f>
        <v/>
      </c>
      <c r="I147" s="115" t="str">
        <f>IF($A147&gt;MAX(入力シート!$AH$6:$AH$505),"",INDEX(テーブル2[[学年]:[判定]],MATCH(体力優良証交付申請書!$A147,入力シート!$AH$6:$AH$505,0),MATCH(体力優良証交付申請書!I$14,テーブル2[[#Headers],[学年]:[得点]],0)))</f>
        <v/>
      </c>
      <c r="J147" s="115" t="str">
        <f>IF($A147&gt;MAX(入力シート!$AH$6:$AH$505),"",INDEX(テーブル2[[学年]:[判定]],MATCH(体力優良証交付申請書!$A147,入力シート!$AH$6:$AH$505,0),MATCH(体力優良証交付申請書!J$14,テーブル2[[#Headers],[学年]:[得点]],0)))</f>
        <v/>
      </c>
      <c r="K147" s="129" t="str">
        <f>IF($A147&gt;MAX(入力シート!$AH$6:$AH$505),"",INDEX(テーブル2[[学年]:[判定]],MATCH(体力優良証交付申請書!$A147,入力シート!$AH$6:$AH$505,0),MATCH(体力優良証交付申請書!K$14,テーブル2[[#Headers],[学年]:[得点]],0)))</f>
        <v/>
      </c>
      <c r="L147" s="115" t="str">
        <f>IF($A147&gt;MAX(入力シート!$AH$6:$AH$505),"",INDEX(テーブル2[[学年]:[判定]],MATCH(体力優良証交付申請書!$A147,入力シート!$AH$6:$AH$505,0),MATCH(体力優良証交付申請書!L$14,テーブル2[[#Headers],[学年]:[得点]],0)))</f>
        <v/>
      </c>
      <c r="M147" s="115" t="str">
        <f>IF($A147&gt;MAX(入力シート!$AH$6:$AH$505),"",INDEX(テーブル2[[学年]:[判定]],MATCH(体力優良証交付申請書!$A147,入力シート!$AH$6:$AH$505,0),MATCH(体力優良証交付申請書!M$14,テーブル2[[#Headers],[学年]:[得点]],0)))</f>
        <v/>
      </c>
      <c r="N147" s="27" t="str">
        <f>IF($A147&gt;MAX(入力シート!$AH$6:$AH$505),"",INDEX(テーブル2[[学年]:[判定]],MATCH(体力優良証交付申請書!$A147,入力シート!$AH$6:$AH$505,0),MATCH(体力優良証交付申請書!N$14,テーブル2[[#Headers],[学年]:[得点]],0)))</f>
        <v/>
      </c>
    </row>
    <row r="148" spans="1:14" x14ac:dyDescent="0.15">
      <c r="A148" s="17">
        <v>134</v>
      </c>
      <c r="B148" s="115" t="str">
        <f>IF($A148&gt;MAX(入力シート!$AH$6:$AH$505),"",INDEX(テーブル2[[学年]:[判定]],MATCH(体力優良証交付申請書!$A148,入力シート!$AH$6:$AH$505,0),MATCH(体力優良証交付申請書!B$14,テーブル2[[#Headers],[学年]:[得点]],0)))</f>
        <v/>
      </c>
      <c r="C148" s="115" t="str">
        <f>IF($A148&gt;MAX(入力シート!$AH$6:$AH$505),"",INDEX(テーブル2[[学年]:[判定]],MATCH(体力優良証交付申請書!$A148,入力シート!$AH$6:$AH$505,0),MATCH(体力優良証交付申請書!C$14,テーブル2[[#Headers],[学年]:[得点]],0)))</f>
        <v/>
      </c>
      <c r="D148" s="115" t="str">
        <f>IF($A148&gt;MAX(入力シート!$AH$6:$AH$505),"",INDEX(テーブル2[[学年]:[判定]],MATCH(体力優良証交付申請書!$A148,入力シート!$AH$6:$AH$505,0),MATCH(体力優良証交付申請書!D$14,テーブル2[[#Headers],[学年]:[得点]],0)))</f>
        <v/>
      </c>
      <c r="E148" s="115" t="str">
        <f>IF($A148&gt;MAX(入力シート!$AH$6:$AH$505),"",INDEX(テーブル2[[学年]:[判定]],MATCH(体力優良証交付申請書!$A148,入力シート!$AH$6:$AH$505,0),MATCH(体力優良証交付申請書!E$14,テーブル2[[#Headers],[学年]:[得点]],0)))</f>
        <v/>
      </c>
      <c r="F148" s="115" t="str">
        <f>IF($A148&gt;MAX(入力シート!$AH$6:$AH$505),"",INDEX(テーブル2[[学年]:[判定]],MATCH(体力優良証交付申請書!$A148,入力シート!$AH$6:$AH$505,0),MATCH(体力優良証交付申請書!F$14,テーブル2[[#Headers],[学年]:[得点]],0)))</f>
        <v/>
      </c>
      <c r="G148" s="115" t="str">
        <f>IF($A148&gt;MAX(入力シート!$AH$6:$AH$505),"",INDEX(テーブル2[[学年]:[判定]],MATCH(体力優良証交付申請書!$A148,入力シート!$AH$6:$AH$505,0),MATCH(体力優良証交付申請書!G$14,テーブル2[[#Headers],[学年]:[得点]],0)))</f>
        <v/>
      </c>
      <c r="H148" s="115" t="str">
        <f>IF($A148&gt;MAX(入力シート!$AH$6:$AH$505),"",INDEX(テーブル2[[学年]:[判定]],MATCH(体力優良証交付申請書!$A148,入力シート!$AH$6:$AH$505,0),MATCH(体力優良証交付申請書!H$14,テーブル2[[#Headers],[学年]:[得点]],0)))</f>
        <v/>
      </c>
      <c r="I148" s="115" t="str">
        <f>IF($A148&gt;MAX(入力シート!$AH$6:$AH$505),"",INDEX(テーブル2[[学年]:[判定]],MATCH(体力優良証交付申請書!$A148,入力シート!$AH$6:$AH$505,0),MATCH(体力優良証交付申請書!I$14,テーブル2[[#Headers],[学年]:[得点]],0)))</f>
        <v/>
      </c>
      <c r="J148" s="115" t="str">
        <f>IF($A148&gt;MAX(入力シート!$AH$6:$AH$505),"",INDEX(テーブル2[[学年]:[判定]],MATCH(体力優良証交付申請書!$A148,入力シート!$AH$6:$AH$505,0),MATCH(体力優良証交付申請書!J$14,テーブル2[[#Headers],[学年]:[得点]],0)))</f>
        <v/>
      </c>
      <c r="K148" s="129" t="str">
        <f>IF($A148&gt;MAX(入力シート!$AH$6:$AH$505),"",INDEX(テーブル2[[学年]:[判定]],MATCH(体力優良証交付申請書!$A148,入力シート!$AH$6:$AH$505,0),MATCH(体力優良証交付申請書!K$14,テーブル2[[#Headers],[学年]:[得点]],0)))</f>
        <v/>
      </c>
      <c r="L148" s="115" t="str">
        <f>IF($A148&gt;MAX(入力シート!$AH$6:$AH$505),"",INDEX(テーブル2[[学年]:[判定]],MATCH(体力優良証交付申請書!$A148,入力シート!$AH$6:$AH$505,0),MATCH(体力優良証交付申請書!L$14,テーブル2[[#Headers],[学年]:[得点]],0)))</f>
        <v/>
      </c>
      <c r="M148" s="115" t="str">
        <f>IF($A148&gt;MAX(入力シート!$AH$6:$AH$505),"",INDEX(テーブル2[[学年]:[判定]],MATCH(体力優良証交付申請書!$A148,入力シート!$AH$6:$AH$505,0),MATCH(体力優良証交付申請書!M$14,テーブル2[[#Headers],[学年]:[得点]],0)))</f>
        <v/>
      </c>
      <c r="N148" s="27" t="str">
        <f>IF($A148&gt;MAX(入力シート!$AH$6:$AH$505),"",INDEX(テーブル2[[学年]:[判定]],MATCH(体力優良証交付申請書!$A148,入力シート!$AH$6:$AH$505,0),MATCH(体力優良証交付申請書!N$14,テーブル2[[#Headers],[学年]:[得点]],0)))</f>
        <v/>
      </c>
    </row>
    <row r="149" spans="1:14" x14ac:dyDescent="0.15">
      <c r="A149" s="17">
        <v>135</v>
      </c>
      <c r="B149" s="115" t="str">
        <f>IF($A149&gt;MAX(入力シート!$AH$6:$AH$505),"",INDEX(テーブル2[[学年]:[判定]],MATCH(体力優良証交付申請書!$A149,入力シート!$AH$6:$AH$505,0),MATCH(体力優良証交付申請書!B$14,テーブル2[[#Headers],[学年]:[得点]],0)))</f>
        <v/>
      </c>
      <c r="C149" s="115" t="str">
        <f>IF($A149&gt;MAX(入力シート!$AH$6:$AH$505),"",INDEX(テーブル2[[学年]:[判定]],MATCH(体力優良証交付申請書!$A149,入力シート!$AH$6:$AH$505,0),MATCH(体力優良証交付申請書!C$14,テーブル2[[#Headers],[学年]:[得点]],0)))</f>
        <v/>
      </c>
      <c r="D149" s="115" t="str">
        <f>IF($A149&gt;MAX(入力シート!$AH$6:$AH$505),"",INDEX(テーブル2[[学年]:[判定]],MATCH(体力優良証交付申請書!$A149,入力シート!$AH$6:$AH$505,0),MATCH(体力優良証交付申請書!D$14,テーブル2[[#Headers],[学年]:[得点]],0)))</f>
        <v/>
      </c>
      <c r="E149" s="115" t="str">
        <f>IF($A149&gt;MAX(入力シート!$AH$6:$AH$505),"",INDEX(テーブル2[[学年]:[判定]],MATCH(体力優良証交付申請書!$A149,入力シート!$AH$6:$AH$505,0),MATCH(体力優良証交付申請書!E$14,テーブル2[[#Headers],[学年]:[得点]],0)))</f>
        <v/>
      </c>
      <c r="F149" s="115" t="str">
        <f>IF($A149&gt;MAX(入力シート!$AH$6:$AH$505),"",INDEX(テーブル2[[学年]:[判定]],MATCH(体力優良証交付申請書!$A149,入力シート!$AH$6:$AH$505,0),MATCH(体力優良証交付申請書!F$14,テーブル2[[#Headers],[学年]:[得点]],0)))</f>
        <v/>
      </c>
      <c r="G149" s="115" t="str">
        <f>IF($A149&gt;MAX(入力シート!$AH$6:$AH$505),"",INDEX(テーブル2[[学年]:[判定]],MATCH(体力優良証交付申請書!$A149,入力シート!$AH$6:$AH$505,0),MATCH(体力優良証交付申請書!G$14,テーブル2[[#Headers],[学年]:[得点]],0)))</f>
        <v/>
      </c>
      <c r="H149" s="115" t="str">
        <f>IF($A149&gt;MAX(入力シート!$AH$6:$AH$505),"",INDEX(テーブル2[[学年]:[判定]],MATCH(体力優良証交付申請書!$A149,入力シート!$AH$6:$AH$505,0),MATCH(体力優良証交付申請書!H$14,テーブル2[[#Headers],[学年]:[得点]],0)))</f>
        <v/>
      </c>
      <c r="I149" s="115" t="str">
        <f>IF($A149&gt;MAX(入力シート!$AH$6:$AH$505),"",INDEX(テーブル2[[学年]:[判定]],MATCH(体力優良証交付申請書!$A149,入力シート!$AH$6:$AH$505,0),MATCH(体力優良証交付申請書!I$14,テーブル2[[#Headers],[学年]:[得点]],0)))</f>
        <v/>
      </c>
      <c r="J149" s="115" t="str">
        <f>IF($A149&gt;MAX(入力シート!$AH$6:$AH$505),"",INDEX(テーブル2[[学年]:[判定]],MATCH(体力優良証交付申請書!$A149,入力シート!$AH$6:$AH$505,0),MATCH(体力優良証交付申請書!J$14,テーブル2[[#Headers],[学年]:[得点]],0)))</f>
        <v/>
      </c>
      <c r="K149" s="129" t="str">
        <f>IF($A149&gt;MAX(入力シート!$AH$6:$AH$505),"",INDEX(テーブル2[[学年]:[判定]],MATCH(体力優良証交付申請書!$A149,入力シート!$AH$6:$AH$505,0),MATCH(体力優良証交付申請書!K$14,テーブル2[[#Headers],[学年]:[得点]],0)))</f>
        <v/>
      </c>
      <c r="L149" s="115" t="str">
        <f>IF($A149&gt;MAX(入力シート!$AH$6:$AH$505),"",INDEX(テーブル2[[学年]:[判定]],MATCH(体力優良証交付申請書!$A149,入力シート!$AH$6:$AH$505,0),MATCH(体力優良証交付申請書!L$14,テーブル2[[#Headers],[学年]:[得点]],0)))</f>
        <v/>
      </c>
      <c r="M149" s="115" t="str">
        <f>IF($A149&gt;MAX(入力シート!$AH$6:$AH$505),"",INDEX(テーブル2[[学年]:[判定]],MATCH(体力優良証交付申請書!$A149,入力シート!$AH$6:$AH$505,0),MATCH(体力優良証交付申請書!M$14,テーブル2[[#Headers],[学年]:[得点]],0)))</f>
        <v/>
      </c>
      <c r="N149" s="27" t="str">
        <f>IF($A149&gt;MAX(入力シート!$AH$6:$AH$505),"",INDEX(テーブル2[[学年]:[判定]],MATCH(体力優良証交付申請書!$A149,入力シート!$AH$6:$AH$505,0),MATCH(体力優良証交付申請書!N$14,テーブル2[[#Headers],[学年]:[得点]],0)))</f>
        <v/>
      </c>
    </row>
    <row r="150" spans="1:14" x14ac:dyDescent="0.15">
      <c r="A150" s="17">
        <v>136</v>
      </c>
      <c r="B150" s="115" t="str">
        <f>IF($A150&gt;MAX(入力シート!$AH$6:$AH$505),"",INDEX(テーブル2[[学年]:[判定]],MATCH(体力優良証交付申請書!$A150,入力シート!$AH$6:$AH$505,0),MATCH(体力優良証交付申請書!B$14,テーブル2[[#Headers],[学年]:[得点]],0)))</f>
        <v/>
      </c>
      <c r="C150" s="115" t="str">
        <f>IF($A150&gt;MAX(入力シート!$AH$6:$AH$505),"",INDEX(テーブル2[[学年]:[判定]],MATCH(体力優良証交付申請書!$A150,入力シート!$AH$6:$AH$505,0),MATCH(体力優良証交付申請書!C$14,テーブル2[[#Headers],[学年]:[得点]],0)))</f>
        <v/>
      </c>
      <c r="D150" s="115" t="str">
        <f>IF($A150&gt;MAX(入力シート!$AH$6:$AH$505),"",INDEX(テーブル2[[学年]:[判定]],MATCH(体力優良証交付申請書!$A150,入力シート!$AH$6:$AH$505,0),MATCH(体力優良証交付申請書!D$14,テーブル2[[#Headers],[学年]:[得点]],0)))</f>
        <v/>
      </c>
      <c r="E150" s="115" t="str">
        <f>IF($A150&gt;MAX(入力シート!$AH$6:$AH$505),"",INDEX(テーブル2[[学年]:[判定]],MATCH(体力優良証交付申請書!$A150,入力シート!$AH$6:$AH$505,0),MATCH(体力優良証交付申請書!E$14,テーブル2[[#Headers],[学年]:[得点]],0)))</f>
        <v/>
      </c>
      <c r="F150" s="115" t="str">
        <f>IF($A150&gt;MAX(入力シート!$AH$6:$AH$505),"",INDEX(テーブル2[[学年]:[判定]],MATCH(体力優良証交付申請書!$A150,入力シート!$AH$6:$AH$505,0),MATCH(体力優良証交付申請書!F$14,テーブル2[[#Headers],[学年]:[得点]],0)))</f>
        <v/>
      </c>
      <c r="G150" s="115" t="str">
        <f>IF($A150&gt;MAX(入力シート!$AH$6:$AH$505),"",INDEX(テーブル2[[学年]:[判定]],MATCH(体力優良証交付申請書!$A150,入力シート!$AH$6:$AH$505,0),MATCH(体力優良証交付申請書!G$14,テーブル2[[#Headers],[学年]:[得点]],0)))</f>
        <v/>
      </c>
      <c r="H150" s="115" t="str">
        <f>IF($A150&gt;MAX(入力シート!$AH$6:$AH$505),"",INDEX(テーブル2[[学年]:[判定]],MATCH(体力優良証交付申請書!$A150,入力シート!$AH$6:$AH$505,0),MATCH(体力優良証交付申請書!H$14,テーブル2[[#Headers],[学年]:[得点]],0)))</f>
        <v/>
      </c>
      <c r="I150" s="115" t="str">
        <f>IF($A150&gt;MAX(入力シート!$AH$6:$AH$505),"",INDEX(テーブル2[[学年]:[判定]],MATCH(体力優良証交付申請書!$A150,入力シート!$AH$6:$AH$505,0),MATCH(体力優良証交付申請書!I$14,テーブル2[[#Headers],[学年]:[得点]],0)))</f>
        <v/>
      </c>
      <c r="J150" s="115" t="str">
        <f>IF($A150&gt;MAX(入力シート!$AH$6:$AH$505),"",INDEX(テーブル2[[学年]:[判定]],MATCH(体力優良証交付申請書!$A150,入力シート!$AH$6:$AH$505,0),MATCH(体力優良証交付申請書!J$14,テーブル2[[#Headers],[学年]:[得点]],0)))</f>
        <v/>
      </c>
      <c r="K150" s="129" t="str">
        <f>IF($A150&gt;MAX(入力シート!$AH$6:$AH$505),"",INDEX(テーブル2[[学年]:[判定]],MATCH(体力優良証交付申請書!$A150,入力シート!$AH$6:$AH$505,0),MATCH(体力優良証交付申請書!K$14,テーブル2[[#Headers],[学年]:[得点]],0)))</f>
        <v/>
      </c>
      <c r="L150" s="115" t="str">
        <f>IF($A150&gt;MAX(入力シート!$AH$6:$AH$505),"",INDEX(テーブル2[[学年]:[判定]],MATCH(体力優良証交付申請書!$A150,入力シート!$AH$6:$AH$505,0),MATCH(体力優良証交付申請書!L$14,テーブル2[[#Headers],[学年]:[得点]],0)))</f>
        <v/>
      </c>
      <c r="M150" s="115" t="str">
        <f>IF($A150&gt;MAX(入力シート!$AH$6:$AH$505),"",INDEX(テーブル2[[学年]:[判定]],MATCH(体力優良証交付申請書!$A150,入力シート!$AH$6:$AH$505,0),MATCH(体力優良証交付申請書!M$14,テーブル2[[#Headers],[学年]:[得点]],0)))</f>
        <v/>
      </c>
      <c r="N150" s="27" t="str">
        <f>IF($A150&gt;MAX(入力シート!$AH$6:$AH$505),"",INDEX(テーブル2[[学年]:[判定]],MATCH(体力優良証交付申請書!$A150,入力シート!$AH$6:$AH$505,0),MATCH(体力優良証交付申請書!N$14,テーブル2[[#Headers],[学年]:[得点]],0)))</f>
        <v/>
      </c>
    </row>
    <row r="151" spans="1:14" x14ac:dyDescent="0.15">
      <c r="A151" s="17">
        <v>137</v>
      </c>
      <c r="B151" s="115" t="str">
        <f>IF($A151&gt;MAX(入力シート!$AH$6:$AH$505),"",INDEX(テーブル2[[学年]:[判定]],MATCH(体力優良証交付申請書!$A151,入力シート!$AH$6:$AH$505,0),MATCH(体力優良証交付申請書!B$14,テーブル2[[#Headers],[学年]:[得点]],0)))</f>
        <v/>
      </c>
      <c r="C151" s="115" t="str">
        <f>IF($A151&gt;MAX(入力シート!$AH$6:$AH$505),"",INDEX(テーブル2[[学年]:[判定]],MATCH(体力優良証交付申請書!$A151,入力シート!$AH$6:$AH$505,0),MATCH(体力優良証交付申請書!C$14,テーブル2[[#Headers],[学年]:[得点]],0)))</f>
        <v/>
      </c>
      <c r="D151" s="115" t="str">
        <f>IF($A151&gt;MAX(入力シート!$AH$6:$AH$505),"",INDEX(テーブル2[[学年]:[判定]],MATCH(体力優良証交付申請書!$A151,入力シート!$AH$6:$AH$505,0),MATCH(体力優良証交付申請書!D$14,テーブル2[[#Headers],[学年]:[得点]],0)))</f>
        <v/>
      </c>
      <c r="E151" s="115" t="str">
        <f>IF($A151&gt;MAX(入力シート!$AH$6:$AH$505),"",INDEX(テーブル2[[学年]:[判定]],MATCH(体力優良証交付申請書!$A151,入力シート!$AH$6:$AH$505,0),MATCH(体力優良証交付申請書!E$14,テーブル2[[#Headers],[学年]:[得点]],0)))</f>
        <v/>
      </c>
      <c r="F151" s="115" t="str">
        <f>IF($A151&gt;MAX(入力シート!$AH$6:$AH$505),"",INDEX(テーブル2[[学年]:[判定]],MATCH(体力優良証交付申請書!$A151,入力シート!$AH$6:$AH$505,0),MATCH(体力優良証交付申請書!F$14,テーブル2[[#Headers],[学年]:[得点]],0)))</f>
        <v/>
      </c>
      <c r="G151" s="115" t="str">
        <f>IF($A151&gt;MAX(入力シート!$AH$6:$AH$505),"",INDEX(テーブル2[[学年]:[判定]],MATCH(体力優良証交付申請書!$A151,入力シート!$AH$6:$AH$505,0),MATCH(体力優良証交付申請書!G$14,テーブル2[[#Headers],[学年]:[得点]],0)))</f>
        <v/>
      </c>
      <c r="H151" s="115" t="str">
        <f>IF($A151&gt;MAX(入力シート!$AH$6:$AH$505),"",INDEX(テーブル2[[学年]:[判定]],MATCH(体力優良証交付申請書!$A151,入力シート!$AH$6:$AH$505,0),MATCH(体力優良証交付申請書!H$14,テーブル2[[#Headers],[学年]:[得点]],0)))</f>
        <v/>
      </c>
      <c r="I151" s="115" t="str">
        <f>IF($A151&gt;MAX(入力シート!$AH$6:$AH$505),"",INDEX(テーブル2[[学年]:[判定]],MATCH(体力優良証交付申請書!$A151,入力シート!$AH$6:$AH$505,0),MATCH(体力優良証交付申請書!I$14,テーブル2[[#Headers],[学年]:[得点]],0)))</f>
        <v/>
      </c>
      <c r="J151" s="115" t="str">
        <f>IF($A151&gt;MAX(入力シート!$AH$6:$AH$505),"",INDEX(テーブル2[[学年]:[判定]],MATCH(体力優良証交付申請書!$A151,入力シート!$AH$6:$AH$505,0),MATCH(体力優良証交付申請書!J$14,テーブル2[[#Headers],[学年]:[得点]],0)))</f>
        <v/>
      </c>
      <c r="K151" s="129" t="str">
        <f>IF($A151&gt;MAX(入力シート!$AH$6:$AH$505),"",INDEX(テーブル2[[学年]:[判定]],MATCH(体力優良証交付申請書!$A151,入力シート!$AH$6:$AH$505,0),MATCH(体力優良証交付申請書!K$14,テーブル2[[#Headers],[学年]:[得点]],0)))</f>
        <v/>
      </c>
      <c r="L151" s="115" t="str">
        <f>IF($A151&gt;MAX(入力シート!$AH$6:$AH$505),"",INDEX(テーブル2[[学年]:[判定]],MATCH(体力優良証交付申請書!$A151,入力シート!$AH$6:$AH$505,0),MATCH(体力優良証交付申請書!L$14,テーブル2[[#Headers],[学年]:[得点]],0)))</f>
        <v/>
      </c>
      <c r="M151" s="115" t="str">
        <f>IF($A151&gt;MAX(入力シート!$AH$6:$AH$505),"",INDEX(テーブル2[[学年]:[判定]],MATCH(体力優良証交付申請書!$A151,入力シート!$AH$6:$AH$505,0),MATCH(体力優良証交付申請書!M$14,テーブル2[[#Headers],[学年]:[得点]],0)))</f>
        <v/>
      </c>
      <c r="N151" s="27" t="str">
        <f>IF($A151&gt;MAX(入力シート!$AH$6:$AH$505),"",INDEX(テーブル2[[学年]:[判定]],MATCH(体力優良証交付申請書!$A151,入力シート!$AH$6:$AH$505,0),MATCH(体力優良証交付申請書!N$14,テーブル2[[#Headers],[学年]:[得点]],0)))</f>
        <v/>
      </c>
    </row>
    <row r="152" spans="1:14" x14ac:dyDescent="0.15">
      <c r="A152" s="17">
        <v>138</v>
      </c>
      <c r="B152" s="115" t="str">
        <f>IF($A152&gt;MAX(入力シート!$AH$6:$AH$505),"",INDEX(テーブル2[[学年]:[判定]],MATCH(体力優良証交付申請書!$A152,入力シート!$AH$6:$AH$505,0),MATCH(体力優良証交付申請書!B$14,テーブル2[[#Headers],[学年]:[得点]],0)))</f>
        <v/>
      </c>
      <c r="C152" s="115" t="str">
        <f>IF($A152&gt;MAX(入力シート!$AH$6:$AH$505),"",INDEX(テーブル2[[学年]:[判定]],MATCH(体力優良証交付申請書!$A152,入力シート!$AH$6:$AH$505,0),MATCH(体力優良証交付申請書!C$14,テーブル2[[#Headers],[学年]:[得点]],0)))</f>
        <v/>
      </c>
      <c r="D152" s="115" t="str">
        <f>IF($A152&gt;MAX(入力シート!$AH$6:$AH$505),"",INDEX(テーブル2[[学年]:[判定]],MATCH(体力優良証交付申請書!$A152,入力シート!$AH$6:$AH$505,0),MATCH(体力優良証交付申請書!D$14,テーブル2[[#Headers],[学年]:[得点]],0)))</f>
        <v/>
      </c>
      <c r="E152" s="115" t="str">
        <f>IF($A152&gt;MAX(入力シート!$AH$6:$AH$505),"",INDEX(テーブル2[[学年]:[判定]],MATCH(体力優良証交付申請書!$A152,入力シート!$AH$6:$AH$505,0),MATCH(体力優良証交付申請書!E$14,テーブル2[[#Headers],[学年]:[得点]],0)))</f>
        <v/>
      </c>
      <c r="F152" s="115" t="str">
        <f>IF($A152&gt;MAX(入力シート!$AH$6:$AH$505),"",INDEX(テーブル2[[学年]:[判定]],MATCH(体力優良証交付申請書!$A152,入力シート!$AH$6:$AH$505,0),MATCH(体力優良証交付申請書!F$14,テーブル2[[#Headers],[学年]:[得点]],0)))</f>
        <v/>
      </c>
      <c r="G152" s="115" t="str">
        <f>IF($A152&gt;MAX(入力シート!$AH$6:$AH$505),"",INDEX(テーブル2[[学年]:[判定]],MATCH(体力優良証交付申請書!$A152,入力シート!$AH$6:$AH$505,0),MATCH(体力優良証交付申請書!G$14,テーブル2[[#Headers],[学年]:[得点]],0)))</f>
        <v/>
      </c>
      <c r="H152" s="115" t="str">
        <f>IF($A152&gt;MAX(入力シート!$AH$6:$AH$505),"",INDEX(テーブル2[[学年]:[判定]],MATCH(体力優良証交付申請書!$A152,入力シート!$AH$6:$AH$505,0),MATCH(体力優良証交付申請書!H$14,テーブル2[[#Headers],[学年]:[得点]],0)))</f>
        <v/>
      </c>
      <c r="I152" s="115" t="str">
        <f>IF($A152&gt;MAX(入力シート!$AH$6:$AH$505),"",INDEX(テーブル2[[学年]:[判定]],MATCH(体力優良証交付申請書!$A152,入力シート!$AH$6:$AH$505,0),MATCH(体力優良証交付申請書!I$14,テーブル2[[#Headers],[学年]:[得点]],0)))</f>
        <v/>
      </c>
      <c r="J152" s="115" t="str">
        <f>IF($A152&gt;MAX(入力シート!$AH$6:$AH$505),"",INDEX(テーブル2[[学年]:[判定]],MATCH(体力優良証交付申請書!$A152,入力シート!$AH$6:$AH$505,0),MATCH(体力優良証交付申請書!J$14,テーブル2[[#Headers],[学年]:[得点]],0)))</f>
        <v/>
      </c>
      <c r="K152" s="129" t="str">
        <f>IF($A152&gt;MAX(入力シート!$AH$6:$AH$505),"",INDEX(テーブル2[[学年]:[判定]],MATCH(体力優良証交付申請書!$A152,入力シート!$AH$6:$AH$505,0),MATCH(体力優良証交付申請書!K$14,テーブル2[[#Headers],[学年]:[得点]],0)))</f>
        <v/>
      </c>
      <c r="L152" s="115" t="str">
        <f>IF($A152&gt;MAX(入力シート!$AH$6:$AH$505),"",INDEX(テーブル2[[学年]:[判定]],MATCH(体力優良証交付申請書!$A152,入力シート!$AH$6:$AH$505,0),MATCH(体力優良証交付申請書!L$14,テーブル2[[#Headers],[学年]:[得点]],0)))</f>
        <v/>
      </c>
      <c r="M152" s="115" t="str">
        <f>IF($A152&gt;MAX(入力シート!$AH$6:$AH$505),"",INDEX(テーブル2[[学年]:[判定]],MATCH(体力優良証交付申請書!$A152,入力シート!$AH$6:$AH$505,0),MATCH(体力優良証交付申請書!M$14,テーブル2[[#Headers],[学年]:[得点]],0)))</f>
        <v/>
      </c>
      <c r="N152" s="27" t="str">
        <f>IF($A152&gt;MAX(入力シート!$AH$6:$AH$505),"",INDEX(テーブル2[[学年]:[判定]],MATCH(体力優良証交付申請書!$A152,入力シート!$AH$6:$AH$505,0),MATCH(体力優良証交付申請書!N$14,テーブル2[[#Headers],[学年]:[得点]],0)))</f>
        <v/>
      </c>
    </row>
    <row r="153" spans="1:14" x14ac:dyDescent="0.15">
      <c r="A153" s="17">
        <v>139</v>
      </c>
      <c r="B153" s="115" t="str">
        <f>IF($A153&gt;MAX(入力シート!$AH$6:$AH$505),"",INDEX(テーブル2[[学年]:[判定]],MATCH(体力優良証交付申請書!$A153,入力シート!$AH$6:$AH$505,0),MATCH(体力優良証交付申請書!B$14,テーブル2[[#Headers],[学年]:[得点]],0)))</f>
        <v/>
      </c>
      <c r="C153" s="115" t="str">
        <f>IF($A153&gt;MAX(入力シート!$AH$6:$AH$505),"",INDEX(テーブル2[[学年]:[判定]],MATCH(体力優良証交付申請書!$A153,入力シート!$AH$6:$AH$505,0),MATCH(体力優良証交付申請書!C$14,テーブル2[[#Headers],[学年]:[得点]],0)))</f>
        <v/>
      </c>
      <c r="D153" s="115" t="str">
        <f>IF($A153&gt;MAX(入力シート!$AH$6:$AH$505),"",INDEX(テーブル2[[学年]:[判定]],MATCH(体力優良証交付申請書!$A153,入力シート!$AH$6:$AH$505,0),MATCH(体力優良証交付申請書!D$14,テーブル2[[#Headers],[学年]:[得点]],0)))</f>
        <v/>
      </c>
      <c r="E153" s="115" t="str">
        <f>IF($A153&gt;MAX(入力シート!$AH$6:$AH$505),"",INDEX(テーブル2[[学年]:[判定]],MATCH(体力優良証交付申請書!$A153,入力シート!$AH$6:$AH$505,0),MATCH(体力優良証交付申請書!E$14,テーブル2[[#Headers],[学年]:[得点]],0)))</f>
        <v/>
      </c>
      <c r="F153" s="115" t="str">
        <f>IF($A153&gt;MAX(入力シート!$AH$6:$AH$505),"",INDEX(テーブル2[[学年]:[判定]],MATCH(体力優良証交付申請書!$A153,入力シート!$AH$6:$AH$505,0),MATCH(体力優良証交付申請書!F$14,テーブル2[[#Headers],[学年]:[得点]],0)))</f>
        <v/>
      </c>
      <c r="G153" s="115" t="str">
        <f>IF($A153&gt;MAX(入力シート!$AH$6:$AH$505),"",INDEX(テーブル2[[学年]:[判定]],MATCH(体力優良証交付申請書!$A153,入力シート!$AH$6:$AH$505,0),MATCH(体力優良証交付申請書!G$14,テーブル2[[#Headers],[学年]:[得点]],0)))</f>
        <v/>
      </c>
      <c r="H153" s="115" t="str">
        <f>IF($A153&gt;MAX(入力シート!$AH$6:$AH$505),"",INDEX(テーブル2[[学年]:[判定]],MATCH(体力優良証交付申請書!$A153,入力シート!$AH$6:$AH$505,0),MATCH(体力優良証交付申請書!H$14,テーブル2[[#Headers],[学年]:[得点]],0)))</f>
        <v/>
      </c>
      <c r="I153" s="115" t="str">
        <f>IF($A153&gt;MAX(入力シート!$AH$6:$AH$505),"",INDEX(テーブル2[[学年]:[判定]],MATCH(体力優良証交付申請書!$A153,入力シート!$AH$6:$AH$505,0),MATCH(体力優良証交付申請書!I$14,テーブル2[[#Headers],[学年]:[得点]],0)))</f>
        <v/>
      </c>
      <c r="J153" s="115" t="str">
        <f>IF($A153&gt;MAX(入力シート!$AH$6:$AH$505),"",INDEX(テーブル2[[学年]:[判定]],MATCH(体力優良証交付申請書!$A153,入力シート!$AH$6:$AH$505,0),MATCH(体力優良証交付申請書!J$14,テーブル2[[#Headers],[学年]:[得点]],0)))</f>
        <v/>
      </c>
      <c r="K153" s="129" t="str">
        <f>IF($A153&gt;MAX(入力シート!$AH$6:$AH$505),"",INDEX(テーブル2[[学年]:[判定]],MATCH(体力優良証交付申請書!$A153,入力シート!$AH$6:$AH$505,0),MATCH(体力優良証交付申請書!K$14,テーブル2[[#Headers],[学年]:[得点]],0)))</f>
        <v/>
      </c>
      <c r="L153" s="115" t="str">
        <f>IF($A153&gt;MAX(入力シート!$AH$6:$AH$505),"",INDEX(テーブル2[[学年]:[判定]],MATCH(体力優良証交付申請書!$A153,入力シート!$AH$6:$AH$505,0),MATCH(体力優良証交付申請書!L$14,テーブル2[[#Headers],[学年]:[得点]],0)))</f>
        <v/>
      </c>
      <c r="M153" s="115" t="str">
        <f>IF($A153&gt;MAX(入力シート!$AH$6:$AH$505),"",INDEX(テーブル2[[学年]:[判定]],MATCH(体力優良証交付申請書!$A153,入力シート!$AH$6:$AH$505,0),MATCH(体力優良証交付申請書!M$14,テーブル2[[#Headers],[学年]:[得点]],0)))</f>
        <v/>
      </c>
      <c r="N153" s="27" t="str">
        <f>IF($A153&gt;MAX(入力シート!$AH$6:$AH$505),"",INDEX(テーブル2[[学年]:[判定]],MATCH(体力優良証交付申請書!$A153,入力シート!$AH$6:$AH$505,0),MATCH(体力優良証交付申請書!N$14,テーブル2[[#Headers],[学年]:[得点]],0)))</f>
        <v/>
      </c>
    </row>
    <row r="154" spans="1:14" x14ac:dyDescent="0.15">
      <c r="A154" s="17">
        <v>140</v>
      </c>
      <c r="B154" s="115" t="str">
        <f>IF($A154&gt;MAX(入力シート!$AH$6:$AH$505),"",INDEX(テーブル2[[学年]:[判定]],MATCH(体力優良証交付申請書!$A154,入力シート!$AH$6:$AH$505,0),MATCH(体力優良証交付申請書!B$14,テーブル2[[#Headers],[学年]:[得点]],0)))</f>
        <v/>
      </c>
      <c r="C154" s="115" t="str">
        <f>IF($A154&gt;MAX(入力シート!$AH$6:$AH$505),"",INDEX(テーブル2[[学年]:[判定]],MATCH(体力優良証交付申請書!$A154,入力シート!$AH$6:$AH$505,0),MATCH(体力優良証交付申請書!C$14,テーブル2[[#Headers],[学年]:[得点]],0)))</f>
        <v/>
      </c>
      <c r="D154" s="115" t="str">
        <f>IF($A154&gt;MAX(入力シート!$AH$6:$AH$505),"",INDEX(テーブル2[[学年]:[判定]],MATCH(体力優良証交付申請書!$A154,入力シート!$AH$6:$AH$505,0),MATCH(体力優良証交付申請書!D$14,テーブル2[[#Headers],[学年]:[得点]],0)))</f>
        <v/>
      </c>
      <c r="E154" s="115" t="str">
        <f>IF($A154&gt;MAX(入力シート!$AH$6:$AH$505),"",INDEX(テーブル2[[学年]:[判定]],MATCH(体力優良証交付申請書!$A154,入力シート!$AH$6:$AH$505,0),MATCH(体力優良証交付申請書!E$14,テーブル2[[#Headers],[学年]:[得点]],0)))</f>
        <v/>
      </c>
      <c r="F154" s="115" t="str">
        <f>IF($A154&gt;MAX(入力シート!$AH$6:$AH$505),"",INDEX(テーブル2[[学年]:[判定]],MATCH(体力優良証交付申請書!$A154,入力シート!$AH$6:$AH$505,0),MATCH(体力優良証交付申請書!F$14,テーブル2[[#Headers],[学年]:[得点]],0)))</f>
        <v/>
      </c>
      <c r="G154" s="115" t="str">
        <f>IF($A154&gt;MAX(入力シート!$AH$6:$AH$505),"",INDEX(テーブル2[[学年]:[判定]],MATCH(体力優良証交付申請書!$A154,入力シート!$AH$6:$AH$505,0),MATCH(体力優良証交付申請書!G$14,テーブル2[[#Headers],[学年]:[得点]],0)))</f>
        <v/>
      </c>
      <c r="H154" s="115" t="str">
        <f>IF($A154&gt;MAX(入力シート!$AH$6:$AH$505),"",INDEX(テーブル2[[学年]:[判定]],MATCH(体力優良証交付申請書!$A154,入力シート!$AH$6:$AH$505,0),MATCH(体力優良証交付申請書!H$14,テーブル2[[#Headers],[学年]:[得点]],0)))</f>
        <v/>
      </c>
      <c r="I154" s="115" t="str">
        <f>IF($A154&gt;MAX(入力シート!$AH$6:$AH$505),"",INDEX(テーブル2[[学年]:[判定]],MATCH(体力優良証交付申請書!$A154,入力シート!$AH$6:$AH$505,0),MATCH(体力優良証交付申請書!I$14,テーブル2[[#Headers],[学年]:[得点]],0)))</f>
        <v/>
      </c>
      <c r="J154" s="115" t="str">
        <f>IF($A154&gt;MAX(入力シート!$AH$6:$AH$505),"",INDEX(テーブル2[[学年]:[判定]],MATCH(体力優良証交付申請書!$A154,入力シート!$AH$6:$AH$505,0),MATCH(体力優良証交付申請書!J$14,テーブル2[[#Headers],[学年]:[得点]],0)))</f>
        <v/>
      </c>
      <c r="K154" s="129" t="str">
        <f>IF($A154&gt;MAX(入力シート!$AH$6:$AH$505),"",INDEX(テーブル2[[学年]:[判定]],MATCH(体力優良証交付申請書!$A154,入力シート!$AH$6:$AH$505,0),MATCH(体力優良証交付申請書!K$14,テーブル2[[#Headers],[学年]:[得点]],0)))</f>
        <v/>
      </c>
      <c r="L154" s="115" t="str">
        <f>IF($A154&gt;MAX(入力シート!$AH$6:$AH$505),"",INDEX(テーブル2[[学年]:[判定]],MATCH(体力優良証交付申請書!$A154,入力シート!$AH$6:$AH$505,0),MATCH(体力優良証交付申請書!L$14,テーブル2[[#Headers],[学年]:[得点]],0)))</f>
        <v/>
      </c>
      <c r="M154" s="115" t="str">
        <f>IF($A154&gt;MAX(入力シート!$AH$6:$AH$505),"",INDEX(テーブル2[[学年]:[判定]],MATCH(体力優良証交付申請書!$A154,入力シート!$AH$6:$AH$505,0),MATCH(体力優良証交付申請書!M$14,テーブル2[[#Headers],[学年]:[得点]],0)))</f>
        <v/>
      </c>
      <c r="N154" s="27" t="str">
        <f>IF($A154&gt;MAX(入力シート!$AH$6:$AH$505),"",INDEX(テーブル2[[学年]:[判定]],MATCH(体力優良証交付申請書!$A154,入力シート!$AH$6:$AH$505,0),MATCH(体力優良証交付申請書!N$14,テーブル2[[#Headers],[学年]:[得点]],0)))</f>
        <v/>
      </c>
    </row>
    <row r="155" spans="1:14" x14ac:dyDescent="0.15">
      <c r="A155" s="17">
        <v>141</v>
      </c>
      <c r="B155" s="115" t="str">
        <f>IF($A155&gt;MAX(入力シート!$AH$6:$AH$505),"",INDEX(テーブル2[[学年]:[判定]],MATCH(体力優良証交付申請書!$A155,入力シート!$AH$6:$AH$505,0),MATCH(体力優良証交付申請書!B$14,テーブル2[[#Headers],[学年]:[得点]],0)))</f>
        <v/>
      </c>
      <c r="C155" s="115" t="str">
        <f>IF($A155&gt;MAX(入力シート!$AH$6:$AH$505),"",INDEX(テーブル2[[学年]:[判定]],MATCH(体力優良証交付申請書!$A155,入力シート!$AH$6:$AH$505,0),MATCH(体力優良証交付申請書!C$14,テーブル2[[#Headers],[学年]:[得点]],0)))</f>
        <v/>
      </c>
      <c r="D155" s="115" t="str">
        <f>IF($A155&gt;MAX(入力シート!$AH$6:$AH$505),"",INDEX(テーブル2[[学年]:[判定]],MATCH(体力優良証交付申請書!$A155,入力シート!$AH$6:$AH$505,0),MATCH(体力優良証交付申請書!D$14,テーブル2[[#Headers],[学年]:[得点]],0)))</f>
        <v/>
      </c>
      <c r="E155" s="115" t="str">
        <f>IF($A155&gt;MAX(入力シート!$AH$6:$AH$505),"",INDEX(テーブル2[[学年]:[判定]],MATCH(体力優良証交付申請書!$A155,入力シート!$AH$6:$AH$505,0),MATCH(体力優良証交付申請書!E$14,テーブル2[[#Headers],[学年]:[得点]],0)))</f>
        <v/>
      </c>
      <c r="F155" s="115" t="str">
        <f>IF($A155&gt;MAX(入力シート!$AH$6:$AH$505),"",INDEX(テーブル2[[学年]:[判定]],MATCH(体力優良証交付申請書!$A155,入力シート!$AH$6:$AH$505,0),MATCH(体力優良証交付申請書!F$14,テーブル2[[#Headers],[学年]:[得点]],0)))</f>
        <v/>
      </c>
      <c r="G155" s="115" t="str">
        <f>IF($A155&gt;MAX(入力シート!$AH$6:$AH$505),"",INDEX(テーブル2[[学年]:[判定]],MATCH(体力優良証交付申請書!$A155,入力シート!$AH$6:$AH$505,0),MATCH(体力優良証交付申請書!G$14,テーブル2[[#Headers],[学年]:[得点]],0)))</f>
        <v/>
      </c>
      <c r="H155" s="115" t="str">
        <f>IF($A155&gt;MAX(入力シート!$AH$6:$AH$505),"",INDEX(テーブル2[[学年]:[判定]],MATCH(体力優良証交付申請書!$A155,入力シート!$AH$6:$AH$505,0),MATCH(体力優良証交付申請書!H$14,テーブル2[[#Headers],[学年]:[得点]],0)))</f>
        <v/>
      </c>
      <c r="I155" s="115" t="str">
        <f>IF($A155&gt;MAX(入力シート!$AH$6:$AH$505),"",INDEX(テーブル2[[学年]:[判定]],MATCH(体力優良証交付申請書!$A155,入力シート!$AH$6:$AH$505,0),MATCH(体力優良証交付申請書!I$14,テーブル2[[#Headers],[学年]:[得点]],0)))</f>
        <v/>
      </c>
      <c r="J155" s="115" t="str">
        <f>IF($A155&gt;MAX(入力シート!$AH$6:$AH$505),"",INDEX(テーブル2[[学年]:[判定]],MATCH(体力優良証交付申請書!$A155,入力シート!$AH$6:$AH$505,0),MATCH(体力優良証交付申請書!J$14,テーブル2[[#Headers],[学年]:[得点]],0)))</f>
        <v/>
      </c>
      <c r="K155" s="129" t="str">
        <f>IF($A155&gt;MAX(入力シート!$AH$6:$AH$505),"",INDEX(テーブル2[[学年]:[判定]],MATCH(体力優良証交付申請書!$A155,入力シート!$AH$6:$AH$505,0),MATCH(体力優良証交付申請書!K$14,テーブル2[[#Headers],[学年]:[得点]],0)))</f>
        <v/>
      </c>
      <c r="L155" s="115" t="str">
        <f>IF($A155&gt;MAX(入力シート!$AH$6:$AH$505),"",INDEX(テーブル2[[学年]:[判定]],MATCH(体力優良証交付申請書!$A155,入力シート!$AH$6:$AH$505,0),MATCH(体力優良証交付申請書!L$14,テーブル2[[#Headers],[学年]:[得点]],0)))</f>
        <v/>
      </c>
      <c r="M155" s="115" t="str">
        <f>IF($A155&gt;MAX(入力シート!$AH$6:$AH$505),"",INDEX(テーブル2[[学年]:[判定]],MATCH(体力優良証交付申請書!$A155,入力シート!$AH$6:$AH$505,0),MATCH(体力優良証交付申請書!M$14,テーブル2[[#Headers],[学年]:[得点]],0)))</f>
        <v/>
      </c>
      <c r="N155" s="27" t="str">
        <f>IF($A155&gt;MAX(入力シート!$AH$6:$AH$505),"",INDEX(テーブル2[[学年]:[判定]],MATCH(体力優良証交付申請書!$A155,入力シート!$AH$6:$AH$505,0),MATCH(体力優良証交付申請書!N$14,テーブル2[[#Headers],[学年]:[得点]],0)))</f>
        <v/>
      </c>
    </row>
    <row r="156" spans="1:14" x14ac:dyDescent="0.15">
      <c r="A156" s="17">
        <v>142</v>
      </c>
      <c r="B156" s="115" t="str">
        <f>IF($A156&gt;MAX(入力シート!$AH$6:$AH$505),"",INDEX(テーブル2[[学年]:[判定]],MATCH(体力優良証交付申請書!$A156,入力シート!$AH$6:$AH$505,0),MATCH(体力優良証交付申請書!B$14,テーブル2[[#Headers],[学年]:[得点]],0)))</f>
        <v/>
      </c>
      <c r="C156" s="115" t="str">
        <f>IF($A156&gt;MAX(入力シート!$AH$6:$AH$505),"",INDEX(テーブル2[[学年]:[判定]],MATCH(体力優良証交付申請書!$A156,入力シート!$AH$6:$AH$505,0),MATCH(体力優良証交付申請書!C$14,テーブル2[[#Headers],[学年]:[得点]],0)))</f>
        <v/>
      </c>
      <c r="D156" s="115" t="str">
        <f>IF($A156&gt;MAX(入力シート!$AH$6:$AH$505),"",INDEX(テーブル2[[学年]:[判定]],MATCH(体力優良証交付申請書!$A156,入力シート!$AH$6:$AH$505,0),MATCH(体力優良証交付申請書!D$14,テーブル2[[#Headers],[学年]:[得点]],0)))</f>
        <v/>
      </c>
      <c r="E156" s="115" t="str">
        <f>IF($A156&gt;MAX(入力シート!$AH$6:$AH$505),"",INDEX(テーブル2[[学年]:[判定]],MATCH(体力優良証交付申請書!$A156,入力シート!$AH$6:$AH$505,0),MATCH(体力優良証交付申請書!E$14,テーブル2[[#Headers],[学年]:[得点]],0)))</f>
        <v/>
      </c>
      <c r="F156" s="115" t="str">
        <f>IF($A156&gt;MAX(入力シート!$AH$6:$AH$505),"",INDEX(テーブル2[[学年]:[判定]],MATCH(体力優良証交付申請書!$A156,入力シート!$AH$6:$AH$505,0),MATCH(体力優良証交付申請書!F$14,テーブル2[[#Headers],[学年]:[得点]],0)))</f>
        <v/>
      </c>
      <c r="G156" s="115" t="str">
        <f>IF($A156&gt;MAX(入力シート!$AH$6:$AH$505),"",INDEX(テーブル2[[学年]:[判定]],MATCH(体力優良証交付申請書!$A156,入力シート!$AH$6:$AH$505,0),MATCH(体力優良証交付申請書!G$14,テーブル2[[#Headers],[学年]:[得点]],0)))</f>
        <v/>
      </c>
      <c r="H156" s="115" t="str">
        <f>IF($A156&gt;MAX(入力シート!$AH$6:$AH$505),"",INDEX(テーブル2[[学年]:[判定]],MATCH(体力優良証交付申請書!$A156,入力シート!$AH$6:$AH$505,0),MATCH(体力優良証交付申請書!H$14,テーブル2[[#Headers],[学年]:[得点]],0)))</f>
        <v/>
      </c>
      <c r="I156" s="115" t="str">
        <f>IF($A156&gt;MAX(入力シート!$AH$6:$AH$505),"",INDEX(テーブル2[[学年]:[判定]],MATCH(体力優良証交付申請書!$A156,入力シート!$AH$6:$AH$505,0),MATCH(体力優良証交付申請書!I$14,テーブル2[[#Headers],[学年]:[得点]],0)))</f>
        <v/>
      </c>
      <c r="J156" s="115" t="str">
        <f>IF($A156&gt;MAX(入力シート!$AH$6:$AH$505),"",INDEX(テーブル2[[学年]:[判定]],MATCH(体力優良証交付申請書!$A156,入力シート!$AH$6:$AH$505,0),MATCH(体力優良証交付申請書!J$14,テーブル2[[#Headers],[学年]:[得点]],0)))</f>
        <v/>
      </c>
      <c r="K156" s="129" t="str">
        <f>IF($A156&gt;MAX(入力シート!$AH$6:$AH$505),"",INDEX(テーブル2[[学年]:[判定]],MATCH(体力優良証交付申請書!$A156,入力シート!$AH$6:$AH$505,0),MATCH(体力優良証交付申請書!K$14,テーブル2[[#Headers],[学年]:[得点]],0)))</f>
        <v/>
      </c>
      <c r="L156" s="115" t="str">
        <f>IF($A156&gt;MAX(入力シート!$AH$6:$AH$505),"",INDEX(テーブル2[[学年]:[判定]],MATCH(体力優良証交付申請書!$A156,入力シート!$AH$6:$AH$505,0),MATCH(体力優良証交付申請書!L$14,テーブル2[[#Headers],[学年]:[得点]],0)))</f>
        <v/>
      </c>
      <c r="M156" s="115" t="str">
        <f>IF($A156&gt;MAX(入力シート!$AH$6:$AH$505),"",INDEX(テーブル2[[学年]:[判定]],MATCH(体力優良証交付申請書!$A156,入力シート!$AH$6:$AH$505,0),MATCH(体力優良証交付申請書!M$14,テーブル2[[#Headers],[学年]:[得点]],0)))</f>
        <v/>
      </c>
      <c r="N156" s="27" t="str">
        <f>IF($A156&gt;MAX(入力シート!$AH$6:$AH$505),"",INDEX(テーブル2[[学年]:[判定]],MATCH(体力優良証交付申請書!$A156,入力シート!$AH$6:$AH$505,0),MATCH(体力優良証交付申請書!N$14,テーブル2[[#Headers],[学年]:[得点]],0)))</f>
        <v/>
      </c>
    </row>
    <row r="157" spans="1:14" x14ac:dyDescent="0.15">
      <c r="A157" s="17">
        <v>143</v>
      </c>
      <c r="B157" s="115" t="str">
        <f>IF($A157&gt;MAX(入力シート!$AH$6:$AH$505),"",INDEX(テーブル2[[学年]:[判定]],MATCH(体力優良証交付申請書!$A157,入力シート!$AH$6:$AH$505,0),MATCH(体力優良証交付申請書!B$14,テーブル2[[#Headers],[学年]:[得点]],0)))</f>
        <v/>
      </c>
      <c r="C157" s="115" t="str">
        <f>IF($A157&gt;MAX(入力シート!$AH$6:$AH$505),"",INDEX(テーブル2[[学年]:[判定]],MATCH(体力優良証交付申請書!$A157,入力シート!$AH$6:$AH$505,0),MATCH(体力優良証交付申請書!C$14,テーブル2[[#Headers],[学年]:[得点]],0)))</f>
        <v/>
      </c>
      <c r="D157" s="115" t="str">
        <f>IF($A157&gt;MAX(入力シート!$AH$6:$AH$505),"",INDEX(テーブル2[[学年]:[判定]],MATCH(体力優良証交付申請書!$A157,入力シート!$AH$6:$AH$505,0),MATCH(体力優良証交付申請書!D$14,テーブル2[[#Headers],[学年]:[得点]],0)))</f>
        <v/>
      </c>
      <c r="E157" s="115" t="str">
        <f>IF($A157&gt;MAX(入力シート!$AH$6:$AH$505),"",INDEX(テーブル2[[学年]:[判定]],MATCH(体力優良証交付申請書!$A157,入力シート!$AH$6:$AH$505,0),MATCH(体力優良証交付申請書!E$14,テーブル2[[#Headers],[学年]:[得点]],0)))</f>
        <v/>
      </c>
      <c r="F157" s="115" t="str">
        <f>IF($A157&gt;MAX(入力シート!$AH$6:$AH$505),"",INDEX(テーブル2[[学年]:[判定]],MATCH(体力優良証交付申請書!$A157,入力シート!$AH$6:$AH$505,0),MATCH(体力優良証交付申請書!F$14,テーブル2[[#Headers],[学年]:[得点]],0)))</f>
        <v/>
      </c>
      <c r="G157" s="115" t="str">
        <f>IF($A157&gt;MAX(入力シート!$AH$6:$AH$505),"",INDEX(テーブル2[[学年]:[判定]],MATCH(体力優良証交付申請書!$A157,入力シート!$AH$6:$AH$505,0),MATCH(体力優良証交付申請書!G$14,テーブル2[[#Headers],[学年]:[得点]],0)))</f>
        <v/>
      </c>
      <c r="H157" s="115" t="str">
        <f>IF($A157&gt;MAX(入力シート!$AH$6:$AH$505),"",INDEX(テーブル2[[学年]:[判定]],MATCH(体力優良証交付申請書!$A157,入力シート!$AH$6:$AH$505,0),MATCH(体力優良証交付申請書!H$14,テーブル2[[#Headers],[学年]:[得点]],0)))</f>
        <v/>
      </c>
      <c r="I157" s="115" t="str">
        <f>IF($A157&gt;MAX(入力シート!$AH$6:$AH$505),"",INDEX(テーブル2[[学年]:[判定]],MATCH(体力優良証交付申請書!$A157,入力シート!$AH$6:$AH$505,0),MATCH(体力優良証交付申請書!I$14,テーブル2[[#Headers],[学年]:[得点]],0)))</f>
        <v/>
      </c>
      <c r="J157" s="115" t="str">
        <f>IF($A157&gt;MAX(入力シート!$AH$6:$AH$505),"",INDEX(テーブル2[[学年]:[判定]],MATCH(体力優良証交付申請書!$A157,入力シート!$AH$6:$AH$505,0),MATCH(体力優良証交付申請書!J$14,テーブル2[[#Headers],[学年]:[得点]],0)))</f>
        <v/>
      </c>
      <c r="K157" s="129" t="str">
        <f>IF($A157&gt;MAX(入力シート!$AH$6:$AH$505),"",INDEX(テーブル2[[学年]:[判定]],MATCH(体力優良証交付申請書!$A157,入力シート!$AH$6:$AH$505,0),MATCH(体力優良証交付申請書!K$14,テーブル2[[#Headers],[学年]:[得点]],0)))</f>
        <v/>
      </c>
      <c r="L157" s="115" t="str">
        <f>IF($A157&gt;MAX(入力シート!$AH$6:$AH$505),"",INDEX(テーブル2[[学年]:[判定]],MATCH(体力優良証交付申請書!$A157,入力シート!$AH$6:$AH$505,0),MATCH(体力優良証交付申請書!L$14,テーブル2[[#Headers],[学年]:[得点]],0)))</f>
        <v/>
      </c>
      <c r="M157" s="115" t="str">
        <f>IF($A157&gt;MAX(入力シート!$AH$6:$AH$505),"",INDEX(テーブル2[[学年]:[判定]],MATCH(体力優良証交付申請書!$A157,入力シート!$AH$6:$AH$505,0),MATCH(体力優良証交付申請書!M$14,テーブル2[[#Headers],[学年]:[得点]],0)))</f>
        <v/>
      </c>
      <c r="N157" s="27" t="str">
        <f>IF($A157&gt;MAX(入力シート!$AH$6:$AH$505),"",INDEX(テーブル2[[学年]:[判定]],MATCH(体力優良証交付申請書!$A157,入力シート!$AH$6:$AH$505,0),MATCH(体力優良証交付申請書!N$14,テーブル2[[#Headers],[学年]:[得点]],0)))</f>
        <v/>
      </c>
    </row>
    <row r="158" spans="1:14" x14ac:dyDescent="0.15">
      <c r="A158" s="17">
        <v>144</v>
      </c>
      <c r="B158" s="115" t="str">
        <f>IF($A158&gt;MAX(入力シート!$AH$6:$AH$505),"",INDEX(テーブル2[[学年]:[判定]],MATCH(体力優良証交付申請書!$A158,入力シート!$AH$6:$AH$505,0),MATCH(体力優良証交付申請書!B$14,テーブル2[[#Headers],[学年]:[得点]],0)))</f>
        <v/>
      </c>
      <c r="C158" s="115" t="str">
        <f>IF($A158&gt;MAX(入力シート!$AH$6:$AH$505),"",INDEX(テーブル2[[学年]:[判定]],MATCH(体力優良証交付申請書!$A158,入力シート!$AH$6:$AH$505,0),MATCH(体力優良証交付申請書!C$14,テーブル2[[#Headers],[学年]:[得点]],0)))</f>
        <v/>
      </c>
      <c r="D158" s="115" t="str">
        <f>IF($A158&gt;MAX(入力シート!$AH$6:$AH$505),"",INDEX(テーブル2[[学年]:[判定]],MATCH(体力優良証交付申請書!$A158,入力シート!$AH$6:$AH$505,0),MATCH(体力優良証交付申請書!D$14,テーブル2[[#Headers],[学年]:[得点]],0)))</f>
        <v/>
      </c>
      <c r="E158" s="115" t="str">
        <f>IF($A158&gt;MAX(入力シート!$AH$6:$AH$505),"",INDEX(テーブル2[[学年]:[判定]],MATCH(体力優良証交付申請書!$A158,入力シート!$AH$6:$AH$505,0),MATCH(体力優良証交付申請書!E$14,テーブル2[[#Headers],[学年]:[得点]],0)))</f>
        <v/>
      </c>
      <c r="F158" s="115" t="str">
        <f>IF($A158&gt;MAX(入力シート!$AH$6:$AH$505),"",INDEX(テーブル2[[学年]:[判定]],MATCH(体力優良証交付申請書!$A158,入力シート!$AH$6:$AH$505,0),MATCH(体力優良証交付申請書!F$14,テーブル2[[#Headers],[学年]:[得点]],0)))</f>
        <v/>
      </c>
      <c r="G158" s="115" t="str">
        <f>IF($A158&gt;MAX(入力シート!$AH$6:$AH$505),"",INDEX(テーブル2[[学年]:[判定]],MATCH(体力優良証交付申請書!$A158,入力シート!$AH$6:$AH$505,0),MATCH(体力優良証交付申請書!G$14,テーブル2[[#Headers],[学年]:[得点]],0)))</f>
        <v/>
      </c>
      <c r="H158" s="115" t="str">
        <f>IF($A158&gt;MAX(入力シート!$AH$6:$AH$505),"",INDEX(テーブル2[[学年]:[判定]],MATCH(体力優良証交付申請書!$A158,入力シート!$AH$6:$AH$505,0),MATCH(体力優良証交付申請書!H$14,テーブル2[[#Headers],[学年]:[得点]],0)))</f>
        <v/>
      </c>
      <c r="I158" s="115" t="str">
        <f>IF($A158&gt;MAX(入力シート!$AH$6:$AH$505),"",INDEX(テーブル2[[学年]:[判定]],MATCH(体力優良証交付申請書!$A158,入力シート!$AH$6:$AH$505,0),MATCH(体力優良証交付申請書!I$14,テーブル2[[#Headers],[学年]:[得点]],0)))</f>
        <v/>
      </c>
      <c r="J158" s="115" t="str">
        <f>IF($A158&gt;MAX(入力シート!$AH$6:$AH$505),"",INDEX(テーブル2[[学年]:[判定]],MATCH(体力優良証交付申請書!$A158,入力シート!$AH$6:$AH$505,0),MATCH(体力優良証交付申請書!J$14,テーブル2[[#Headers],[学年]:[得点]],0)))</f>
        <v/>
      </c>
      <c r="K158" s="129" t="str">
        <f>IF($A158&gt;MAX(入力シート!$AH$6:$AH$505),"",INDEX(テーブル2[[学年]:[判定]],MATCH(体力優良証交付申請書!$A158,入力シート!$AH$6:$AH$505,0),MATCH(体力優良証交付申請書!K$14,テーブル2[[#Headers],[学年]:[得点]],0)))</f>
        <v/>
      </c>
      <c r="L158" s="115" t="str">
        <f>IF($A158&gt;MAX(入力シート!$AH$6:$AH$505),"",INDEX(テーブル2[[学年]:[判定]],MATCH(体力優良証交付申請書!$A158,入力シート!$AH$6:$AH$505,0),MATCH(体力優良証交付申請書!L$14,テーブル2[[#Headers],[学年]:[得点]],0)))</f>
        <v/>
      </c>
      <c r="M158" s="115" t="str">
        <f>IF($A158&gt;MAX(入力シート!$AH$6:$AH$505),"",INDEX(テーブル2[[学年]:[判定]],MATCH(体力優良証交付申請書!$A158,入力シート!$AH$6:$AH$505,0),MATCH(体力優良証交付申請書!M$14,テーブル2[[#Headers],[学年]:[得点]],0)))</f>
        <v/>
      </c>
      <c r="N158" s="27" t="str">
        <f>IF($A158&gt;MAX(入力シート!$AH$6:$AH$505),"",INDEX(テーブル2[[学年]:[判定]],MATCH(体力優良証交付申請書!$A158,入力シート!$AH$6:$AH$505,0),MATCH(体力優良証交付申請書!N$14,テーブル2[[#Headers],[学年]:[得点]],0)))</f>
        <v/>
      </c>
    </row>
    <row r="159" spans="1:14" x14ac:dyDescent="0.15">
      <c r="A159" s="17">
        <v>145</v>
      </c>
      <c r="B159" s="115" t="str">
        <f>IF($A159&gt;MAX(入力シート!$AH$6:$AH$505),"",INDEX(テーブル2[[学年]:[判定]],MATCH(体力優良証交付申請書!$A159,入力シート!$AH$6:$AH$505,0),MATCH(体力優良証交付申請書!B$14,テーブル2[[#Headers],[学年]:[得点]],0)))</f>
        <v/>
      </c>
      <c r="C159" s="115" t="str">
        <f>IF($A159&gt;MAX(入力シート!$AH$6:$AH$505),"",INDEX(テーブル2[[学年]:[判定]],MATCH(体力優良証交付申請書!$A159,入力シート!$AH$6:$AH$505,0),MATCH(体力優良証交付申請書!C$14,テーブル2[[#Headers],[学年]:[得点]],0)))</f>
        <v/>
      </c>
      <c r="D159" s="115" t="str">
        <f>IF($A159&gt;MAX(入力シート!$AH$6:$AH$505),"",INDEX(テーブル2[[学年]:[判定]],MATCH(体力優良証交付申請書!$A159,入力シート!$AH$6:$AH$505,0),MATCH(体力優良証交付申請書!D$14,テーブル2[[#Headers],[学年]:[得点]],0)))</f>
        <v/>
      </c>
      <c r="E159" s="115" t="str">
        <f>IF($A159&gt;MAX(入力シート!$AH$6:$AH$505),"",INDEX(テーブル2[[学年]:[判定]],MATCH(体力優良証交付申請書!$A159,入力シート!$AH$6:$AH$505,0),MATCH(体力優良証交付申請書!E$14,テーブル2[[#Headers],[学年]:[得点]],0)))</f>
        <v/>
      </c>
      <c r="F159" s="115" t="str">
        <f>IF($A159&gt;MAX(入力シート!$AH$6:$AH$505),"",INDEX(テーブル2[[学年]:[判定]],MATCH(体力優良証交付申請書!$A159,入力シート!$AH$6:$AH$505,0),MATCH(体力優良証交付申請書!F$14,テーブル2[[#Headers],[学年]:[得点]],0)))</f>
        <v/>
      </c>
      <c r="G159" s="115" t="str">
        <f>IF($A159&gt;MAX(入力シート!$AH$6:$AH$505),"",INDEX(テーブル2[[学年]:[判定]],MATCH(体力優良証交付申請書!$A159,入力シート!$AH$6:$AH$505,0),MATCH(体力優良証交付申請書!G$14,テーブル2[[#Headers],[学年]:[得点]],0)))</f>
        <v/>
      </c>
      <c r="H159" s="115" t="str">
        <f>IF($A159&gt;MAX(入力シート!$AH$6:$AH$505),"",INDEX(テーブル2[[学年]:[判定]],MATCH(体力優良証交付申請書!$A159,入力シート!$AH$6:$AH$505,0),MATCH(体力優良証交付申請書!H$14,テーブル2[[#Headers],[学年]:[得点]],0)))</f>
        <v/>
      </c>
      <c r="I159" s="115" t="str">
        <f>IF($A159&gt;MAX(入力シート!$AH$6:$AH$505),"",INDEX(テーブル2[[学年]:[判定]],MATCH(体力優良証交付申請書!$A159,入力シート!$AH$6:$AH$505,0),MATCH(体力優良証交付申請書!I$14,テーブル2[[#Headers],[学年]:[得点]],0)))</f>
        <v/>
      </c>
      <c r="J159" s="115" t="str">
        <f>IF($A159&gt;MAX(入力シート!$AH$6:$AH$505),"",INDEX(テーブル2[[学年]:[判定]],MATCH(体力優良証交付申請書!$A159,入力シート!$AH$6:$AH$505,0),MATCH(体力優良証交付申請書!J$14,テーブル2[[#Headers],[学年]:[得点]],0)))</f>
        <v/>
      </c>
      <c r="K159" s="129" t="str">
        <f>IF($A159&gt;MAX(入力シート!$AH$6:$AH$505),"",INDEX(テーブル2[[学年]:[判定]],MATCH(体力優良証交付申請書!$A159,入力シート!$AH$6:$AH$505,0),MATCH(体力優良証交付申請書!K$14,テーブル2[[#Headers],[学年]:[得点]],0)))</f>
        <v/>
      </c>
      <c r="L159" s="115" t="str">
        <f>IF($A159&gt;MAX(入力シート!$AH$6:$AH$505),"",INDEX(テーブル2[[学年]:[判定]],MATCH(体力優良証交付申請書!$A159,入力シート!$AH$6:$AH$505,0),MATCH(体力優良証交付申請書!L$14,テーブル2[[#Headers],[学年]:[得点]],0)))</f>
        <v/>
      </c>
      <c r="M159" s="115" t="str">
        <f>IF($A159&gt;MAX(入力シート!$AH$6:$AH$505),"",INDEX(テーブル2[[学年]:[判定]],MATCH(体力優良証交付申請書!$A159,入力シート!$AH$6:$AH$505,0),MATCH(体力優良証交付申請書!M$14,テーブル2[[#Headers],[学年]:[得点]],0)))</f>
        <v/>
      </c>
      <c r="N159" s="27" t="str">
        <f>IF($A159&gt;MAX(入力シート!$AH$6:$AH$505),"",INDEX(テーブル2[[学年]:[判定]],MATCH(体力優良証交付申請書!$A159,入力シート!$AH$6:$AH$505,0),MATCH(体力優良証交付申請書!N$14,テーブル2[[#Headers],[学年]:[得点]],0)))</f>
        <v/>
      </c>
    </row>
    <row r="160" spans="1:14" x14ac:dyDescent="0.15">
      <c r="A160" s="17">
        <v>146</v>
      </c>
      <c r="B160" s="115" t="str">
        <f>IF($A160&gt;MAX(入力シート!$AH$6:$AH$505),"",INDEX(テーブル2[[学年]:[判定]],MATCH(体力優良証交付申請書!$A160,入力シート!$AH$6:$AH$505,0),MATCH(体力優良証交付申請書!B$14,テーブル2[[#Headers],[学年]:[得点]],0)))</f>
        <v/>
      </c>
      <c r="C160" s="115" t="str">
        <f>IF($A160&gt;MAX(入力シート!$AH$6:$AH$505),"",INDEX(テーブル2[[学年]:[判定]],MATCH(体力優良証交付申請書!$A160,入力シート!$AH$6:$AH$505,0),MATCH(体力優良証交付申請書!C$14,テーブル2[[#Headers],[学年]:[得点]],0)))</f>
        <v/>
      </c>
      <c r="D160" s="115" t="str">
        <f>IF($A160&gt;MAX(入力シート!$AH$6:$AH$505),"",INDEX(テーブル2[[学年]:[判定]],MATCH(体力優良証交付申請書!$A160,入力シート!$AH$6:$AH$505,0),MATCH(体力優良証交付申請書!D$14,テーブル2[[#Headers],[学年]:[得点]],0)))</f>
        <v/>
      </c>
      <c r="E160" s="115" t="str">
        <f>IF($A160&gt;MAX(入力シート!$AH$6:$AH$505),"",INDEX(テーブル2[[学年]:[判定]],MATCH(体力優良証交付申請書!$A160,入力シート!$AH$6:$AH$505,0),MATCH(体力優良証交付申請書!E$14,テーブル2[[#Headers],[学年]:[得点]],0)))</f>
        <v/>
      </c>
      <c r="F160" s="115" t="str">
        <f>IF($A160&gt;MAX(入力シート!$AH$6:$AH$505),"",INDEX(テーブル2[[学年]:[判定]],MATCH(体力優良証交付申請書!$A160,入力シート!$AH$6:$AH$505,0),MATCH(体力優良証交付申請書!F$14,テーブル2[[#Headers],[学年]:[得点]],0)))</f>
        <v/>
      </c>
      <c r="G160" s="115" t="str">
        <f>IF($A160&gt;MAX(入力シート!$AH$6:$AH$505),"",INDEX(テーブル2[[学年]:[判定]],MATCH(体力優良証交付申請書!$A160,入力シート!$AH$6:$AH$505,0),MATCH(体力優良証交付申請書!G$14,テーブル2[[#Headers],[学年]:[得点]],0)))</f>
        <v/>
      </c>
      <c r="H160" s="115" t="str">
        <f>IF($A160&gt;MAX(入力シート!$AH$6:$AH$505),"",INDEX(テーブル2[[学年]:[判定]],MATCH(体力優良証交付申請書!$A160,入力シート!$AH$6:$AH$505,0),MATCH(体力優良証交付申請書!H$14,テーブル2[[#Headers],[学年]:[得点]],0)))</f>
        <v/>
      </c>
      <c r="I160" s="115" t="str">
        <f>IF($A160&gt;MAX(入力シート!$AH$6:$AH$505),"",INDEX(テーブル2[[学年]:[判定]],MATCH(体力優良証交付申請書!$A160,入力シート!$AH$6:$AH$505,0),MATCH(体力優良証交付申請書!I$14,テーブル2[[#Headers],[学年]:[得点]],0)))</f>
        <v/>
      </c>
      <c r="J160" s="115" t="str">
        <f>IF($A160&gt;MAX(入力シート!$AH$6:$AH$505),"",INDEX(テーブル2[[学年]:[判定]],MATCH(体力優良証交付申請書!$A160,入力シート!$AH$6:$AH$505,0),MATCH(体力優良証交付申請書!J$14,テーブル2[[#Headers],[学年]:[得点]],0)))</f>
        <v/>
      </c>
      <c r="K160" s="129" t="str">
        <f>IF($A160&gt;MAX(入力シート!$AH$6:$AH$505),"",INDEX(テーブル2[[学年]:[判定]],MATCH(体力優良証交付申請書!$A160,入力シート!$AH$6:$AH$505,0),MATCH(体力優良証交付申請書!K$14,テーブル2[[#Headers],[学年]:[得点]],0)))</f>
        <v/>
      </c>
      <c r="L160" s="115" t="str">
        <f>IF($A160&gt;MAX(入力シート!$AH$6:$AH$505),"",INDEX(テーブル2[[学年]:[判定]],MATCH(体力優良証交付申請書!$A160,入力シート!$AH$6:$AH$505,0),MATCH(体力優良証交付申請書!L$14,テーブル2[[#Headers],[学年]:[得点]],0)))</f>
        <v/>
      </c>
      <c r="M160" s="115" t="str">
        <f>IF($A160&gt;MAX(入力シート!$AH$6:$AH$505),"",INDEX(テーブル2[[学年]:[判定]],MATCH(体力優良証交付申請書!$A160,入力シート!$AH$6:$AH$505,0),MATCH(体力優良証交付申請書!M$14,テーブル2[[#Headers],[学年]:[得点]],0)))</f>
        <v/>
      </c>
      <c r="N160" s="27" t="str">
        <f>IF($A160&gt;MAX(入力シート!$AH$6:$AH$505),"",INDEX(テーブル2[[学年]:[判定]],MATCH(体力優良証交付申請書!$A160,入力シート!$AH$6:$AH$505,0),MATCH(体力優良証交付申請書!N$14,テーブル2[[#Headers],[学年]:[得点]],0)))</f>
        <v/>
      </c>
    </row>
    <row r="161" spans="1:14" x14ac:dyDescent="0.15">
      <c r="A161" s="17">
        <v>147</v>
      </c>
      <c r="B161" s="115" t="str">
        <f>IF($A161&gt;MAX(入力シート!$AH$6:$AH$505),"",INDEX(テーブル2[[学年]:[判定]],MATCH(体力優良証交付申請書!$A161,入力シート!$AH$6:$AH$505,0),MATCH(体力優良証交付申請書!B$14,テーブル2[[#Headers],[学年]:[得点]],0)))</f>
        <v/>
      </c>
      <c r="C161" s="115" t="str">
        <f>IF($A161&gt;MAX(入力シート!$AH$6:$AH$505),"",INDEX(テーブル2[[学年]:[判定]],MATCH(体力優良証交付申請書!$A161,入力シート!$AH$6:$AH$505,0),MATCH(体力優良証交付申請書!C$14,テーブル2[[#Headers],[学年]:[得点]],0)))</f>
        <v/>
      </c>
      <c r="D161" s="115" t="str">
        <f>IF($A161&gt;MAX(入力シート!$AH$6:$AH$505),"",INDEX(テーブル2[[学年]:[判定]],MATCH(体力優良証交付申請書!$A161,入力シート!$AH$6:$AH$505,0),MATCH(体力優良証交付申請書!D$14,テーブル2[[#Headers],[学年]:[得点]],0)))</f>
        <v/>
      </c>
      <c r="E161" s="115" t="str">
        <f>IF($A161&gt;MAX(入力シート!$AH$6:$AH$505),"",INDEX(テーブル2[[学年]:[判定]],MATCH(体力優良証交付申請書!$A161,入力シート!$AH$6:$AH$505,0),MATCH(体力優良証交付申請書!E$14,テーブル2[[#Headers],[学年]:[得点]],0)))</f>
        <v/>
      </c>
      <c r="F161" s="115" t="str">
        <f>IF($A161&gt;MAX(入力シート!$AH$6:$AH$505),"",INDEX(テーブル2[[学年]:[判定]],MATCH(体力優良証交付申請書!$A161,入力シート!$AH$6:$AH$505,0),MATCH(体力優良証交付申請書!F$14,テーブル2[[#Headers],[学年]:[得点]],0)))</f>
        <v/>
      </c>
      <c r="G161" s="115" t="str">
        <f>IF($A161&gt;MAX(入力シート!$AH$6:$AH$505),"",INDEX(テーブル2[[学年]:[判定]],MATCH(体力優良証交付申請書!$A161,入力シート!$AH$6:$AH$505,0),MATCH(体力優良証交付申請書!G$14,テーブル2[[#Headers],[学年]:[得点]],0)))</f>
        <v/>
      </c>
      <c r="H161" s="115" t="str">
        <f>IF($A161&gt;MAX(入力シート!$AH$6:$AH$505),"",INDEX(テーブル2[[学年]:[判定]],MATCH(体力優良証交付申請書!$A161,入力シート!$AH$6:$AH$505,0),MATCH(体力優良証交付申請書!H$14,テーブル2[[#Headers],[学年]:[得点]],0)))</f>
        <v/>
      </c>
      <c r="I161" s="115" t="str">
        <f>IF($A161&gt;MAX(入力シート!$AH$6:$AH$505),"",INDEX(テーブル2[[学年]:[判定]],MATCH(体力優良証交付申請書!$A161,入力シート!$AH$6:$AH$505,0),MATCH(体力優良証交付申請書!I$14,テーブル2[[#Headers],[学年]:[得点]],0)))</f>
        <v/>
      </c>
      <c r="J161" s="115" t="str">
        <f>IF($A161&gt;MAX(入力シート!$AH$6:$AH$505),"",INDEX(テーブル2[[学年]:[判定]],MATCH(体力優良証交付申請書!$A161,入力シート!$AH$6:$AH$505,0),MATCH(体力優良証交付申請書!J$14,テーブル2[[#Headers],[学年]:[得点]],0)))</f>
        <v/>
      </c>
      <c r="K161" s="129" t="str">
        <f>IF($A161&gt;MAX(入力シート!$AH$6:$AH$505),"",INDEX(テーブル2[[学年]:[判定]],MATCH(体力優良証交付申請書!$A161,入力シート!$AH$6:$AH$505,0),MATCH(体力優良証交付申請書!K$14,テーブル2[[#Headers],[学年]:[得点]],0)))</f>
        <v/>
      </c>
      <c r="L161" s="115" t="str">
        <f>IF($A161&gt;MAX(入力シート!$AH$6:$AH$505),"",INDEX(テーブル2[[学年]:[判定]],MATCH(体力優良証交付申請書!$A161,入力シート!$AH$6:$AH$505,0),MATCH(体力優良証交付申請書!L$14,テーブル2[[#Headers],[学年]:[得点]],0)))</f>
        <v/>
      </c>
      <c r="M161" s="115" t="str">
        <f>IF($A161&gt;MAX(入力シート!$AH$6:$AH$505),"",INDEX(テーブル2[[学年]:[判定]],MATCH(体力優良証交付申請書!$A161,入力シート!$AH$6:$AH$505,0),MATCH(体力優良証交付申請書!M$14,テーブル2[[#Headers],[学年]:[得点]],0)))</f>
        <v/>
      </c>
      <c r="N161" s="27" t="str">
        <f>IF($A161&gt;MAX(入力シート!$AH$6:$AH$505),"",INDEX(テーブル2[[学年]:[判定]],MATCH(体力優良証交付申請書!$A161,入力シート!$AH$6:$AH$505,0),MATCH(体力優良証交付申請書!N$14,テーブル2[[#Headers],[学年]:[得点]],0)))</f>
        <v/>
      </c>
    </row>
    <row r="162" spans="1:14" x14ac:dyDescent="0.15">
      <c r="A162" s="17">
        <v>148</v>
      </c>
      <c r="B162" s="115" t="str">
        <f>IF($A162&gt;MAX(入力シート!$AH$6:$AH$505),"",INDEX(テーブル2[[学年]:[判定]],MATCH(体力優良証交付申請書!$A162,入力シート!$AH$6:$AH$505,0),MATCH(体力優良証交付申請書!B$14,テーブル2[[#Headers],[学年]:[得点]],0)))</f>
        <v/>
      </c>
      <c r="C162" s="115" t="str">
        <f>IF($A162&gt;MAX(入力シート!$AH$6:$AH$505),"",INDEX(テーブル2[[学年]:[判定]],MATCH(体力優良証交付申請書!$A162,入力シート!$AH$6:$AH$505,0),MATCH(体力優良証交付申請書!C$14,テーブル2[[#Headers],[学年]:[得点]],0)))</f>
        <v/>
      </c>
      <c r="D162" s="115" t="str">
        <f>IF($A162&gt;MAX(入力シート!$AH$6:$AH$505),"",INDEX(テーブル2[[学年]:[判定]],MATCH(体力優良証交付申請書!$A162,入力シート!$AH$6:$AH$505,0),MATCH(体力優良証交付申請書!D$14,テーブル2[[#Headers],[学年]:[得点]],0)))</f>
        <v/>
      </c>
      <c r="E162" s="115" t="str">
        <f>IF($A162&gt;MAX(入力シート!$AH$6:$AH$505),"",INDEX(テーブル2[[学年]:[判定]],MATCH(体力優良証交付申請書!$A162,入力シート!$AH$6:$AH$505,0),MATCH(体力優良証交付申請書!E$14,テーブル2[[#Headers],[学年]:[得点]],0)))</f>
        <v/>
      </c>
      <c r="F162" s="115" t="str">
        <f>IF($A162&gt;MAX(入力シート!$AH$6:$AH$505),"",INDEX(テーブル2[[学年]:[判定]],MATCH(体力優良証交付申請書!$A162,入力シート!$AH$6:$AH$505,0),MATCH(体力優良証交付申請書!F$14,テーブル2[[#Headers],[学年]:[得点]],0)))</f>
        <v/>
      </c>
      <c r="G162" s="115" t="str">
        <f>IF($A162&gt;MAX(入力シート!$AH$6:$AH$505),"",INDEX(テーブル2[[学年]:[判定]],MATCH(体力優良証交付申請書!$A162,入力シート!$AH$6:$AH$505,0),MATCH(体力優良証交付申請書!G$14,テーブル2[[#Headers],[学年]:[得点]],0)))</f>
        <v/>
      </c>
      <c r="H162" s="115" t="str">
        <f>IF($A162&gt;MAX(入力シート!$AH$6:$AH$505),"",INDEX(テーブル2[[学年]:[判定]],MATCH(体力優良証交付申請書!$A162,入力シート!$AH$6:$AH$505,0),MATCH(体力優良証交付申請書!H$14,テーブル2[[#Headers],[学年]:[得点]],0)))</f>
        <v/>
      </c>
      <c r="I162" s="115" t="str">
        <f>IF($A162&gt;MAX(入力シート!$AH$6:$AH$505),"",INDEX(テーブル2[[学年]:[判定]],MATCH(体力優良証交付申請書!$A162,入力シート!$AH$6:$AH$505,0),MATCH(体力優良証交付申請書!I$14,テーブル2[[#Headers],[学年]:[得点]],0)))</f>
        <v/>
      </c>
      <c r="J162" s="115" t="str">
        <f>IF($A162&gt;MAX(入力シート!$AH$6:$AH$505),"",INDEX(テーブル2[[学年]:[判定]],MATCH(体力優良証交付申請書!$A162,入力シート!$AH$6:$AH$505,0),MATCH(体力優良証交付申請書!J$14,テーブル2[[#Headers],[学年]:[得点]],0)))</f>
        <v/>
      </c>
      <c r="K162" s="129" t="str">
        <f>IF($A162&gt;MAX(入力シート!$AH$6:$AH$505),"",INDEX(テーブル2[[学年]:[判定]],MATCH(体力優良証交付申請書!$A162,入力シート!$AH$6:$AH$505,0),MATCH(体力優良証交付申請書!K$14,テーブル2[[#Headers],[学年]:[得点]],0)))</f>
        <v/>
      </c>
      <c r="L162" s="115" t="str">
        <f>IF($A162&gt;MAX(入力シート!$AH$6:$AH$505),"",INDEX(テーブル2[[学年]:[判定]],MATCH(体力優良証交付申請書!$A162,入力シート!$AH$6:$AH$505,0),MATCH(体力優良証交付申請書!L$14,テーブル2[[#Headers],[学年]:[得点]],0)))</f>
        <v/>
      </c>
      <c r="M162" s="115" t="str">
        <f>IF($A162&gt;MAX(入力シート!$AH$6:$AH$505),"",INDEX(テーブル2[[学年]:[判定]],MATCH(体力優良証交付申請書!$A162,入力シート!$AH$6:$AH$505,0),MATCH(体力優良証交付申請書!M$14,テーブル2[[#Headers],[学年]:[得点]],0)))</f>
        <v/>
      </c>
      <c r="N162" s="27" t="str">
        <f>IF($A162&gt;MAX(入力シート!$AH$6:$AH$505),"",INDEX(テーブル2[[学年]:[判定]],MATCH(体力優良証交付申請書!$A162,入力シート!$AH$6:$AH$505,0),MATCH(体力優良証交付申請書!N$14,テーブル2[[#Headers],[学年]:[得点]],0)))</f>
        <v/>
      </c>
    </row>
    <row r="163" spans="1:14" x14ac:dyDescent="0.15">
      <c r="A163" s="17">
        <v>149</v>
      </c>
      <c r="B163" s="115" t="str">
        <f>IF($A163&gt;MAX(入力シート!$AH$6:$AH$505),"",INDEX(テーブル2[[学年]:[判定]],MATCH(体力優良証交付申請書!$A163,入力シート!$AH$6:$AH$505,0),MATCH(体力優良証交付申請書!B$14,テーブル2[[#Headers],[学年]:[得点]],0)))</f>
        <v/>
      </c>
      <c r="C163" s="115" t="str">
        <f>IF($A163&gt;MAX(入力シート!$AH$6:$AH$505),"",INDEX(テーブル2[[学年]:[判定]],MATCH(体力優良証交付申請書!$A163,入力シート!$AH$6:$AH$505,0),MATCH(体力優良証交付申請書!C$14,テーブル2[[#Headers],[学年]:[得点]],0)))</f>
        <v/>
      </c>
      <c r="D163" s="115" t="str">
        <f>IF($A163&gt;MAX(入力シート!$AH$6:$AH$505),"",INDEX(テーブル2[[学年]:[判定]],MATCH(体力優良証交付申請書!$A163,入力シート!$AH$6:$AH$505,0),MATCH(体力優良証交付申請書!D$14,テーブル2[[#Headers],[学年]:[得点]],0)))</f>
        <v/>
      </c>
      <c r="E163" s="115" t="str">
        <f>IF($A163&gt;MAX(入力シート!$AH$6:$AH$505),"",INDEX(テーブル2[[学年]:[判定]],MATCH(体力優良証交付申請書!$A163,入力シート!$AH$6:$AH$505,0),MATCH(体力優良証交付申請書!E$14,テーブル2[[#Headers],[学年]:[得点]],0)))</f>
        <v/>
      </c>
      <c r="F163" s="115" t="str">
        <f>IF($A163&gt;MAX(入力シート!$AH$6:$AH$505),"",INDEX(テーブル2[[学年]:[判定]],MATCH(体力優良証交付申請書!$A163,入力シート!$AH$6:$AH$505,0),MATCH(体力優良証交付申請書!F$14,テーブル2[[#Headers],[学年]:[得点]],0)))</f>
        <v/>
      </c>
      <c r="G163" s="115" t="str">
        <f>IF($A163&gt;MAX(入力シート!$AH$6:$AH$505),"",INDEX(テーブル2[[学年]:[判定]],MATCH(体力優良証交付申請書!$A163,入力シート!$AH$6:$AH$505,0),MATCH(体力優良証交付申請書!G$14,テーブル2[[#Headers],[学年]:[得点]],0)))</f>
        <v/>
      </c>
      <c r="H163" s="115" t="str">
        <f>IF($A163&gt;MAX(入力シート!$AH$6:$AH$505),"",INDEX(テーブル2[[学年]:[判定]],MATCH(体力優良証交付申請書!$A163,入力シート!$AH$6:$AH$505,0),MATCH(体力優良証交付申請書!H$14,テーブル2[[#Headers],[学年]:[得点]],0)))</f>
        <v/>
      </c>
      <c r="I163" s="115" t="str">
        <f>IF($A163&gt;MAX(入力シート!$AH$6:$AH$505),"",INDEX(テーブル2[[学年]:[判定]],MATCH(体力優良証交付申請書!$A163,入力シート!$AH$6:$AH$505,0),MATCH(体力優良証交付申請書!I$14,テーブル2[[#Headers],[学年]:[得点]],0)))</f>
        <v/>
      </c>
      <c r="J163" s="115" t="str">
        <f>IF($A163&gt;MAX(入力シート!$AH$6:$AH$505),"",INDEX(テーブル2[[学年]:[判定]],MATCH(体力優良証交付申請書!$A163,入力シート!$AH$6:$AH$505,0),MATCH(体力優良証交付申請書!J$14,テーブル2[[#Headers],[学年]:[得点]],0)))</f>
        <v/>
      </c>
      <c r="K163" s="129" t="str">
        <f>IF($A163&gt;MAX(入力シート!$AH$6:$AH$505),"",INDEX(テーブル2[[学年]:[判定]],MATCH(体力優良証交付申請書!$A163,入力シート!$AH$6:$AH$505,0),MATCH(体力優良証交付申請書!K$14,テーブル2[[#Headers],[学年]:[得点]],0)))</f>
        <v/>
      </c>
      <c r="L163" s="115" t="str">
        <f>IF($A163&gt;MAX(入力シート!$AH$6:$AH$505),"",INDEX(テーブル2[[学年]:[判定]],MATCH(体力優良証交付申請書!$A163,入力シート!$AH$6:$AH$505,0),MATCH(体力優良証交付申請書!L$14,テーブル2[[#Headers],[学年]:[得点]],0)))</f>
        <v/>
      </c>
      <c r="M163" s="115" t="str">
        <f>IF($A163&gt;MAX(入力シート!$AH$6:$AH$505),"",INDEX(テーブル2[[学年]:[判定]],MATCH(体力優良証交付申請書!$A163,入力シート!$AH$6:$AH$505,0),MATCH(体力優良証交付申請書!M$14,テーブル2[[#Headers],[学年]:[得点]],0)))</f>
        <v/>
      </c>
      <c r="N163" s="27" t="str">
        <f>IF($A163&gt;MAX(入力シート!$AH$6:$AH$505),"",INDEX(テーブル2[[学年]:[判定]],MATCH(体力優良証交付申請書!$A163,入力シート!$AH$6:$AH$505,0),MATCH(体力優良証交付申請書!N$14,テーブル2[[#Headers],[学年]:[得点]],0)))</f>
        <v/>
      </c>
    </row>
    <row r="164" spans="1:14" x14ac:dyDescent="0.15">
      <c r="A164" s="17">
        <v>150</v>
      </c>
      <c r="B164" s="115" t="str">
        <f>IF($A164&gt;MAX(入力シート!$AH$6:$AH$505),"",INDEX(テーブル2[[学年]:[判定]],MATCH(体力優良証交付申請書!$A164,入力シート!$AH$6:$AH$505,0),MATCH(体力優良証交付申請書!B$14,テーブル2[[#Headers],[学年]:[得点]],0)))</f>
        <v/>
      </c>
      <c r="C164" s="115" t="str">
        <f>IF($A164&gt;MAX(入力シート!$AH$6:$AH$505),"",INDEX(テーブル2[[学年]:[判定]],MATCH(体力優良証交付申請書!$A164,入力シート!$AH$6:$AH$505,0),MATCH(体力優良証交付申請書!C$14,テーブル2[[#Headers],[学年]:[得点]],0)))</f>
        <v/>
      </c>
      <c r="D164" s="115" t="str">
        <f>IF($A164&gt;MAX(入力シート!$AH$6:$AH$505),"",INDEX(テーブル2[[学年]:[判定]],MATCH(体力優良証交付申請書!$A164,入力シート!$AH$6:$AH$505,0),MATCH(体力優良証交付申請書!D$14,テーブル2[[#Headers],[学年]:[得点]],0)))</f>
        <v/>
      </c>
      <c r="E164" s="115" t="str">
        <f>IF($A164&gt;MAX(入力シート!$AH$6:$AH$505),"",INDEX(テーブル2[[学年]:[判定]],MATCH(体力優良証交付申請書!$A164,入力シート!$AH$6:$AH$505,0),MATCH(体力優良証交付申請書!E$14,テーブル2[[#Headers],[学年]:[得点]],0)))</f>
        <v/>
      </c>
      <c r="F164" s="115" t="str">
        <f>IF($A164&gt;MAX(入力シート!$AH$6:$AH$505),"",INDEX(テーブル2[[学年]:[判定]],MATCH(体力優良証交付申請書!$A164,入力シート!$AH$6:$AH$505,0),MATCH(体力優良証交付申請書!F$14,テーブル2[[#Headers],[学年]:[得点]],0)))</f>
        <v/>
      </c>
      <c r="G164" s="115" t="str">
        <f>IF($A164&gt;MAX(入力シート!$AH$6:$AH$505),"",INDEX(テーブル2[[学年]:[判定]],MATCH(体力優良証交付申請書!$A164,入力シート!$AH$6:$AH$505,0),MATCH(体力優良証交付申請書!G$14,テーブル2[[#Headers],[学年]:[得点]],0)))</f>
        <v/>
      </c>
      <c r="H164" s="115" t="str">
        <f>IF($A164&gt;MAX(入力シート!$AH$6:$AH$505),"",INDEX(テーブル2[[学年]:[判定]],MATCH(体力優良証交付申請書!$A164,入力シート!$AH$6:$AH$505,0),MATCH(体力優良証交付申請書!H$14,テーブル2[[#Headers],[学年]:[得点]],0)))</f>
        <v/>
      </c>
      <c r="I164" s="115" t="str">
        <f>IF($A164&gt;MAX(入力シート!$AH$6:$AH$505),"",INDEX(テーブル2[[学年]:[判定]],MATCH(体力優良証交付申請書!$A164,入力シート!$AH$6:$AH$505,0),MATCH(体力優良証交付申請書!I$14,テーブル2[[#Headers],[学年]:[得点]],0)))</f>
        <v/>
      </c>
      <c r="J164" s="115" t="str">
        <f>IF($A164&gt;MAX(入力シート!$AH$6:$AH$505),"",INDEX(テーブル2[[学年]:[判定]],MATCH(体力優良証交付申請書!$A164,入力シート!$AH$6:$AH$505,0),MATCH(体力優良証交付申請書!J$14,テーブル2[[#Headers],[学年]:[得点]],0)))</f>
        <v/>
      </c>
      <c r="K164" s="129" t="str">
        <f>IF($A164&gt;MAX(入力シート!$AH$6:$AH$505),"",INDEX(テーブル2[[学年]:[判定]],MATCH(体力優良証交付申請書!$A164,入力シート!$AH$6:$AH$505,0),MATCH(体力優良証交付申請書!K$14,テーブル2[[#Headers],[学年]:[得点]],0)))</f>
        <v/>
      </c>
      <c r="L164" s="115" t="str">
        <f>IF($A164&gt;MAX(入力シート!$AH$6:$AH$505),"",INDEX(テーブル2[[学年]:[判定]],MATCH(体力優良証交付申請書!$A164,入力シート!$AH$6:$AH$505,0),MATCH(体力優良証交付申請書!L$14,テーブル2[[#Headers],[学年]:[得点]],0)))</f>
        <v/>
      </c>
      <c r="M164" s="115" t="str">
        <f>IF($A164&gt;MAX(入力シート!$AH$6:$AH$505),"",INDEX(テーブル2[[学年]:[判定]],MATCH(体力優良証交付申請書!$A164,入力シート!$AH$6:$AH$505,0),MATCH(体力優良証交付申請書!M$14,テーブル2[[#Headers],[学年]:[得点]],0)))</f>
        <v/>
      </c>
      <c r="N164" s="27" t="str">
        <f>IF($A164&gt;MAX(入力シート!$AH$6:$AH$505),"",INDEX(テーブル2[[学年]:[判定]],MATCH(体力優良証交付申請書!$A164,入力シート!$AH$6:$AH$505,0),MATCH(体力優良証交付申請書!N$14,テーブル2[[#Headers],[学年]:[得点]],0)))</f>
        <v/>
      </c>
    </row>
    <row r="165" spans="1:14" x14ac:dyDescent="0.15">
      <c r="A165" s="17">
        <v>151</v>
      </c>
      <c r="B165" s="115" t="str">
        <f>IF($A165&gt;MAX(入力シート!$AH$6:$AH$505),"",INDEX(テーブル2[[学年]:[判定]],MATCH(体力優良証交付申請書!$A165,入力シート!$AH$6:$AH$505,0),MATCH(体力優良証交付申請書!B$14,テーブル2[[#Headers],[学年]:[得点]],0)))</f>
        <v/>
      </c>
      <c r="C165" s="115" t="str">
        <f>IF($A165&gt;MAX(入力シート!$AH$6:$AH$505),"",INDEX(テーブル2[[学年]:[判定]],MATCH(体力優良証交付申請書!$A165,入力シート!$AH$6:$AH$505,0),MATCH(体力優良証交付申請書!C$14,テーブル2[[#Headers],[学年]:[得点]],0)))</f>
        <v/>
      </c>
      <c r="D165" s="115" t="str">
        <f>IF($A165&gt;MAX(入力シート!$AH$6:$AH$505),"",INDEX(テーブル2[[学年]:[判定]],MATCH(体力優良証交付申請書!$A165,入力シート!$AH$6:$AH$505,0),MATCH(体力優良証交付申請書!D$14,テーブル2[[#Headers],[学年]:[得点]],0)))</f>
        <v/>
      </c>
      <c r="E165" s="115" t="str">
        <f>IF($A165&gt;MAX(入力シート!$AH$6:$AH$505),"",INDEX(テーブル2[[学年]:[判定]],MATCH(体力優良証交付申請書!$A165,入力シート!$AH$6:$AH$505,0),MATCH(体力優良証交付申請書!E$14,テーブル2[[#Headers],[学年]:[得点]],0)))</f>
        <v/>
      </c>
      <c r="F165" s="115" t="str">
        <f>IF($A165&gt;MAX(入力シート!$AH$6:$AH$505),"",INDEX(テーブル2[[学年]:[判定]],MATCH(体力優良証交付申請書!$A165,入力シート!$AH$6:$AH$505,0),MATCH(体力優良証交付申請書!F$14,テーブル2[[#Headers],[学年]:[得点]],0)))</f>
        <v/>
      </c>
      <c r="G165" s="115" t="str">
        <f>IF($A165&gt;MAX(入力シート!$AH$6:$AH$505),"",INDEX(テーブル2[[学年]:[判定]],MATCH(体力優良証交付申請書!$A165,入力シート!$AH$6:$AH$505,0),MATCH(体力優良証交付申請書!G$14,テーブル2[[#Headers],[学年]:[得点]],0)))</f>
        <v/>
      </c>
      <c r="H165" s="115" t="str">
        <f>IF($A165&gt;MAX(入力シート!$AH$6:$AH$505),"",INDEX(テーブル2[[学年]:[判定]],MATCH(体力優良証交付申請書!$A165,入力シート!$AH$6:$AH$505,0),MATCH(体力優良証交付申請書!H$14,テーブル2[[#Headers],[学年]:[得点]],0)))</f>
        <v/>
      </c>
      <c r="I165" s="115" t="str">
        <f>IF($A165&gt;MAX(入力シート!$AH$6:$AH$505),"",INDEX(テーブル2[[学年]:[判定]],MATCH(体力優良証交付申請書!$A165,入力シート!$AH$6:$AH$505,0),MATCH(体力優良証交付申請書!I$14,テーブル2[[#Headers],[学年]:[得点]],0)))</f>
        <v/>
      </c>
      <c r="J165" s="115" t="str">
        <f>IF($A165&gt;MAX(入力シート!$AH$6:$AH$505),"",INDEX(テーブル2[[学年]:[判定]],MATCH(体力優良証交付申請書!$A165,入力シート!$AH$6:$AH$505,0),MATCH(体力優良証交付申請書!J$14,テーブル2[[#Headers],[学年]:[得点]],0)))</f>
        <v/>
      </c>
      <c r="K165" s="129" t="str">
        <f>IF($A165&gt;MAX(入力シート!$AH$6:$AH$505),"",INDEX(テーブル2[[学年]:[判定]],MATCH(体力優良証交付申請書!$A165,入力シート!$AH$6:$AH$505,0),MATCH(体力優良証交付申請書!K$14,テーブル2[[#Headers],[学年]:[得点]],0)))</f>
        <v/>
      </c>
      <c r="L165" s="115" t="str">
        <f>IF($A165&gt;MAX(入力シート!$AH$6:$AH$505),"",INDEX(テーブル2[[学年]:[判定]],MATCH(体力優良証交付申請書!$A165,入力シート!$AH$6:$AH$505,0),MATCH(体力優良証交付申請書!L$14,テーブル2[[#Headers],[学年]:[得点]],0)))</f>
        <v/>
      </c>
      <c r="M165" s="115" t="str">
        <f>IF($A165&gt;MAX(入力シート!$AH$6:$AH$505),"",INDEX(テーブル2[[学年]:[判定]],MATCH(体力優良証交付申請書!$A165,入力シート!$AH$6:$AH$505,0),MATCH(体力優良証交付申請書!M$14,テーブル2[[#Headers],[学年]:[得点]],0)))</f>
        <v/>
      </c>
      <c r="N165" s="27" t="str">
        <f>IF($A165&gt;MAX(入力シート!$AH$6:$AH$505),"",INDEX(テーブル2[[学年]:[判定]],MATCH(体力優良証交付申請書!$A165,入力シート!$AH$6:$AH$505,0),MATCH(体力優良証交付申請書!N$14,テーブル2[[#Headers],[学年]:[得点]],0)))</f>
        <v/>
      </c>
    </row>
    <row r="166" spans="1:14" x14ac:dyDescent="0.15">
      <c r="A166" s="17">
        <v>152</v>
      </c>
      <c r="B166" s="115" t="str">
        <f>IF($A166&gt;MAX(入力シート!$AH$6:$AH$505),"",INDEX(テーブル2[[学年]:[判定]],MATCH(体力優良証交付申請書!$A166,入力シート!$AH$6:$AH$505,0),MATCH(体力優良証交付申請書!B$14,テーブル2[[#Headers],[学年]:[得点]],0)))</f>
        <v/>
      </c>
      <c r="C166" s="115" t="str">
        <f>IF($A166&gt;MAX(入力シート!$AH$6:$AH$505),"",INDEX(テーブル2[[学年]:[判定]],MATCH(体力優良証交付申請書!$A166,入力シート!$AH$6:$AH$505,0),MATCH(体力優良証交付申請書!C$14,テーブル2[[#Headers],[学年]:[得点]],0)))</f>
        <v/>
      </c>
      <c r="D166" s="115" t="str">
        <f>IF($A166&gt;MAX(入力シート!$AH$6:$AH$505),"",INDEX(テーブル2[[学年]:[判定]],MATCH(体力優良証交付申請書!$A166,入力シート!$AH$6:$AH$505,0),MATCH(体力優良証交付申請書!D$14,テーブル2[[#Headers],[学年]:[得点]],0)))</f>
        <v/>
      </c>
      <c r="E166" s="115" t="str">
        <f>IF($A166&gt;MAX(入力シート!$AH$6:$AH$505),"",INDEX(テーブル2[[学年]:[判定]],MATCH(体力優良証交付申請書!$A166,入力シート!$AH$6:$AH$505,0),MATCH(体力優良証交付申請書!E$14,テーブル2[[#Headers],[学年]:[得点]],0)))</f>
        <v/>
      </c>
      <c r="F166" s="115" t="str">
        <f>IF($A166&gt;MAX(入力シート!$AH$6:$AH$505),"",INDEX(テーブル2[[学年]:[判定]],MATCH(体力優良証交付申請書!$A166,入力シート!$AH$6:$AH$505,0),MATCH(体力優良証交付申請書!F$14,テーブル2[[#Headers],[学年]:[得点]],0)))</f>
        <v/>
      </c>
      <c r="G166" s="115" t="str">
        <f>IF($A166&gt;MAX(入力シート!$AH$6:$AH$505),"",INDEX(テーブル2[[学年]:[判定]],MATCH(体力優良証交付申請書!$A166,入力シート!$AH$6:$AH$505,0),MATCH(体力優良証交付申請書!G$14,テーブル2[[#Headers],[学年]:[得点]],0)))</f>
        <v/>
      </c>
      <c r="H166" s="115" t="str">
        <f>IF($A166&gt;MAX(入力シート!$AH$6:$AH$505),"",INDEX(テーブル2[[学年]:[判定]],MATCH(体力優良証交付申請書!$A166,入力シート!$AH$6:$AH$505,0),MATCH(体力優良証交付申請書!H$14,テーブル2[[#Headers],[学年]:[得点]],0)))</f>
        <v/>
      </c>
      <c r="I166" s="115" t="str">
        <f>IF($A166&gt;MAX(入力シート!$AH$6:$AH$505),"",INDEX(テーブル2[[学年]:[判定]],MATCH(体力優良証交付申請書!$A166,入力シート!$AH$6:$AH$505,0),MATCH(体力優良証交付申請書!I$14,テーブル2[[#Headers],[学年]:[得点]],0)))</f>
        <v/>
      </c>
      <c r="J166" s="115" t="str">
        <f>IF($A166&gt;MAX(入力シート!$AH$6:$AH$505),"",INDEX(テーブル2[[学年]:[判定]],MATCH(体力優良証交付申請書!$A166,入力シート!$AH$6:$AH$505,0),MATCH(体力優良証交付申請書!J$14,テーブル2[[#Headers],[学年]:[得点]],0)))</f>
        <v/>
      </c>
      <c r="K166" s="129" t="str">
        <f>IF($A166&gt;MAX(入力シート!$AH$6:$AH$505),"",INDEX(テーブル2[[学年]:[判定]],MATCH(体力優良証交付申請書!$A166,入力シート!$AH$6:$AH$505,0),MATCH(体力優良証交付申請書!K$14,テーブル2[[#Headers],[学年]:[得点]],0)))</f>
        <v/>
      </c>
      <c r="L166" s="115" t="str">
        <f>IF($A166&gt;MAX(入力シート!$AH$6:$AH$505),"",INDEX(テーブル2[[学年]:[判定]],MATCH(体力優良証交付申請書!$A166,入力シート!$AH$6:$AH$505,0),MATCH(体力優良証交付申請書!L$14,テーブル2[[#Headers],[学年]:[得点]],0)))</f>
        <v/>
      </c>
      <c r="M166" s="115" t="str">
        <f>IF($A166&gt;MAX(入力シート!$AH$6:$AH$505),"",INDEX(テーブル2[[学年]:[判定]],MATCH(体力優良証交付申請書!$A166,入力シート!$AH$6:$AH$505,0),MATCH(体力優良証交付申請書!M$14,テーブル2[[#Headers],[学年]:[得点]],0)))</f>
        <v/>
      </c>
      <c r="N166" s="27" t="str">
        <f>IF($A166&gt;MAX(入力シート!$AH$6:$AH$505),"",INDEX(テーブル2[[学年]:[判定]],MATCH(体力優良証交付申請書!$A166,入力シート!$AH$6:$AH$505,0),MATCH(体力優良証交付申請書!N$14,テーブル2[[#Headers],[学年]:[得点]],0)))</f>
        <v/>
      </c>
    </row>
    <row r="167" spans="1:14" x14ac:dyDescent="0.15">
      <c r="A167" s="17">
        <v>153</v>
      </c>
      <c r="B167" s="115" t="str">
        <f>IF($A167&gt;MAX(入力シート!$AH$6:$AH$505),"",INDEX(テーブル2[[学年]:[判定]],MATCH(体力優良証交付申請書!$A167,入力シート!$AH$6:$AH$505,0),MATCH(体力優良証交付申請書!B$14,テーブル2[[#Headers],[学年]:[得点]],0)))</f>
        <v/>
      </c>
      <c r="C167" s="115" t="str">
        <f>IF($A167&gt;MAX(入力シート!$AH$6:$AH$505),"",INDEX(テーブル2[[学年]:[判定]],MATCH(体力優良証交付申請書!$A167,入力シート!$AH$6:$AH$505,0),MATCH(体力優良証交付申請書!C$14,テーブル2[[#Headers],[学年]:[得点]],0)))</f>
        <v/>
      </c>
      <c r="D167" s="115" t="str">
        <f>IF($A167&gt;MAX(入力シート!$AH$6:$AH$505),"",INDEX(テーブル2[[学年]:[判定]],MATCH(体力優良証交付申請書!$A167,入力シート!$AH$6:$AH$505,0),MATCH(体力優良証交付申請書!D$14,テーブル2[[#Headers],[学年]:[得点]],0)))</f>
        <v/>
      </c>
      <c r="E167" s="115" t="str">
        <f>IF($A167&gt;MAX(入力シート!$AH$6:$AH$505),"",INDEX(テーブル2[[学年]:[判定]],MATCH(体力優良証交付申請書!$A167,入力シート!$AH$6:$AH$505,0),MATCH(体力優良証交付申請書!E$14,テーブル2[[#Headers],[学年]:[得点]],0)))</f>
        <v/>
      </c>
      <c r="F167" s="115" t="str">
        <f>IF($A167&gt;MAX(入力シート!$AH$6:$AH$505),"",INDEX(テーブル2[[学年]:[判定]],MATCH(体力優良証交付申請書!$A167,入力シート!$AH$6:$AH$505,0),MATCH(体力優良証交付申請書!F$14,テーブル2[[#Headers],[学年]:[得点]],0)))</f>
        <v/>
      </c>
      <c r="G167" s="115" t="str">
        <f>IF($A167&gt;MAX(入力シート!$AH$6:$AH$505),"",INDEX(テーブル2[[学年]:[判定]],MATCH(体力優良証交付申請書!$A167,入力シート!$AH$6:$AH$505,0),MATCH(体力優良証交付申請書!G$14,テーブル2[[#Headers],[学年]:[得点]],0)))</f>
        <v/>
      </c>
      <c r="H167" s="115" t="str">
        <f>IF($A167&gt;MAX(入力シート!$AH$6:$AH$505),"",INDEX(テーブル2[[学年]:[判定]],MATCH(体力優良証交付申請書!$A167,入力シート!$AH$6:$AH$505,0),MATCH(体力優良証交付申請書!H$14,テーブル2[[#Headers],[学年]:[得点]],0)))</f>
        <v/>
      </c>
      <c r="I167" s="115" t="str">
        <f>IF($A167&gt;MAX(入力シート!$AH$6:$AH$505),"",INDEX(テーブル2[[学年]:[判定]],MATCH(体力優良証交付申請書!$A167,入力シート!$AH$6:$AH$505,0),MATCH(体力優良証交付申請書!I$14,テーブル2[[#Headers],[学年]:[得点]],0)))</f>
        <v/>
      </c>
      <c r="J167" s="115" t="str">
        <f>IF($A167&gt;MAX(入力シート!$AH$6:$AH$505),"",INDEX(テーブル2[[学年]:[判定]],MATCH(体力優良証交付申請書!$A167,入力シート!$AH$6:$AH$505,0),MATCH(体力優良証交付申請書!J$14,テーブル2[[#Headers],[学年]:[得点]],0)))</f>
        <v/>
      </c>
      <c r="K167" s="129" t="str">
        <f>IF($A167&gt;MAX(入力シート!$AH$6:$AH$505),"",INDEX(テーブル2[[学年]:[判定]],MATCH(体力優良証交付申請書!$A167,入力シート!$AH$6:$AH$505,0),MATCH(体力優良証交付申請書!K$14,テーブル2[[#Headers],[学年]:[得点]],0)))</f>
        <v/>
      </c>
      <c r="L167" s="115" t="str">
        <f>IF($A167&gt;MAX(入力シート!$AH$6:$AH$505),"",INDEX(テーブル2[[学年]:[判定]],MATCH(体力優良証交付申請書!$A167,入力シート!$AH$6:$AH$505,0),MATCH(体力優良証交付申請書!L$14,テーブル2[[#Headers],[学年]:[得点]],0)))</f>
        <v/>
      </c>
      <c r="M167" s="115" t="str">
        <f>IF($A167&gt;MAX(入力シート!$AH$6:$AH$505),"",INDEX(テーブル2[[学年]:[判定]],MATCH(体力優良証交付申請書!$A167,入力シート!$AH$6:$AH$505,0),MATCH(体力優良証交付申請書!M$14,テーブル2[[#Headers],[学年]:[得点]],0)))</f>
        <v/>
      </c>
      <c r="N167" s="27" t="str">
        <f>IF($A167&gt;MAX(入力シート!$AH$6:$AH$505),"",INDEX(テーブル2[[学年]:[判定]],MATCH(体力優良証交付申請書!$A167,入力シート!$AH$6:$AH$505,0),MATCH(体力優良証交付申請書!N$14,テーブル2[[#Headers],[学年]:[得点]],0)))</f>
        <v/>
      </c>
    </row>
    <row r="168" spans="1:14" x14ac:dyDescent="0.15">
      <c r="A168" s="17">
        <v>154</v>
      </c>
      <c r="B168" s="115" t="str">
        <f>IF($A168&gt;MAX(入力シート!$AH$6:$AH$505),"",INDEX(テーブル2[[学年]:[判定]],MATCH(体力優良証交付申請書!$A168,入力シート!$AH$6:$AH$505,0),MATCH(体力優良証交付申請書!B$14,テーブル2[[#Headers],[学年]:[得点]],0)))</f>
        <v/>
      </c>
      <c r="C168" s="115" t="str">
        <f>IF($A168&gt;MAX(入力シート!$AH$6:$AH$505),"",INDEX(テーブル2[[学年]:[判定]],MATCH(体力優良証交付申請書!$A168,入力シート!$AH$6:$AH$505,0),MATCH(体力優良証交付申請書!C$14,テーブル2[[#Headers],[学年]:[得点]],0)))</f>
        <v/>
      </c>
      <c r="D168" s="115" t="str">
        <f>IF($A168&gt;MAX(入力シート!$AH$6:$AH$505),"",INDEX(テーブル2[[学年]:[判定]],MATCH(体力優良証交付申請書!$A168,入力シート!$AH$6:$AH$505,0),MATCH(体力優良証交付申請書!D$14,テーブル2[[#Headers],[学年]:[得点]],0)))</f>
        <v/>
      </c>
      <c r="E168" s="115" t="str">
        <f>IF($A168&gt;MAX(入力シート!$AH$6:$AH$505),"",INDEX(テーブル2[[学年]:[判定]],MATCH(体力優良証交付申請書!$A168,入力シート!$AH$6:$AH$505,0),MATCH(体力優良証交付申請書!E$14,テーブル2[[#Headers],[学年]:[得点]],0)))</f>
        <v/>
      </c>
      <c r="F168" s="115" t="str">
        <f>IF($A168&gt;MAX(入力シート!$AH$6:$AH$505),"",INDEX(テーブル2[[学年]:[判定]],MATCH(体力優良証交付申請書!$A168,入力シート!$AH$6:$AH$505,0),MATCH(体力優良証交付申請書!F$14,テーブル2[[#Headers],[学年]:[得点]],0)))</f>
        <v/>
      </c>
      <c r="G168" s="115" t="str">
        <f>IF($A168&gt;MAX(入力シート!$AH$6:$AH$505),"",INDEX(テーブル2[[学年]:[判定]],MATCH(体力優良証交付申請書!$A168,入力シート!$AH$6:$AH$505,0),MATCH(体力優良証交付申請書!G$14,テーブル2[[#Headers],[学年]:[得点]],0)))</f>
        <v/>
      </c>
      <c r="H168" s="115" t="str">
        <f>IF($A168&gt;MAX(入力シート!$AH$6:$AH$505),"",INDEX(テーブル2[[学年]:[判定]],MATCH(体力優良証交付申請書!$A168,入力シート!$AH$6:$AH$505,0),MATCH(体力優良証交付申請書!H$14,テーブル2[[#Headers],[学年]:[得点]],0)))</f>
        <v/>
      </c>
      <c r="I168" s="115" t="str">
        <f>IF($A168&gt;MAX(入力シート!$AH$6:$AH$505),"",INDEX(テーブル2[[学年]:[判定]],MATCH(体力優良証交付申請書!$A168,入力シート!$AH$6:$AH$505,0),MATCH(体力優良証交付申請書!I$14,テーブル2[[#Headers],[学年]:[得点]],0)))</f>
        <v/>
      </c>
      <c r="J168" s="115" t="str">
        <f>IF($A168&gt;MAX(入力シート!$AH$6:$AH$505),"",INDEX(テーブル2[[学年]:[判定]],MATCH(体力優良証交付申請書!$A168,入力シート!$AH$6:$AH$505,0),MATCH(体力優良証交付申請書!J$14,テーブル2[[#Headers],[学年]:[得点]],0)))</f>
        <v/>
      </c>
      <c r="K168" s="129" t="str">
        <f>IF($A168&gt;MAX(入力シート!$AH$6:$AH$505),"",INDEX(テーブル2[[学年]:[判定]],MATCH(体力優良証交付申請書!$A168,入力シート!$AH$6:$AH$505,0),MATCH(体力優良証交付申請書!K$14,テーブル2[[#Headers],[学年]:[得点]],0)))</f>
        <v/>
      </c>
      <c r="L168" s="115" t="str">
        <f>IF($A168&gt;MAX(入力シート!$AH$6:$AH$505),"",INDEX(テーブル2[[学年]:[判定]],MATCH(体力優良証交付申請書!$A168,入力シート!$AH$6:$AH$505,0),MATCH(体力優良証交付申請書!L$14,テーブル2[[#Headers],[学年]:[得点]],0)))</f>
        <v/>
      </c>
      <c r="M168" s="115" t="str">
        <f>IF($A168&gt;MAX(入力シート!$AH$6:$AH$505),"",INDEX(テーブル2[[学年]:[判定]],MATCH(体力優良証交付申請書!$A168,入力シート!$AH$6:$AH$505,0),MATCH(体力優良証交付申請書!M$14,テーブル2[[#Headers],[学年]:[得点]],0)))</f>
        <v/>
      </c>
      <c r="N168" s="27" t="str">
        <f>IF($A168&gt;MAX(入力シート!$AH$6:$AH$505),"",INDEX(テーブル2[[学年]:[判定]],MATCH(体力優良証交付申請書!$A168,入力シート!$AH$6:$AH$505,0),MATCH(体力優良証交付申請書!N$14,テーブル2[[#Headers],[学年]:[得点]],0)))</f>
        <v/>
      </c>
    </row>
    <row r="169" spans="1:14" x14ac:dyDescent="0.15">
      <c r="A169" s="17">
        <v>155</v>
      </c>
      <c r="B169" s="115" t="str">
        <f>IF($A169&gt;MAX(入力シート!$AH$6:$AH$505),"",INDEX(テーブル2[[学年]:[判定]],MATCH(体力優良証交付申請書!$A169,入力シート!$AH$6:$AH$505,0),MATCH(体力優良証交付申請書!B$14,テーブル2[[#Headers],[学年]:[得点]],0)))</f>
        <v/>
      </c>
      <c r="C169" s="115" t="str">
        <f>IF($A169&gt;MAX(入力シート!$AH$6:$AH$505),"",INDEX(テーブル2[[学年]:[判定]],MATCH(体力優良証交付申請書!$A169,入力シート!$AH$6:$AH$505,0),MATCH(体力優良証交付申請書!C$14,テーブル2[[#Headers],[学年]:[得点]],0)))</f>
        <v/>
      </c>
      <c r="D169" s="115" t="str">
        <f>IF($A169&gt;MAX(入力シート!$AH$6:$AH$505),"",INDEX(テーブル2[[学年]:[判定]],MATCH(体力優良証交付申請書!$A169,入力シート!$AH$6:$AH$505,0),MATCH(体力優良証交付申請書!D$14,テーブル2[[#Headers],[学年]:[得点]],0)))</f>
        <v/>
      </c>
      <c r="E169" s="115" t="str">
        <f>IF($A169&gt;MAX(入力シート!$AH$6:$AH$505),"",INDEX(テーブル2[[学年]:[判定]],MATCH(体力優良証交付申請書!$A169,入力シート!$AH$6:$AH$505,0),MATCH(体力優良証交付申請書!E$14,テーブル2[[#Headers],[学年]:[得点]],0)))</f>
        <v/>
      </c>
      <c r="F169" s="115" t="str">
        <f>IF($A169&gt;MAX(入力シート!$AH$6:$AH$505),"",INDEX(テーブル2[[学年]:[判定]],MATCH(体力優良証交付申請書!$A169,入力シート!$AH$6:$AH$505,0),MATCH(体力優良証交付申請書!F$14,テーブル2[[#Headers],[学年]:[得点]],0)))</f>
        <v/>
      </c>
      <c r="G169" s="115" t="str">
        <f>IF($A169&gt;MAX(入力シート!$AH$6:$AH$505),"",INDEX(テーブル2[[学年]:[判定]],MATCH(体力優良証交付申請書!$A169,入力シート!$AH$6:$AH$505,0),MATCH(体力優良証交付申請書!G$14,テーブル2[[#Headers],[学年]:[得点]],0)))</f>
        <v/>
      </c>
      <c r="H169" s="115" t="str">
        <f>IF($A169&gt;MAX(入力シート!$AH$6:$AH$505),"",INDEX(テーブル2[[学年]:[判定]],MATCH(体力優良証交付申請書!$A169,入力シート!$AH$6:$AH$505,0),MATCH(体力優良証交付申請書!H$14,テーブル2[[#Headers],[学年]:[得点]],0)))</f>
        <v/>
      </c>
      <c r="I169" s="115" t="str">
        <f>IF($A169&gt;MAX(入力シート!$AH$6:$AH$505),"",INDEX(テーブル2[[学年]:[判定]],MATCH(体力優良証交付申請書!$A169,入力シート!$AH$6:$AH$505,0),MATCH(体力優良証交付申請書!I$14,テーブル2[[#Headers],[学年]:[得点]],0)))</f>
        <v/>
      </c>
      <c r="J169" s="115" t="str">
        <f>IF($A169&gt;MAX(入力シート!$AH$6:$AH$505),"",INDEX(テーブル2[[学年]:[判定]],MATCH(体力優良証交付申請書!$A169,入力シート!$AH$6:$AH$505,0),MATCH(体力優良証交付申請書!J$14,テーブル2[[#Headers],[学年]:[得点]],0)))</f>
        <v/>
      </c>
      <c r="K169" s="129" t="str">
        <f>IF($A169&gt;MAX(入力シート!$AH$6:$AH$505),"",INDEX(テーブル2[[学年]:[判定]],MATCH(体力優良証交付申請書!$A169,入力シート!$AH$6:$AH$505,0),MATCH(体力優良証交付申請書!K$14,テーブル2[[#Headers],[学年]:[得点]],0)))</f>
        <v/>
      </c>
      <c r="L169" s="115" t="str">
        <f>IF($A169&gt;MAX(入力シート!$AH$6:$AH$505),"",INDEX(テーブル2[[学年]:[判定]],MATCH(体力優良証交付申請書!$A169,入力シート!$AH$6:$AH$505,0),MATCH(体力優良証交付申請書!L$14,テーブル2[[#Headers],[学年]:[得点]],0)))</f>
        <v/>
      </c>
      <c r="M169" s="115" t="str">
        <f>IF($A169&gt;MAX(入力シート!$AH$6:$AH$505),"",INDEX(テーブル2[[学年]:[判定]],MATCH(体力優良証交付申請書!$A169,入力シート!$AH$6:$AH$505,0),MATCH(体力優良証交付申請書!M$14,テーブル2[[#Headers],[学年]:[得点]],0)))</f>
        <v/>
      </c>
      <c r="N169" s="27" t="str">
        <f>IF($A169&gt;MAX(入力シート!$AH$6:$AH$505),"",INDEX(テーブル2[[学年]:[判定]],MATCH(体力優良証交付申請書!$A169,入力シート!$AH$6:$AH$505,0),MATCH(体力優良証交付申請書!N$14,テーブル2[[#Headers],[学年]:[得点]],0)))</f>
        <v/>
      </c>
    </row>
    <row r="170" spans="1:14" x14ac:dyDescent="0.15">
      <c r="A170" s="17">
        <v>156</v>
      </c>
      <c r="B170" s="115" t="str">
        <f>IF($A170&gt;MAX(入力シート!$AH$6:$AH$505),"",INDEX(テーブル2[[学年]:[判定]],MATCH(体力優良証交付申請書!$A170,入力シート!$AH$6:$AH$505,0),MATCH(体力優良証交付申請書!B$14,テーブル2[[#Headers],[学年]:[得点]],0)))</f>
        <v/>
      </c>
      <c r="C170" s="115" t="str">
        <f>IF($A170&gt;MAX(入力シート!$AH$6:$AH$505),"",INDEX(テーブル2[[学年]:[判定]],MATCH(体力優良証交付申請書!$A170,入力シート!$AH$6:$AH$505,0),MATCH(体力優良証交付申請書!C$14,テーブル2[[#Headers],[学年]:[得点]],0)))</f>
        <v/>
      </c>
      <c r="D170" s="115" t="str">
        <f>IF($A170&gt;MAX(入力シート!$AH$6:$AH$505),"",INDEX(テーブル2[[学年]:[判定]],MATCH(体力優良証交付申請書!$A170,入力シート!$AH$6:$AH$505,0),MATCH(体力優良証交付申請書!D$14,テーブル2[[#Headers],[学年]:[得点]],0)))</f>
        <v/>
      </c>
      <c r="E170" s="115" t="str">
        <f>IF($A170&gt;MAX(入力シート!$AH$6:$AH$505),"",INDEX(テーブル2[[学年]:[判定]],MATCH(体力優良証交付申請書!$A170,入力シート!$AH$6:$AH$505,0),MATCH(体力優良証交付申請書!E$14,テーブル2[[#Headers],[学年]:[得点]],0)))</f>
        <v/>
      </c>
      <c r="F170" s="115" t="str">
        <f>IF($A170&gt;MAX(入力シート!$AH$6:$AH$505),"",INDEX(テーブル2[[学年]:[判定]],MATCH(体力優良証交付申請書!$A170,入力シート!$AH$6:$AH$505,0),MATCH(体力優良証交付申請書!F$14,テーブル2[[#Headers],[学年]:[得点]],0)))</f>
        <v/>
      </c>
      <c r="G170" s="115" t="str">
        <f>IF($A170&gt;MAX(入力シート!$AH$6:$AH$505),"",INDEX(テーブル2[[学年]:[判定]],MATCH(体力優良証交付申請書!$A170,入力シート!$AH$6:$AH$505,0),MATCH(体力優良証交付申請書!G$14,テーブル2[[#Headers],[学年]:[得点]],0)))</f>
        <v/>
      </c>
      <c r="H170" s="115" t="str">
        <f>IF($A170&gt;MAX(入力シート!$AH$6:$AH$505),"",INDEX(テーブル2[[学年]:[判定]],MATCH(体力優良証交付申請書!$A170,入力シート!$AH$6:$AH$505,0),MATCH(体力優良証交付申請書!H$14,テーブル2[[#Headers],[学年]:[得点]],0)))</f>
        <v/>
      </c>
      <c r="I170" s="115" t="str">
        <f>IF($A170&gt;MAX(入力シート!$AH$6:$AH$505),"",INDEX(テーブル2[[学年]:[判定]],MATCH(体力優良証交付申請書!$A170,入力シート!$AH$6:$AH$505,0),MATCH(体力優良証交付申請書!I$14,テーブル2[[#Headers],[学年]:[得点]],0)))</f>
        <v/>
      </c>
      <c r="J170" s="115" t="str">
        <f>IF($A170&gt;MAX(入力シート!$AH$6:$AH$505),"",INDEX(テーブル2[[学年]:[判定]],MATCH(体力優良証交付申請書!$A170,入力シート!$AH$6:$AH$505,0),MATCH(体力優良証交付申請書!J$14,テーブル2[[#Headers],[学年]:[得点]],0)))</f>
        <v/>
      </c>
      <c r="K170" s="129" t="str">
        <f>IF($A170&gt;MAX(入力シート!$AH$6:$AH$505),"",INDEX(テーブル2[[学年]:[判定]],MATCH(体力優良証交付申請書!$A170,入力シート!$AH$6:$AH$505,0),MATCH(体力優良証交付申請書!K$14,テーブル2[[#Headers],[学年]:[得点]],0)))</f>
        <v/>
      </c>
      <c r="L170" s="115" t="str">
        <f>IF($A170&gt;MAX(入力シート!$AH$6:$AH$505),"",INDEX(テーブル2[[学年]:[判定]],MATCH(体力優良証交付申請書!$A170,入力シート!$AH$6:$AH$505,0),MATCH(体力優良証交付申請書!L$14,テーブル2[[#Headers],[学年]:[得点]],0)))</f>
        <v/>
      </c>
      <c r="M170" s="115" t="str">
        <f>IF($A170&gt;MAX(入力シート!$AH$6:$AH$505),"",INDEX(テーブル2[[学年]:[判定]],MATCH(体力優良証交付申請書!$A170,入力シート!$AH$6:$AH$505,0),MATCH(体力優良証交付申請書!M$14,テーブル2[[#Headers],[学年]:[得点]],0)))</f>
        <v/>
      </c>
      <c r="N170" s="27" t="str">
        <f>IF($A170&gt;MAX(入力シート!$AH$6:$AH$505),"",INDEX(テーブル2[[学年]:[判定]],MATCH(体力優良証交付申請書!$A170,入力シート!$AH$6:$AH$505,0),MATCH(体力優良証交付申請書!N$14,テーブル2[[#Headers],[学年]:[得点]],0)))</f>
        <v/>
      </c>
    </row>
    <row r="171" spans="1:14" x14ac:dyDescent="0.15">
      <c r="A171" s="17">
        <v>157</v>
      </c>
      <c r="B171" s="115" t="str">
        <f>IF($A171&gt;MAX(入力シート!$AH$6:$AH$505),"",INDEX(テーブル2[[学年]:[判定]],MATCH(体力優良証交付申請書!$A171,入力シート!$AH$6:$AH$505,0),MATCH(体力優良証交付申請書!B$14,テーブル2[[#Headers],[学年]:[得点]],0)))</f>
        <v/>
      </c>
      <c r="C171" s="115" t="str">
        <f>IF($A171&gt;MAX(入力シート!$AH$6:$AH$505),"",INDEX(テーブル2[[学年]:[判定]],MATCH(体力優良証交付申請書!$A171,入力シート!$AH$6:$AH$505,0),MATCH(体力優良証交付申請書!C$14,テーブル2[[#Headers],[学年]:[得点]],0)))</f>
        <v/>
      </c>
      <c r="D171" s="115" t="str">
        <f>IF($A171&gt;MAX(入力シート!$AH$6:$AH$505),"",INDEX(テーブル2[[学年]:[判定]],MATCH(体力優良証交付申請書!$A171,入力シート!$AH$6:$AH$505,0),MATCH(体力優良証交付申請書!D$14,テーブル2[[#Headers],[学年]:[得点]],0)))</f>
        <v/>
      </c>
      <c r="E171" s="115" t="str">
        <f>IF($A171&gt;MAX(入力シート!$AH$6:$AH$505),"",INDEX(テーブル2[[学年]:[判定]],MATCH(体力優良証交付申請書!$A171,入力シート!$AH$6:$AH$505,0),MATCH(体力優良証交付申請書!E$14,テーブル2[[#Headers],[学年]:[得点]],0)))</f>
        <v/>
      </c>
      <c r="F171" s="115" t="str">
        <f>IF($A171&gt;MAX(入力シート!$AH$6:$AH$505),"",INDEX(テーブル2[[学年]:[判定]],MATCH(体力優良証交付申請書!$A171,入力シート!$AH$6:$AH$505,0),MATCH(体力優良証交付申請書!F$14,テーブル2[[#Headers],[学年]:[得点]],0)))</f>
        <v/>
      </c>
      <c r="G171" s="115" t="str">
        <f>IF($A171&gt;MAX(入力シート!$AH$6:$AH$505),"",INDEX(テーブル2[[学年]:[判定]],MATCH(体力優良証交付申請書!$A171,入力シート!$AH$6:$AH$505,0),MATCH(体力優良証交付申請書!G$14,テーブル2[[#Headers],[学年]:[得点]],0)))</f>
        <v/>
      </c>
      <c r="H171" s="115" t="str">
        <f>IF($A171&gt;MAX(入力シート!$AH$6:$AH$505),"",INDEX(テーブル2[[学年]:[判定]],MATCH(体力優良証交付申請書!$A171,入力シート!$AH$6:$AH$505,0),MATCH(体力優良証交付申請書!H$14,テーブル2[[#Headers],[学年]:[得点]],0)))</f>
        <v/>
      </c>
      <c r="I171" s="115" t="str">
        <f>IF($A171&gt;MAX(入力シート!$AH$6:$AH$505),"",INDEX(テーブル2[[学年]:[判定]],MATCH(体力優良証交付申請書!$A171,入力シート!$AH$6:$AH$505,0),MATCH(体力優良証交付申請書!I$14,テーブル2[[#Headers],[学年]:[得点]],0)))</f>
        <v/>
      </c>
      <c r="J171" s="115" t="str">
        <f>IF($A171&gt;MAX(入力シート!$AH$6:$AH$505),"",INDEX(テーブル2[[学年]:[判定]],MATCH(体力優良証交付申請書!$A171,入力シート!$AH$6:$AH$505,0),MATCH(体力優良証交付申請書!J$14,テーブル2[[#Headers],[学年]:[得点]],0)))</f>
        <v/>
      </c>
      <c r="K171" s="129" t="str">
        <f>IF($A171&gt;MAX(入力シート!$AH$6:$AH$505),"",INDEX(テーブル2[[学年]:[判定]],MATCH(体力優良証交付申請書!$A171,入力シート!$AH$6:$AH$505,0),MATCH(体力優良証交付申請書!K$14,テーブル2[[#Headers],[学年]:[得点]],0)))</f>
        <v/>
      </c>
      <c r="L171" s="115" t="str">
        <f>IF($A171&gt;MAX(入力シート!$AH$6:$AH$505),"",INDEX(テーブル2[[学年]:[判定]],MATCH(体力優良証交付申請書!$A171,入力シート!$AH$6:$AH$505,0),MATCH(体力優良証交付申請書!L$14,テーブル2[[#Headers],[学年]:[得点]],0)))</f>
        <v/>
      </c>
      <c r="M171" s="115" t="str">
        <f>IF($A171&gt;MAX(入力シート!$AH$6:$AH$505),"",INDEX(テーブル2[[学年]:[判定]],MATCH(体力優良証交付申請書!$A171,入力シート!$AH$6:$AH$505,0),MATCH(体力優良証交付申請書!M$14,テーブル2[[#Headers],[学年]:[得点]],0)))</f>
        <v/>
      </c>
      <c r="N171" s="27" t="str">
        <f>IF($A171&gt;MAX(入力シート!$AH$6:$AH$505),"",INDEX(テーブル2[[学年]:[判定]],MATCH(体力優良証交付申請書!$A171,入力シート!$AH$6:$AH$505,0),MATCH(体力優良証交付申請書!N$14,テーブル2[[#Headers],[学年]:[得点]],0)))</f>
        <v/>
      </c>
    </row>
    <row r="172" spans="1:14" x14ac:dyDescent="0.15">
      <c r="A172" s="17">
        <v>158</v>
      </c>
      <c r="B172" s="115" t="str">
        <f>IF($A172&gt;MAX(入力シート!$AH$6:$AH$505),"",INDEX(テーブル2[[学年]:[判定]],MATCH(体力優良証交付申請書!$A172,入力シート!$AH$6:$AH$505,0),MATCH(体力優良証交付申請書!B$14,テーブル2[[#Headers],[学年]:[得点]],0)))</f>
        <v/>
      </c>
      <c r="C172" s="115" t="str">
        <f>IF($A172&gt;MAX(入力シート!$AH$6:$AH$505),"",INDEX(テーブル2[[学年]:[判定]],MATCH(体力優良証交付申請書!$A172,入力シート!$AH$6:$AH$505,0),MATCH(体力優良証交付申請書!C$14,テーブル2[[#Headers],[学年]:[得点]],0)))</f>
        <v/>
      </c>
      <c r="D172" s="115" t="str">
        <f>IF($A172&gt;MAX(入力シート!$AH$6:$AH$505),"",INDEX(テーブル2[[学年]:[判定]],MATCH(体力優良証交付申請書!$A172,入力シート!$AH$6:$AH$505,0),MATCH(体力優良証交付申請書!D$14,テーブル2[[#Headers],[学年]:[得点]],0)))</f>
        <v/>
      </c>
      <c r="E172" s="115" t="str">
        <f>IF($A172&gt;MAX(入力シート!$AH$6:$AH$505),"",INDEX(テーブル2[[学年]:[判定]],MATCH(体力優良証交付申請書!$A172,入力シート!$AH$6:$AH$505,0),MATCH(体力優良証交付申請書!E$14,テーブル2[[#Headers],[学年]:[得点]],0)))</f>
        <v/>
      </c>
      <c r="F172" s="115" t="str">
        <f>IF($A172&gt;MAX(入力シート!$AH$6:$AH$505),"",INDEX(テーブル2[[学年]:[判定]],MATCH(体力優良証交付申請書!$A172,入力シート!$AH$6:$AH$505,0),MATCH(体力優良証交付申請書!F$14,テーブル2[[#Headers],[学年]:[得点]],0)))</f>
        <v/>
      </c>
      <c r="G172" s="115" t="str">
        <f>IF($A172&gt;MAX(入力シート!$AH$6:$AH$505),"",INDEX(テーブル2[[学年]:[判定]],MATCH(体力優良証交付申請書!$A172,入力シート!$AH$6:$AH$505,0),MATCH(体力優良証交付申請書!G$14,テーブル2[[#Headers],[学年]:[得点]],0)))</f>
        <v/>
      </c>
      <c r="H172" s="115" t="str">
        <f>IF($A172&gt;MAX(入力シート!$AH$6:$AH$505),"",INDEX(テーブル2[[学年]:[判定]],MATCH(体力優良証交付申請書!$A172,入力シート!$AH$6:$AH$505,0),MATCH(体力優良証交付申請書!H$14,テーブル2[[#Headers],[学年]:[得点]],0)))</f>
        <v/>
      </c>
      <c r="I172" s="115" t="str">
        <f>IF($A172&gt;MAX(入力シート!$AH$6:$AH$505),"",INDEX(テーブル2[[学年]:[判定]],MATCH(体力優良証交付申請書!$A172,入力シート!$AH$6:$AH$505,0),MATCH(体力優良証交付申請書!I$14,テーブル2[[#Headers],[学年]:[得点]],0)))</f>
        <v/>
      </c>
      <c r="J172" s="115" t="str">
        <f>IF($A172&gt;MAX(入力シート!$AH$6:$AH$505),"",INDEX(テーブル2[[学年]:[判定]],MATCH(体力優良証交付申請書!$A172,入力シート!$AH$6:$AH$505,0),MATCH(体力優良証交付申請書!J$14,テーブル2[[#Headers],[学年]:[得点]],0)))</f>
        <v/>
      </c>
      <c r="K172" s="129" t="str">
        <f>IF($A172&gt;MAX(入力シート!$AH$6:$AH$505),"",INDEX(テーブル2[[学年]:[判定]],MATCH(体力優良証交付申請書!$A172,入力シート!$AH$6:$AH$505,0),MATCH(体力優良証交付申請書!K$14,テーブル2[[#Headers],[学年]:[得点]],0)))</f>
        <v/>
      </c>
      <c r="L172" s="115" t="str">
        <f>IF($A172&gt;MAX(入力シート!$AH$6:$AH$505),"",INDEX(テーブル2[[学年]:[判定]],MATCH(体力優良証交付申請書!$A172,入力シート!$AH$6:$AH$505,0),MATCH(体力優良証交付申請書!L$14,テーブル2[[#Headers],[学年]:[得点]],0)))</f>
        <v/>
      </c>
      <c r="M172" s="115" t="str">
        <f>IF($A172&gt;MAX(入力シート!$AH$6:$AH$505),"",INDEX(テーブル2[[学年]:[判定]],MATCH(体力優良証交付申請書!$A172,入力シート!$AH$6:$AH$505,0),MATCH(体力優良証交付申請書!M$14,テーブル2[[#Headers],[学年]:[得点]],0)))</f>
        <v/>
      </c>
      <c r="N172" s="27" t="str">
        <f>IF($A172&gt;MAX(入力シート!$AH$6:$AH$505),"",INDEX(テーブル2[[学年]:[判定]],MATCH(体力優良証交付申請書!$A172,入力シート!$AH$6:$AH$505,0),MATCH(体力優良証交付申請書!N$14,テーブル2[[#Headers],[学年]:[得点]],0)))</f>
        <v/>
      </c>
    </row>
    <row r="173" spans="1:14" x14ac:dyDescent="0.15">
      <c r="A173" s="17">
        <v>159</v>
      </c>
      <c r="B173" s="115" t="str">
        <f>IF($A173&gt;MAX(入力シート!$AH$6:$AH$505),"",INDEX(テーブル2[[学年]:[判定]],MATCH(体力優良証交付申請書!$A173,入力シート!$AH$6:$AH$505,0),MATCH(体力優良証交付申請書!B$14,テーブル2[[#Headers],[学年]:[得点]],0)))</f>
        <v/>
      </c>
      <c r="C173" s="115" t="str">
        <f>IF($A173&gt;MAX(入力シート!$AH$6:$AH$505),"",INDEX(テーブル2[[学年]:[判定]],MATCH(体力優良証交付申請書!$A173,入力シート!$AH$6:$AH$505,0),MATCH(体力優良証交付申請書!C$14,テーブル2[[#Headers],[学年]:[得点]],0)))</f>
        <v/>
      </c>
      <c r="D173" s="115" t="str">
        <f>IF($A173&gt;MAX(入力シート!$AH$6:$AH$505),"",INDEX(テーブル2[[学年]:[判定]],MATCH(体力優良証交付申請書!$A173,入力シート!$AH$6:$AH$505,0),MATCH(体力優良証交付申請書!D$14,テーブル2[[#Headers],[学年]:[得点]],0)))</f>
        <v/>
      </c>
      <c r="E173" s="115" t="str">
        <f>IF($A173&gt;MAX(入力シート!$AH$6:$AH$505),"",INDEX(テーブル2[[学年]:[判定]],MATCH(体力優良証交付申請書!$A173,入力シート!$AH$6:$AH$505,0),MATCH(体力優良証交付申請書!E$14,テーブル2[[#Headers],[学年]:[得点]],0)))</f>
        <v/>
      </c>
      <c r="F173" s="115" t="str">
        <f>IF($A173&gt;MAX(入力シート!$AH$6:$AH$505),"",INDEX(テーブル2[[学年]:[判定]],MATCH(体力優良証交付申請書!$A173,入力シート!$AH$6:$AH$505,0),MATCH(体力優良証交付申請書!F$14,テーブル2[[#Headers],[学年]:[得点]],0)))</f>
        <v/>
      </c>
      <c r="G173" s="115" t="str">
        <f>IF($A173&gt;MAX(入力シート!$AH$6:$AH$505),"",INDEX(テーブル2[[学年]:[判定]],MATCH(体力優良証交付申請書!$A173,入力シート!$AH$6:$AH$505,0),MATCH(体力優良証交付申請書!G$14,テーブル2[[#Headers],[学年]:[得点]],0)))</f>
        <v/>
      </c>
      <c r="H173" s="115" t="str">
        <f>IF($A173&gt;MAX(入力シート!$AH$6:$AH$505),"",INDEX(テーブル2[[学年]:[判定]],MATCH(体力優良証交付申請書!$A173,入力シート!$AH$6:$AH$505,0),MATCH(体力優良証交付申請書!H$14,テーブル2[[#Headers],[学年]:[得点]],0)))</f>
        <v/>
      </c>
      <c r="I173" s="115" t="str">
        <f>IF($A173&gt;MAX(入力シート!$AH$6:$AH$505),"",INDEX(テーブル2[[学年]:[判定]],MATCH(体力優良証交付申請書!$A173,入力シート!$AH$6:$AH$505,0),MATCH(体力優良証交付申請書!I$14,テーブル2[[#Headers],[学年]:[得点]],0)))</f>
        <v/>
      </c>
      <c r="J173" s="115" t="str">
        <f>IF($A173&gt;MAX(入力シート!$AH$6:$AH$505),"",INDEX(テーブル2[[学年]:[判定]],MATCH(体力優良証交付申請書!$A173,入力シート!$AH$6:$AH$505,0),MATCH(体力優良証交付申請書!J$14,テーブル2[[#Headers],[学年]:[得点]],0)))</f>
        <v/>
      </c>
      <c r="K173" s="129" t="str">
        <f>IF($A173&gt;MAX(入力シート!$AH$6:$AH$505),"",INDEX(テーブル2[[学年]:[判定]],MATCH(体力優良証交付申請書!$A173,入力シート!$AH$6:$AH$505,0),MATCH(体力優良証交付申請書!K$14,テーブル2[[#Headers],[学年]:[得点]],0)))</f>
        <v/>
      </c>
      <c r="L173" s="115" t="str">
        <f>IF($A173&gt;MAX(入力シート!$AH$6:$AH$505),"",INDEX(テーブル2[[学年]:[判定]],MATCH(体力優良証交付申請書!$A173,入力シート!$AH$6:$AH$505,0),MATCH(体力優良証交付申請書!L$14,テーブル2[[#Headers],[学年]:[得点]],0)))</f>
        <v/>
      </c>
      <c r="M173" s="115" t="str">
        <f>IF($A173&gt;MAX(入力シート!$AH$6:$AH$505),"",INDEX(テーブル2[[学年]:[判定]],MATCH(体力優良証交付申請書!$A173,入力シート!$AH$6:$AH$505,0),MATCH(体力優良証交付申請書!M$14,テーブル2[[#Headers],[学年]:[得点]],0)))</f>
        <v/>
      </c>
      <c r="N173" s="27" t="str">
        <f>IF($A173&gt;MAX(入力シート!$AH$6:$AH$505),"",INDEX(テーブル2[[学年]:[判定]],MATCH(体力優良証交付申請書!$A173,入力シート!$AH$6:$AH$505,0),MATCH(体力優良証交付申請書!N$14,テーブル2[[#Headers],[学年]:[得点]],0)))</f>
        <v/>
      </c>
    </row>
    <row r="174" spans="1:14" x14ac:dyDescent="0.15">
      <c r="A174" s="17">
        <v>160</v>
      </c>
      <c r="B174" s="115" t="str">
        <f>IF($A174&gt;MAX(入力シート!$AH$6:$AH$505),"",INDEX(テーブル2[[学年]:[判定]],MATCH(体力優良証交付申請書!$A174,入力シート!$AH$6:$AH$505,0),MATCH(体力優良証交付申請書!B$14,テーブル2[[#Headers],[学年]:[得点]],0)))</f>
        <v/>
      </c>
      <c r="C174" s="115" t="str">
        <f>IF($A174&gt;MAX(入力シート!$AH$6:$AH$505),"",INDEX(テーブル2[[学年]:[判定]],MATCH(体力優良証交付申請書!$A174,入力シート!$AH$6:$AH$505,0),MATCH(体力優良証交付申請書!C$14,テーブル2[[#Headers],[学年]:[得点]],0)))</f>
        <v/>
      </c>
      <c r="D174" s="115" t="str">
        <f>IF($A174&gt;MAX(入力シート!$AH$6:$AH$505),"",INDEX(テーブル2[[学年]:[判定]],MATCH(体力優良証交付申請書!$A174,入力シート!$AH$6:$AH$505,0),MATCH(体力優良証交付申請書!D$14,テーブル2[[#Headers],[学年]:[得点]],0)))</f>
        <v/>
      </c>
      <c r="E174" s="115" t="str">
        <f>IF($A174&gt;MAX(入力シート!$AH$6:$AH$505),"",INDEX(テーブル2[[学年]:[判定]],MATCH(体力優良証交付申請書!$A174,入力シート!$AH$6:$AH$505,0),MATCH(体力優良証交付申請書!E$14,テーブル2[[#Headers],[学年]:[得点]],0)))</f>
        <v/>
      </c>
      <c r="F174" s="115" t="str">
        <f>IF($A174&gt;MAX(入力シート!$AH$6:$AH$505),"",INDEX(テーブル2[[学年]:[判定]],MATCH(体力優良証交付申請書!$A174,入力シート!$AH$6:$AH$505,0),MATCH(体力優良証交付申請書!F$14,テーブル2[[#Headers],[学年]:[得点]],0)))</f>
        <v/>
      </c>
      <c r="G174" s="115" t="str">
        <f>IF($A174&gt;MAX(入力シート!$AH$6:$AH$505),"",INDEX(テーブル2[[学年]:[判定]],MATCH(体力優良証交付申請書!$A174,入力シート!$AH$6:$AH$505,0),MATCH(体力優良証交付申請書!G$14,テーブル2[[#Headers],[学年]:[得点]],0)))</f>
        <v/>
      </c>
      <c r="H174" s="115" t="str">
        <f>IF($A174&gt;MAX(入力シート!$AH$6:$AH$505),"",INDEX(テーブル2[[学年]:[判定]],MATCH(体力優良証交付申請書!$A174,入力シート!$AH$6:$AH$505,0),MATCH(体力優良証交付申請書!H$14,テーブル2[[#Headers],[学年]:[得点]],0)))</f>
        <v/>
      </c>
      <c r="I174" s="115" t="str">
        <f>IF($A174&gt;MAX(入力シート!$AH$6:$AH$505),"",INDEX(テーブル2[[学年]:[判定]],MATCH(体力優良証交付申請書!$A174,入力シート!$AH$6:$AH$505,0),MATCH(体力優良証交付申請書!I$14,テーブル2[[#Headers],[学年]:[得点]],0)))</f>
        <v/>
      </c>
      <c r="J174" s="115" t="str">
        <f>IF($A174&gt;MAX(入力シート!$AH$6:$AH$505),"",INDEX(テーブル2[[学年]:[判定]],MATCH(体力優良証交付申請書!$A174,入力シート!$AH$6:$AH$505,0),MATCH(体力優良証交付申請書!J$14,テーブル2[[#Headers],[学年]:[得点]],0)))</f>
        <v/>
      </c>
      <c r="K174" s="129" t="str">
        <f>IF($A174&gt;MAX(入力シート!$AH$6:$AH$505),"",INDEX(テーブル2[[学年]:[判定]],MATCH(体力優良証交付申請書!$A174,入力シート!$AH$6:$AH$505,0),MATCH(体力優良証交付申請書!K$14,テーブル2[[#Headers],[学年]:[得点]],0)))</f>
        <v/>
      </c>
      <c r="L174" s="115" t="str">
        <f>IF($A174&gt;MAX(入力シート!$AH$6:$AH$505),"",INDEX(テーブル2[[学年]:[判定]],MATCH(体力優良証交付申請書!$A174,入力シート!$AH$6:$AH$505,0),MATCH(体力優良証交付申請書!L$14,テーブル2[[#Headers],[学年]:[得点]],0)))</f>
        <v/>
      </c>
      <c r="M174" s="115" t="str">
        <f>IF($A174&gt;MAX(入力シート!$AH$6:$AH$505),"",INDEX(テーブル2[[学年]:[判定]],MATCH(体力優良証交付申請書!$A174,入力シート!$AH$6:$AH$505,0),MATCH(体力優良証交付申請書!M$14,テーブル2[[#Headers],[学年]:[得点]],0)))</f>
        <v/>
      </c>
      <c r="N174" s="27" t="str">
        <f>IF($A174&gt;MAX(入力シート!$AH$6:$AH$505),"",INDEX(テーブル2[[学年]:[判定]],MATCH(体力優良証交付申請書!$A174,入力シート!$AH$6:$AH$505,0),MATCH(体力優良証交付申請書!N$14,テーブル2[[#Headers],[学年]:[得点]],0)))</f>
        <v/>
      </c>
    </row>
    <row r="175" spans="1:14" x14ac:dyDescent="0.15">
      <c r="A175" s="17">
        <v>161</v>
      </c>
      <c r="B175" s="115" t="str">
        <f>IF($A175&gt;MAX(入力シート!$AH$6:$AH$505),"",INDEX(テーブル2[[学年]:[判定]],MATCH(体力優良証交付申請書!$A175,入力シート!$AH$6:$AH$505,0),MATCH(体力優良証交付申請書!B$14,テーブル2[[#Headers],[学年]:[得点]],0)))</f>
        <v/>
      </c>
      <c r="C175" s="115" t="str">
        <f>IF($A175&gt;MAX(入力シート!$AH$6:$AH$505),"",INDEX(テーブル2[[学年]:[判定]],MATCH(体力優良証交付申請書!$A175,入力シート!$AH$6:$AH$505,0),MATCH(体力優良証交付申請書!C$14,テーブル2[[#Headers],[学年]:[得点]],0)))</f>
        <v/>
      </c>
      <c r="D175" s="115" t="str">
        <f>IF($A175&gt;MAX(入力シート!$AH$6:$AH$505),"",INDEX(テーブル2[[学年]:[判定]],MATCH(体力優良証交付申請書!$A175,入力シート!$AH$6:$AH$505,0),MATCH(体力優良証交付申請書!D$14,テーブル2[[#Headers],[学年]:[得点]],0)))</f>
        <v/>
      </c>
      <c r="E175" s="115" t="str">
        <f>IF($A175&gt;MAX(入力シート!$AH$6:$AH$505),"",INDEX(テーブル2[[学年]:[判定]],MATCH(体力優良証交付申請書!$A175,入力シート!$AH$6:$AH$505,0),MATCH(体力優良証交付申請書!E$14,テーブル2[[#Headers],[学年]:[得点]],0)))</f>
        <v/>
      </c>
      <c r="F175" s="115" t="str">
        <f>IF($A175&gt;MAX(入力シート!$AH$6:$AH$505),"",INDEX(テーブル2[[学年]:[判定]],MATCH(体力優良証交付申請書!$A175,入力シート!$AH$6:$AH$505,0),MATCH(体力優良証交付申請書!F$14,テーブル2[[#Headers],[学年]:[得点]],0)))</f>
        <v/>
      </c>
      <c r="G175" s="115" t="str">
        <f>IF($A175&gt;MAX(入力シート!$AH$6:$AH$505),"",INDEX(テーブル2[[学年]:[判定]],MATCH(体力優良証交付申請書!$A175,入力シート!$AH$6:$AH$505,0),MATCH(体力優良証交付申請書!G$14,テーブル2[[#Headers],[学年]:[得点]],0)))</f>
        <v/>
      </c>
      <c r="H175" s="115" t="str">
        <f>IF($A175&gt;MAX(入力シート!$AH$6:$AH$505),"",INDEX(テーブル2[[学年]:[判定]],MATCH(体力優良証交付申請書!$A175,入力シート!$AH$6:$AH$505,0),MATCH(体力優良証交付申請書!H$14,テーブル2[[#Headers],[学年]:[得点]],0)))</f>
        <v/>
      </c>
      <c r="I175" s="115" t="str">
        <f>IF($A175&gt;MAX(入力シート!$AH$6:$AH$505),"",INDEX(テーブル2[[学年]:[判定]],MATCH(体力優良証交付申請書!$A175,入力シート!$AH$6:$AH$505,0),MATCH(体力優良証交付申請書!I$14,テーブル2[[#Headers],[学年]:[得点]],0)))</f>
        <v/>
      </c>
      <c r="J175" s="115" t="str">
        <f>IF($A175&gt;MAX(入力シート!$AH$6:$AH$505),"",INDEX(テーブル2[[学年]:[判定]],MATCH(体力優良証交付申請書!$A175,入力シート!$AH$6:$AH$505,0),MATCH(体力優良証交付申請書!J$14,テーブル2[[#Headers],[学年]:[得点]],0)))</f>
        <v/>
      </c>
      <c r="K175" s="129" t="str">
        <f>IF($A175&gt;MAX(入力シート!$AH$6:$AH$505),"",INDEX(テーブル2[[学年]:[判定]],MATCH(体力優良証交付申請書!$A175,入力シート!$AH$6:$AH$505,0),MATCH(体力優良証交付申請書!K$14,テーブル2[[#Headers],[学年]:[得点]],0)))</f>
        <v/>
      </c>
      <c r="L175" s="115" t="str">
        <f>IF($A175&gt;MAX(入力シート!$AH$6:$AH$505),"",INDEX(テーブル2[[学年]:[判定]],MATCH(体力優良証交付申請書!$A175,入力シート!$AH$6:$AH$505,0),MATCH(体力優良証交付申請書!L$14,テーブル2[[#Headers],[学年]:[得点]],0)))</f>
        <v/>
      </c>
      <c r="M175" s="115" t="str">
        <f>IF($A175&gt;MAX(入力シート!$AH$6:$AH$505),"",INDEX(テーブル2[[学年]:[判定]],MATCH(体力優良証交付申請書!$A175,入力シート!$AH$6:$AH$505,0),MATCH(体力優良証交付申請書!M$14,テーブル2[[#Headers],[学年]:[得点]],0)))</f>
        <v/>
      </c>
      <c r="N175" s="27" t="str">
        <f>IF($A175&gt;MAX(入力シート!$AH$6:$AH$505),"",INDEX(テーブル2[[学年]:[判定]],MATCH(体力優良証交付申請書!$A175,入力シート!$AH$6:$AH$505,0),MATCH(体力優良証交付申請書!N$14,テーブル2[[#Headers],[学年]:[得点]],0)))</f>
        <v/>
      </c>
    </row>
    <row r="176" spans="1:14" x14ac:dyDescent="0.15">
      <c r="A176" s="17">
        <v>162</v>
      </c>
      <c r="B176" s="115" t="str">
        <f>IF($A176&gt;MAX(入力シート!$AH$6:$AH$505),"",INDEX(テーブル2[[学年]:[判定]],MATCH(体力優良証交付申請書!$A176,入力シート!$AH$6:$AH$505,0),MATCH(体力優良証交付申請書!B$14,テーブル2[[#Headers],[学年]:[得点]],0)))</f>
        <v/>
      </c>
      <c r="C176" s="115" t="str">
        <f>IF($A176&gt;MAX(入力シート!$AH$6:$AH$505),"",INDEX(テーブル2[[学年]:[判定]],MATCH(体力優良証交付申請書!$A176,入力シート!$AH$6:$AH$505,0),MATCH(体力優良証交付申請書!C$14,テーブル2[[#Headers],[学年]:[得点]],0)))</f>
        <v/>
      </c>
      <c r="D176" s="115" t="str">
        <f>IF($A176&gt;MAX(入力シート!$AH$6:$AH$505),"",INDEX(テーブル2[[学年]:[判定]],MATCH(体力優良証交付申請書!$A176,入力シート!$AH$6:$AH$505,0),MATCH(体力優良証交付申請書!D$14,テーブル2[[#Headers],[学年]:[得点]],0)))</f>
        <v/>
      </c>
      <c r="E176" s="115" t="str">
        <f>IF($A176&gt;MAX(入力シート!$AH$6:$AH$505),"",INDEX(テーブル2[[学年]:[判定]],MATCH(体力優良証交付申請書!$A176,入力シート!$AH$6:$AH$505,0),MATCH(体力優良証交付申請書!E$14,テーブル2[[#Headers],[学年]:[得点]],0)))</f>
        <v/>
      </c>
      <c r="F176" s="115" t="str">
        <f>IF($A176&gt;MAX(入力シート!$AH$6:$AH$505),"",INDEX(テーブル2[[学年]:[判定]],MATCH(体力優良証交付申請書!$A176,入力シート!$AH$6:$AH$505,0),MATCH(体力優良証交付申請書!F$14,テーブル2[[#Headers],[学年]:[得点]],0)))</f>
        <v/>
      </c>
      <c r="G176" s="115" t="str">
        <f>IF($A176&gt;MAX(入力シート!$AH$6:$AH$505),"",INDEX(テーブル2[[学年]:[判定]],MATCH(体力優良証交付申請書!$A176,入力シート!$AH$6:$AH$505,0),MATCH(体力優良証交付申請書!G$14,テーブル2[[#Headers],[学年]:[得点]],0)))</f>
        <v/>
      </c>
      <c r="H176" s="115" t="str">
        <f>IF($A176&gt;MAX(入力シート!$AH$6:$AH$505),"",INDEX(テーブル2[[学年]:[判定]],MATCH(体力優良証交付申請書!$A176,入力シート!$AH$6:$AH$505,0),MATCH(体力優良証交付申請書!H$14,テーブル2[[#Headers],[学年]:[得点]],0)))</f>
        <v/>
      </c>
      <c r="I176" s="115" t="str">
        <f>IF($A176&gt;MAX(入力シート!$AH$6:$AH$505),"",INDEX(テーブル2[[学年]:[判定]],MATCH(体力優良証交付申請書!$A176,入力シート!$AH$6:$AH$505,0),MATCH(体力優良証交付申請書!I$14,テーブル2[[#Headers],[学年]:[得点]],0)))</f>
        <v/>
      </c>
      <c r="J176" s="115" t="str">
        <f>IF($A176&gt;MAX(入力シート!$AH$6:$AH$505),"",INDEX(テーブル2[[学年]:[判定]],MATCH(体力優良証交付申請書!$A176,入力シート!$AH$6:$AH$505,0),MATCH(体力優良証交付申請書!J$14,テーブル2[[#Headers],[学年]:[得点]],0)))</f>
        <v/>
      </c>
      <c r="K176" s="129" t="str">
        <f>IF($A176&gt;MAX(入力シート!$AH$6:$AH$505),"",INDEX(テーブル2[[学年]:[判定]],MATCH(体力優良証交付申請書!$A176,入力シート!$AH$6:$AH$505,0),MATCH(体力優良証交付申請書!K$14,テーブル2[[#Headers],[学年]:[得点]],0)))</f>
        <v/>
      </c>
      <c r="L176" s="115" t="str">
        <f>IF($A176&gt;MAX(入力シート!$AH$6:$AH$505),"",INDEX(テーブル2[[学年]:[判定]],MATCH(体力優良証交付申請書!$A176,入力シート!$AH$6:$AH$505,0),MATCH(体力優良証交付申請書!L$14,テーブル2[[#Headers],[学年]:[得点]],0)))</f>
        <v/>
      </c>
      <c r="M176" s="115" t="str">
        <f>IF($A176&gt;MAX(入力シート!$AH$6:$AH$505),"",INDEX(テーブル2[[学年]:[判定]],MATCH(体力優良証交付申請書!$A176,入力シート!$AH$6:$AH$505,0),MATCH(体力優良証交付申請書!M$14,テーブル2[[#Headers],[学年]:[得点]],0)))</f>
        <v/>
      </c>
      <c r="N176" s="27" t="str">
        <f>IF($A176&gt;MAX(入力シート!$AH$6:$AH$505),"",INDEX(テーブル2[[学年]:[判定]],MATCH(体力優良証交付申請書!$A176,入力シート!$AH$6:$AH$505,0),MATCH(体力優良証交付申請書!N$14,テーブル2[[#Headers],[学年]:[得点]],0)))</f>
        <v/>
      </c>
    </row>
    <row r="177" spans="1:14" x14ac:dyDescent="0.15">
      <c r="A177" s="17">
        <v>163</v>
      </c>
      <c r="B177" s="115" t="str">
        <f>IF($A177&gt;MAX(入力シート!$AH$6:$AH$505),"",INDEX(テーブル2[[学年]:[判定]],MATCH(体力優良証交付申請書!$A177,入力シート!$AH$6:$AH$505,0),MATCH(体力優良証交付申請書!B$14,テーブル2[[#Headers],[学年]:[得点]],0)))</f>
        <v/>
      </c>
      <c r="C177" s="115" t="str">
        <f>IF($A177&gt;MAX(入力シート!$AH$6:$AH$505),"",INDEX(テーブル2[[学年]:[判定]],MATCH(体力優良証交付申請書!$A177,入力シート!$AH$6:$AH$505,0),MATCH(体力優良証交付申請書!C$14,テーブル2[[#Headers],[学年]:[得点]],0)))</f>
        <v/>
      </c>
      <c r="D177" s="115" t="str">
        <f>IF($A177&gt;MAX(入力シート!$AH$6:$AH$505),"",INDEX(テーブル2[[学年]:[判定]],MATCH(体力優良証交付申請書!$A177,入力シート!$AH$6:$AH$505,0),MATCH(体力優良証交付申請書!D$14,テーブル2[[#Headers],[学年]:[得点]],0)))</f>
        <v/>
      </c>
      <c r="E177" s="115" t="str">
        <f>IF($A177&gt;MAX(入力シート!$AH$6:$AH$505),"",INDEX(テーブル2[[学年]:[判定]],MATCH(体力優良証交付申請書!$A177,入力シート!$AH$6:$AH$505,0),MATCH(体力優良証交付申請書!E$14,テーブル2[[#Headers],[学年]:[得点]],0)))</f>
        <v/>
      </c>
      <c r="F177" s="115" t="str">
        <f>IF($A177&gt;MAX(入力シート!$AH$6:$AH$505),"",INDEX(テーブル2[[学年]:[判定]],MATCH(体力優良証交付申請書!$A177,入力シート!$AH$6:$AH$505,0),MATCH(体力優良証交付申請書!F$14,テーブル2[[#Headers],[学年]:[得点]],0)))</f>
        <v/>
      </c>
      <c r="G177" s="115" t="str">
        <f>IF($A177&gt;MAX(入力シート!$AH$6:$AH$505),"",INDEX(テーブル2[[学年]:[判定]],MATCH(体力優良証交付申請書!$A177,入力シート!$AH$6:$AH$505,0),MATCH(体力優良証交付申請書!G$14,テーブル2[[#Headers],[学年]:[得点]],0)))</f>
        <v/>
      </c>
      <c r="H177" s="115" t="str">
        <f>IF($A177&gt;MAX(入力シート!$AH$6:$AH$505),"",INDEX(テーブル2[[学年]:[判定]],MATCH(体力優良証交付申請書!$A177,入力シート!$AH$6:$AH$505,0),MATCH(体力優良証交付申請書!H$14,テーブル2[[#Headers],[学年]:[得点]],0)))</f>
        <v/>
      </c>
      <c r="I177" s="115" t="str">
        <f>IF($A177&gt;MAX(入力シート!$AH$6:$AH$505),"",INDEX(テーブル2[[学年]:[判定]],MATCH(体力優良証交付申請書!$A177,入力シート!$AH$6:$AH$505,0),MATCH(体力優良証交付申請書!I$14,テーブル2[[#Headers],[学年]:[得点]],0)))</f>
        <v/>
      </c>
      <c r="J177" s="115" t="str">
        <f>IF($A177&gt;MAX(入力シート!$AH$6:$AH$505),"",INDEX(テーブル2[[学年]:[判定]],MATCH(体力優良証交付申請書!$A177,入力シート!$AH$6:$AH$505,0),MATCH(体力優良証交付申請書!J$14,テーブル2[[#Headers],[学年]:[得点]],0)))</f>
        <v/>
      </c>
      <c r="K177" s="129" t="str">
        <f>IF($A177&gt;MAX(入力シート!$AH$6:$AH$505),"",INDEX(テーブル2[[学年]:[判定]],MATCH(体力優良証交付申請書!$A177,入力シート!$AH$6:$AH$505,0),MATCH(体力優良証交付申請書!K$14,テーブル2[[#Headers],[学年]:[得点]],0)))</f>
        <v/>
      </c>
      <c r="L177" s="115" t="str">
        <f>IF($A177&gt;MAX(入力シート!$AH$6:$AH$505),"",INDEX(テーブル2[[学年]:[判定]],MATCH(体力優良証交付申請書!$A177,入力シート!$AH$6:$AH$505,0),MATCH(体力優良証交付申請書!L$14,テーブル2[[#Headers],[学年]:[得点]],0)))</f>
        <v/>
      </c>
      <c r="M177" s="115" t="str">
        <f>IF($A177&gt;MAX(入力シート!$AH$6:$AH$505),"",INDEX(テーブル2[[学年]:[判定]],MATCH(体力優良証交付申請書!$A177,入力シート!$AH$6:$AH$505,0),MATCH(体力優良証交付申請書!M$14,テーブル2[[#Headers],[学年]:[得点]],0)))</f>
        <v/>
      </c>
      <c r="N177" s="27" t="str">
        <f>IF($A177&gt;MAX(入力シート!$AH$6:$AH$505),"",INDEX(テーブル2[[学年]:[判定]],MATCH(体力優良証交付申請書!$A177,入力シート!$AH$6:$AH$505,0),MATCH(体力優良証交付申請書!N$14,テーブル2[[#Headers],[学年]:[得点]],0)))</f>
        <v/>
      </c>
    </row>
    <row r="178" spans="1:14" x14ac:dyDescent="0.15">
      <c r="A178" s="17">
        <v>164</v>
      </c>
      <c r="B178" s="115" t="str">
        <f>IF($A178&gt;MAX(入力シート!$AH$6:$AH$505),"",INDEX(テーブル2[[学年]:[判定]],MATCH(体力優良証交付申請書!$A178,入力シート!$AH$6:$AH$505,0),MATCH(体力優良証交付申請書!B$14,テーブル2[[#Headers],[学年]:[得点]],0)))</f>
        <v/>
      </c>
      <c r="C178" s="115" t="str">
        <f>IF($A178&gt;MAX(入力シート!$AH$6:$AH$505),"",INDEX(テーブル2[[学年]:[判定]],MATCH(体力優良証交付申請書!$A178,入力シート!$AH$6:$AH$505,0),MATCH(体力優良証交付申請書!C$14,テーブル2[[#Headers],[学年]:[得点]],0)))</f>
        <v/>
      </c>
      <c r="D178" s="115" t="str">
        <f>IF($A178&gt;MAX(入力シート!$AH$6:$AH$505),"",INDEX(テーブル2[[学年]:[判定]],MATCH(体力優良証交付申請書!$A178,入力シート!$AH$6:$AH$505,0),MATCH(体力優良証交付申請書!D$14,テーブル2[[#Headers],[学年]:[得点]],0)))</f>
        <v/>
      </c>
      <c r="E178" s="115" t="str">
        <f>IF($A178&gt;MAX(入力シート!$AH$6:$AH$505),"",INDEX(テーブル2[[学年]:[判定]],MATCH(体力優良証交付申請書!$A178,入力シート!$AH$6:$AH$505,0),MATCH(体力優良証交付申請書!E$14,テーブル2[[#Headers],[学年]:[得点]],0)))</f>
        <v/>
      </c>
      <c r="F178" s="115" t="str">
        <f>IF($A178&gt;MAX(入力シート!$AH$6:$AH$505),"",INDEX(テーブル2[[学年]:[判定]],MATCH(体力優良証交付申請書!$A178,入力シート!$AH$6:$AH$505,0),MATCH(体力優良証交付申請書!F$14,テーブル2[[#Headers],[学年]:[得点]],0)))</f>
        <v/>
      </c>
      <c r="G178" s="115" t="str">
        <f>IF($A178&gt;MAX(入力シート!$AH$6:$AH$505),"",INDEX(テーブル2[[学年]:[判定]],MATCH(体力優良証交付申請書!$A178,入力シート!$AH$6:$AH$505,0),MATCH(体力優良証交付申請書!G$14,テーブル2[[#Headers],[学年]:[得点]],0)))</f>
        <v/>
      </c>
      <c r="H178" s="115" t="str">
        <f>IF($A178&gt;MAX(入力シート!$AH$6:$AH$505),"",INDEX(テーブル2[[学年]:[判定]],MATCH(体力優良証交付申請書!$A178,入力シート!$AH$6:$AH$505,0),MATCH(体力優良証交付申請書!H$14,テーブル2[[#Headers],[学年]:[得点]],0)))</f>
        <v/>
      </c>
      <c r="I178" s="115" t="str">
        <f>IF($A178&gt;MAX(入力シート!$AH$6:$AH$505),"",INDEX(テーブル2[[学年]:[判定]],MATCH(体力優良証交付申請書!$A178,入力シート!$AH$6:$AH$505,0),MATCH(体力優良証交付申請書!I$14,テーブル2[[#Headers],[学年]:[得点]],0)))</f>
        <v/>
      </c>
      <c r="J178" s="115" t="str">
        <f>IF($A178&gt;MAX(入力シート!$AH$6:$AH$505),"",INDEX(テーブル2[[学年]:[判定]],MATCH(体力優良証交付申請書!$A178,入力シート!$AH$6:$AH$505,0),MATCH(体力優良証交付申請書!J$14,テーブル2[[#Headers],[学年]:[得点]],0)))</f>
        <v/>
      </c>
      <c r="K178" s="129" t="str">
        <f>IF($A178&gt;MAX(入力シート!$AH$6:$AH$505),"",INDEX(テーブル2[[学年]:[判定]],MATCH(体力優良証交付申請書!$A178,入力シート!$AH$6:$AH$505,0),MATCH(体力優良証交付申請書!K$14,テーブル2[[#Headers],[学年]:[得点]],0)))</f>
        <v/>
      </c>
      <c r="L178" s="115" t="str">
        <f>IF($A178&gt;MAX(入力シート!$AH$6:$AH$505),"",INDEX(テーブル2[[学年]:[判定]],MATCH(体力優良証交付申請書!$A178,入力シート!$AH$6:$AH$505,0),MATCH(体力優良証交付申請書!L$14,テーブル2[[#Headers],[学年]:[得点]],0)))</f>
        <v/>
      </c>
      <c r="M178" s="115" t="str">
        <f>IF($A178&gt;MAX(入力シート!$AH$6:$AH$505),"",INDEX(テーブル2[[学年]:[判定]],MATCH(体力優良証交付申請書!$A178,入力シート!$AH$6:$AH$505,0),MATCH(体力優良証交付申請書!M$14,テーブル2[[#Headers],[学年]:[得点]],0)))</f>
        <v/>
      </c>
      <c r="N178" s="27" t="str">
        <f>IF($A178&gt;MAX(入力シート!$AH$6:$AH$505),"",INDEX(テーブル2[[学年]:[判定]],MATCH(体力優良証交付申請書!$A178,入力シート!$AH$6:$AH$505,0),MATCH(体力優良証交付申請書!N$14,テーブル2[[#Headers],[学年]:[得点]],0)))</f>
        <v/>
      </c>
    </row>
    <row r="179" spans="1:14" x14ac:dyDescent="0.15">
      <c r="A179" s="17">
        <v>165</v>
      </c>
      <c r="B179" s="115" t="str">
        <f>IF($A179&gt;MAX(入力シート!$AH$6:$AH$505),"",INDEX(テーブル2[[学年]:[判定]],MATCH(体力優良証交付申請書!$A179,入力シート!$AH$6:$AH$505,0),MATCH(体力優良証交付申請書!B$14,テーブル2[[#Headers],[学年]:[得点]],0)))</f>
        <v/>
      </c>
      <c r="C179" s="115" t="str">
        <f>IF($A179&gt;MAX(入力シート!$AH$6:$AH$505),"",INDEX(テーブル2[[学年]:[判定]],MATCH(体力優良証交付申請書!$A179,入力シート!$AH$6:$AH$505,0),MATCH(体力優良証交付申請書!C$14,テーブル2[[#Headers],[学年]:[得点]],0)))</f>
        <v/>
      </c>
      <c r="D179" s="115" t="str">
        <f>IF($A179&gt;MAX(入力シート!$AH$6:$AH$505),"",INDEX(テーブル2[[学年]:[判定]],MATCH(体力優良証交付申請書!$A179,入力シート!$AH$6:$AH$505,0),MATCH(体力優良証交付申請書!D$14,テーブル2[[#Headers],[学年]:[得点]],0)))</f>
        <v/>
      </c>
      <c r="E179" s="115" t="str">
        <f>IF($A179&gt;MAX(入力シート!$AH$6:$AH$505),"",INDEX(テーブル2[[学年]:[判定]],MATCH(体力優良証交付申請書!$A179,入力シート!$AH$6:$AH$505,0),MATCH(体力優良証交付申請書!E$14,テーブル2[[#Headers],[学年]:[得点]],0)))</f>
        <v/>
      </c>
      <c r="F179" s="115" t="str">
        <f>IF($A179&gt;MAX(入力シート!$AH$6:$AH$505),"",INDEX(テーブル2[[学年]:[判定]],MATCH(体力優良証交付申請書!$A179,入力シート!$AH$6:$AH$505,0),MATCH(体力優良証交付申請書!F$14,テーブル2[[#Headers],[学年]:[得点]],0)))</f>
        <v/>
      </c>
      <c r="G179" s="115" t="str">
        <f>IF($A179&gt;MAX(入力シート!$AH$6:$AH$505),"",INDEX(テーブル2[[学年]:[判定]],MATCH(体力優良証交付申請書!$A179,入力シート!$AH$6:$AH$505,0),MATCH(体力優良証交付申請書!G$14,テーブル2[[#Headers],[学年]:[得点]],0)))</f>
        <v/>
      </c>
      <c r="H179" s="115" t="str">
        <f>IF($A179&gt;MAX(入力シート!$AH$6:$AH$505),"",INDEX(テーブル2[[学年]:[判定]],MATCH(体力優良証交付申請書!$A179,入力シート!$AH$6:$AH$505,0),MATCH(体力優良証交付申請書!H$14,テーブル2[[#Headers],[学年]:[得点]],0)))</f>
        <v/>
      </c>
      <c r="I179" s="115" t="str">
        <f>IF($A179&gt;MAX(入力シート!$AH$6:$AH$505),"",INDEX(テーブル2[[学年]:[判定]],MATCH(体力優良証交付申請書!$A179,入力シート!$AH$6:$AH$505,0),MATCH(体力優良証交付申請書!I$14,テーブル2[[#Headers],[学年]:[得点]],0)))</f>
        <v/>
      </c>
      <c r="J179" s="115" t="str">
        <f>IF($A179&gt;MAX(入力シート!$AH$6:$AH$505),"",INDEX(テーブル2[[学年]:[判定]],MATCH(体力優良証交付申請書!$A179,入力シート!$AH$6:$AH$505,0),MATCH(体力優良証交付申請書!J$14,テーブル2[[#Headers],[学年]:[得点]],0)))</f>
        <v/>
      </c>
      <c r="K179" s="129" t="str">
        <f>IF($A179&gt;MAX(入力シート!$AH$6:$AH$505),"",INDEX(テーブル2[[学年]:[判定]],MATCH(体力優良証交付申請書!$A179,入力シート!$AH$6:$AH$505,0),MATCH(体力優良証交付申請書!K$14,テーブル2[[#Headers],[学年]:[得点]],0)))</f>
        <v/>
      </c>
      <c r="L179" s="115" t="str">
        <f>IF($A179&gt;MAX(入力シート!$AH$6:$AH$505),"",INDEX(テーブル2[[学年]:[判定]],MATCH(体力優良証交付申請書!$A179,入力シート!$AH$6:$AH$505,0),MATCH(体力優良証交付申請書!L$14,テーブル2[[#Headers],[学年]:[得点]],0)))</f>
        <v/>
      </c>
      <c r="M179" s="115" t="str">
        <f>IF($A179&gt;MAX(入力シート!$AH$6:$AH$505),"",INDEX(テーブル2[[学年]:[判定]],MATCH(体力優良証交付申請書!$A179,入力シート!$AH$6:$AH$505,0),MATCH(体力優良証交付申請書!M$14,テーブル2[[#Headers],[学年]:[得点]],0)))</f>
        <v/>
      </c>
      <c r="N179" s="27" t="str">
        <f>IF($A179&gt;MAX(入力シート!$AH$6:$AH$505),"",INDEX(テーブル2[[学年]:[判定]],MATCH(体力優良証交付申請書!$A179,入力シート!$AH$6:$AH$505,0),MATCH(体力優良証交付申請書!N$14,テーブル2[[#Headers],[学年]:[得点]],0)))</f>
        <v/>
      </c>
    </row>
    <row r="180" spans="1:14" x14ac:dyDescent="0.15">
      <c r="A180" s="17">
        <v>166</v>
      </c>
      <c r="B180" s="115" t="str">
        <f>IF($A180&gt;MAX(入力シート!$AH$6:$AH$505),"",INDEX(テーブル2[[学年]:[判定]],MATCH(体力優良証交付申請書!$A180,入力シート!$AH$6:$AH$505,0),MATCH(体力優良証交付申請書!B$14,テーブル2[[#Headers],[学年]:[得点]],0)))</f>
        <v/>
      </c>
      <c r="C180" s="115" t="str">
        <f>IF($A180&gt;MAX(入力シート!$AH$6:$AH$505),"",INDEX(テーブル2[[学年]:[判定]],MATCH(体力優良証交付申請書!$A180,入力シート!$AH$6:$AH$505,0),MATCH(体力優良証交付申請書!C$14,テーブル2[[#Headers],[学年]:[得点]],0)))</f>
        <v/>
      </c>
      <c r="D180" s="115" t="str">
        <f>IF($A180&gt;MAX(入力シート!$AH$6:$AH$505),"",INDEX(テーブル2[[学年]:[判定]],MATCH(体力優良証交付申請書!$A180,入力シート!$AH$6:$AH$505,0),MATCH(体力優良証交付申請書!D$14,テーブル2[[#Headers],[学年]:[得点]],0)))</f>
        <v/>
      </c>
      <c r="E180" s="115" t="str">
        <f>IF($A180&gt;MAX(入力シート!$AH$6:$AH$505),"",INDEX(テーブル2[[学年]:[判定]],MATCH(体力優良証交付申請書!$A180,入力シート!$AH$6:$AH$505,0),MATCH(体力優良証交付申請書!E$14,テーブル2[[#Headers],[学年]:[得点]],0)))</f>
        <v/>
      </c>
      <c r="F180" s="115" t="str">
        <f>IF($A180&gt;MAX(入力シート!$AH$6:$AH$505),"",INDEX(テーブル2[[学年]:[判定]],MATCH(体力優良証交付申請書!$A180,入力シート!$AH$6:$AH$505,0),MATCH(体力優良証交付申請書!F$14,テーブル2[[#Headers],[学年]:[得点]],0)))</f>
        <v/>
      </c>
      <c r="G180" s="115" t="str">
        <f>IF($A180&gt;MAX(入力シート!$AH$6:$AH$505),"",INDEX(テーブル2[[学年]:[判定]],MATCH(体力優良証交付申請書!$A180,入力シート!$AH$6:$AH$505,0),MATCH(体力優良証交付申請書!G$14,テーブル2[[#Headers],[学年]:[得点]],0)))</f>
        <v/>
      </c>
      <c r="H180" s="115" t="str">
        <f>IF($A180&gt;MAX(入力シート!$AH$6:$AH$505),"",INDEX(テーブル2[[学年]:[判定]],MATCH(体力優良証交付申請書!$A180,入力シート!$AH$6:$AH$505,0),MATCH(体力優良証交付申請書!H$14,テーブル2[[#Headers],[学年]:[得点]],0)))</f>
        <v/>
      </c>
      <c r="I180" s="115" t="str">
        <f>IF($A180&gt;MAX(入力シート!$AH$6:$AH$505),"",INDEX(テーブル2[[学年]:[判定]],MATCH(体力優良証交付申請書!$A180,入力シート!$AH$6:$AH$505,0),MATCH(体力優良証交付申請書!I$14,テーブル2[[#Headers],[学年]:[得点]],0)))</f>
        <v/>
      </c>
      <c r="J180" s="115" t="str">
        <f>IF($A180&gt;MAX(入力シート!$AH$6:$AH$505),"",INDEX(テーブル2[[学年]:[判定]],MATCH(体力優良証交付申請書!$A180,入力シート!$AH$6:$AH$505,0),MATCH(体力優良証交付申請書!J$14,テーブル2[[#Headers],[学年]:[得点]],0)))</f>
        <v/>
      </c>
      <c r="K180" s="129" t="str">
        <f>IF($A180&gt;MAX(入力シート!$AH$6:$AH$505),"",INDEX(テーブル2[[学年]:[判定]],MATCH(体力優良証交付申請書!$A180,入力シート!$AH$6:$AH$505,0),MATCH(体力優良証交付申請書!K$14,テーブル2[[#Headers],[学年]:[得点]],0)))</f>
        <v/>
      </c>
      <c r="L180" s="115" t="str">
        <f>IF($A180&gt;MAX(入力シート!$AH$6:$AH$505),"",INDEX(テーブル2[[学年]:[判定]],MATCH(体力優良証交付申請書!$A180,入力シート!$AH$6:$AH$505,0),MATCH(体力優良証交付申請書!L$14,テーブル2[[#Headers],[学年]:[得点]],0)))</f>
        <v/>
      </c>
      <c r="M180" s="115" t="str">
        <f>IF($A180&gt;MAX(入力シート!$AH$6:$AH$505),"",INDEX(テーブル2[[学年]:[判定]],MATCH(体力優良証交付申請書!$A180,入力シート!$AH$6:$AH$505,0),MATCH(体力優良証交付申請書!M$14,テーブル2[[#Headers],[学年]:[得点]],0)))</f>
        <v/>
      </c>
      <c r="N180" s="27" t="str">
        <f>IF($A180&gt;MAX(入力シート!$AH$6:$AH$505),"",INDEX(テーブル2[[学年]:[判定]],MATCH(体力優良証交付申請書!$A180,入力シート!$AH$6:$AH$505,0),MATCH(体力優良証交付申請書!N$14,テーブル2[[#Headers],[学年]:[得点]],0)))</f>
        <v/>
      </c>
    </row>
    <row r="181" spans="1:14" x14ac:dyDescent="0.15">
      <c r="A181" s="17">
        <v>167</v>
      </c>
      <c r="B181" s="115" t="str">
        <f>IF($A181&gt;MAX(入力シート!$AH$6:$AH$505),"",INDEX(テーブル2[[学年]:[判定]],MATCH(体力優良証交付申請書!$A181,入力シート!$AH$6:$AH$505,0),MATCH(体力優良証交付申請書!B$14,テーブル2[[#Headers],[学年]:[得点]],0)))</f>
        <v/>
      </c>
      <c r="C181" s="115" t="str">
        <f>IF($A181&gt;MAX(入力シート!$AH$6:$AH$505),"",INDEX(テーブル2[[学年]:[判定]],MATCH(体力優良証交付申請書!$A181,入力シート!$AH$6:$AH$505,0),MATCH(体力優良証交付申請書!C$14,テーブル2[[#Headers],[学年]:[得点]],0)))</f>
        <v/>
      </c>
      <c r="D181" s="115" t="str">
        <f>IF($A181&gt;MAX(入力シート!$AH$6:$AH$505),"",INDEX(テーブル2[[学年]:[判定]],MATCH(体力優良証交付申請書!$A181,入力シート!$AH$6:$AH$505,0),MATCH(体力優良証交付申請書!D$14,テーブル2[[#Headers],[学年]:[得点]],0)))</f>
        <v/>
      </c>
      <c r="E181" s="115" t="str">
        <f>IF($A181&gt;MAX(入力シート!$AH$6:$AH$505),"",INDEX(テーブル2[[学年]:[判定]],MATCH(体力優良証交付申請書!$A181,入力シート!$AH$6:$AH$505,0),MATCH(体力優良証交付申請書!E$14,テーブル2[[#Headers],[学年]:[得点]],0)))</f>
        <v/>
      </c>
      <c r="F181" s="115" t="str">
        <f>IF($A181&gt;MAX(入力シート!$AH$6:$AH$505),"",INDEX(テーブル2[[学年]:[判定]],MATCH(体力優良証交付申請書!$A181,入力シート!$AH$6:$AH$505,0),MATCH(体力優良証交付申請書!F$14,テーブル2[[#Headers],[学年]:[得点]],0)))</f>
        <v/>
      </c>
      <c r="G181" s="115" t="str">
        <f>IF($A181&gt;MAX(入力シート!$AH$6:$AH$505),"",INDEX(テーブル2[[学年]:[判定]],MATCH(体力優良証交付申請書!$A181,入力シート!$AH$6:$AH$505,0),MATCH(体力優良証交付申請書!G$14,テーブル2[[#Headers],[学年]:[得点]],0)))</f>
        <v/>
      </c>
      <c r="H181" s="115" t="str">
        <f>IF($A181&gt;MAX(入力シート!$AH$6:$AH$505),"",INDEX(テーブル2[[学年]:[判定]],MATCH(体力優良証交付申請書!$A181,入力シート!$AH$6:$AH$505,0),MATCH(体力優良証交付申請書!H$14,テーブル2[[#Headers],[学年]:[得点]],0)))</f>
        <v/>
      </c>
      <c r="I181" s="115" t="str">
        <f>IF($A181&gt;MAX(入力シート!$AH$6:$AH$505),"",INDEX(テーブル2[[学年]:[判定]],MATCH(体力優良証交付申請書!$A181,入力シート!$AH$6:$AH$505,0),MATCH(体力優良証交付申請書!I$14,テーブル2[[#Headers],[学年]:[得点]],0)))</f>
        <v/>
      </c>
      <c r="J181" s="115" t="str">
        <f>IF($A181&gt;MAX(入力シート!$AH$6:$AH$505),"",INDEX(テーブル2[[学年]:[判定]],MATCH(体力優良証交付申請書!$A181,入力シート!$AH$6:$AH$505,0),MATCH(体力優良証交付申請書!J$14,テーブル2[[#Headers],[学年]:[得点]],0)))</f>
        <v/>
      </c>
      <c r="K181" s="129" t="str">
        <f>IF($A181&gt;MAX(入力シート!$AH$6:$AH$505),"",INDEX(テーブル2[[学年]:[判定]],MATCH(体力優良証交付申請書!$A181,入力シート!$AH$6:$AH$505,0),MATCH(体力優良証交付申請書!K$14,テーブル2[[#Headers],[学年]:[得点]],0)))</f>
        <v/>
      </c>
      <c r="L181" s="115" t="str">
        <f>IF($A181&gt;MAX(入力シート!$AH$6:$AH$505),"",INDEX(テーブル2[[学年]:[判定]],MATCH(体力優良証交付申請書!$A181,入力シート!$AH$6:$AH$505,0),MATCH(体力優良証交付申請書!L$14,テーブル2[[#Headers],[学年]:[得点]],0)))</f>
        <v/>
      </c>
      <c r="M181" s="115" t="str">
        <f>IF($A181&gt;MAX(入力シート!$AH$6:$AH$505),"",INDEX(テーブル2[[学年]:[判定]],MATCH(体力優良証交付申請書!$A181,入力シート!$AH$6:$AH$505,0),MATCH(体力優良証交付申請書!M$14,テーブル2[[#Headers],[学年]:[得点]],0)))</f>
        <v/>
      </c>
      <c r="N181" s="27" t="str">
        <f>IF($A181&gt;MAX(入力シート!$AH$6:$AH$505),"",INDEX(テーブル2[[学年]:[判定]],MATCH(体力優良証交付申請書!$A181,入力シート!$AH$6:$AH$505,0),MATCH(体力優良証交付申請書!N$14,テーブル2[[#Headers],[学年]:[得点]],0)))</f>
        <v/>
      </c>
    </row>
    <row r="182" spans="1:14" x14ac:dyDescent="0.15">
      <c r="A182" s="17">
        <v>168</v>
      </c>
      <c r="B182" s="115" t="str">
        <f>IF($A182&gt;MAX(入力シート!$AH$6:$AH$505),"",INDEX(テーブル2[[学年]:[判定]],MATCH(体力優良証交付申請書!$A182,入力シート!$AH$6:$AH$505,0),MATCH(体力優良証交付申請書!B$14,テーブル2[[#Headers],[学年]:[得点]],0)))</f>
        <v/>
      </c>
      <c r="C182" s="115" t="str">
        <f>IF($A182&gt;MAX(入力シート!$AH$6:$AH$505),"",INDEX(テーブル2[[学年]:[判定]],MATCH(体力優良証交付申請書!$A182,入力シート!$AH$6:$AH$505,0),MATCH(体力優良証交付申請書!C$14,テーブル2[[#Headers],[学年]:[得点]],0)))</f>
        <v/>
      </c>
      <c r="D182" s="115" t="str">
        <f>IF($A182&gt;MAX(入力シート!$AH$6:$AH$505),"",INDEX(テーブル2[[学年]:[判定]],MATCH(体力優良証交付申請書!$A182,入力シート!$AH$6:$AH$505,0),MATCH(体力優良証交付申請書!D$14,テーブル2[[#Headers],[学年]:[得点]],0)))</f>
        <v/>
      </c>
      <c r="E182" s="115" t="str">
        <f>IF($A182&gt;MAX(入力シート!$AH$6:$AH$505),"",INDEX(テーブル2[[学年]:[判定]],MATCH(体力優良証交付申請書!$A182,入力シート!$AH$6:$AH$505,0),MATCH(体力優良証交付申請書!E$14,テーブル2[[#Headers],[学年]:[得点]],0)))</f>
        <v/>
      </c>
      <c r="F182" s="115" t="str">
        <f>IF($A182&gt;MAX(入力シート!$AH$6:$AH$505),"",INDEX(テーブル2[[学年]:[判定]],MATCH(体力優良証交付申請書!$A182,入力シート!$AH$6:$AH$505,0),MATCH(体力優良証交付申請書!F$14,テーブル2[[#Headers],[学年]:[得点]],0)))</f>
        <v/>
      </c>
      <c r="G182" s="115" t="str">
        <f>IF($A182&gt;MAX(入力シート!$AH$6:$AH$505),"",INDEX(テーブル2[[学年]:[判定]],MATCH(体力優良証交付申請書!$A182,入力シート!$AH$6:$AH$505,0),MATCH(体力優良証交付申請書!G$14,テーブル2[[#Headers],[学年]:[得点]],0)))</f>
        <v/>
      </c>
      <c r="H182" s="115" t="str">
        <f>IF($A182&gt;MAX(入力シート!$AH$6:$AH$505),"",INDEX(テーブル2[[学年]:[判定]],MATCH(体力優良証交付申請書!$A182,入力シート!$AH$6:$AH$505,0),MATCH(体力優良証交付申請書!H$14,テーブル2[[#Headers],[学年]:[得点]],0)))</f>
        <v/>
      </c>
      <c r="I182" s="115" t="str">
        <f>IF($A182&gt;MAX(入力シート!$AH$6:$AH$505),"",INDEX(テーブル2[[学年]:[判定]],MATCH(体力優良証交付申請書!$A182,入力シート!$AH$6:$AH$505,0),MATCH(体力優良証交付申請書!I$14,テーブル2[[#Headers],[学年]:[得点]],0)))</f>
        <v/>
      </c>
      <c r="J182" s="115" t="str">
        <f>IF($A182&gt;MAX(入力シート!$AH$6:$AH$505),"",INDEX(テーブル2[[学年]:[判定]],MATCH(体力優良証交付申請書!$A182,入力シート!$AH$6:$AH$505,0),MATCH(体力優良証交付申請書!J$14,テーブル2[[#Headers],[学年]:[得点]],0)))</f>
        <v/>
      </c>
      <c r="K182" s="129" t="str">
        <f>IF($A182&gt;MAX(入力シート!$AH$6:$AH$505),"",INDEX(テーブル2[[学年]:[判定]],MATCH(体力優良証交付申請書!$A182,入力シート!$AH$6:$AH$505,0),MATCH(体力優良証交付申請書!K$14,テーブル2[[#Headers],[学年]:[得点]],0)))</f>
        <v/>
      </c>
      <c r="L182" s="115" t="str">
        <f>IF($A182&gt;MAX(入力シート!$AH$6:$AH$505),"",INDEX(テーブル2[[学年]:[判定]],MATCH(体力優良証交付申請書!$A182,入力シート!$AH$6:$AH$505,0),MATCH(体力優良証交付申請書!L$14,テーブル2[[#Headers],[学年]:[得点]],0)))</f>
        <v/>
      </c>
      <c r="M182" s="115" t="str">
        <f>IF($A182&gt;MAX(入力シート!$AH$6:$AH$505),"",INDEX(テーブル2[[学年]:[判定]],MATCH(体力優良証交付申請書!$A182,入力シート!$AH$6:$AH$505,0),MATCH(体力優良証交付申請書!M$14,テーブル2[[#Headers],[学年]:[得点]],0)))</f>
        <v/>
      </c>
      <c r="N182" s="27" t="str">
        <f>IF($A182&gt;MAX(入力シート!$AH$6:$AH$505),"",INDEX(テーブル2[[学年]:[判定]],MATCH(体力優良証交付申請書!$A182,入力シート!$AH$6:$AH$505,0),MATCH(体力優良証交付申請書!N$14,テーブル2[[#Headers],[学年]:[得点]],0)))</f>
        <v/>
      </c>
    </row>
    <row r="183" spans="1:14" x14ac:dyDescent="0.15">
      <c r="A183" s="17">
        <v>169</v>
      </c>
      <c r="B183" s="115" t="str">
        <f>IF($A183&gt;MAX(入力シート!$AH$6:$AH$505),"",INDEX(テーブル2[[学年]:[判定]],MATCH(体力優良証交付申請書!$A183,入力シート!$AH$6:$AH$505,0),MATCH(体力優良証交付申請書!B$14,テーブル2[[#Headers],[学年]:[得点]],0)))</f>
        <v/>
      </c>
      <c r="C183" s="115" t="str">
        <f>IF($A183&gt;MAX(入力シート!$AH$6:$AH$505),"",INDEX(テーブル2[[学年]:[判定]],MATCH(体力優良証交付申請書!$A183,入力シート!$AH$6:$AH$505,0),MATCH(体力優良証交付申請書!C$14,テーブル2[[#Headers],[学年]:[得点]],0)))</f>
        <v/>
      </c>
      <c r="D183" s="115" t="str">
        <f>IF($A183&gt;MAX(入力シート!$AH$6:$AH$505),"",INDEX(テーブル2[[学年]:[判定]],MATCH(体力優良証交付申請書!$A183,入力シート!$AH$6:$AH$505,0),MATCH(体力優良証交付申請書!D$14,テーブル2[[#Headers],[学年]:[得点]],0)))</f>
        <v/>
      </c>
      <c r="E183" s="115" t="str">
        <f>IF($A183&gt;MAX(入力シート!$AH$6:$AH$505),"",INDEX(テーブル2[[学年]:[判定]],MATCH(体力優良証交付申請書!$A183,入力シート!$AH$6:$AH$505,0),MATCH(体力優良証交付申請書!E$14,テーブル2[[#Headers],[学年]:[得点]],0)))</f>
        <v/>
      </c>
      <c r="F183" s="115" t="str">
        <f>IF($A183&gt;MAX(入力シート!$AH$6:$AH$505),"",INDEX(テーブル2[[学年]:[判定]],MATCH(体力優良証交付申請書!$A183,入力シート!$AH$6:$AH$505,0),MATCH(体力優良証交付申請書!F$14,テーブル2[[#Headers],[学年]:[得点]],0)))</f>
        <v/>
      </c>
      <c r="G183" s="115" t="str">
        <f>IF($A183&gt;MAX(入力シート!$AH$6:$AH$505),"",INDEX(テーブル2[[学年]:[判定]],MATCH(体力優良証交付申請書!$A183,入力シート!$AH$6:$AH$505,0),MATCH(体力優良証交付申請書!G$14,テーブル2[[#Headers],[学年]:[得点]],0)))</f>
        <v/>
      </c>
      <c r="H183" s="115" t="str">
        <f>IF($A183&gt;MAX(入力シート!$AH$6:$AH$505),"",INDEX(テーブル2[[学年]:[判定]],MATCH(体力優良証交付申請書!$A183,入力シート!$AH$6:$AH$505,0),MATCH(体力優良証交付申請書!H$14,テーブル2[[#Headers],[学年]:[得点]],0)))</f>
        <v/>
      </c>
      <c r="I183" s="115" t="str">
        <f>IF($A183&gt;MAX(入力シート!$AH$6:$AH$505),"",INDEX(テーブル2[[学年]:[判定]],MATCH(体力優良証交付申請書!$A183,入力シート!$AH$6:$AH$505,0),MATCH(体力優良証交付申請書!I$14,テーブル2[[#Headers],[学年]:[得点]],0)))</f>
        <v/>
      </c>
      <c r="J183" s="115" t="str">
        <f>IF($A183&gt;MAX(入力シート!$AH$6:$AH$505),"",INDEX(テーブル2[[学年]:[判定]],MATCH(体力優良証交付申請書!$A183,入力シート!$AH$6:$AH$505,0),MATCH(体力優良証交付申請書!J$14,テーブル2[[#Headers],[学年]:[得点]],0)))</f>
        <v/>
      </c>
      <c r="K183" s="129" t="str">
        <f>IF($A183&gt;MAX(入力シート!$AH$6:$AH$505),"",INDEX(テーブル2[[学年]:[判定]],MATCH(体力優良証交付申請書!$A183,入力シート!$AH$6:$AH$505,0),MATCH(体力優良証交付申請書!K$14,テーブル2[[#Headers],[学年]:[得点]],0)))</f>
        <v/>
      </c>
      <c r="L183" s="115" t="str">
        <f>IF($A183&gt;MAX(入力シート!$AH$6:$AH$505),"",INDEX(テーブル2[[学年]:[判定]],MATCH(体力優良証交付申請書!$A183,入力シート!$AH$6:$AH$505,0),MATCH(体力優良証交付申請書!L$14,テーブル2[[#Headers],[学年]:[得点]],0)))</f>
        <v/>
      </c>
      <c r="M183" s="115" t="str">
        <f>IF($A183&gt;MAX(入力シート!$AH$6:$AH$505),"",INDEX(テーブル2[[学年]:[判定]],MATCH(体力優良証交付申請書!$A183,入力シート!$AH$6:$AH$505,0),MATCH(体力優良証交付申請書!M$14,テーブル2[[#Headers],[学年]:[得点]],0)))</f>
        <v/>
      </c>
      <c r="N183" s="27" t="str">
        <f>IF($A183&gt;MAX(入力シート!$AH$6:$AH$505),"",INDEX(テーブル2[[学年]:[判定]],MATCH(体力優良証交付申請書!$A183,入力シート!$AH$6:$AH$505,0),MATCH(体力優良証交付申請書!N$14,テーブル2[[#Headers],[学年]:[得点]],0)))</f>
        <v/>
      </c>
    </row>
    <row r="184" spans="1:14" x14ac:dyDescent="0.15">
      <c r="A184" s="17">
        <v>170</v>
      </c>
      <c r="B184" s="115" t="str">
        <f>IF($A184&gt;MAX(入力シート!$AH$6:$AH$505),"",INDEX(テーブル2[[学年]:[判定]],MATCH(体力優良証交付申請書!$A184,入力シート!$AH$6:$AH$505,0),MATCH(体力優良証交付申請書!B$14,テーブル2[[#Headers],[学年]:[得点]],0)))</f>
        <v/>
      </c>
      <c r="C184" s="115" t="str">
        <f>IF($A184&gt;MAX(入力シート!$AH$6:$AH$505),"",INDEX(テーブル2[[学年]:[判定]],MATCH(体力優良証交付申請書!$A184,入力シート!$AH$6:$AH$505,0),MATCH(体力優良証交付申請書!C$14,テーブル2[[#Headers],[学年]:[得点]],0)))</f>
        <v/>
      </c>
      <c r="D184" s="115" t="str">
        <f>IF($A184&gt;MAX(入力シート!$AH$6:$AH$505),"",INDEX(テーブル2[[学年]:[判定]],MATCH(体力優良証交付申請書!$A184,入力シート!$AH$6:$AH$505,0),MATCH(体力優良証交付申請書!D$14,テーブル2[[#Headers],[学年]:[得点]],0)))</f>
        <v/>
      </c>
      <c r="E184" s="115" t="str">
        <f>IF($A184&gt;MAX(入力シート!$AH$6:$AH$505),"",INDEX(テーブル2[[学年]:[判定]],MATCH(体力優良証交付申請書!$A184,入力シート!$AH$6:$AH$505,0),MATCH(体力優良証交付申請書!E$14,テーブル2[[#Headers],[学年]:[得点]],0)))</f>
        <v/>
      </c>
      <c r="F184" s="115" t="str">
        <f>IF($A184&gt;MAX(入力シート!$AH$6:$AH$505),"",INDEX(テーブル2[[学年]:[判定]],MATCH(体力優良証交付申請書!$A184,入力シート!$AH$6:$AH$505,0),MATCH(体力優良証交付申請書!F$14,テーブル2[[#Headers],[学年]:[得点]],0)))</f>
        <v/>
      </c>
      <c r="G184" s="115" t="str">
        <f>IF($A184&gt;MAX(入力シート!$AH$6:$AH$505),"",INDEX(テーブル2[[学年]:[判定]],MATCH(体力優良証交付申請書!$A184,入力シート!$AH$6:$AH$505,0),MATCH(体力優良証交付申請書!G$14,テーブル2[[#Headers],[学年]:[得点]],0)))</f>
        <v/>
      </c>
      <c r="H184" s="115" t="str">
        <f>IF($A184&gt;MAX(入力シート!$AH$6:$AH$505),"",INDEX(テーブル2[[学年]:[判定]],MATCH(体力優良証交付申請書!$A184,入力シート!$AH$6:$AH$505,0),MATCH(体力優良証交付申請書!H$14,テーブル2[[#Headers],[学年]:[得点]],0)))</f>
        <v/>
      </c>
      <c r="I184" s="115" t="str">
        <f>IF($A184&gt;MAX(入力シート!$AH$6:$AH$505),"",INDEX(テーブル2[[学年]:[判定]],MATCH(体力優良証交付申請書!$A184,入力シート!$AH$6:$AH$505,0),MATCH(体力優良証交付申請書!I$14,テーブル2[[#Headers],[学年]:[得点]],0)))</f>
        <v/>
      </c>
      <c r="J184" s="115" t="str">
        <f>IF($A184&gt;MAX(入力シート!$AH$6:$AH$505),"",INDEX(テーブル2[[学年]:[判定]],MATCH(体力優良証交付申請書!$A184,入力シート!$AH$6:$AH$505,0),MATCH(体力優良証交付申請書!J$14,テーブル2[[#Headers],[学年]:[得点]],0)))</f>
        <v/>
      </c>
      <c r="K184" s="129" t="str">
        <f>IF($A184&gt;MAX(入力シート!$AH$6:$AH$505),"",INDEX(テーブル2[[学年]:[判定]],MATCH(体力優良証交付申請書!$A184,入力シート!$AH$6:$AH$505,0),MATCH(体力優良証交付申請書!K$14,テーブル2[[#Headers],[学年]:[得点]],0)))</f>
        <v/>
      </c>
      <c r="L184" s="115" t="str">
        <f>IF($A184&gt;MAX(入力シート!$AH$6:$AH$505),"",INDEX(テーブル2[[学年]:[判定]],MATCH(体力優良証交付申請書!$A184,入力シート!$AH$6:$AH$505,0),MATCH(体力優良証交付申請書!L$14,テーブル2[[#Headers],[学年]:[得点]],0)))</f>
        <v/>
      </c>
      <c r="M184" s="115" t="str">
        <f>IF($A184&gt;MAX(入力シート!$AH$6:$AH$505),"",INDEX(テーブル2[[学年]:[判定]],MATCH(体力優良証交付申請書!$A184,入力シート!$AH$6:$AH$505,0),MATCH(体力優良証交付申請書!M$14,テーブル2[[#Headers],[学年]:[得点]],0)))</f>
        <v/>
      </c>
      <c r="N184" s="27" t="str">
        <f>IF($A184&gt;MAX(入力シート!$AH$6:$AH$505),"",INDEX(テーブル2[[学年]:[判定]],MATCH(体力優良証交付申請書!$A184,入力シート!$AH$6:$AH$505,0),MATCH(体力優良証交付申請書!N$14,テーブル2[[#Headers],[学年]:[得点]],0)))</f>
        <v/>
      </c>
    </row>
    <row r="185" spans="1:14" x14ac:dyDescent="0.15">
      <c r="A185" s="17">
        <v>171</v>
      </c>
      <c r="B185" s="115" t="str">
        <f>IF($A185&gt;MAX(入力シート!$AH$6:$AH$505),"",INDEX(テーブル2[[学年]:[判定]],MATCH(体力優良証交付申請書!$A185,入力シート!$AH$6:$AH$505,0),MATCH(体力優良証交付申請書!B$14,テーブル2[[#Headers],[学年]:[得点]],0)))</f>
        <v/>
      </c>
      <c r="C185" s="115" t="str">
        <f>IF($A185&gt;MAX(入力シート!$AH$6:$AH$505),"",INDEX(テーブル2[[学年]:[判定]],MATCH(体力優良証交付申請書!$A185,入力シート!$AH$6:$AH$505,0),MATCH(体力優良証交付申請書!C$14,テーブル2[[#Headers],[学年]:[得点]],0)))</f>
        <v/>
      </c>
      <c r="D185" s="115" t="str">
        <f>IF($A185&gt;MAX(入力シート!$AH$6:$AH$505),"",INDEX(テーブル2[[学年]:[判定]],MATCH(体力優良証交付申請書!$A185,入力シート!$AH$6:$AH$505,0),MATCH(体力優良証交付申請書!D$14,テーブル2[[#Headers],[学年]:[得点]],0)))</f>
        <v/>
      </c>
      <c r="E185" s="115" t="str">
        <f>IF($A185&gt;MAX(入力シート!$AH$6:$AH$505),"",INDEX(テーブル2[[学年]:[判定]],MATCH(体力優良証交付申請書!$A185,入力シート!$AH$6:$AH$505,0),MATCH(体力優良証交付申請書!E$14,テーブル2[[#Headers],[学年]:[得点]],0)))</f>
        <v/>
      </c>
      <c r="F185" s="115" t="str">
        <f>IF($A185&gt;MAX(入力シート!$AH$6:$AH$505),"",INDEX(テーブル2[[学年]:[判定]],MATCH(体力優良証交付申請書!$A185,入力シート!$AH$6:$AH$505,0),MATCH(体力優良証交付申請書!F$14,テーブル2[[#Headers],[学年]:[得点]],0)))</f>
        <v/>
      </c>
      <c r="G185" s="115" t="str">
        <f>IF($A185&gt;MAX(入力シート!$AH$6:$AH$505),"",INDEX(テーブル2[[学年]:[判定]],MATCH(体力優良証交付申請書!$A185,入力シート!$AH$6:$AH$505,0),MATCH(体力優良証交付申請書!G$14,テーブル2[[#Headers],[学年]:[得点]],0)))</f>
        <v/>
      </c>
      <c r="H185" s="115" t="str">
        <f>IF($A185&gt;MAX(入力シート!$AH$6:$AH$505),"",INDEX(テーブル2[[学年]:[判定]],MATCH(体力優良証交付申請書!$A185,入力シート!$AH$6:$AH$505,0),MATCH(体力優良証交付申請書!H$14,テーブル2[[#Headers],[学年]:[得点]],0)))</f>
        <v/>
      </c>
      <c r="I185" s="115" t="str">
        <f>IF($A185&gt;MAX(入力シート!$AH$6:$AH$505),"",INDEX(テーブル2[[学年]:[判定]],MATCH(体力優良証交付申請書!$A185,入力シート!$AH$6:$AH$505,0),MATCH(体力優良証交付申請書!I$14,テーブル2[[#Headers],[学年]:[得点]],0)))</f>
        <v/>
      </c>
      <c r="J185" s="115" t="str">
        <f>IF($A185&gt;MAX(入力シート!$AH$6:$AH$505),"",INDEX(テーブル2[[学年]:[判定]],MATCH(体力優良証交付申請書!$A185,入力シート!$AH$6:$AH$505,0),MATCH(体力優良証交付申請書!J$14,テーブル2[[#Headers],[学年]:[得点]],0)))</f>
        <v/>
      </c>
      <c r="K185" s="129" t="str">
        <f>IF($A185&gt;MAX(入力シート!$AH$6:$AH$505),"",INDEX(テーブル2[[学年]:[判定]],MATCH(体力優良証交付申請書!$A185,入力シート!$AH$6:$AH$505,0),MATCH(体力優良証交付申請書!K$14,テーブル2[[#Headers],[学年]:[得点]],0)))</f>
        <v/>
      </c>
      <c r="L185" s="115" t="str">
        <f>IF($A185&gt;MAX(入力シート!$AH$6:$AH$505),"",INDEX(テーブル2[[学年]:[判定]],MATCH(体力優良証交付申請書!$A185,入力シート!$AH$6:$AH$505,0),MATCH(体力優良証交付申請書!L$14,テーブル2[[#Headers],[学年]:[得点]],0)))</f>
        <v/>
      </c>
      <c r="M185" s="115" t="str">
        <f>IF($A185&gt;MAX(入力シート!$AH$6:$AH$505),"",INDEX(テーブル2[[学年]:[判定]],MATCH(体力優良証交付申請書!$A185,入力シート!$AH$6:$AH$505,0),MATCH(体力優良証交付申請書!M$14,テーブル2[[#Headers],[学年]:[得点]],0)))</f>
        <v/>
      </c>
      <c r="N185" s="27" t="str">
        <f>IF($A185&gt;MAX(入力シート!$AH$6:$AH$505),"",INDEX(テーブル2[[学年]:[判定]],MATCH(体力優良証交付申請書!$A185,入力シート!$AH$6:$AH$505,0),MATCH(体力優良証交付申請書!N$14,テーブル2[[#Headers],[学年]:[得点]],0)))</f>
        <v/>
      </c>
    </row>
    <row r="186" spans="1:14" x14ac:dyDescent="0.15">
      <c r="A186" s="17">
        <v>172</v>
      </c>
      <c r="B186" s="115" t="str">
        <f>IF($A186&gt;MAX(入力シート!$AH$6:$AH$505),"",INDEX(テーブル2[[学年]:[判定]],MATCH(体力優良証交付申請書!$A186,入力シート!$AH$6:$AH$505,0),MATCH(体力優良証交付申請書!B$14,テーブル2[[#Headers],[学年]:[得点]],0)))</f>
        <v/>
      </c>
      <c r="C186" s="115" t="str">
        <f>IF($A186&gt;MAX(入力シート!$AH$6:$AH$505),"",INDEX(テーブル2[[学年]:[判定]],MATCH(体力優良証交付申請書!$A186,入力シート!$AH$6:$AH$505,0),MATCH(体力優良証交付申請書!C$14,テーブル2[[#Headers],[学年]:[得点]],0)))</f>
        <v/>
      </c>
      <c r="D186" s="115" t="str">
        <f>IF($A186&gt;MAX(入力シート!$AH$6:$AH$505),"",INDEX(テーブル2[[学年]:[判定]],MATCH(体力優良証交付申請書!$A186,入力シート!$AH$6:$AH$505,0),MATCH(体力優良証交付申請書!D$14,テーブル2[[#Headers],[学年]:[得点]],0)))</f>
        <v/>
      </c>
      <c r="E186" s="115" t="str">
        <f>IF($A186&gt;MAX(入力シート!$AH$6:$AH$505),"",INDEX(テーブル2[[学年]:[判定]],MATCH(体力優良証交付申請書!$A186,入力シート!$AH$6:$AH$505,0),MATCH(体力優良証交付申請書!E$14,テーブル2[[#Headers],[学年]:[得点]],0)))</f>
        <v/>
      </c>
      <c r="F186" s="115" t="str">
        <f>IF($A186&gt;MAX(入力シート!$AH$6:$AH$505),"",INDEX(テーブル2[[学年]:[判定]],MATCH(体力優良証交付申請書!$A186,入力シート!$AH$6:$AH$505,0),MATCH(体力優良証交付申請書!F$14,テーブル2[[#Headers],[学年]:[得点]],0)))</f>
        <v/>
      </c>
      <c r="G186" s="115" t="str">
        <f>IF($A186&gt;MAX(入力シート!$AH$6:$AH$505),"",INDEX(テーブル2[[学年]:[判定]],MATCH(体力優良証交付申請書!$A186,入力シート!$AH$6:$AH$505,0),MATCH(体力優良証交付申請書!G$14,テーブル2[[#Headers],[学年]:[得点]],0)))</f>
        <v/>
      </c>
      <c r="H186" s="115" t="str">
        <f>IF($A186&gt;MAX(入力シート!$AH$6:$AH$505),"",INDEX(テーブル2[[学年]:[判定]],MATCH(体力優良証交付申請書!$A186,入力シート!$AH$6:$AH$505,0),MATCH(体力優良証交付申請書!H$14,テーブル2[[#Headers],[学年]:[得点]],0)))</f>
        <v/>
      </c>
      <c r="I186" s="115" t="str">
        <f>IF($A186&gt;MAX(入力シート!$AH$6:$AH$505),"",INDEX(テーブル2[[学年]:[判定]],MATCH(体力優良証交付申請書!$A186,入力シート!$AH$6:$AH$505,0),MATCH(体力優良証交付申請書!I$14,テーブル2[[#Headers],[学年]:[得点]],0)))</f>
        <v/>
      </c>
      <c r="J186" s="115" t="str">
        <f>IF($A186&gt;MAX(入力シート!$AH$6:$AH$505),"",INDEX(テーブル2[[学年]:[判定]],MATCH(体力優良証交付申請書!$A186,入力シート!$AH$6:$AH$505,0),MATCH(体力優良証交付申請書!J$14,テーブル2[[#Headers],[学年]:[得点]],0)))</f>
        <v/>
      </c>
      <c r="K186" s="129" t="str">
        <f>IF($A186&gt;MAX(入力シート!$AH$6:$AH$505),"",INDEX(テーブル2[[学年]:[判定]],MATCH(体力優良証交付申請書!$A186,入力シート!$AH$6:$AH$505,0),MATCH(体力優良証交付申請書!K$14,テーブル2[[#Headers],[学年]:[得点]],0)))</f>
        <v/>
      </c>
      <c r="L186" s="115" t="str">
        <f>IF($A186&gt;MAX(入力シート!$AH$6:$AH$505),"",INDEX(テーブル2[[学年]:[判定]],MATCH(体力優良証交付申請書!$A186,入力シート!$AH$6:$AH$505,0),MATCH(体力優良証交付申請書!L$14,テーブル2[[#Headers],[学年]:[得点]],0)))</f>
        <v/>
      </c>
      <c r="M186" s="115" t="str">
        <f>IF($A186&gt;MAX(入力シート!$AH$6:$AH$505),"",INDEX(テーブル2[[学年]:[判定]],MATCH(体力優良証交付申請書!$A186,入力シート!$AH$6:$AH$505,0),MATCH(体力優良証交付申請書!M$14,テーブル2[[#Headers],[学年]:[得点]],0)))</f>
        <v/>
      </c>
      <c r="N186" s="27" t="str">
        <f>IF($A186&gt;MAX(入力シート!$AH$6:$AH$505),"",INDEX(テーブル2[[学年]:[判定]],MATCH(体力優良証交付申請書!$A186,入力シート!$AH$6:$AH$505,0),MATCH(体力優良証交付申請書!N$14,テーブル2[[#Headers],[学年]:[得点]],0)))</f>
        <v/>
      </c>
    </row>
    <row r="187" spans="1:14" x14ac:dyDescent="0.15">
      <c r="A187" s="17">
        <v>173</v>
      </c>
      <c r="B187" s="115" t="str">
        <f>IF($A187&gt;MAX(入力シート!$AH$6:$AH$505),"",INDEX(テーブル2[[学年]:[判定]],MATCH(体力優良証交付申請書!$A187,入力シート!$AH$6:$AH$505,0),MATCH(体力優良証交付申請書!B$14,テーブル2[[#Headers],[学年]:[得点]],0)))</f>
        <v/>
      </c>
      <c r="C187" s="115" t="str">
        <f>IF($A187&gt;MAX(入力シート!$AH$6:$AH$505),"",INDEX(テーブル2[[学年]:[判定]],MATCH(体力優良証交付申請書!$A187,入力シート!$AH$6:$AH$505,0),MATCH(体力優良証交付申請書!C$14,テーブル2[[#Headers],[学年]:[得点]],0)))</f>
        <v/>
      </c>
      <c r="D187" s="115" t="str">
        <f>IF($A187&gt;MAX(入力シート!$AH$6:$AH$505),"",INDEX(テーブル2[[学年]:[判定]],MATCH(体力優良証交付申請書!$A187,入力シート!$AH$6:$AH$505,0),MATCH(体力優良証交付申請書!D$14,テーブル2[[#Headers],[学年]:[得点]],0)))</f>
        <v/>
      </c>
      <c r="E187" s="115" t="str">
        <f>IF($A187&gt;MAX(入力シート!$AH$6:$AH$505),"",INDEX(テーブル2[[学年]:[判定]],MATCH(体力優良証交付申請書!$A187,入力シート!$AH$6:$AH$505,0),MATCH(体力優良証交付申請書!E$14,テーブル2[[#Headers],[学年]:[得点]],0)))</f>
        <v/>
      </c>
      <c r="F187" s="115" t="str">
        <f>IF($A187&gt;MAX(入力シート!$AH$6:$AH$505),"",INDEX(テーブル2[[学年]:[判定]],MATCH(体力優良証交付申請書!$A187,入力シート!$AH$6:$AH$505,0),MATCH(体力優良証交付申請書!F$14,テーブル2[[#Headers],[学年]:[得点]],0)))</f>
        <v/>
      </c>
      <c r="G187" s="115" t="str">
        <f>IF($A187&gt;MAX(入力シート!$AH$6:$AH$505),"",INDEX(テーブル2[[学年]:[判定]],MATCH(体力優良証交付申請書!$A187,入力シート!$AH$6:$AH$505,0),MATCH(体力優良証交付申請書!G$14,テーブル2[[#Headers],[学年]:[得点]],0)))</f>
        <v/>
      </c>
      <c r="H187" s="115" t="str">
        <f>IF($A187&gt;MAX(入力シート!$AH$6:$AH$505),"",INDEX(テーブル2[[学年]:[判定]],MATCH(体力優良証交付申請書!$A187,入力シート!$AH$6:$AH$505,0),MATCH(体力優良証交付申請書!H$14,テーブル2[[#Headers],[学年]:[得点]],0)))</f>
        <v/>
      </c>
      <c r="I187" s="115" t="str">
        <f>IF($A187&gt;MAX(入力シート!$AH$6:$AH$505),"",INDEX(テーブル2[[学年]:[判定]],MATCH(体力優良証交付申請書!$A187,入力シート!$AH$6:$AH$505,0),MATCH(体力優良証交付申請書!I$14,テーブル2[[#Headers],[学年]:[得点]],0)))</f>
        <v/>
      </c>
      <c r="J187" s="115" t="str">
        <f>IF($A187&gt;MAX(入力シート!$AH$6:$AH$505),"",INDEX(テーブル2[[学年]:[判定]],MATCH(体力優良証交付申請書!$A187,入力シート!$AH$6:$AH$505,0),MATCH(体力優良証交付申請書!J$14,テーブル2[[#Headers],[学年]:[得点]],0)))</f>
        <v/>
      </c>
      <c r="K187" s="129" t="str">
        <f>IF($A187&gt;MAX(入力シート!$AH$6:$AH$505),"",INDEX(テーブル2[[学年]:[判定]],MATCH(体力優良証交付申請書!$A187,入力シート!$AH$6:$AH$505,0),MATCH(体力優良証交付申請書!K$14,テーブル2[[#Headers],[学年]:[得点]],0)))</f>
        <v/>
      </c>
      <c r="L187" s="115" t="str">
        <f>IF($A187&gt;MAX(入力シート!$AH$6:$AH$505),"",INDEX(テーブル2[[学年]:[判定]],MATCH(体力優良証交付申請書!$A187,入力シート!$AH$6:$AH$505,0),MATCH(体力優良証交付申請書!L$14,テーブル2[[#Headers],[学年]:[得点]],0)))</f>
        <v/>
      </c>
      <c r="M187" s="115" t="str">
        <f>IF($A187&gt;MAX(入力シート!$AH$6:$AH$505),"",INDEX(テーブル2[[学年]:[判定]],MATCH(体力優良証交付申請書!$A187,入力シート!$AH$6:$AH$505,0),MATCH(体力優良証交付申請書!M$14,テーブル2[[#Headers],[学年]:[得点]],0)))</f>
        <v/>
      </c>
      <c r="N187" s="27" t="str">
        <f>IF($A187&gt;MAX(入力シート!$AH$6:$AH$505),"",INDEX(テーブル2[[学年]:[判定]],MATCH(体力優良証交付申請書!$A187,入力シート!$AH$6:$AH$505,0),MATCH(体力優良証交付申請書!N$14,テーブル2[[#Headers],[学年]:[得点]],0)))</f>
        <v/>
      </c>
    </row>
    <row r="188" spans="1:14" x14ac:dyDescent="0.15">
      <c r="A188" s="17">
        <v>174</v>
      </c>
      <c r="B188" s="115" t="str">
        <f>IF($A188&gt;MAX(入力シート!$AH$6:$AH$505),"",INDEX(テーブル2[[学年]:[判定]],MATCH(体力優良証交付申請書!$A188,入力シート!$AH$6:$AH$505,0),MATCH(体力優良証交付申請書!B$14,テーブル2[[#Headers],[学年]:[得点]],0)))</f>
        <v/>
      </c>
      <c r="C188" s="115" t="str">
        <f>IF($A188&gt;MAX(入力シート!$AH$6:$AH$505),"",INDEX(テーブル2[[学年]:[判定]],MATCH(体力優良証交付申請書!$A188,入力シート!$AH$6:$AH$505,0),MATCH(体力優良証交付申請書!C$14,テーブル2[[#Headers],[学年]:[得点]],0)))</f>
        <v/>
      </c>
      <c r="D188" s="115" t="str">
        <f>IF($A188&gt;MAX(入力シート!$AH$6:$AH$505),"",INDEX(テーブル2[[学年]:[判定]],MATCH(体力優良証交付申請書!$A188,入力シート!$AH$6:$AH$505,0),MATCH(体力優良証交付申請書!D$14,テーブル2[[#Headers],[学年]:[得点]],0)))</f>
        <v/>
      </c>
      <c r="E188" s="115" t="str">
        <f>IF($A188&gt;MAX(入力シート!$AH$6:$AH$505),"",INDEX(テーブル2[[学年]:[判定]],MATCH(体力優良証交付申請書!$A188,入力シート!$AH$6:$AH$505,0),MATCH(体力優良証交付申請書!E$14,テーブル2[[#Headers],[学年]:[得点]],0)))</f>
        <v/>
      </c>
      <c r="F188" s="115" t="str">
        <f>IF($A188&gt;MAX(入力シート!$AH$6:$AH$505),"",INDEX(テーブル2[[学年]:[判定]],MATCH(体力優良証交付申請書!$A188,入力シート!$AH$6:$AH$505,0),MATCH(体力優良証交付申請書!F$14,テーブル2[[#Headers],[学年]:[得点]],0)))</f>
        <v/>
      </c>
      <c r="G188" s="115" t="str">
        <f>IF($A188&gt;MAX(入力シート!$AH$6:$AH$505),"",INDEX(テーブル2[[学年]:[判定]],MATCH(体力優良証交付申請書!$A188,入力シート!$AH$6:$AH$505,0),MATCH(体力優良証交付申請書!G$14,テーブル2[[#Headers],[学年]:[得点]],0)))</f>
        <v/>
      </c>
      <c r="H188" s="115" t="str">
        <f>IF($A188&gt;MAX(入力シート!$AH$6:$AH$505),"",INDEX(テーブル2[[学年]:[判定]],MATCH(体力優良証交付申請書!$A188,入力シート!$AH$6:$AH$505,0),MATCH(体力優良証交付申請書!H$14,テーブル2[[#Headers],[学年]:[得点]],0)))</f>
        <v/>
      </c>
      <c r="I188" s="115" t="str">
        <f>IF($A188&gt;MAX(入力シート!$AH$6:$AH$505),"",INDEX(テーブル2[[学年]:[判定]],MATCH(体力優良証交付申請書!$A188,入力シート!$AH$6:$AH$505,0),MATCH(体力優良証交付申請書!I$14,テーブル2[[#Headers],[学年]:[得点]],0)))</f>
        <v/>
      </c>
      <c r="J188" s="115" t="str">
        <f>IF($A188&gt;MAX(入力シート!$AH$6:$AH$505),"",INDEX(テーブル2[[学年]:[判定]],MATCH(体力優良証交付申請書!$A188,入力シート!$AH$6:$AH$505,0),MATCH(体力優良証交付申請書!J$14,テーブル2[[#Headers],[学年]:[得点]],0)))</f>
        <v/>
      </c>
      <c r="K188" s="129" t="str">
        <f>IF($A188&gt;MAX(入力シート!$AH$6:$AH$505),"",INDEX(テーブル2[[学年]:[判定]],MATCH(体力優良証交付申請書!$A188,入力シート!$AH$6:$AH$505,0),MATCH(体力優良証交付申請書!K$14,テーブル2[[#Headers],[学年]:[得点]],0)))</f>
        <v/>
      </c>
      <c r="L188" s="115" t="str">
        <f>IF($A188&gt;MAX(入力シート!$AH$6:$AH$505),"",INDEX(テーブル2[[学年]:[判定]],MATCH(体力優良証交付申請書!$A188,入力シート!$AH$6:$AH$505,0),MATCH(体力優良証交付申請書!L$14,テーブル2[[#Headers],[学年]:[得点]],0)))</f>
        <v/>
      </c>
      <c r="M188" s="115" t="str">
        <f>IF($A188&gt;MAX(入力シート!$AH$6:$AH$505),"",INDEX(テーブル2[[学年]:[判定]],MATCH(体力優良証交付申請書!$A188,入力シート!$AH$6:$AH$505,0),MATCH(体力優良証交付申請書!M$14,テーブル2[[#Headers],[学年]:[得点]],0)))</f>
        <v/>
      </c>
      <c r="N188" s="27" t="str">
        <f>IF($A188&gt;MAX(入力シート!$AH$6:$AH$505),"",INDEX(テーブル2[[学年]:[判定]],MATCH(体力優良証交付申請書!$A188,入力シート!$AH$6:$AH$505,0),MATCH(体力優良証交付申請書!N$14,テーブル2[[#Headers],[学年]:[得点]],0)))</f>
        <v/>
      </c>
    </row>
    <row r="189" spans="1:14" x14ac:dyDescent="0.15">
      <c r="A189" s="17">
        <v>175</v>
      </c>
      <c r="B189" s="115" t="str">
        <f>IF($A189&gt;MAX(入力シート!$AH$6:$AH$505),"",INDEX(テーブル2[[学年]:[判定]],MATCH(体力優良証交付申請書!$A189,入力シート!$AH$6:$AH$505,0),MATCH(体力優良証交付申請書!B$14,テーブル2[[#Headers],[学年]:[得点]],0)))</f>
        <v/>
      </c>
      <c r="C189" s="115" t="str">
        <f>IF($A189&gt;MAX(入力シート!$AH$6:$AH$505),"",INDEX(テーブル2[[学年]:[判定]],MATCH(体力優良証交付申請書!$A189,入力シート!$AH$6:$AH$505,0),MATCH(体力優良証交付申請書!C$14,テーブル2[[#Headers],[学年]:[得点]],0)))</f>
        <v/>
      </c>
      <c r="D189" s="115" t="str">
        <f>IF($A189&gt;MAX(入力シート!$AH$6:$AH$505),"",INDEX(テーブル2[[学年]:[判定]],MATCH(体力優良証交付申請書!$A189,入力シート!$AH$6:$AH$505,0),MATCH(体力優良証交付申請書!D$14,テーブル2[[#Headers],[学年]:[得点]],0)))</f>
        <v/>
      </c>
      <c r="E189" s="115" t="str">
        <f>IF($A189&gt;MAX(入力シート!$AH$6:$AH$505),"",INDEX(テーブル2[[学年]:[判定]],MATCH(体力優良証交付申請書!$A189,入力シート!$AH$6:$AH$505,0),MATCH(体力優良証交付申請書!E$14,テーブル2[[#Headers],[学年]:[得点]],0)))</f>
        <v/>
      </c>
      <c r="F189" s="115" t="str">
        <f>IF($A189&gt;MAX(入力シート!$AH$6:$AH$505),"",INDEX(テーブル2[[学年]:[判定]],MATCH(体力優良証交付申請書!$A189,入力シート!$AH$6:$AH$505,0),MATCH(体力優良証交付申請書!F$14,テーブル2[[#Headers],[学年]:[得点]],0)))</f>
        <v/>
      </c>
      <c r="G189" s="115" t="str">
        <f>IF($A189&gt;MAX(入力シート!$AH$6:$AH$505),"",INDEX(テーブル2[[学年]:[判定]],MATCH(体力優良証交付申請書!$A189,入力シート!$AH$6:$AH$505,0),MATCH(体力優良証交付申請書!G$14,テーブル2[[#Headers],[学年]:[得点]],0)))</f>
        <v/>
      </c>
      <c r="H189" s="115" t="str">
        <f>IF($A189&gt;MAX(入力シート!$AH$6:$AH$505),"",INDEX(テーブル2[[学年]:[判定]],MATCH(体力優良証交付申請書!$A189,入力シート!$AH$6:$AH$505,0),MATCH(体力優良証交付申請書!H$14,テーブル2[[#Headers],[学年]:[得点]],0)))</f>
        <v/>
      </c>
      <c r="I189" s="115" t="str">
        <f>IF($A189&gt;MAX(入力シート!$AH$6:$AH$505),"",INDEX(テーブル2[[学年]:[判定]],MATCH(体力優良証交付申請書!$A189,入力シート!$AH$6:$AH$505,0),MATCH(体力優良証交付申請書!I$14,テーブル2[[#Headers],[学年]:[得点]],0)))</f>
        <v/>
      </c>
      <c r="J189" s="115" t="str">
        <f>IF($A189&gt;MAX(入力シート!$AH$6:$AH$505),"",INDEX(テーブル2[[学年]:[判定]],MATCH(体力優良証交付申請書!$A189,入力シート!$AH$6:$AH$505,0),MATCH(体力優良証交付申請書!J$14,テーブル2[[#Headers],[学年]:[得点]],0)))</f>
        <v/>
      </c>
      <c r="K189" s="129" t="str">
        <f>IF($A189&gt;MAX(入力シート!$AH$6:$AH$505),"",INDEX(テーブル2[[学年]:[判定]],MATCH(体力優良証交付申請書!$A189,入力シート!$AH$6:$AH$505,0),MATCH(体力優良証交付申請書!K$14,テーブル2[[#Headers],[学年]:[得点]],0)))</f>
        <v/>
      </c>
      <c r="L189" s="115" t="str">
        <f>IF($A189&gt;MAX(入力シート!$AH$6:$AH$505),"",INDEX(テーブル2[[学年]:[判定]],MATCH(体力優良証交付申請書!$A189,入力シート!$AH$6:$AH$505,0),MATCH(体力優良証交付申請書!L$14,テーブル2[[#Headers],[学年]:[得点]],0)))</f>
        <v/>
      </c>
      <c r="M189" s="115" t="str">
        <f>IF($A189&gt;MAX(入力シート!$AH$6:$AH$505),"",INDEX(テーブル2[[学年]:[判定]],MATCH(体力優良証交付申請書!$A189,入力シート!$AH$6:$AH$505,0),MATCH(体力優良証交付申請書!M$14,テーブル2[[#Headers],[学年]:[得点]],0)))</f>
        <v/>
      </c>
      <c r="N189" s="27" t="str">
        <f>IF($A189&gt;MAX(入力シート!$AH$6:$AH$505),"",INDEX(テーブル2[[学年]:[判定]],MATCH(体力優良証交付申請書!$A189,入力シート!$AH$6:$AH$505,0),MATCH(体力優良証交付申請書!N$14,テーブル2[[#Headers],[学年]:[得点]],0)))</f>
        <v/>
      </c>
    </row>
    <row r="190" spans="1:14" x14ac:dyDescent="0.15">
      <c r="A190" s="17">
        <v>176</v>
      </c>
      <c r="B190" s="115" t="str">
        <f>IF($A190&gt;MAX(入力シート!$AH$6:$AH$505),"",INDEX(テーブル2[[学年]:[判定]],MATCH(体力優良証交付申請書!$A190,入力シート!$AH$6:$AH$505,0),MATCH(体力優良証交付申請書!B$14,テーブル2[[#Headers],[学年]:[得点]],0)))</f>
        <v/>
      </c>
      <c r="C190" s="115" t="str">
        <f>IF($A190&gt;MAX(入力シート!$AH$6:$AH$505),"",INDEX(テーブル2[[学年]:[判定]],MATCH(体力優良証交付申請書!$A190,入力シート!$AH$6:$AH$505,0),MATCH(体力優良証交付申請書!C$14,テーブル2[[#Headers],[学年]:[得点]],0)))</f>
        <v/>
      </c>
      <c r="D190" s="115" t="str">
        <f>IF($A190&gt;MAX(入力シート!$AH$6:$AH$505),"",INDEX(テーブル2[[学年]:[判定]],MATCH(体力優良証交付申請書!$A190,入力シート!$AH$6:$AH$505,0),MATCH(体力優良証交付申請書!D$14,テーブル2[[#Headers],[学年]:[得点]],0)))</f>
        <v/>
      </c>
      <c r="E190" s="115" t="str">
        <f>IF($A190&gt;MAX(入力シート!$AH$6:$AH$505),"",INDEX(テーブル2[[学年]:[判定]],MATCH(体力優良証交付申請書!$A190,入力シート!$AH$6:$AH$505,0),MATCH(体力優良証交付申請書!E$14,テーブル2[[#Headers],[学年]:[得点]],0)))</f>
        <v/>
      </c>
      <c r="F190" s="115" t="str">
        <f>IF($A190&gt;MAX(入力シート!$AH$6:$AH$505),"",INDEX(テーブル2[[学年]:[判定]],MATCH(体力優良証交付申請書!$A190,入力シート!$AH$6:$AH$505,0),MATCH(体力優良証交付申請書!F$14,テーブル2[[#Headers],[学年]:[得点]],0)))</f>
        <v/>
      </c>
      <c r="G190" s="115" t="str">
        <f>IF($A190&gt;MAX(入力シート!$AH$6:$AH$505),"",INDEX(テーブル2[[学年]:[判定]],MATCH(体力優良証交付申請書!$A190,入力シート!$AH$6:$AH$505,0),MATCH(体力優良証交付申請書!G$14,テーブル2[[#Headers],[学年]:[得点]],0)))</f>
        <v/>
      </c>
      <c r="H190" s="115" t="str">
        <f>IF($A190&gt;MAX(入力シート!$AH$6:$AH$505),"",INDEX(テーブル2[[学年]:[判定]],MATCH(体力優良証交付申請書!$A190,入力シート!$AH$6:$AH$505,0),MATCH(体力優良証交付申請書!H$14,テーブル2[[#Headers],[学年]:[得点]],0)))</f>
        <v/>
      </c>
      <c r="I190" s="115" t="str">
        <f>IF($A190&gt;MAX(入力シート!$AH$6:$AH$505),"",INDEX(テーブル2[[学年]:[判定]],MATCH(体力優良証交付申請書!$A190,入力シート!$AH$6:$AH$505,0),MATCH(体力優良証交付申請書!I$14,テーブル2[[#Headers],[学年]:[得点]],0)))</f>
        <v/>
      </c>
      <c r="J190" s="115" t="str">
        <f>IF($A190&gt;MAX(入力シート!$AH$6:$AH$505),"",INDEX(テーブル2[[学年]:[判定]],MATCH(体力優良証交付申請書!$A190,入力シート!$AH$6:$AH$505,0),MATCH(体力優良証交付申請書!J$14,テーブル2[[#Headers],[学年]:[得点]],0)))</f>
        <v/>
      </c>
      <c r="K190" s="129" t="str">
        <f>IF($A190&gt;MAX(入力シート!$AH$6:$AH$505),"",INDEX(テーブル2[[学年]:[判定]],MATCH(体力優良証交付申請書!$A190,入力シート!$AH$6:$AH$505,0),MATCH(体力優良証交付申請書!K$14,テーブル2[[#Headers],[学年]:[得点]],0)))</f>
        <v/>
      </c>
      <c r="L190" s="115" t="str">
        <f>IF($A190&gt;MAX(入力シート!$AH$6:$AH$505),"",INDEX(テーブル2[[学年]:[判定]],MATCH(体力優良証交付申請書!$A190,入力シート!$AH$6:$AH$505,0),MATCH(体力優良証交付申請書!L$14,テーブル2[[#Headers],[学年]:[得点]],0)))</f>
        <v/>
      </c>
      <c r="M190" s="115" t="str">
        <f>IF($A190&gt;MAX(入力シート!$AH$6:$AH$505),"",INDEX(テーブル2[[学年]:[判定]],MATCH(体力優良証交付申請書!$A190,入力シート!$AH$6:$AH$505,0),MATCH(体力優良証交付申請書!M$14,テーブル2[[#Headers],[学年]:[得点]],0)))</f>
        <v/>
      </c>
      <c r="N190" s="27" t="str">
        <f>IF($A190&gt;MAX(入力シート!$AH$6:$AH$505),"",INDEX(テーブル2[[学年]:[判定]],MATCH(体力優良証交付申請書!$A190,入力シート!$AH$6:$AH$505,0),MATCH(体力優良証交付申請書!N$14,テーブル2[[#Headers],[学年]:[得点]],0)))</f>
        <v/>
      </c>
    </row>
    <row r="191" spans="1:14" x14ac:dyDescent="0.15">
      <c r="A191" s="17">
        <v>177</v>
      </c>
      <c r="B191" s="115" t="str">
        <f>IF($A191&gt;MAX(入力シート!$AH$6:$AH$505),"",INDEX(テーブル2[[学年]:[判定]],MATCH(体力優良証交付申請書!$A191,入力シート!$AH$6:$AH$505,0),MATCH(体力優良証交付申請書!B$14,テーブル2[[#Headers],[学年]:[得点]],0)))</f>
        <v/>
      </c>
      <c r="C191" s="115" t="str">
        <f>IF($A191&gt;MAX(入力シート!$AH$6:$AH$505),"",INDEX(テーブル2[[学年]:[判定]],MATCH(体力優良証交付申請書!$A191,入力シート!$AH$6:$AH$505,0),MATCH(体力優良証交付申請書!C$14,テーブル2[[#Headers],[学年]:[得点]],0)))</f>
        <v/>
      </c>
      <c r="D191" s="115" t="str">
        <f>IF($A191&gt;MAX(入力シート!$AH$6:$AH$505),"",INDEX(テーブル2[[学年]:[判定]],MATCH(体力優良証交付申請書!$A191,入力シート!$AH$6:$AH$505,0),MATCH(体力優良証交付申請書!D$14,テーブル2[[#Headers],[学年]:[得点]],0)))</f>
        <v/>
      </c>
      <c r="E191" s="115" t="str">
        <f>IF($A191&gt;MAX(入力シート!$AH$6:$AH$505),"",INDEX(テーブル2[[学年]:[判定]],MATCH(体力優良証交付申請書!$A191,入力シート!$AH$6:$AH$505,0),MATCH(体力優良証交付申請書!E$14,テーブル2[[#Headers],[学年]:[得点]],0)))</f>
        <v/>
      </c>
      <c r="F191" s="115" t="str">
        <f>IF($A191&gt;MAX(入力シート!$AH$6:$AH$505),"",INDEX(テーブル2[[学年]:[判定]],MATCH(体力優良証交付申請書!$A191,入力シート!$AH$6:$AH$505,0),MATCH(体力優良証交付申請書!F$14,テーブル2[[#Headers],[学年]:[得点]],0)))</f>
        <v/>
      </c>
      <c r="G191" s="115" t="str">
        <f>IF($A191&gt;MAX(入力シート!$AH$6:$AH$505),"",INDEX(テーブル2[[学年]:[判定]],MATCH(体力優良証交付申請書!$A191,入力シート!$AH$6:$AH$505,0),MATCH(体力優良証交付申請書!G$14,テーブル2[[#Headers],[学年]:[得点]],0)))</f>
        <v/>
      </c>
      <c r="H191" s="115" t="str">
        <f>IF($A191&gt;MAX(入力シート!$AH$6:$AH$505),"",INDEX(テーブル2[[学年]:[判定]],MATCH(体力優良証交付申請書!$A191,入力シート!$AH$6:$AH$505,0),MATCH(体力優良証交付申請書!H$14,テーブル2[[#Headers],[学年]:[得点]],0)))</f>
        <v/>
      </c>
      <c r="I191" s="115" t="str">
        <f>IF($A191&gt;MAX(入力シート!$AH$6:$AH$505),"",INDEX(テーブル2[[学年]:[判定]],MATCH(体力優良証交付申請書!$A191,入力シート!$AH$6:$AH$505,0),MATCH(体力優良証交付申請書!I$14,テーブル2[[#Headers],[学年]:[得点]],0)))</f>
        <v/>
      </c>
      <c r="J191" s="115" t="str">
        <f>IF($A191&gt;MAX(入力シート!$AH$6:$AH$505),"",INDEX(テーブル2[[学年]:[判定]],MATCH(体力優良証交付申請書!$A191,入力シート!$AH$6:$AH$505,0),MATCH(体力優良証交付申請書!J$14,テーブル2[[#Headers],[学年]:[得点]],0)))</f>
        <v/>
      </c>
      <c r="K191" s="129" t="str">
        <f>IF($A191&gt;MAX(入力シート!$AH$6:$AH$505),"",INDEX(テーブル2[[学年]:[判定]],MATCH(体力優良証交付申請書!$A191,入力シート!$AH$6:$AH$505,0),MATCH(体力優良証交付申請書!K$14,テーブル2[[#Headers],[学年]:[得点]],0)))</f>
        <v/>
      </c>
      <c r="L191" s="115" t="str">
        <f>IF($A191&gt;MAX(入力シート!$AH$6:$AH$505),"",INDEX(テーブル2[[学年]:[判定]],MATCH(体力優良証交付申請書!$A191,入力シート!$AH$6:$AH$505,0),MATCH(体力優良証交付申請書!L$14,テーブル2[[#Headers],[学年]:[得点]],0)))</f>
        <v/>
      </c>
      <c r="M191" s="115" t="str">
        <f>IF($A191&gt;MAX(入力シート!$AH$6:$AH$505),"",INDEX(テーブル2[[学年]:[判定]],MATCH(体力優良証交付申請書!$A191,入力シート!$AH$6:$AH$505,0),MATCH(体力優良証交付申請書!M$14,テーブル2[[#Headers],[学年]:[得点]],0)))</f>
        <v/>
      </c>
      <c r="N191" s="27" t="str">
        <f>IF($A191&gt;MAX(入力シート!$AH$6:$AH$505),"",INDEX(テーブル2[[学年]:[判定]],MATCH(体力優良証交付申請書!$A191,入力シート!$AH$6:$AH$505,0),MATCH(体力優良証交付申請書!N$14,テーブル2[[#Headers],[学年]:[得点]],0)))</f>
        <v/>
      </c>
    </row>
    <row r="192" spans="1:14" x14ac:dyDescent="0.15">
      <c r="A192" s="17">
        <v>178</v>
      </c>
      <c r="B192" s="115" t="str">
        <f>IF($A192&gt;MAX(入力シート!$AH$6:$AH$505),"",INDEX(テーブル2[[学年]:[判定]],MATCH(体力優良証交付申請書!$A192,入力シート!$AH$6:$AH$505,0),MATCH(体力優良証交付申請書!B$14,テーブル2[[#Headers],[学年]:[得点]],0)))</f>
        <v/>
      </c>
      <c r="C192" s="115" t="str">
        <f>IF($A192&gt;MAX(入力シート!$AH$6:$AH$505),"",INDEX(テーブル2[[学年]:[判定]],MATCH(体力優良証交付申請書!$A192,入力シート!$AH$6:$AH$505,0),MATCH(体力優良証交付申請書!C$14,テーブル2[[#Headers],[学年]:[得点]],0)))</f>
        <v/>
      </c>
      <c r="D192" s="115" t="str">
        <f>IF($A192&gt;MAX(入力シート!$AH$6:$AH$505),"",INDEX(テーブル2[[学年]:[判定]],MATCH(体力優良証交付申請書!$A192,入力シート!$AH$6:$AH$505,0),MATCH(体力優良証交付申請書!D$14,テーブル2[[#Headers],[学年]:[得点]],0)))</f>
        <v/>
      </c>
      <c r="E192" s="115" t="str">
        <f>IF($A192&gt;MAX(入力シート!$AH$6:$AH$505),"",INDEX(テーブル2[[学年]:[判定]],MATCH(体力優良証交付申請書!$A192,入力シート!$AH$6:$AH$505,0),MATCH(体力優良証交付申請書!E$14,テーブル2[[#Headers],[学年]:[得点]],0)))</f>
        <v/>
      </c>
      <c r="F192" s="115" t="str">
        <f>IF($A192&gt;MAX(入力シート!$AH$6:$AH$505),"",INDEX(テーブル2[[学年]:[判定]],MATCH(体力優良証交付申請書!$A192,入力シート!$AH$6:$AH$505,0),MATCH(体力優良証交付申請書!F$14,テーブル2[[#Headers],[学年]:[得点]],0)))</f>
        <v/>
      </c>
      <c r="G192" s="115" t="str">
        <f>IF($A192&gt;MAX(入力シート!$AH$6:$AH$505),"",INDEX(テーブル2[[学年]:[判定]],MATCH(体力優良証交付申請書!$A192,入力シート!$AH$6:$AH$505,0),MATCH(体力優良証交付申請書!G$14,テーブル2[[#Headers],[学年]:[得点]],0)))</f>
        <v/>
      </c>
      <c r="H192" s="115" t="str">
        <f>IF($A192&gt;MAX(入力シート!$AH$6:$AH$505),"",INDEX(テーブル2[[学年]:[判定]],MATCH(体力優良証交付申請書!$A192,入力シート!$AH$6:$AH$505,0),MATCH(体力優良証交付申請書!H$14,テーブル2[[#Headers],[学年]:[得点]],0)))</f>
        <v/>
      </c>
      <c r="I192" s="115" t="str">
        <f>IF($A192&gt;MAX(入力シート!$AH$6:$AH$505),"",INDEX(テーブル2[[学年]:[判定]],MATCH(体力優良証交付申請書!$A192,入力シート!$AH$6:$AH$505,0),MATCH(体力優良証交付申請書!I$14,テーブル2[[#Headers],[学年]:[得点]],0)))</f>
        <v/>
      </c>
      <c r="J192" s="115" t="str">
        <f>IF($A192&gt;MAX(入力シート!$AH$6:$AH$505),"",INDEX(テーブル2[[学年]:[判定]],MATCH(体力優良証交付申請書!$A192,入力シート!$AH$6:$AH$505,0),MATCH(体力優良証交付申請書!J$14,テーブル2[[#Headers],[学年]:[得点]],0)))</f>
        <v/>
      </c>
      <c r="K192" s="129" t="str">
        <f>IF($A192&gt;MAX(入力シート!$AH$6:$AH$505),"",INDEX(テーブル2[[学年]:[判定]],MATCH(体力優良証交付申請書!$A192,入力シート!$AH$6:$AH$505,0),MATCH(体力優良証交付申請書!K$14,テーブル2[[#Headers],[学年]:[得点]],0)))</f>
        <v/>
      </c>
      <c r="L192" s="115" t="str">
        <f>IF($A192&gt;MAX(入力シート!$AH$6:$AH$505),"",INDEX(テーブル2[[学年]:[判定]],MATCH(体力優良証交付申請書!$A192,入力シート!$AH$6:$AH$505,0),MATCH(体力優良証交付申請書!L$14,テーブル2[[#Headers],[学年]:[得点]],0)))</f>
        <v/>
      </c>
      <c r="M192" s="115" t="str">
        <f>IF($A192&gt;MAX(入力シート!$AH$6:$AH$505),"",INDEX(テーブル2[[学年]:[判定]],MATCH(体力優良証交付申請書!$A192,入力シート!$AH$6:$AH$505,0),MATCH(体力優良証交付申請書!M$14,テーブル2[[#Headers],[学年]:[得点]],0)))</f>
        <v/>
      </c>
      <c r="N192" s="27" t="str">
        <f>IF($A192&gt;MAX(入力シート!$AH$6:$AH$505),"",INDEX(テーブル2[[学年]:[判定]],MATCH(体力優良証交付申請書!$A192,入力シート!$AH$6:$AH$505,0),MATCH(体力優良証交付申請書!N$14,テーブル2[[#Headers],[学年]:[得点]],0)))</f>
        <v/>
      </c>
    </row>
    <row r="193" spans="1:14" x14ac:dyDescent="0.15">
      <c r="A193" s="17">
        <v>179</v>
      </c>
      <c r="B193" s="115" t="str">
        <f>IF($A193&gt;MAX(入力シート!$AH$6:$AH$505),"",INDEX(テーブル2[[学年]:[判定]],MATCH(体力優良証交付申請書!$A193,入力シート!$AH$6:$AH$505,0),MATCH(体力優良証交付申請書!B$14,テーブル2[[#Headers],[学年]:[得点]],0)))</f>
        <v/>
      </c>
      <c r="C193" s="115" t="str">
        <f>IF($A193&gt;MAX(入力シート!$AH$6:$AH$505),"",INDEX(テーブル2[[学年]:[判定]],MATCH(体力優良証交付申請書!$A193,入力シート!$AH$6:$AH$505,0),MATCH(体力優良証交付申請書!C$14,テーブル2[[#Headers],[学年]:[得点]],0)))</f>
        <v/>
      </c>
      <c r="D193" s="115" t="str">
        <f>IF($A193&gt;MAX(入力シート!$AH$6:$AH$505),"",INDEX(テーブル2[[学年]:[判定]],MATCH(体力優良証交付申請書!$A193,入力シート!$AH$6:$AH$505,0),MATCH(体力優良証交付申請書!D$14,テーブル2[[#Headers],[学年]:[得点]],0)))</f>
        <v/>
      </c>
      <c r="E193" s="115" t="str">
        <f>IF($A193&gt;MAX(入力シート!$AH$6:$AH$505),"",INDEX(テーブル2[[学年]:[判定]],MATCH(体力優良証交付申請書!$A193,入力シート!$AH$6:$AH$505,0),MATCH(体力優良証交付申請書!E$14,テーブル2[[#Headers],[学年]:[得点]],0)))</f>
        <v/>
      </c>
      <c r="F193" s="115" t="str">
        <f>IF($A193&gt;MAX(入力シート!$AH$6:$AH$505),"",INDEX(テーブル2[[学年]:[判定]],MATCH(体力優良証交付申請書!$A193,入力シート!$AH$6:$AH$505,0),MATCH(体力優良証交付申請書!F$14,テーブル2[[#Headers],[学年]:[得点]],0)))</f>
        <v/>
      </c>
      <c r="G193" s="115" t="str">
        <f>IF($A193&gt;MAX(入力シート!$AH$6:$AH$505),"",INDEX(テーブル2[[学年]:[判定]],MATCH(体力優良証交付申請書!$A193,入力シート!$AH$6:$AH$505,0),MATCH(体力優良証交付申請書!G$14,テーブル2[[#Headers],[学年]:[得点]],0)))</f>
        <v/>
      </c>
      <c r="H193" s="115" t="str">
        <f>IF($A193&gt;MAX(入力シート!$AH$6:$AH$505),"",INDEX(テーブル2[[学年]:[判定]],MATCH(体力優良証交付申請書!$A193,入力シート!$AH$6:$AH$505,0),MATCH(体力優良証交付申請書!H$14,テーブル2[[#Headers],[学年]:[得点]],0)))</f>
        <v/>
      </c>
      <c r="I193" s="115" t="str">
        <f>IF($A193&gt;MAX(入力シート!$AH$6:$AH$505),"",INDEX(テーブル2[[学年]:[判定]],MATCH(体力優良証交付申請書!$A193,入力シート!$AH$6:$AH$505,0),MATCH(体力優良証交付申請書!I$14,テーブル2[[#Headers],[学年]:[得点]],0)))</f>
        <v/>
      </c>
      <c r="J193" s="115" t="str">
        <f>IF($A193&gt;MAX(入力シート!$AH$6:$AH$505),"",INDEX(テーブル2[[学年]:[判定]],MATCH(体力優良証交付申請書!$A193,入力シート!$AH$6:$AH$505,0),MATCH(体力優良証交付申請書!J$14,テーブル2[[#Headers],[学年]:[得点]],0)))</f>
        <v/>
      </c>
      <c r="K193" s="129" t="str">
        <f>IF($A193&gt;MAX(入力シート!$AH$6:$AH$505),"",INDEX(テーブル2[[学年]:[判定]],MATCH(体力優良証交付申請書!$A193,入力シート!$AH$6:$AH$505,0),MATCH(体力優良証交付申請書!K$14,テーブル2[[#Headers],[学年]:[得点]],0)))</f>
        <v/>
      </c>
      <c r="L193" s="115" t="str">
        <f>IF($A193&gt;MAX(入力シート!$AH$6:$AH$505),"",INDEX(テーブル2[[学年]:[判定]],MATCH(体力優良証交付申請書!$A193,入力シート!$AH$6:$AH$505,0),MATCH(体力優良証交付申請書!L$14,テーブル2[[#Headers],[学年]:[得点]],0)))</f>
        <v/>
      </c>
      <c r="M193" s="115" t="str">
        <f>IF($A193&gt;MAX(入力シート!$AH$6:$AH$505),"",INDEX(テーブル2[[学年]:[判定]],MATCH(体力優良証交付申請書!$A193,入力シート!$AH$6:$AH$505,0),MATCH(体力優良証交付申請書!M$14,テーブル2[[#Headers],[学年]:[得点]],0)))</f>
        <v/>
      </c>
      <c r="N193" s="27" t="str">
        <f>IF($A193&gt;MAX(入力シート!$AH$6:$AH$505),"",INDEX(テーブル2[[学年]:[判定]],MATCH(体力優良証交付申請書!$A193,入力シート!$AH$6:$AH$505,0),MATCH(体力優良証交付申請書!N$14,テーブル2[[#Headers],[学年]:[得点]],0)))</f>
        <v/>
      </c>
    </row>
    <row r="194" spans="1:14" x14ac:dyDescent="0.15">
      <c r="A194" s="17">
        <v>180</v>
      </c>
      <c r="B194" s="115" t="str">
        <f>IF($A194&gt;MAX(入力シート!$AH$6:$AH$505),"",INDEX(テーブル2[[学年]:[判定]],MATCH(体力優良証交付申請書!$A194,入力シート!$AH$6:$AH$505,0),MATCH(体力優良証交付申請書!B$14,テーブル2[[#Headers],[学年]:[得点]],0)))</f>
        <v/>
      </c>
      <c r="C194" s="115" t="str">
        <f>IF($A194&gt;MAX(入力シート!$AH$6:$AH$505),"",INDEX(テーブル2[[学年]:[判定]],MATCH(体力優良証交付申請書!$A194,入力シート!$AH$6:$AH$505,0),MATCH(体力優良証交付申請書!C$14,テーブル2[[#Headers],[学年]:[得点]],0)))</f>
        <v/>
      </c>
      <c r="D194" s="115" t="str">
        <f>IF($A194&gt;MAX(入力シート!$AH$6:$AH$505),"",INDEX(テーブル2[[学年]:[判定]],MATCH(体力優良証交付申請書!$A194,入力シート!$AH$6:$AH$505,0),MATCH(体力優良証交付申請書!D$14,テーブル2[[#Headers],[学年]:[得点]],0)))</f>
        <v/>
      </c>
      <c r="E194" s="115" t="str">
        <f>IF($A194&gt;MAX(入力シート!$AH$6:$AH$505),"",INDEX(テーブル2[[学年]:[判定]],MATCH(体力優良証交付申請書!$A194,入力シート!$AH$6:$AH$505,0),MATCH(体力優良証交付申請書!E$14,テーブル2[[#Headers],[学年]:[得点]],0)))</f>
        <v/>
      </c>
      <c r="F194" s="115" t="str">
        <f>IF($A194&gt;MAX(入力シート!$AH$6:$AH$505),"",INDEX(テーブル2[[学年]:[判定]],MATCH(体力優良証交付申請書!$A194,入力シート!$AH$6:$AH$505,0),MATCH(体力優良証交付申請書!F$14,テーブル2[[#Headers],[学年]:[得点]],0)))</f>
        <v/>
      </c>
      <c r="G194" s="115" t="str">
        <f>IF($A194&gt;MAX(入力シート!$AH$6:$AH$505),"",INDEX(テーブル2[[学年]:[判定]],MATCH(体力優良証交付申請書!$A194,入力シート!$AH$6:$AH$505,0),MATCH(体力優良証交付申請書!G$14,テーブル2[[#Headers],[学年]:[得点]],0)))</f>
        <v/>
      </c>
      <c r="H194" s="115" t="str">
        <f>IF($A194&gt;MAX(入力シート!$AH$6:$AH$505),"",INDEX(テーブル2[[学年]:[判定]],MATCH(体力優良証交付申請書!$A194,入力シート!$AH$6:$AH$505,0),MATCH(体力優良証交付申請書!H$14,テーブル2[[#Headers],[学年]:[得点]],0)))</f>
        <v/>
      </c>
      <c r="I194" s="115" t="str">
        <f>IF($A194&gt;MAX(入力シート!$AH$6:$AH$505),"",INDEX(テーブル2[[学年]:[判定]],MATCH(体力優良証交付申請書!$A194,入力シート!$AH$6:$AH$505,0),MATCH(体力優良証交付申請書!I$14,テーブル2[[#Headers],[学年]:[得点]],0)))</f>
        <v/>
      </c>
      <c r="J194" s="115" t="str">
        <f>IF($A194&gt;MAX(入力シート!$AH$6:$AH$505),"",INDEX(テーブル2[[学年]:[判定]],MATCH(体力優良証交付申請書!$A194,入力シート!$AH$6:$AH$505,0),MATCH(体力優良証交付申請書!J$14,テーブル2[[#Headers],[学年]:[得点]],0)))</f>
        <v/>
      </c>
      <c r="K194" s="129" t="str">
        <f>IF($A194&gt;MAX(入力シート!$AH$6:$AH$505),"",INDEX(テーブル2[[学年]:[判定]],MATCH(体力優良証交付申請書!$A194,入力シート!$AH$6:$AH$505,0),MATCH(体力優良証交付申請書!K$14,テーブル2[[#Headers],[学年]:[得点]],0)))</f>
        <v/>
      </c>
      <c r="L194" s="115" t="str">
        <f>IF($A194&gt;MAX(入力シート!$AH$6:$AH$505),"",INDEX(テーブル2[[学年]:[判定]],MATCH(体力優良証交付申請書!$A194,入力シート!$AH$6:$AH$505,0),MATCH(体力優良証交付申請書!L$14,テーブル2[[#Headers],[学年]:[得点]],0)))</f>
        <v/>
      </c>
      <c r="M194" s="115" t="str">
        <f>IF($A194&gt;MAX(入力シート!$AH$6:$AH$505),"",INDEX(テーブル2[[学年]:[判定]],MATCH(体力優良証交付申請書!$A194,入力シート!$AH$6:$AH$505,0),MATCH(体力優良証交付申請書!M$14,テーブル2[[#Headers],[学年]:[得点]],0)))</f>
        <v/>
      </c>
      <c r="N194" s="27" t="str">
        <f>IF($A194&gt;MAX(入力シート!$AH$6:$AH$505),"",INDEX(テーブル2[[学年]:[判定]],MATCH(体力優良証交付申請書!$A194,入力シート!$AH$6:$AH$505,0),MATCH(体力優良証交付申請書!N$14,テーブル2[[#Headers],[学年]:[得点]],0)))</f>
        <v/>
      </c>
    </row>
    <row r="195" spans="1:14" x14ac:dyDescent="0.15">
      <c r="A195" s="17">
        <v>181</v>
      </c>
      <c r="B195" s="115" t="str">
        <f>IF($A195&gt;MAX(入力シート!$AH$6:$AH$505),"",INDEX(テーブル2[[学年]:[判定]],MATCH(体力優良証交付申請書!$A195,入力シート!$AH$6:$AH$505,0),MATCH(体力優良証交付申請書!B$14,テーブル2[[#Headers],[学年]:[得点]],0)))</f>
        <v/>
      </c>
      <c r="C195" s="115" t="str">
        <f>IF($A195&gt;MAX(入力シート!$AH$6:$AH$505),"",INDEX(テーブル2[[学年]:[判定]],MATCH(体力優良証交付申請書!$A195,入力シート!$AH$6:$AH$505,0),MATCH(体力優良証交付申請書!C$14,テーブル2[[#Headers],[学年]:[得点]],0)))</f>
        <v/>
      </c>
      <c r="D195" s="115" t="str">
        <f>IF($A195&gt;MAX(入力シート!$AH$6:$AH$505),"",INDEX(テーブル2[[学年]:[判定]],MATCH(体力優良証交付申請書!$A195,入力シート!$AH$6:$AH$505,0),MATCH(体力優良証交付申請書!D$14,テーブル2[[#Headers],[学年]:[得点]],0)))</f>
        <v/>
      </c>
      <c r="E195" s="115" t="str">
        <f>IF($A195&gt;MAX(入力シート!$AH$6:$AH$505),"",INDEX(テーブル2[[学年]:[判定]],MATCH(体力優良証交付申請書!$A195,入力シート!$AH$6:$AH$505,0),MATCH(体力優良証交付申請書!E$14,テーブル2[[#Headers],[学年]:[得点]],0)))</f>
        <v/>
      </c>
      <c r="F195" s="115" t="str">
        <f>IF($A195&gt;MAX(入力シート!$AH$6:$AH$505),"",INDEX(テーブル2[[学年]:[判定]],MATCH(体力優良証交付申請書!$A195,入力シート!$AH$6:$AH$505,0),MATCH(体力優良証交付申請書!F$14,テーブル2[[#Headers],[学年]:[得点]],0)))</f>
        <v/>
      </c>
      <c r="G195" s="115" t="str">
        <f>IF($A195&gt;MAX(入力シート!$AH$6:$AH$505),"",INDEX(テーブル2[[学年]:[判定]],MATCH(体力優良証交付申請書!$A195,入力シート!$AH$6:$AH$505,0),MATCH(体力優良証交付申請書!G$14,テーブル2[[#Headers],[学年]:[得点]],0)))</f>
        <v/>
      </c>
      <c r="H195" s="115" t="str">
        <f>IF($A195&gt;MAX(入力シート!$AH$6:$AH$505),"",INDEX(テーブル2[[学年]:[判定]],MATCH(体力優良証交付申請書!$A195,入力シート!$AH$6:$AH$505,0),MATCH(体力優良証交付申請書!H$14,テーブル2[[#Headers],[学年]:[得点]],0)))</f>
        <v/>
      </c>
      <c r="I195" s="115" t="str">
        <f>IF($A195&gt;MAX(入力シート!$AH$6:$AH$505),"",INDEX(テーブル2[[学年]:[判定]],MATCH(体力優良証交付申請書!$A195,入力シート!$AH$6:$AH$505,0),MATCH(体力優良証交付申請書!I$14,テーブル2[[#Headers],[学年]:[得点]],0)))</f>
        <v/>
      </c>
      <c r="J195" s="115" t="str">
        <f>IF($A195&gt;MAX(入力シート!$AH$6:$AH$505),"",INDEX(テーブル2[[学年]:[判定]],MATCH(体力優良証交付申請書!$A195,入力シート!$AH$6:$AH$505,0),MATCH(体力優良証交付申請書!J$14,テーブル2[[#Headers],[学年]:[得点]],0)))</f>
        <v/>
      </c>
      <c r="K195" s="129" t="str">
        <f>IF($A195&gt;MAX(入力シート!$AH$6:$AH$505),"",INDEX(テーブル2[[学年]:[判定]],MATCH(体力優良証交付申請書!$A195,入力シート!$AH$6:$AH$505,0),MATCH(体力優良証交付申請書!K$14,テーブル2[[#Headers],[学年]:[得点]],0)))</f>
        <v/>
      </c>
      <c r="L195" s="115" t="str">
        <f>IF($A195&gt;MAX(入力シート!$AH$6:$AH$505),"",INDEX(テーブル2[[学年]:[判定]],MATCH(体力優良証交付申請書!$A195,入力シート!$AH$6:$AH$505,0),MATCH(体力優良証交付申請書!L$14,テーブル2[[#Headers],[学年]:[得点]],0)))</f>
        <v/>
      </c>
      <c r="M195" s="115" t="str">
        <f>IF($A195&gt;MAX(入力シート!$AH$6:$AH$505),"",INDEX(テーブル2[[学年]:[判定]],MATCH(体力優良証交付申請書!$A195,入力シート!$AH$6:$AH$505,0),MATCH(体力優良証交付申請書!M$14,テーブル2[[#Headers],[学年]:[得点]],0)))</f>
        <v/>
      </c>
      <c r="N195" s="27" t="str">
        <f>IF($A195&gt;MAX(入力シート!$AH$6:$AH$505),"",INDEX(テーブル2[[学年]:[判定]],MATCH(体力優良証交付申請書!$A195,入力シート!$AH$6:$AH$505,0),MATCH(体力優良証交付申請書!N$14,テーブル2[[#Headers],[学年]:[得点]],0)))</f>
        <v/>
      </c>
    </row>
    <row r="196" spans="1:14" x14ac:dyDescent="0.15">
      <c r="A196" s="17">
        <v>182</v>
      </c>
      <c r="B196" s="115" t="str">
        <f>IF($A196&gt;MAX(入力シート!$AH$6:$AH$505),"",INDEX(テーブル2[[学年]:[判定]],MATCH(体力優良証交付申請書!$A196,入力シート!$AH$6:$AH$505,0),MATCH(体力優良証交付申請書!B$14,テーブル2[[#Headers],[学年]:[得点]],0)))</f>
        <v/>
      </c>
      <c r="C196" s="115" t="str">
        <f>IF($A196&gt;MAX(入力シート!$AH$6:$AH$505),"",INDEX(テーブル2[[学年]:[判定]],MATCH(体力優良証交付申請書!$A196,入力シート!$AH$6:$AH$505,0),MATCH(体力優良証交付申請書!C$14,テーブル2[[#Headers],[学年]:[得点]],0)))</f>
        <v/>
      </c>
      <c r="D196" s="115" t="str">
        <f>IF($A196&gt;MAX(入力シート!$AH$6:$AH$505),"",INDEX(テーブル2[[学年]:[判定]],MATCH(体力優良証交付申請書!$A196,入力シート!$AH$6:$AH$505,0),MATCH(体力優良証交付申請書!D$14,テーブル2[[#Headers],[学年]:[得点]],0)))</f>
        <v/>
      </c>
      <c r="E196" s="115" t="str">
        <f>IF($A196&gt;MAX(入力シート!$AH$6:$AH$505),"",INDEX(テーブル2[[学年]:[判定]],MATCH(体力優良証交付申請書!$A196,入力シート!$AH$6:$AH$505,0),MATCH(体力優良証交付申請書!E$14,テーブル2[[#Headers],[学年]:[得点]],0)))</f>
        <v/>
      </c>
      <c r="F196" s="115" t="str">
        <f>IF($A196&gt;MAX(入力シート!$AH$6:$AH$505),"",INDEX(テーブル2[[学年]:[判定]],MATCH(体力優良証交付申請書!$A196,入力シート!$AH$6:$AH$505,0),MATCH(体力優良証交付申請書!F$14,テーブル2[[#Headers],[学年]:[得点]],0)))</f>
        <v/>
      </c>
      <c r="G196" s="115" t="str">
        <f>IF($A196&gt;MAX(入力シート!$AH$6:$AH$505),"",INDEX(テーブル2[[学年]:[判定]],MATCH(体力優良証交付申請書!$A196,入力シート!$AH$6:$AH$505,0),MATCH(体力優良証交付申請書!G$14,テーブル2[[#Headers],[学年]:[得点]],0)))</f>
        <v/>
      </c>
      <c r="H196" s="115" t="str">
        <f>IF($A196&gt;MAX(入力シート!$AH$6:$AH$505),"",INDEX(テーブル2[[学年]:[判定]],MATCH(体力優良証交付申請書!$A196,入力シート!$AH$6:$AH$505,0),MATCH(体力優良証交付申請書!H$14,テーブル2[[#Headers],[学年]:[得点]],0)))</f>
        <v/>
      </c>
      <c r="I196" s="115" t="str">
        <f>IF($A196&gt;MAX(入力シート!$AH$6:$AH$505),"",INDEX(テーブル2[[学年]:[判定]],MATCH(体力優良証交付申請書!$A196,入力シート!$AH$6:$AH$505,0),MATCH(体力優良証交付申請書!I$14,テーブル2[[#Headers],[学年]:[得点]],0)))</f>
        <v/>
      </c>
      <c r="J196" s="115" t="str">
        <f>IF($A196&gt;MAX(入力シート!$AH$6:$AH$505),"",INDEX(テーブル2[[学年]:[判定]],MATCH(体力優良証交付申請書!$A196,入力シート!$AH$6:$AH$505,0),MATCH(体力優良証交付申請書!J$14,テーブル2[[#Headers],[学年]:[得点]],0)))</f>
        <v/>
      </c>
      <c r="K196" s="129" t="str">
        <f>IF($A196&gt;MAX(入力シート!$AH$6:$AH$505),"",INDEX(テーブル2[[学年]:[判定]],MATCH(体力優良証交付申請書!$A196,入力シート!$AH$6:$AH$505,0),MATCH(体力優良証交付申請書!K$14,テーブル2[[#Headers],[学年]:[得点]],0)))</f>
        <v/>
      </c>
      <c r="L196" s="115" t="str">
        <f>IF($A196&gt;MAX(入力シート!$AH$6:$AH$505),"",INDEX(テーブル2[[学年]:[判定]],MATCH(体力優良証交付申請書!$A196,入力シート!$AH$6:$AH$505,0),MATCH(体力優良証交付申請書!L$14,テーブル2[[#Headers],[学年]:[得点]],0)))</f>
        <v/>
      </c>
      <c r="M196" s="115" t="str">
        <f>IF($A196&gt;MAX(入力シート!$AH$6:$AH$505),"",INDEX(テーブル2[[学年]:[判定]],MATCH(体力優良証交付申請書!$A196,入力シート!$AH$6:$AH$505,0),MATCH(体力優良証交付申請書!M$14,テーブル2[[#Headers],[学年]:[得点]],0)))</f>
        <v/>
      </c>
      <c r="N196" s="27" t="str">
        <f>IF($A196&gt;MAX(入力シート!$AH$6:$AH$505),"",INDEX(テーブル2[[学年]:[判定]],MATCH(体力優良証交付申請書!$A196,入力シート!$AH$6:$AH$505,0),MATCH(体力優良証交付申請書!N$14,テーブル2[[#Headers],[学年]:[得点]],0)))</f>
        <v/>
      </c>
    </row>
    <row r="197" spans="1:14" x14ac:dyDescent="0.15">
      <c r="A197" s="17">
        <v>183</v>
      </c>
      <c r="B197" s="115" t="str">
        <f>IF($A197&gt;MAX(入力シート!$AH$6:$AH$505),"",INDEX(テーブル2[[学年]:[判定]],MATCH(体力優良証交付申請書!$A197,入力シート!$AH$6:$AH$505,0),MATCH(体力優良証交付申請書!B$14,テーブル2[[#Headers],[学年]:[得点]],0)))</f>
        <v/>
      </c>
      <c r="C197" s="115" t="str">
        <f>IF($A197&gt;MAX(入力シート!$AH$6:$AH$505),"",INDEX(テーブル2[[学年]:[判定]],MATCH(体力優良証交付申請書!$A197,入力シート!$AH$6:$AH$505,0),MATCH(体力優良証交付申請書!C$14,テーブル2[[#Headers],[学年]:[得点]],0)))</f>
        <v/>
      </c>
      <c r="D197" s="115" t="str">
        <f>IF($A197&gt;MAX(入力シート!$AH$6:$AH$505),"",INDEX(テーブル2[[学年]:[判定]],MATCH(体力優良証交付申請書!$A197,入力シート!$AH$6:$AH$505,0),MATCH(体力優良証交付申請書!D$14,テーブル2[[#Headers],[学年]:[得点]],0)))</f>
        <v/>
      </c>
      <c r="E197" s="115" t="str">
        <f>IF($A197&gt;MAX(入力シート!$AH$6:$AH$505),"",INDEX(テーブル2[[学年]:[判定]],MATCH(体力優良証交付申請書!$A197,入力シート!$AH$6:$AH$505,0),MATCH(体力優良証交付申請書!E$14,テーブル2[[#Headers],[学年]:[得点]],0)))</f>
        <v/>
      </c>
      <c r="F197" s="115" t="str">
        <f>IF($A197&gt;MAX(入力シート!$AH$6:$AH$505),"",INDEX(テーブル2[[学年]:[判定]],MATCH(体力優良証交付申請書!$A197,入力シート!$AH$6:$AH$505,0),MATCH(体力優良証交付申請書!F$14,テーブル2[[#Headers],[学年]:[得点]],0)))</f>
        <v/>
      </c>
      <c r="G197" s="115" t="str">
        <f>IF($A197&gt;MAX(入力シート!$AH$6:$AH$505),"",INDEX(テーブル2[[学年]:[判定]],MATCH(体力優良証交付申請書!$A197,入力シート!$AH$6:$AH$505,0),MATCH(体力優良証交付申請書!G$14,テーブル2[[#Headers],[学年]:[得点]],0)))</f>
        <v/>
      </c>
      <c r="H197" s="115" t="str">
        <f>IF($A197&gt;MAX(入力シート!$AH$6:$AH$505),"",INDEX(テーブル2[[学年]:[判定]],MATCH(体力優良証交付申請書!$A197,入力シート!$AH$6:$AH$505,0),MATCH(体力優良証交付申請書!H$14,テーブル2[[#Headers],[学年]:[得点]],0)))</f>
        <v/>
      </c>
      <c r="I197" s="115" t="str">
        <f>IF($A197&gt;MAX(入力シート!$AH$6:$AH$505),"",INDEX(テーブル2[[学年]:[判定]],MATCH(体力優良証交付申請書!$A197,入力シート!$AH$6:$AH$505,0),MATCH(体力優良証交付申請書!I$14,テーブル2[[#Headers],[学年]:[得点]],0)))</f>
        <v/>
      </c>
      <c r="J197" s="115" t="str">
        <f>IF($A197&gt;MAX(入力シート!$AH$6:$AH$505),"",INDEX(テーブル2[[学年]:[判定]],MATCH(体力優良証交付申請書!$A197,入力シート!$AH$6:$AH$505,0),MATCH(体力優良証交付申請書!J$14,テーブル2[[#Headers],[学年]:[得点]],0)))</f>
        <v/>
      </c>
      <c r="K197" s="129" t="str">
        <f>IF($A197&gt;MAX(入力シート!$AH$6:$AH$505),"",INDEX(テーブル2[[学年]:[判定]],MATCH(体力優良証交付申請書!$A197,入力シート!$AH$6:$AH$505,0),MATCH(体力優良証交付申請書!K$14,テーブル2[[#Headers],[学年]:[得点]],0)))</f>
        <v/>
      </c>
      <c r="L197" s="115" t="str">
        <f>IF($A197&gt;MAX(入力シート!$AH$6:$AH$505),"",INDEX(テーブル2[[学年]:[判定]],MATCH(体力優良証交付申請書!$A197,入力シート!$AH$6:$AH$505,0),MATCH(体力優良証交付申請書!L$14,テーブル2[[#Headers],[学年]:[得点]],0)))</f>
        <v/>
      </c>
      <c r="M197" s="115" t="str">
        <f>IF($A197&gt;MAX(入力シート!$AH$6:$AH$505),"",INDEX(テーブル2[[学年]:[判定]],MATCH(体力優良証交付申請書!$A197,入力シート!$AH$6:$AH$505,0),MATCH(体力優良証交付申請書!M$14,テーブル2[[#Headers],[学年]:[得点]],0)))</f>
        <v/>
      </c>
      <c r="N197" s="27" t="str">
        <f>IF($A197&gt;MAX(入力シート!$AH$6:$AH$505),"",INDEX(テーブル2[[学年]:[判定]],MATCH(体力優良証交付申請書!$A197,入力シート!$AH$6:$AH$505,0),MATCH(体力優良証交付申請書!N$14,テーブル2[[#Headers],[学年]:[得点]],0)))</f>
        <v/>
      </c>
    </row>
    <row r="198" spans="1:14" x14ac:dyDescent="0.15">
      <c r="A198" s="17">
        <v>184</v>
      </c>
      <c r="B198" s="115" t="str">
        <f>IF($A198&gt;MAX(入力シート!$AH$6:$AH$505),"",INDEX(テーブル2[[学年]:[判定]],MATCH(体力優良証交付申請書!$A198,入力シート!$AH$6:$AH$505,0),MATCH(体力優良証交付申請書!B$14,テーブル2[[#Headers],[学年]:[得点]],0)))</f>
        <v/>
      </c>
      <c r="C198" s="115" t="str">
        <f>IF($A198&gt;MAX(入力シート!$AH$6:$AH$505),"",INDEX(テーブル2[[学年]:[判定]],MATCH(体力優良証交付申請書!$A198,入力シート!$AH$6:$AH$505,0),MATCH(体力優良証交付申請書!C$14,テーブル2[[#Headers],[学年]:[得点]],0)))</f>
        <v/>
      </c>
      <c r="D198" s="115" t="str">
        <f>IF($A198&gt;MAX(入力シート!$AH$6:$AH$505),"",INDEX(テーブル2[[学年]:[判定]],MATCH(体力優良証交付申請書!$A198,入力シート!$AH$6:$AH$505,0),MATCH(体力優良証交付申請書!D$14,テーブル2[[#Headers],[学年]:[得点]],0)))</f>
        <v/>
      </c>
      <c r="E198" s="115" t="str">
        <f>IF($A198&gt;MAX(入力シート!$AH$6:$AH$505),"",INDEX(テーブル2[[学年]:[判定]],MATCH(体力優良証交付申請書!$A198,入力シート!$AH$6:$AH$505,0),MATCH(体力優良証交付申請書!E$14,テーブル2[[#Headers],[学年]:[得点]],0)))</f>
        <v/>
      </c>
      <c r="F198" s="115" t="str">
        <f>IF($A198&gt;MAX(入力シート!$AH$6:$AH$505),"",INDEX(テーブル2[[学年]:[判定]],MATCH(体力優良証交付申請書!$A198,入力シート!$AH$6:$AH$505,0),MATCH(体力優良証交付申請書!F$14,テーブル2[[#Headers],[学年]:[得点]],0)))</f>
        <v/>
      </c>
      <c r="G198" s="115" t="str">
        <f>IF($A198&gt;MAX(入力シート!$AH$6:$AH$505),"",INDEX(テーブル2[[学年]:[判定]],MATCH(体力優良証交付申請書!$A198,入力シート!$AH$6:$AH$505,0),MATCH(体力優良証交付申請書!G$14,テーブル2[[#Headers],[学年]:[得点]],0)))</f>
        <v/>
      </c>
      <c r="H198" s="115" t="str">
        <f>IF($A198&gt;MAX(入力シート!$AH$6:$AH$505),"",INDEX(テーブル2[[学年]:[判定]],MATCH(体力優良証交付申請書!$A198,入力シート!$AH$6:$AH$505,0),MATCH(体力優良証交付申請書!H$14,テーブル2[[#Headers],[学年]:[得点]],0)))</f>
        <v/>
      </c>
      <c r="I198" s="115" t="str">
        <f>IF($A198&gt;MAX(入力シート!$AH$6:$AH$505),"",INDEX(テーブル2[[学年]:[判定]],MATCH(体力優良証交付申請書!$A198,入力シート!$AH$6:$AH$505,0),MATCH(体力優良証交付申請書!I$14,テーブル2[[#Headers],[学年]:[得点]],0)))</f>
        <v/>
      </c>
      <c r="J198" s="115" t="str">
        <f>IF($A198&gt;MAX(入力シート!$AH$6:$AH$505),"",INDEX(テーブル2[[学年]:[判定]],MATCH(体力優良証交付申請書!$A198,入力シート!$AH$6:$AH$505,0),MATCH(体力優良証交付申請書!J$14,テーブル2[[#Headers],[学年]:[得点]],0)))</f>
        <v/>
      </c>
      <c r="K198" s="129" t="str">
        <f>IF($A198&gt;MAX(入力シート!$AH$6:$AH$505),"",INDEX(テーブル2[[学年]:[判定]],MATCH(体力優良証交付申請書!$A198,入力シート!$AH$6:$AH$505,0),MATCH(体力優良証交付申請書!K$14,テーブル2[[#Headers],[学年]:[得点]],0)))</f>
        <v/>
      </c>
      <c r="L198" s="115" t="str">
        <f>IF($A198&gt;MAX(入力シート!$AH$6:$AH$505),"",INDEX(テーブル2[[学年]:[判定]],MATCH(体力優良証交付申請書!$A198,入力シート!$AH$6:$AH$505,0),MATCH(体力優良証交付申請書!L$14,テーブル2[[#Headers],[学年]:[得点]],0)))</f>
        <v/>
      </c>
      <c r="M198" s="115" t="str">
        <f>IF($A198&gt;MAX(入力シート!$AH$6:$AH$505),"",INDEX(テーブル2[[学年]:[判定]],MATCH(体力優良証交付申請書!$A198,入力シート!$AH$6:$AH$505,0),MATCH(体力優良証交付申請書!M$14,テーブル2[[#Headers],[学年]:[得点]],0)))</f>
        <v/>
      </c>
      <c r="N198" s="27" t="str">
        <f>IF($A198&gt;MAX(入力シート!$AH$6:$AH$505),"",INDEX(テーブル2[[学年]:[判定]],MATCH(体力優良証交付申請書!$A198,入力シート!$AH$6:$AH$505,0),MATCH(体力優良証交付申請書!N$14,テーブル2[[#Headers],[学年]:[得点]],0)))</f>
        <v/>
      </c>
    </row>
    <row r="199" spans="1:14" x14ac:dyDescent="0.15">
      <c r="A199" s="17">
        <v>185</v>
      </c>
      <c r="B199" s="115" t="str">
        <f>IF($A199&gt;MAX(入力シート!$AH$6:$AH$505),"",INDEX(テーブル2[[学年]:[判定]],MATCH(体力優良証交付申請書!$A199,入力シート!$AH$6:$AH$505,0),MATCH(体力優良証交付申請書!B$14,テーブル2[[#Headers],[学年]:[得点]],0)))</f>
        <v/>
      </c>
      <c r="C199" s="115" t="str">
        <f>IF($A199&gt;MAX(入力シート!$AH$6:$AH$505),"",INDEX(テーブル2[[学年]:[判定]],MATCH(体力優良証交付申請書!$A199,入力シート!$AH$6:$AH$505,0),MATCH(体力優良証交付申請書!C$14,テーブル2[[#Headers],[学年]:[得点]],0)))</f>
        <v/>
      </c>
      <c r="D199" s="115" t="str">
        <f>IF($A199&gt;MAX(入力シート!$AH$6:$AH$505),"",INDEX(テーブル2[[学年]:[判定]],MATCH(体力優良証交付申請書!$A199,入力シート!$AH$6:$AH$505,0),MATCH(体力優良証交付申請書!D$14,テーブル2[[#Headers],[学年]:[得点]],0)))</f>
        <v/>
      </c>
      <c r="E199" s="115" t="str">
        <f>IF($A199&gt;MAX(入力シート!$AH$6:$AH$505),"",INDEX(テーブル2[[学年]:[判定]],MATCH(体力優良証交付申請書!$A199,入力シート!$AH$6:$AH$505,0),MATCH(体力優良証交付申請書!E$14,テーブル2[[#Headers],[学年]:[得点]],0)))</f>
        <v/>
      </c>
      <c r="F199" s="115" t="str">
        <f>IF($A199&gt;MAX(入力シート!$AH$6:$AH$505),"",INDEX(テーブル2[[学年]:[判定]],MATCH(体力優良証交付申請書!$A199,入力シート!$AH$6:$AH$505,0),MATCH(体力優良証交付申請書!F$14,テーブル2[[#Headers],[学年]:[得点]],0)))</f>
        <v/>
      </c>
      <c r="G199" s="115" t="str">
        <f>IF($A199&gt;MAX(入力シート!$AH$6:$AH$505),"",INDEX(テーブル2[[学年]:[判定]],MATCH(体力優良証交付申請書!$A199,入力シート!$AH$6:$AH$505,0),MATCH(体力優良証交付申請書!G$14,テーブル2[[#Headers],[学年]:[得点]],0)))</f>
        <v/>
      </c>
      <c r="H199" s="115" t="str">
        <f>IF($A199&gt;MAX(入力シート!$AH$6:$AH$505),"",INDEX(テーブル2[[学年]:[判定]],MATCH(体力優良証交付申請書!$A199,入力シート!$AH$6:$AH$505,0),MATCH(体力優良証交付申請書!H$14,テーブル2[[#Headers],[学年]:[得点]],0)))</f>
        <v/>
      </c>
      <c r="I199" s="115" t="str">
        <f>IF($A199&gt;MAX(入力シート!$AH$6:$AH$505),"",INDEX(テーブル2[[学年]:[判定]],MATCH(体力優良証交付申請書!$A199,入力シート!$AH$6:$AH$505,0),MATCH(体力優良証交付申請書!I$14,テーブル2[[#Headers],[学年]:[得点]],0)))</f>
        <v/>
      </c>
      <c r="J199" s="115" t="str">
        <f>IF($A199&gt;MAX(入力シート!$AH$6:$AH$505),"",INDEX(テーブル2[[学年]:[判定]],MATCH(体力優良証交付申請書!$A199,入力シート!$AH$6:$AH$505,0),MATCH(体力優良証交付申請書!J$14,テーブル2[[#Headers],[学年]:[得点]],0)))</f>
        <v/>
      </c>
      <c r="K199" s="129" t="str">
        <f>IF($A199&gt;MAX(入力シート!$AH$6:$AH$505),"",INDEX(テーブル2[[学年]:[判定]],MATCH(体力優良証交付申請書!$A199,入力シート!$AH$6:$AH$505,0),MATCH(体力優良証交付申請書!K$14,テーブル2[[#Headers],[学年]:[得点]],0)))</f>
        <v/>
      </c>
      <c r="L199" s="115" t="str">
        <f>IF($A199&gt;MAX(入力シート!$AH$6:$AH$505),"",INDEX(テーブル2[[学年]:[判定]],MATCH(体力優良証交付申請書!$A199,入力シート!$AH$6:$AH$505,0),MATCH(体力優良証交付申請書!L$14,テーブル2[[#Headers],[学年]:[得点]],0)))</f>
        <v/>
      </c>
      <c r="M199" s="115" t="str">
        <f>IF($A199&gt;MAX(入力シート!$AH$6:$AH$505),"",INDEX(テーブル2[[学年]:[判定]],MATCH(体力優良証交付申請書!$A199,入力シート!$AH$6:$AH$505,0),MATCH(体力優良証交付申請書!M$14,テーブル2[[#Headers],[学年]:[得点]],0)))</f>
        <v/>
      </c>
      <c r="N199" s="27" t="str">
        <f>IF($A199&gt;MAX(入力シート!$AH$6:$AH$505),"",INDEX(テーブル2[[学年]:[判定]],MATCH(体力優良証交付申請書!$A199,入力シート!$AH$6:$AH$505,0),MATCH(体力優良証交付申請書!N$14,テーブル2[[#Headers],[学年]:[得点]],0)))</f>
        <v/>
      </c>
    </row>
    <row r="200" spans="1:14" x14ac:dyDescent="0.15">
      <c r="A200" s="17">
        <v>186</v>
      </c>
      <c r="B200" s="115" t="str">
        <f>IF($A200&gt;MAX(入力シート!$AH$6:$AH$505),"",INDEX(テーブル2[[学年]:[判定]],MATCH(体力優良証交付申請書!$A200,入力シート!$AH$6:$AH$505,0),MATCH(体力優良証交付申請書!B$14,テーブル2[[#Headers],[学年]:[得点]],0)))</f>
        <v/>
      </c>
      <c r="C200" s="115" t="str">
        <f>IF($A200&gt;MAX(入力シート!$AH$6:$AH$505),"",INDEX(テーブル2[[学年]:[判定]],MATCH(体力優良証交付申請書!$A200,入力シート!$AH$6:$AH$505,0),MATCH(体力優良証交付申請書!C$14,テーブル2[[#Headers],[学年]:[得点]],0)))</f>
        <v/>
      </c>
      <c r="D200" s="115" t="str">
        <f>IF($A200&gt;MAX(入力シート!$AH$6:$AH$505),"",INDEX(テーブル2[[学年]:[判定]],MATCH(体力優良証交付申請書!$A200,入力シート!$AH$6:$AH$505,0),MATCH(体力優良証交付申請書!D$14,テーブル2[[#Headers],[学年]:[得点]],0)))</f>
        <v/>
      </c>
      <c r="E200" s="115" t="str">
        <f>IF($A200&gt;MAX(入力シート!$AH$6:$AH$505),"",INDEX(テーブル2[[学年]:[判定]],MATCH(体力優良証交付申請書!$A200,入力シート!$AH$6:$AH$505,0),MATCH(体力優良証交付申請書!E$14,テーブル2[[#Headers],[学年]:[得点]],0)))</f>
        <v/>
      </c>
      <c r="F200" s="115" t="str">
        <f>IF($A200&gt;MAX(入力シート!$AH$6:$AH$505),"",INDEX(テーブル2[[学年]:[判定]],MATCH(体力優良証交付申請書!$A200,入力シート!$AH$6:$AH$505,0),MATCH(体力優良証交付申請書!F$14,テーブル2[[#Headers],[学年]:[得点]],0)))</f>
        <v/>
      </c>
      <c r="G200" s="115" t="str">
        <f>IF($A200&gt;MAX(入力シート!$AH$6:$AH$505),"",INDEX(テーブル2[[学年]:[判定]],MATCH(体力優良証交付申請書!$A200,入力シート!$AH$6:$AH$505,0),MATCH(体力優良証交付申請書!G$14,テーブル2[[#Headers],[学年]:[得点]],0)))</f>
        <v/>
      </c>
      <c r="H200" s="115" t="str">
        <f>IF($A200&gt;MAX(入力シート!$AH$6:$AH$505),"",INDEX(テーブル2[[学年]:[判定]],MATCH(体力優良証交付申請書!$A200,入力シート!$AH$6:$AH$505,0),MATCH(体力優良証交付申請書!H$14,テーブル2[[#Headers],[学年]:[得点]],0)))</f>
        <v/>
      </c>
      <c r="I200" s="115" t="str">
        <f>IF($A200&gt;MAX(入力シート!$AH$6:$AH$505),"",INDEX(テーブル2[[学年]:[判定]],MATCH(体力優良証交付申請書!$A200,入力シート!$AH$6:$AH$505,0),MATCH(体力優良証交付申請書!I$14,テーブル2[[#Headers],[学年]:[得点]],0)))</f>
        <v/>
      </c>
      <c r="J200" s="115" t="str">
        <f>IF($A200&gt;MAX(入力シート!$AH$6:$AH$505),"",INDEX(テーブル2[[学年]:[判定]],MATCH(体力優良証交付申請書!$A200,入力シート!$AH$6:$AH$505,0),MATCH(体力優良証交付申請書!J$14,テーブル2[[#Headers],[学年]:[得点]],0)))</f>
        <v/>
      </c>
      <c r="K200" s="129" t="str">
        <f>IF($A200&gt;MAX(入力シート!$AH$6:$AH$505),"",INDEX(テーブル2[[学年]:[判定]],MATCH(体力優良証交付申請書!$A200,入力シート!$AH$6:$AH$505,0),MATCH(体力優良証交付申請書!K$14,テーブル2[[#Headers],[学年]:[得点]],0)))</f>
        <v/>
      </c>
      <c r="L200" s="115" t="str">
        <f>IF($A200&gt;MAX(入力シート!$AH$6:$AH$505),"",INDEX(テーブル2[[学年]:[判定]],MATCH(体力優良証交付申請書!$A200,入力シート!$AH$6:$AH$505,0),MATCH(体力優良証交付申請書!L$14,テーブル2[[#Headers],[学年]:[得点]],0)))</f>
        <v/>
      </c>
      <c r="M200" s="115" t="str">
        <f>IF($A200&gt;MAX(入力シート!$AH$6:$AH$505),"",INDEX(テーブル2[[学年]:[判定]],MATCH(体力優良証交付申請書!$A200,入力シート!$AH$6:$AH$505,0),MATCH(体力優良証交付申請書!M$14,テーブル2[[#Headers],[学年]:[得点]],0)))</f>
        <v/>
      </c>
      <c r="N200" s="27" t="str">
        <f>IF($A200&gt;MAX(入力シート!$AH$6:$AH$505),"",INDEX(テーブル2[[学年]:[判定]],MATCH(体力優良証交付申請書!$A200,入力シート!$AH$6:$AH$505,0),MATCH(体力優良証交付申請書!N$14,テーブル2[[#Headers],[学年]:[得点]],0)))</f>
        <v/>
      </c>
    </row>
    <row r="201" spans="1:14" x14ac:dyDescent="0.15">
      <c r="A201" s="17">
        <v>187</v>
      </c>
      <c r="B201" s="115" t="str">
        <f>IF($A201&gt;MAX(入力シート!$AH$6:$AH$505),"",INDEX(テーブル2[[学年]:[判定]],MATCH(体力優良証交付申請書!$A201,入力シート!$AH$6:$AH$505,0),MATCH(体力優良証交付申請書!B$14,テーブル2[[#Headers],[学年]:[得点]],0)))</f>
        <v/>
      </c>
      <c r="C201" s="115" t="str">
        <f>IF($A201&gt;MAX(入力シート!$AH$6:$AH$505),"",INDEX(テーブル2[[学年]:[判定]],MATCH(体力優良証交付申請書!$A201,入力シート!$AH$6:$AH$505,0),MATCH(体力優良証交付申請書!C$14,テーブル2[[#Headers],[学年]:[得点]],0)))</f>
        <v/>
      </c>
      <c r="D201" s="115" t="str">
        <f>IF($A201&gt;MAX(入力シート!$AH$6:$AH$505),"",INDEX(テーブル2[[学年]:[判定]],MATCH(体力優良証交付申請書!$A201,入力シート!$AH$6:$AH$505,0),MATCH(体力優良証交付申請書!D$14,テーブル2[[#Headers],[学年]:[得点]],0)))</f>
        <v/>
      </c>
      <c r="E201" s="115" t="str">
        <f>IF($A201&gt;MAX(入力シート!$AH$6:$AH$505),"",INDEX(テーブル2[[学年]:[判定]],MATCH(体力優良証交付申請書!$A201,入力シート!$AH$6:$AH$505,0),MATCH(体力優良証交付申請書!E$14,テーブル2[[#Headers],[学年]:[得点]],0)))</f>
        <v/>
      </c>
      <c r="F201" s="115" t="str">
        <f>IF($A201&gt;MAX(入力シート!$AH$6:$AH$505),"",INDEX(テーブル2[[学年]:[判定]],MATCH(体力優良証交付申請書!$A201,入力シート!$AH$6:$AH$505,0),MATCH(体力優良証交付申請書!F$14,テーブル2[[#Headers],[学年]:[得点]],0)))</f>
        <v/>
      </c>
      <c r="G201" s="115" t="str">
        <f>IF($A201&gt;MAX(入力シート!$AH$6:$AH$505),"",INDEX(テーブル2[[学年]:[判定]],MATCH(体力優良証交付申請書!$A201,入力シート!$AH$6:$AH$505,0),MATCH(体力優良証交付申請書!G$14,テーブル2[[#Headers],[学年]:[得点]],0)))</f>
        <v/>
      </c>
      <c r="H201" s="115" t="str">
        <f>IF($A201&gt;MAX(入力シート!$AH$6:$AH$505),"",INDEX(テーブル2[[学年]:[判定]],MATCH(体力優良証交付申請書!$A201,入力シート!$AH$6:$AH$505,0),MATCH(体力優良証交付申請書!H$14,テーブル2[[#Headers],[学年]:[得点]],0)))</f>
        <v/>
      </c>
      <c r="I201" s="115" t="str">
        <f>IF($A201&gt;MAX(入力シート!$AH$6:$AH$505),"",INDEX(テーブル2[[学年]:[判定]],MATCH(体力優良証交付申請書!$A201,入力シート!$AH$6:$AH$505,0),MATCH(体力優良証交付申請書!I$14,テーブル2[[#Headers],[学年]:[得点]],0)))</f>
        <v/>
      </c>
      <c r="J201" s="115" t="str">
        <f>IF($A201&gt;MAX(入力シート!$AH$6:$AH$505),"",INDEX(テーブル2[[学年]:[判定]],MATCH(体力優良証交付申請書!$A201,入力シート!$AH$6:$AH$505,0),MATCH(体力優良証交付申請書!J$14,テーブル2[[#Headers],[学年]:[得点]],0)))</f>
        <v/>
      </c>
      <c r="K201" s="129" t="str">
        <f>IF($A201&gt;MAX(入力シート!$AH$6:$AH$505),"",INDEX(テーブル2[[学年]:[判定]],MATCH(体力優良証交付申請書!$A201,入力シート!$AH$6:$AH$505,0),MATCH(体力優良証交付申請書!K$14,テーブル2[[#Headers],[学年]:[得点]],0)))</f>
        <v/>
      </c>
      <c r="L201" s="115" t="str">
        <f>IF($A201&gt;MAX(入力シート!$AH$6:$AH$505),"",INDEX(テーブル2[[学年]:[判定]],MATCH(体力優良証交付申請書!$A201,入力シート!$AH$6:$AH$505,0),MATCH(体力優良証交付申請書!L$14,テーブル2[[#Headers],[学年]:[得点]],0)))</f>
        <v/>
      </c>
      <c r="M201" s="115" t="str">
        <f>IF($A201&gt;MAX(入力シート!$AH$6:$AH$505),"",INDEX(テーブル2[[学年]:[判定]],MATCH(体力優良証交付申請書!$A201,入力シート!$AH$6:$AH$505,0),MATCH(体力優良証交付申請書!M$14,テーブル2[[#Headers],[学年]:[得点]],0)))</f>
        <v/>
      </c>
      <c r="N201" s="27" t="str">
        <f>IF($A201&gt;MAX(入力シート!$AH$6:$AH$505),"",INDEX(テーブル2[[学年]:[判定]],MATCH(体力優良証交付申請書!$A201,入力シート!$AH$6:$AH$505,0),MATCH(体力優良証交付申請書!N$14,テーブル2[[#Headers],[学年]:[得点]],0)))</f>
        <v/>
      </c>
    </row>
    <row r="202" spans="1:14" x14ac:dyDescent="0.15">
      <c r="A202" s="17">
        <v>188</v>
      </c>
      <c r="B202" s="115" t="str">
        <f>IF($A202&gt;MAX(入力シート!$AH$6:$AH$505),"",INDEX(テーブル2[[学年]:[判定]],MATCH(体力優良証交付申請書!$A202,入力シート!$AH$6:$AH$505,0),MATCH(体力優良証交付申請書!B$14,テーブル2[[#Headers],[学年]:[得点]],0)))</f>
        <v/>
      </c>
      <c r="C202" s="115" t="str">
        <f>IF($A202&gt;MAX(入力シート!$AH$6:$AH$505),"",INDEX(テーブル2[[学年]:[判定]],MATCH(体力優良証交付申請書!$A202,入力シート!$AH$6:$AH$505,0),MATCH(体力優良証交付申請書!C$14,テーブル2[[#Headers],[学年]:[得点]],0)))</f>
        <v/>
      </c>
      <c r="D202" s="115" t="str">
        <f>IF($A202&gt;MAX(入力シート!$AH$6:$AH$505),"",INDEX(テーブル2[[学年]:[判定]],MATCH(体力優良証交付申請書!$A202,入力シート!$AH$6:$AH$505,0),MATCH(体力優良証交付申請書!D$14,テーブル2[[#Headers],[学年]:[得点]],0)))</f>
        <v/>
      </c>
      <c r="E202" s="115" t="str">
        <f>IF($A202&gt;MAX(入力シート!$AH$6:$AH$505),"",INDEX(テーブル2[[学年]:[判定]],MATCH(体力優良証交付申請書!$A202,入力シート!$AH$6:$AH$505,0),MATCH(体力優良証交付申請書!E$14,テーブル2[[#Headers],[学年]:[得点]],0)))</f>
        <v/>
      </c>
      <c r="F202" s="115" t="str">
        <f>IF($A202&gt;MAX(入力シート!$AH$6:$AH$505),"",INDEX(テーブル2[[学年]:[判定]],MATCH(体力優良証交付申請書!$A202,入力シート!$AH$6:$AH$505,0),MATCH(体力優良証交付申請書!F$14,テーブル2[[#Headers],[学年]:[得点]],0)))</f>
        <v/>
      </c>
      <c r="G202" s="115" t="str">
        <f>IF($A202&gt;MAX(入力シート!$AH$6:$AH$505),"",INDEX(テーブル2[[学年]:[判定]],MATCH(体力優良証交付申請書!$A202,入力シート!$AH$6:$AH$505,0),MATCH(体力優良証交付申請書!G$14,テーブル2[[#Headers],[学年]:[得点]],0)))</f>
        <v/>
      </c>
      <c r="H202" s="115" t="str">
        <f>IF($A202&gt;MAX(入力シート!$AH$6:$AH$505),"",INDEX(テーブル2[[学年]:[判定]],MATCH(体力優良証交付申請書!$A202,入力シート!$AH$6:$AH$505,0),MATCH(体力優良証交付申請書!H$14,テーブル2[[#Headers],[学年]:[得点]],0)))</f>
        <v/>
      </c>
      <c r="I202" s="115" t="str">
        <f>IF($A202&gt;MAX(入力シート!$AH$6:$AH$505),"",INDEX(テーブル2[[学年]:[判定]],MATCH(体力優良証交付申請書!$A202,入力シート!$AH$6:$AH$505,0),MATCH(体力優良証交付申請書!I$14,テーブル2[[#Headers],[学年]:[得点]],0)))</f>
        <v/>
      </c>
      <c r="J202" s="115" t="str">
        <f>IF($A202&gt;MAX(入力シート!$AH$6:$AH$505),"",INDEX(テーブル2[[学年]:[判定]],MATCH(体力優良証交付申請書!$A202,入力シート!$AH$6:$AH$505,0),MATCH(体力優良証交付申請書!J$14,テーブル2[[#Headers],[学年]:[得点]],0)))</f>
        <v/>
      </c>
      <c r="K202" s="129" t="str">
        <f>IF($A202&gt;MAX(入力シート!$AH$6:$AH$505),"",INDEX(テーブル2[[学年]:[判定]],MATCH(体力優良証交付申請書!$A202,入力シート!$AH$6:$AH$505,0),MATCH(体力優良証交付申請書!K$14,テーブル2[[#Headers],[学年]:[得点]],0)))</f>
        <v/>
      </c>
      <c r="L202" s="115" t="str">
        <f>IF($A202&gt;MAX(入力シート!$AH$6:$AH$505),"",INDEX(テーブル2[[学年]:[判定]],MATCH(体力優良証交付申請書!$A202,入力シート!$AH$6:$AH$505,0),MATCH(体力優良証交付申請書!L$14,テーブル2[[#Headers],[学年]:[得点]],0)))</f>
        <v/>
      </c>
      <c r="M202" s="115" t="str">
        <f>IF($A202&gt;MAX(入力シート!$AH$6:$AH$505),"",INDEX(テーブル2[[学年]:[判定]],MATCH(体力優良証交付申請書!$A202,入力シート!$AH$6:$AH$505,0),MATCH(体力優良証交付申請書!M$14,テーブル2[[#Headers],[学年]:[得点]],0)))</f>
        <v/>
      </c>
      <c r="N202" s="27" t="str">
        <f>IF($A202&gt;MAX(入力シート!$AH$6:$AH$505),"",INDEX(テーブル2[[学年]:[判定]],MATCH(体力優良証交付申請書!$A202,入力シート!$AH$6:$AH$505,0),MATCH(体力優良証交付申請書!N$14,テーブル2[[#Headers],[学年]:[得点]],0)))</f>
        <v/>
      </c>
    </row>
    <row r="203" spans="1:14" x14ac:dyDescent="0.15">
      <c r="A203" s="17">
        <v>189</v>
      </c>
      <c r="B203" s="115" t="str">
        <f>IF($A203&gt;MAX(入力シート!$AH$6:$AH$505),"",INDEX(テーブル2[[学年]:[判定]],MATCH(体力優良証交付申請書!$A203,入力シート!$AH$6:$AH$505,0),MATCH(体力優良証交付申請書!B$14,テーブル2[[#Headers],[学年]:[得点]],0)))</f>
        <v/>
      </c>
      <c r="C203" s="115" t="str">
        <f>IF($A203&gt;MAX(入力シート!$AH$6:$AH$505),"",INDEX(テーブル2[[学年]:[判定]],MATCH(体力優良証交付申請書!$A203,入力シート!$AH$6:$AH$505,0),MATCH(体力優良証交付申請書!C$14,テーブル2[[#Headers],[学年]:[得点]],0)))</f>
        <v/>
      </c>
      <c r="D203" s="115" t="str">
        <f>IF($A203&gt;MAX(入力シート!$AH$6:$AH$505),"",INDEX(テーブル2[[学年]:[判定]],MATCH(体力優良証交付申請書!$A203,入力シート!$AH$6:$AH$505,0),MATCH(体力優良証交付申請書!D$14,テーブル2[[#Headers],[学年]:[得点]],0)))</f>
        <v/>
      </c>
      <c r="E203" s="115" t="str">
        <f>IF($A203&gt;MAX(入力シート!$AH$6:$AH$505),"",INDEX(テーブル2[[学年]:[判定]],MATCH(体力優良証交付申請書!$A203,入力シート!$AH$6:$AH$505,0),MATCH(体力優良証交付申請書!E$14,テーブル2[[#Headers],[学年]:[得点]],0)))</f>
        <v/>
      </c>
      <c r="F203" s="115" t="str">
        <f>IF($A203&gt;MAX(入力シート!$AH$6:$AH$505),"",INDEX(テーブル2[[学年]:[判定]],MATCH(体力優良証交付申請書!$A203,入力シート!$AH$6:$AH$505,0),MATCH(体力優良証交付申請書!F$14,テーブル2[[#Headers],[学年]:[得点]],0)))</f>
        <v/>
      </c>
      <c r="G203" s="115" t="str">
        <f>IF($A203&gt;MAX(入力シート!$AH$6:$AH$505),"",INDEX(テーブル2[[学年]:[判定]],MATCH(体力優良証交付申請書!$A203,入力シート!$AH$6:$AH$505,0),MATCH(体力優良証交付申請書!G$14,テーブル2[[#Headers],[学年]:[得点]],0)))</f>
        <v/>
      </c>
      <c r="H203" s="115" t="str">
        <f>IF($A203&gt;MAX(入力シート!$AH$6:$AH$505),"",INDEX(テーブル2[[学年]:[判定]],MATCH(体力優良証交付申請書!$A203,入力シート!$AH$6:$AH$505,0),MATCH(体力優良証交付申請書!H$14,テーブル2[[#Headers],[学年]:[得点]],0)))</f>
        <v/>
      </c>
      <c r="I203" s="115" t="str">
        <f>IF($A203&gt;MAX(入力シート!$AH$6:$AH$505),"",INDEX(テーブル2[[学年]:[判定]],MATCH(体力優良証交付申請書!$A203,入力シート!$AH$6:$AH$505,0),MATCH(体力優良証交付申請書!I$14,テーブル2[[#Headers],[学年]:[得点]],0)))</f>
        <v/>
      </c>
      <c r="J203" s="115" t="str">
        <f>IF($A203&gt;MAX(入力シート!$AH$6:$AH$505),"",INDEX(テーブル2[[学年]:[判定]],MATCH(体力優良証交付申請書!$A203,入力シート!$AH$6:$AH$505,0),MATCH(体力優良証交付申請書!J$14,テーブル2[[#Headers],[学年]:[得点]],0)))</f>
        <v/>
      </c>
      <c r="K203" s="129" t="str">
        <f>IF($A203&gt;MAX(入力シート!$AH$6:$AH$505),"",INDEX(テーブル2[[学年]:[判定]],MATCH(体力優良証交付申請書!$A203,入力シート!$AH$6:$AH$505,0),MATCH(体力優良証交付申請書!K$14,テーブル2[[#Headers],[学年]:[得点]],0)))</f>
        <v/>
      </c>
      <c r="L203" s="115" t="str">
        <f>IF($A203&gt;MAX(入力シート!$AH$6:$AH$505),"",INDEX(テーブル2[[学年]:[判定]],MATCH(体力優良証交付申請書!$A203,入力シート!$AH$6:$AH$505,0),MATCH(体力優良証交付申請書!L$14,テーブル2[[#Headers],[学年]:[得点]],0)))</f>
        <v/>
      </c>
      <c r="M203" s="115" t="str">
        <f>IF($A203&gt;MAX(入力シート!$AH$6:$AH$505),"",INDEX(テーブル2[[学年]:[判定]],MATCH(体力優良証交付申請書!$A203,入力シート!$AH$6:$AH$505,0),MATCH(体力優良証交付申請書!M$14,テーブル2[[#Headers],[学年]:[得点]],0)))</f>
        <v/>
      </c>
      <c r="N203" s="27" t="str">
        <f>IF($A203&gt;MAX(入力シート!$AH$6:$AH$505),"",INDEX(テーブル2[[学年]:[判定]],MATCH(体力優良証交付申請書!$A203,入力シート!$AH$6:$AH$505,0),MATCH(体力優良証交付申請書!N$14,テーブル2[[#Headers],[学年]:[得点]],0)))</f>
        <v/>
      </c>
    </row>
    <row r="204" spans="1:14" x14ac:dyDescent="0.15">
      <c r="A204" s="17">
        <v>190</v>
      </c>
      <c r="B204" s="115" t="str">
        <f>IF($A204&gt;MAX(入力シート!$AH$6:$AH$505),"",INDEX(テーブル2[[学年]:[判定]],MATCH(体力優良証交付申請書!$A204,入力シート!$AH$6:$AH$505,0),MATCH(体力優良証交付申請書!B$14,テーブル2[[#Headers],[学年]:[得点]],0)))</f>
        <v/>
      </c>
      <c r="C204" s="115" t="str">
        <f>IF($A204&gt;MAX(入力シート!$AH$6:$AH$505),"",INDEX(テーブル2[[学年]:[判定]],MATCH(体力優良証交付申請書!$A204,入力シート!$AH$6:$AH$505,0),MATCH(体力優良証交付申請書!C$14,テーブル2[[#Headers],[学年]:[得点]],0)))</f>
        <v/>
      </c>
      <c r="D204" s="115" t="str">
        <f>IF($A204&gt;MAX(入力シート!$AH$6:$AH$505),"",INDEX(テーブル2[[学年]:[判定]],MATCH(体力優良証交付申請書!$A204,入力シート!$AH$6:$AH$505,0),MATCH(体力優良証交付申請書!D$14,テーブル2[[#Headers],[学年]:[得点]],0)))</f>
        <v/>
      </c>
      <c r="E204" s="115" t="str">
        <f>IF($A204&gt;MAX(入力シート!$AH$6:$AH$505),"",INDEX(テーブル2[[学年]:[判定]],MATCH(体力優良証交付申請書!$A204,入力シート!$AH$6:$AH$505,0),MATCH(体力優良証交付申請書!E$14,テーブル2[[#Headers],[学年]:[得点]],0)))</f>
        <v/>
      </c>
      <c r="F204" s="115" t="str">
        <f>IF($A204&gt;MAX(入力シート!$AH$6:$AH$505),"",INDEX(テーブル2[[学年]:[判定]],MATCH(体力優良証交付申請書!$A204,入力シート!$AH$6:$AH$505,0),MATCH(体力優良証交付申請書!F$14,テーブル2[[#Headers],[学年]:[得点]],0)))</f>
        <v/>
      </c>
      <c r="G204" s="115" t="str">
        <f>IF($A204&gt;MAX(入力シート!$AH$6:$AH$505),"",INDEX(テーブル2[[学年]:[判定]],MATCH(体力優良証交付申請書!$A204,入力シート!$AH$6:$AH$505,0),MATCH(体力優良証交付申請書!G$14,テーブル2[[#Headers],[学年]:[得点]],0)))</f>
        <v/>
      </c>
      <c r="H204" s="115" t="str">
        <f>IF($A204&gt;MAX(入力シート!$AH$6:$AH$505),"",INDEX(テーブル2[[学年]:[判定]],MATCH(体力優良証交付申請書!$A204,入力シート!$AH$6:$AH$505,0),MATCH(体力優良証交付申請書!H$14,テーブル2[[#Headers],[学年]:[得点]],0)))</f>
        <v/>
      </c>
      <c r="I204" s="115" t="str">
        <f>IF($A204&gt;MAX(入力シート!$AH$6:$AH$505),"",INDEX(テーブル2[[学年]:[判定]],MATCH(体力優良証交付申請書!$A204,入力シート!$AH$6:$AH$505,0),MATCH(体力優良証交付申請書!I$14,テーブル2[[#Headers],[学年]:[得点]],0)))</f>
        <v/>
      </c>
      <c r="J204" s="115" t="str">
        <f>IF($A204&gt;MAX(入力シート!$AH$6:$AH$505),"",INDEX(テーブル2[[学年]:[判定]],MATCH(体力優良証交付申請書!$A204,入力シート!$AH$6:$AH$505,0),MATCH(体力優良証交付申請書!J$14,テーブル2[[#Headers],[学年]:[得点]],0)))</f>
        <v/>
      </c>
      <c r="K204" s="129" t="str">
        <f>IF($A204&gt;MAX(入力シート!$AH$6:$AH$505),"",INDEX(テーブル2[[学年]:[判定]],MATCH(体力優良証交付申請書!$A204,入力シート!$AH$6:$AH$505,0),MATCH(体力優良証交付申請書!K$14,テーブル2[[#Headers],[学年]:[得点]],0)))</f>
        <v/>
      </c>
      <c r="L204" s="115" t="str">
        <f>IF($A204&gt;MAX(入力シート!$AH$6:$AH$505),"",INDEX(テーブル2[[学年]:[判定]],MATCH(体力優良証交付申請書!$A204,入力シート!$AH$6:$AH$505,0),MATCH(体力優良証交付申請書!L$14,テーブル2[[#Headers],[学年]:[得点]],0)))</f>
        <v/>
      </c>
      <c r="M204" s="115" t="str">
        <f>IF($A204&gt;MAX(入力シート!$AH$6:$AH$505),"",INDEX(テーブル2[[学年]:[判定]],MATCH(体力優良証交付申請書!$A204,入力シート!$AH$6:$AH$505,0),MATCH(体力優良証交付申請書!M$14,テーブル2[[#Headers],[学年]:[得点]],0)))</f>
        <v/>
      </c>
      <c r="N204" s="27" t="str">
        <f>IF($A204&gt;MAX(入力シート!$AH$6:$AH$505),"",INDEX(テーブル2[[学年]:[判定]],MATCH(体力優良証交付申請書!$A204,入力シート!$AH$6:$AH$505,0),MATCH(体力優良証交付申請書!N$14,テーブル2[[#Headers],[学年]:[得点]],0)))</f>
        <v/>
      </c>
    </row>
    <row r="205" spans="1:14" x14ac:dyDescent="0.15">
      <c r="A205" s="17">
        <v>191</v>
      </c>
      <c r="B205" s="115" t="str">
        <f>IF($A205&gt;MAX(入力シート!$AH$6:$AH$505),"",INDEX(テーブル2[[学年]:[判定]],MATCH(体力優良証交付申請書!$A205,入力シート!$AH$6:$AH$505,0),MATCH(体力優良証交付申請書!B$14,テーブル2[[#Headers],[学年]:[得点]],0)))</f>
        <v/>
      </c>
      <c r="C205" s="115" t="str">
        <f>IF($A205&gt;MAX(入力シート!$AH$6:$AH$505),"",INDEX(テーブル2[[学年]:[判定]],MATCH(体力優良証交付申請書!$A205,入力シート!$AH$6:$AH$505,0),MATCH(体力優良証交付申請書!C$14,テーブル2[[#Headers],[学年]:[得点]],0)))</f>
        <v/>
      </c>
      <c r="D205" s="115" t="str">
        <f>IF($A205&gt;MAX(入力シート!$AH$6:$AH$505),"",INDEX(テーブル2[[学年]:[判定]],MATCH(体力優良証交付申請書!$A205,入力シート!$AH$6:$AH$505,0),MATCH(体力優良証交付申請書!D$14,テーブル2[[#Headers],[学年]:[得点]],0)))</f>
        <v/>
      </c>
      <c r="E205" s="115" t="str">
        <f>IF($A205&gt;MAX(入力シート!$AH$6:$AH$505),"",INDEX(テーブル2[[学年]:[判定]],MATCH(体力優良証交付申請書!$A205,入力シート!$AH$6:$AH$505,0),MATCH(体力優良証交付申請書!E$14,テーブル2[[#Headers],[学年]:[得点]],0)))</f>
        <v/>
      </c>
      <c r="F205" s="115" t="str">
        <f>IF($A205&gt;MAX(入力シート!$AH$6:$AH$505),"",INDEX(テーブル2[[学年]:[判定]],MATCH(体力優良証交付申請書!$A205,入力シート!$AH$6:$AH$505,0),MATCH(体力優良証交付申請書!F$14,テーブル2[[#Headers],[学年]:[得点]],0)))</f>
        <v/>
      </c>
      <c r="G205" s="115" t="str">
        <f>IF($A205&gt;MAX(入力シート!$AH$6:$AH$505),"",INDEX(テーブル2[[学年]:[判定]],MATCH(体力優良証交付申請書!$A205,入力シート!$AH$6:$AH$505,0),MATCH(体力優良証交付申請書!G$14,テーブル2[[#Headers],[学年]:[得点]],0)))</f>
        <v/>
      </c>
      <c r="H205" s="115" t="str">
        <f>IF($A205&gt;MAX(入力シート!$AH$6:$AH$505),"",INDEX(テーブル2[[学年]:[判定]],MATCH(体力優良証交付申請書!$A205,入力シート!$AH$6:$AH$505,0),MATCH(体力優良証交付申請書!H$14,テーブル2[[#Headers],[学年]:[得点]],0)))</f>
        <v/>
      </c>
      <c r="I205" s="115" t="str">
        <f>IF($A205&gt;MAX(入力シート!$AH$6:$AH$505),"",INDEX(テーブル2[[学年]:[判定]],MATCH(体力優良証交付申請書!$A205,入力シート!$AH$6:$AH$505,0),MATCH(体力優良証交付申請書!I$14,テーブル2[[#Headers],[学年]:[得点]],0)))</f>
        <v/>
      </c>
      <c r="J205" s="115" t="str">
        <f>IF($A205&gt;MAX(入力シート!$AH$6:$AH$505),"",INDEX(テーブル2[[学年]:[判定]],MATCH(体力優良証交付申請書!$A205,入力シート!$AH$6:$AH$505,0),MATCH(体力優良証交付申請書!J$14,テーブル2[[#Headers],[学年]:[得点]],0)))</f>
        <v/>
      </c>
      <c r="K205" s="129" t="str">
        <f>IF($A205&gt;MAX(入力シート!$AH$6:$AH$505),"",INDEX(テーブル2[[学年]:[判定]],MATCH(体力優良証交付申請書!$A205,入力シート!$AH$6:$AH$505,0),MATCH(体力優良証交付申請書!K$14,テーブル2[[#Headers],[学年]:[得点]],0)))</f>
        <v/>
      </c>
      <c r="L205" s="115" t="str">
        <f>IF($A205&gt;MAX(入力シート!$AH$6:$AH$505),"",INDEX(テーブル2[[学年]:[判定]],MATCH(体力優良証交付申請書!$A205,入力シート!$AH$6:$AH$505,0),MATCH(体力優良証交付申請書!L$14,テーブル2[[#Headers],[学年]:[得点]],0)))</f>
        <v/>
      </c>
      <c r="M205" s="115" t="str">
        <f>IF($A205&gt;MAX(入力シート!$AH$6:$AH$505),"",INDEX(テーブル2[[学年]:[判定]],MATCH(体力優良証交付申請書!$A205,入力シート!$AH$6:$AH$505,0),MATCH(体力優良証交付申請書!M$14,テーブル2[[#Headers],[学年]:[得点]],0)))</f>
        <v/>
      </c>
      <c r="N205" s="27" t="str">
        <f>IF($A205&gt;MAX(入力シート!$AH$6:$AH$505),"",INDEX(テーブル2[[学年]:[判定]],MATCH(体力優良証交付申請書!$A205,入力シート!$AH$6:$AH$505,0),MATCH(体力優良証交付申請書!N$14,テーブル2[[#Headers],[学年]:[得点]],0)))</f>
        <v/>
      </c>
    </row>
    <row r="206" spans="1:14" x14ac:dyDescent="0.15">
      <c r="A206" s="17">
        <v>192</v>
      </c>
      <c r="B206" s="115" t="str">
        <f>IF($A206&gt;MAX(入力シート!$AH$6:$AH$505),"",INDEX(テーブル2[[学年]:[判定]],MATCH(体力優良証交付申請書!$A206,入力シート!$AH$6:$AH$505,0),MATCH(体力優良証交付申請書!B$14,テーブル2[[#Headers],[学年]:[得点]],0)))</f>
        <v/>
      </c>
      <c r="C206" s="115" t="str">
        <f>IF($A206&gt;MAX(入力シート!$AH$6:$AH$505),"",INDEX(テーブル2[[学年]:[判定]],MATCH(体力優良証交付申請書!$A206,入力シート!$AH$6:$AH$505,0),MATCH(体力優良証交付申請書!C$14,テーブル2[[#Headers],[学年]:[得点]],0)))</f>
        <v/>
      </c>
      <c r="D206" s="115" t="str">
        <f>IF($A206&gt;MAX(入力シート!$AH$6:$AH$505),"",INDEX(テーブル2[[学年]:[判定]],MATCH(体力優良証交付申請書!$A206,入力シート!$AH$6:$AH$505,0),MATCH(体力優良証交付申請書!D$14,テーブル2[[#Headers],[学年]:[得点]],0)))</f>
        <v/>
      </c>
      <c r="E206" s="115" t="str">
        <f>IF($A206&gt;MAX(入力シート!$AH$6:$AH$505),"",INDEX(テーブル2[[学年]:[判定]],MATCH(体力優良証交付申請書!$A206,入力シート!$AH$6:$AH$505,0),MATCH(体力優良証交付申請書!E$14,テーブル2[[#Headers],[学年]:[得点]],0)))</f>
        <v/>
      </c>
      <c r="F206" s="115" t="str">
        <f>IF($A206&gt;MAX(入力シート!$AH$6:$AH$505),"",INDEX(テーブル2[[学年]:[判定]],MATCH(体力優良証交付申請書!$A206,入力シート!$AH$6:$AH$505,0),MATCH(体力優良証交付申請書!F$14,テーブル2[[#Headers],[学年]:[得点]],0)))</f>
        <v/>
      </c>
      <c r="G206" s="115" t="str">
        <f>IF($A206&gt;MAX(入力シート!$AH$6:$AH$505),"",INDEX(テーブル2[[学年]:[判定]],MATCH(体力優良証交付申請書!$A206,入力シート!$AH$6:$AH$505,0),MATCH(体力優良証交付申請書!G$14,テーブル2[[#Headers],[学年]:[得点]],0)))</f>
        <v/>
      </c>
      <c r="H206" s="115" t="str">
        <f>IF($A206&gt;MAX(入力シート!$AH$6:$AH$505),"",INDEX(テーブル2[[学年]:[判定]],MATCH(体力優良証交付申請書!$A206,入力シート!$AH$6:$AH$505,0),MATCH(体力優良証交付申請書!H$14,テーブル2[[#Headers],[学年]:[得点]],0)))</f>
        <v/>
      </c>
      <c r="I206" s="115" t="str">
        <f>IF($A206&gt;MAX(入力シート!$AH$6:$AH$505),"",INDEX(テーブル2[[学年]:[判定]],MATCH(体力優良証交付申請書!$A206,入力シート!$AH$6:$AH$505,0),MATCH(体力優良証交付申請書!I$14,テーブル2[[#Headers],[学年]:[得点]],0)))</f>
        <v/>
      </c>
      <c r="J206" s="115" t="str">
        <f>IF($A206&gt;MAX(入力シート!$AH$6:$AH$505),"",INDEX(テーブル2[[学年]:[判定]],MATCH(体力優良証交付申請書!$A206,入力シート!$AH$6:$AH$505,0),MATCH(体力優良証交付申請書!J$14,テーブル2[[#Headers],[学年]:[得点]],0)))</f>
        <v/>
      </c>
      <c r="K206" s="129" t="str">
        <f>IF($A206&gt;MAX(入力シート!$AH$6:$AH$505),"",INDEX(テーブル2[[学年]:[判定]],MATCH(体力優良証交付申請書!$A206,入力シート!$AH$6:$AH$505,0),MATCH(体力優良証交付申請書!K$14,テーブル2[[#Headers],[学年]:[得点]],0)))</f>
        <v/>
      </c>
      <c r="L206" s="115" t="str">
        <f>IF($A206&gt;MAX(入力シート!$AH$6:$AH$505),"",INDEX(テーブル2[[学年]:[判定]],MATCH(体力優良証交付申請書!$A206,入力シート!$AH$6:$AH$505,0),MATCH(体力優良証交付申請書!L$14,テーブル2[[#Headers],[学年]:[得点]],0)))</f>
        <v/>
      </c>
      <c r="M206" s="115" t="str">
        <f>IF($A206&gt;MAX(入力シート!$AH$6:$AH$505),"",INDEX(テーブル2[[学年]:[判定]],MATCH(体力優良証交付申請書!$A206,入力シート!$AH$6:$AH$505,0),MATCH(体力優良証交付申請書!M$14,テーブル2[[#Headers],[学年]:[得点]],0)))</f>
        <v/>
      </c>
      <c r="N206" s="27" t="str">
        <f>IF($A206&gt;MAX(入力シート!$AH$6:$AH$505),"",INDEX(テーブル2[[学年]:[判定]],MATCH(体力優良証交付申請書!$A206,入力シート!$AH$6:$AH$505,0),MATCH(体力優良証交付申請書!N$14,テーブル2[[#Headers],[学年]:[得点]],0)))</f>
        <v/>
      </c>
    </row>
    <row r="207" spans="1:14" x14ac:dyDescent="0.15">
      <c r="A207" s="17">
        <v>193</v>
      </c>
      <c r="B207" s="115" t="str">
        <f>IF($A207&gt;MAX(入力シート!$AH$6:$AH$505),"",INDEX(テーブル2[[学年]:[判定]],MATCH(体力優良証交付申請書!$A207,入力シート!$AH$6:$AH$505,0),MATCH(体力優良証交付申請書!B$14,テーブル2[[#Headers],[学年]:[得点]],0)))</f>
        <v/>
      </c>
      <c r="C207" s="115" t="str">
        <f>IF($A207&gt;MAX(入力シート!$AH$6:$AH$505),"",INDEX(テーブル2[[学年]:[判定]],MATCH(体力優良証交付申請書!$A207,入力シート!$AH$6:$AH$505,0),MATCH(体力優良証交付申請書!C$14,テーブル2[[#Headers],[学年]:[得点]],0)))</f>
        <v/>
      </c>
      <c r="D207" s="115" t="str">
        <f>IF($A207&gt;MAX(入力シート!$AH$6:$AH$505),"",INDEX(テーブル2[[学年]:[判定]],MATCH(体力優良証交付申請書!$A207,入力シート!$AH$6:$AH$505,0),MATCH(体力優良証交付申請書!D$14,テーブル2[[#Headers],[学年]:[得点]],0)))</f>
        <v/>
      </c>
      <c r="E207" s="115" t="str">
        <f>IF($A207&gt;MAX(入力シート!$AH$6:$AH$505),"",INDEX(テーブル2[[学年]:[判定]],MATCH(体力優良証交付申請書!$A207,入力シート!$AH$6:$AH$505,0),MATCH(体力優良証交付申請書!E$14,テーブル2[[#Headers],[学年]:[得点]],0)))</f>
        <v/>
      </c>
      <c r="F207" s="115" t="str">
        <f>IF($A207&gt;MAX(入力シート!$AH$6:$AH$505),"",INDEX(テーブル2[[学年]:[判定]],MATCH(体力優良証交付申請書!$A207,入力シート!$AH$6:$AH$505,0),MATCH(体力優良証交付申請書!F$14,テーブル2[[#Headers],[学年]:[得点]],0)))</f>
        <v/>
      </c>
      <c r="G207" s="115" t="str">
        <f>IF($A207&gt;MAX(入力シート!$AH$6:$AH$505),"",INDEX(テーブル2[[学年]:[判定]],MATCH(体力優良証交付申請書!$A207,入力シート!$AH$6:$AH$505,0),MATCH(体力優良証交付申請書!G$14,テーブル2[[#Headers],[学年]:[得点]],0)))</f>
        <v/>
      </c>
      <c r="H207" s="115" t="str">
        <f>IF($A207&gt;MAX(入力シート!$AH$6:$AH$505),"",INDEX(テーブル2[[学年]:[判定]],MATCH(体力優良証交付申請書!$A207,入力シート!$AH$6:$AH$505,0),MATCH(体力優良証交付申請書!H$14,テーブル2[[#Headers],[学年]:[得点]],0)))</f>
        <v/>
      </c>
      <c r="I207" s="115" t="str">
        <f>IF($A207&gt;MAX(入力シート!$AH$6:$AH$505),"",INDEX(テーブル2[[学年]:[判定]],MATCH(体力優良証交付申請書!$A207,入力シート!$AH$6:$AH$505,0),MATCH(体力優良証交付申請書!I$14,テーブル2[[#Headers],[学年]:[得点]],0)))</f>
        <v/>
      </c>
      <c r="J207" s="115" t="str">
        <f>IF($A207&gt;MAX(入力シート!$AH$6:$AH$505),"",INDEX(テーブル2[[学年]:[判定]],MATCH(体力優良証交付申請書!$A207,入力シート!$AH$6:$AH$505,0),MATCH(体力優良証交付申請書!J$14,テーブル2[[#Headers],[学年]:[得点]],0)))</f>
        <v/>
      </c>
      <c r="K207" s="129" t="str">
        <f>IF($A207&gt;MAX(入力シート!$AH$6:$AH$505),"",INDEX(テーブル2[[学年]:[判定]],MATCH(体力優良証交付申請書!$A207,入力シート!$AH$6:$AH$505,0),MATCH(体力優良証交付申請書!K$14,テーブル2[[#Headers],[学年]:[得点]],0)))</f>
        <v/>
      </c>
      <c r="L207" s="115" t="str">
        <f>IF($A207&gt;MAX(入力シート!$AH$6:$AH$505),"",INDEX(テーブル2[[学年]:[判定]],MATCH(体力優良証交付申請書!$A207,入力シート!$AH$6:$AH$505,0),MATCH(体力優良証交付申請書!L$14,テーブル2[[#Headers],[学年]:[得点]],0)))</f>
        <v/>
      </c>
      <c r="M207" s="115" t="str">
        <f>IF($A207&gt;MAX(入力シート!$AH$6:$AH$505),"",INDEX(テーブル2[[学年]:[判定]],MATCH(体力優良証交付申請書!$A207,入力シート!$AH$6:$AH$505,0),MATCH(体力優良証交付申請書!M$14,テーブル2[[#Headers],[学年]:[得点]],0)))</f>
        <v/>
      </c>
      <c r="N207" s="27" t="str">
        <f>IF($A207&gt;MAX(入力シート!$AH$6:$AH$505),"",INDEX(テーブル2[[学年]:[判定]],MATCH(体力優良証交付申請書!$A207,入力シート!$AH$6:$AH$505,0),MATCH(体力優良証交付申請書!N$14,テーブル2[[#Headers],[学年]:[得点]],0)))</f>
        <v/>
      </c>
    </row>
    <row r="208" spans="1:14" x14ac:dyDescent="0.15">
      <c r="A208" s="17">
        <v>194</v>
      </c>
      <c r="B208" s="115" t="str">
        <f>IF($A208&gt;MAX(入力シート!$AH$6:$AH$505),"",INDEX(テーブル2[[学年]:[判定]],MATCH(体力優良証交付申請書!$A208,入力シート!$AH$6:$AH$505,0),MATCH(体力優良証交付申請書!B$14,テーブル2[[#Headers],[学年]:[得点]],0)))</f>
        <v/>
      </c>
      <c r="C208" s="115" t="str">
        <f>IF($A208&gt;MAX(入力シート!$AH$6:$AH$505),"",INDEX(テーブル2[[学年]:[判定]],MATCH(体力優良証交付申請書!$A208,入力シート!$AH$6:$AH$505,0),MATCH(体力優良証交付申請書!C$14,テーブル2[[#Headers],[学年]:[得点]],0)))</f>
        <v/>
      </c>
      <c r="D208" s="115" t="str">
        <f>IF($A208&gt;MAX(入力シート!$AH$6:$AH$505),"",INDEX(テーブル2[[学年]:[判定]],MATCH(体力優良証交付申請書!$A208,入力シート!$AH$6:$AH$505,0),MATCH(体力優良証交付申請書!D$14,テーブル2[[#Headers],[学年]:[得点]],0)))</f>
        <v/>
      </c>
      <c r="E208" s="115" t="str">
        <f>IF($A208&gt;MAX(入力シート!$AH$6:$AH$505),"",INDEX(テーブル2[[学年]:[判定]],MATCH(体力優良証交付申請書!$A208,入力シート!$AH$6:$AH$505,0),MATCH(体力優良証交付申請書!E$14,テーブル2[[#Headers],[学年]:[得点]],0)))</f>
        <v/>
      </c>
      <c r="F208" s="115" t="str">
        <f>IF($A208&gt;MAX(入力シート!$AH$6:$AH$505),"",INDEX(テーブル2[[学年]:[判定]],MATCH(体力優良証交付申請書!$A208,入力シート!$AH$6:$AH$505,0),MATCH(体力優良証交付申請書!F$14,テーブル2[[#Headers],[学年]:[得点]],0)))</f>
        <v/>
      </c>
      <c r="G208" s="115" t="str">
        <f>IF($A208&gt;MAX(入力シート!$AH$6:$AH$505),"",INDEX(テーブル2[[学年]:[判定]],MATCH(体力優良証交付申請書!$A208,入力シート!$AH$6:$AH$505,0),MATCH(体力優良証交付申請書!G$14,テーブル2[[#Headers],[学年]:[得点]],0)))</f>
        <v/>
      </c>
      <c r="H208" s="115" t="str">
        <f>IF($A208&gt;MAX(入力シート!$AH$6:$AH$505),"",INDEX(テーブル2[[学年]:[判定]],MATCH(体力優良証交付申請書!$A208,入力シート!$AH$6:$AH$505,0),MATCH(体力優良証交付申請書!H$14,テーブル2[[#Headers],[学年]:[得点]],0)))</f>
        <v/>
      </c>
      <c r="I208" s="115" t="str">
        <f>IF($A208&gt;MAX(入力シート!$AH$6:$AH$505),"",INDEX(テーブル2[[学年]:[判定]],MATCH(体力優良証交付申請書!$A208,入力シート!$AH$6:$AH$505,0),MATCH(体力優良証交付申請書!I$14,テーブル2[[#Headers],[学年]:[得点]],0)))</f>
        <v/>
      </c>
      <c r="J208" s="115" t="str">
        <f>IF($A208&gt;MAX(入力シート!$AH$6:$AH$505),"",INDEX(テーブル2[[学年]:[判定]],MATCH(体力優良証交付申請書!$A208,入力シート!$AH$6:$AH$505,0),MATCH(体力優良証交付申請書!J$14,テーブル2[[#Headers],[学年]:[得点]],0)))</f>
        <v/>
      </c>
      <c r="K208" s="129" t="str">
        <f>IF($A208&gt;MAX(入力シート!$AH$6:$AH$505),"",INDEX(テーブル2[[学年]:[判定]],MATCH(体力優良証交付申請書!$A208,入力シート!$AH$6:$AH$505,0),MATCH(体力優良証交付申請書!K$14,テーブル2[[#Headers],[学年]:[得点]],0)))</f>
        <v/>
      </c>
      <c r="L208" s="115" t="str">
        <f>IF($A208&gt;MAX(入力シート!$AH$6:$AH$505),"",INDEX(テーブル2[[学年]:[判定]],MATCH(体力優良証交付申請書!$A208,入力シート!$AH$6:$AH$505,0),MATCH(体力優良証交付申請書!L$14,テーブル2[[#Headers],[学年]:[得点]],0)))</f>
        <v/>
      </c>
      <c r="M208" s="115" t="str">
        <f>IF($A208&gt;MAX(入力シート!$AH$6:$AH$505),"",INDEX(テーブル2[[学年]:[判定]],MATCH(体力優良証交付申請書!$A208,入力シート!$AH$6:$AH$505,0),MATCH(体力優良証交付申請書!M$14,テーブル2[[#Headers],[学年]:[得点]],0)))</f>
        <v/>
      </c>
      <c r="N208" s="27" t="str">
        <f>IF($A208&gt;MAX(入力シート!$AH$6:$AH$505),"",INDEX(テーブル2[[学年]:[判定]],MATCH(体力優良証交付申請書!$A208,入力シート!$AH$6:$AH$505,0),MATCH(体力優良証交付申請書!N$14,テーブル2[[#Headers],[学年]:[得点]],0)))</f>
        <v/>
      </c>
    </row>
    <row r="209" spans="1:14" x14ac:dyDescent="0.15">
      <c r="A209" s="17">
        <v>195</v>
      </c>
      <c r="B209" s="115" t="str">
        <f>IF($A209&gt;MAX(入力シート!$AH$6:$AH$505),"",INDEX(テーブル2[[学年]:[判定]],MATCH(体力優良証交付申請書!$A209,入力シート!$AH$6:$AH$505,0),MATCH(体力優良証交付申請書!B$14,テーブル2[[#Headers],[学年]:[得点]],0)))</f>
        <v/>
      </c>
      <c r="C209" s="115" t="str">
        <f>IF($A209&gt;MAX(入力シート!$AH$6:$AH$505),"",INDEX(テーブル2[[学年]:[判定]],MATCH(体力優良証交付申請書!$A209,入力シート!$AH$6:$AH$505,0),MATCH(体力優良証交付申請書!C$14,テーブル2[[#Headers],[学年]:[得点]],0)))</f>
        <v/>
      </c>
      <c r="D209" s="115" t="str">
        <f>IF($A209&gt;MAX(入力シート!$AH$6:$AH$505),"",INDEX(テーブル2[[学年]:[判定]],MATCH(体力優良証交付申請書!$A209,入力シート!$AH$6:$AH$505,0),MATCH(体力優良証交付申請書!D$14,テーブル2[[#Headers],[学年]:[得点]],0)))</f>
        <v/>
      </c>
      <c r="E209" s="115" t="str">
        <f>IF($A209&gt;MAX(入力シート!$AH$6:$AH$505),"",INDEX(テーブル2[[学年]:[判定]],MATCH(体力優良証交付申請書!$A209,入力シート!$AH$6:$AH$505,0),MATCH(体力優良証交付申請書!E$14,テーブル2[[#Headers],[学年]:[得点]],0)))</f>
        <v/>
      </c>
      <c r="F209" s="115" t="str">
        <f>IF($A209&gt;MAX(入力シート!$AH$6:$AH$505),"",INDEX(テーブル2[[学年]:[判定]],MATCH(体力優良証交付申請書!$A209,入力シート!$AH$6:$AH$505,0),MATCH(体力優良証交付申請書!F$14,テーブル2[[#Headers],[学年]:[得点]],0)))</f>
        <v/>
      </c>
      <c r="G209" s="115" t="str">
        <f>IF($A209&gt;MAX(入力シート!$AH$6:$AH$505),"",INDEX(テーブル2[[学年]:[判定]],MATCH(体力優良証交付申請書!$A209,入力シート!$AH$6:$AH$505,0),MATCH(体力優良証交付申請書!G$14,テーブル2[[#Headers],[学年]:[得点]],0)))</f>
        <v/>
      </c>
      <c r="H209" s="115" t="str">
        <f>IF($A209&gt;MAX(入力シート!$AH$6:$AH$505),"",INDEX(テーブル2[[学年]:[判定]],MATCH(体力優良証交付申請書!$A209,入力シート!$AH$6:$AH$505,0),MATCH(体力優良証交付申請書!H$14,テーブル2[[#Headers],[学年]:[得点]],0)))</f>
        <v/>
      </c>
      <c r="I209" s="115" t="str">
        <f>IF($A209&gt;MAX(入力シート!$AH$6:$AH$505),"",INDEX(テーブル2[[学年]:[判定]],MATCH(体力優良証交付申請書!$A209,入力シート!$AH$6:$AH$505,0),MATCH(体力優良証交付申請書!I$14,テーブル2[[#Headers],[学年]:[得点]],0)))</f>
        <v/>
      </c>
      <c r="J209" s="115" t="str">
        <f>IF($A209&gt;MAX(入力シート!$AH$6:$AH$505),"",INDEX(テーブル2[[学年]:[判定]],MATCH(体力優良証交付申請書!$A209,入力シート!$AH$6:$AH$505,0),MATCH(体力優良証交付申請書!J$14,テーブル2[[#Headers],[学年]:[得点]],0)))</f>
        <v/>
      </c>
      <c r="K209" s="129" t="str">
        <f>IF($A209&gt;MAX(入力シート!$AH$6:$AH$505),"",INDEX(テーブル2[[学年]:[判定]],MATCH(体力優良証交付申請書!$A209,入力シート!$AH$6:$AH$505,0),MATCH(体力優良証交付申請書!K$14,テーブル2[[#Headers],[学年]:[得点]],0)))</f>
        <v/>
      </c>
      <c r="L209" s="115" t="str">
        <f>IF($A209&gt;MAX(入力シート!$AH$6:$AH$505),"",INDEX(テーブル2[[学年]:[判定]],MATCH(体力優良証交付申請書!$A209,入力シート!$AH$6:$AH$505,0),MATCH(体力優良証交付申請書!L$14,テーブル2[[#Headers],[学年]:[得点]],0)))</f>
        <v/>
      </c>
      <c r="M209" s="115" t="str">
        <f>IF($A209&gt;MAX(入力シート!$AH$6:$AH$505),"",INDEX(テーブル2[[学年]:[判定]],MATCH(体力優良証交付申請書!$A209,入力シート!$AH$6:$AH$505,0),MATCH(体力優良証交付申請書!M$14,テーブル2[[#Headers],[学年]:[得点]],0)))</f>
        <v/>
      </c>
      <c r="N209" s="27" t="str">
        <f>IF($A209&gt;MAX(入力シート!$AH$6:$AH$505),"",INDEX(テーブル2[[学年]:[判定]],MATCH(体力優良証交付申請書!$A209,入力シート!$AH$6:$AH$505,0),MATCH(体力優良証交付申請書!N$14,テーブル2[[#Headers],[学年]:[得点]],0)))</f>
        <v/>
      </c>
    </row>
    <row r="210" spans="1:14" x14ac:dyDescent="0.15">
      <c r="A210" s="17">
        <v>196</v>
      </c>
      <c r="B210" s="115" t="str">
        <f>IF($A210&gt;MAX(入力シート!$AH$6:$AH$505),"",INDEX(テーブル2[[学年]:[判定]],MATCH(体力優良証交付申請書!$A210,入力シート!$AH$6:$AH$505,0),MATCH(体力優良証交付申請書!B$14,テーブル2[[#Headers],[学年]:[得点]],0)))</f>
        <v/>
      </c>
      <c r="C210" s="115" t="str">
        <f>IF($A210&gt;MAX(入力シート!$AH$6:$AH$505),"",INDEX(テーブル2[[学年]:[判定]],MATCH(体力優良証交付申請書!$A210,入力シート!$AH$6:$AH$505,0),MATCH(体力優良証交付申請書!C$14,テーブル2[[#Headers],[学年]:[得点]],0)))</f>
        <v/>
      </c>
      <c r="D210" s="115" t="str">
        <f>IF($A210&gt;MAX(入力シート!$AH$6:$AH$505),"",INDEX(テーブル2[[学年]:[判定]],MATCH(体力優良証交付申請書!$A210,入力シート!$AH$6:$AH$505,0),MATCH(体力優良証交付申請書!D$14,テーブル2[[#Headers],[学年]:[得点]],0)))</f>
        <v/>
      </c>
      <c r="E210" s="115" t="str">
        <f>IF($A210&gt;MAX(入力シート!$AH$6:$AH$505),"",INDEX(テーブル2[[学年]:[判定]],MATCH(体力優良証交付申請書!$A210,入力シート!$AH$6:$AH$505,0),MATCH(体力優良証交付申請書!E$14,テーブル2[[#Headers],[学年]:[得点]],0)))</f>
        <v/>
      </c>
      <c r="F210" s="115" t="str">
        <f>IF($A210&gt;MAX(入力シート!$AH$6:$AH$505),"",INDEX(テーブル2[[学年]:[判定]],MATCH(体力優良証交付申請書!$A210,入力シート!$AH$6:$AH$505,0),MATCH(体力優良証交付申請書!F$14,テーブル2[[#Headers],[学年]:[得点]],0)))</f>
        <v/>
      </c>
      <c r="G210" s="115" t="str">
        <f>IF($A210&gt;MAX(入力シート!$AH$6:$AH$505),"",INDEX(テーブル2[[学年]:[判定]],MATCH(体力優良証交付申請書!$A210,入力シート!$AH$6:$AH$505,0),MATCH(体力優良証交付申請書!G$14,テーブル2[[#Headers],[学年]:[得点]],0)))</f>
        <v/>
      </c>
      <c r="H210" s="115" t="str">
        <f>IF($A210&gt;MAX(入力シート!$AH$6:$AH$505),"",INDEX(テーブル2[[学年]:[判定]],MATCH(体力優良証交付申請書!$A210,入力シート!$AH$6:$AH$505,0),MATCH(体力優良証交付申請書!H$14,テーブル2[[#Headers],[学年]:[得点]],0)))</f>
        <v/>
      </c>
      <c r="I210" s="115" t="str">
        <f>IF($A210&gt;MAX(入力シート!$AH$6:$AH$505),"",INDEX(テーブル2[[学年]:[判定]],MATCH(体力優良証交付申請書!$A210,入力シート!$AH$6:$AH$505,0),MATCH(体力優良証交付申請書!I$14,テーブル2[[#Headers],[学年]:[得点]],0)))</f>
        <v/>
      </c>
      <c r="J210" s="115" t="str">
        <f>IF($A210&gt;MAX(入力シート!$AH$6:$AH$505),"",INDEX(テーブル2[[学年]:[判定]],MATCH(体力優良証交付申請書!$A210,入力シート!$AH$6:$AH$505,0),MATCH(体力優良証交付申請書!J$14,テーブル2[[#Headers],[学年]:[得点]],0)))</f>
        <v/>
      </c>
      <c r="K210" s="129" t="str">
        <f>IF($A210&gt;MAX(入力シート!$AH$6:$AH$505),"",INDEX(テーブル2[[学年]:[判定]],MATCH(体力優良証交付申請書!$A210,入力シート!$AH$6:$AH$505,0),MATCH(体力優良証交付申請書!K$14,テーブル2[[#Headers],[学年]:[得点]],0)))</f>
        <v/>
      </c>
      <c r="L210" s="115" t="str">
        <f>IF($A210&gt;MAX(入力シート!$AH$6:$AH$505),"",INDEX(テーブル2[[学年]:[判定]],MATCH(体力優良証交付申請書!$A210,入力シート!$AH$6:$AH$505,0),MATCH(体力優良証交付申請書!L$14,テーブル2[[#Headers],[学年]:[得点]],0)))</f>
        <v/>
      </c>
      <c r="M210" s="115" t="str">
        <f>IF($A210&gt;MAX(入力シート!$AH$6:$AH$505),"",INDEX(テーブル2[[学年]:[判定]],MATCH(体力優良証交付申請書!$A210,入力シート!$AH$6:$AH$505,0),MATCH(体力優良証交付申請書!M$14,テーブル2[[#Headers],[学年]:[得点]],0)))</f>
        <v/>
      </c>
      <c r="N210" s="27" t="str">
        <f>IF($A210&gt;MAX(入力シート!$AH$6:$AH$505),"",INDEX(テーブル2[[学年]:[判定]],MATCH(体力優良証交付申請書!$A210,入力シート!$AH$6:$AH$505,0),MATCH(体力優良証交付申請書!N$14,テーブル2[[#Headers],[学年]:[得点]],0)))</f>
        <v/>
      </c>
    </row>
    <row r="211" spans="1:14" x14ac:dyDescent="0.15">
      <c r="A211" s="17">
        <v>197</v>
      </c>
      <c r="B211" s="115" t="str">
        <f>IF($A211&gt;MAX(入力シート!$AH$6:$AH$505),"",INDEX(テーブル2[[学年]:[判定]],MATCH(体力優良証交付申請書!$A211,入力シート!$AH$6:$AH$505,0),MATCH(体力優良証交付申請書!B$14,テーブル2[[#Headers],[学年]:[得点]],0)))</f>
        <v/>
      </c>
      <c r="C211" s="115" t="str">
        <f>IF($A211&gt;MAX(入力シート!$AH$6:$AH$505),"",INDEX(テーブル2[[学年]:[判定]],MATCH(体力優良証交付申請書!$A211,入力シート!$AH$6:$AH$505,0),MATCH(体力優良証交付申請書!C$14,テーブル2[[#Headers],[学年]:[得点]],0)))</f>
        <v/>
      </c>
      <c r="D211" s="115" t="str">
        <f>IF($A211&gt;MAX(入力シート!$AH$6:$AH$505),"",INDEX(テーブル2[[学年]:[判定]],MATCH(体力優良証交付申請書!$A211,入力シート!$AH$6:$AH$505,0),MATCH(体力優良証交付申請書!D$14,テーブル2[[#Headers],[学年]:[得点]],0)))</f>
        <v/>
      </c>
      <c r="E211" s="115" t="str">
        <f>IF($A211&gt;MAX(入力シート!$AH$6:$AH$505),"",INDEX(テーブル2[[学年]:[判定]],MATCH(体力優良証交付申請書!$A211,入力シート!$AH$6:$AH$505,0),MATCH(体力優良証交付申請書!E$14,テーブル2[[#Headers],[学年]:[得点]],0)))</f>
        <v/>
      </c>
      <c r="F211" s="115" t="str">
        <f>IF($A211&gt;MAX(入力シート!$AH$6:$AH$505),"",INDEX(テーブル2[[学年]:[判定]],MATCH(体力優良証交付申請書!$A211,入力シート!$AH$6:$AH$505,0),MATCH(体力優良証交付申請書!F$14,テーブル2[[#Headers],[学年]:[得点]],0)))</f>
        <v/>
      </c>
      <c r="G211" s="115" t="str">
        <f>IF($A211&gt;MAX(入力シート!$AH$6:$AH$505),"",INDEX(テーブル2[[学年]:[判定]],MATCH(体力優良証交付申請書!$A211,入力シート!$AH$6:$AH$505,0),MATCH(体力優良証交付申請書!G$14,テーブル2[[#Headers],[学年]:[得点]],0)))</f>
        <v/>
      </c>
      <c r="H211" s="115" t="str">
        <f>IF($A211&gt;MAX(入力シート!$AH$6:$AH$505),"",INDEX(テーブル2[[学年]:[判定]],MATCH(体力優良証交付申請書!$A211,入力シート!$AH$6:$AH$505,0),MATCH(体力優良証交付申請書!H$14,テーブル2[[#Headers],[学年]:[得点]],0)))</f>
        <v/>
      </c>
      <c r="I211" s="115" t="str">
        <f>IF($A211&gt;MAX(入力シート!$AH$6:$AH$505),"",INDEX(テーブル2[[学年]:[判定]],MATCH(体力優良証交付申請書!$A211,入力シート!$AH$6:$AH$505,0),MATCH(体力優良証交付申請書!I$14,テーブル2[[#Headers],[学年]:[得点]],0)))</f>
        <v/>
      </c>
      <c r="J211" s="115" t="str">
        <f>IF($A211&gt;MAX(入力シート!$AH$6:$AH$505),"",INDEX(テーブル2[[学年]:[判定]],MATCH(体力優良証交付申請書!$A211,入力シート!$AH$6:$AH$505,0),MATCH(体力優良証交付申請書!J$14,テーブル2[[#Headers],[学年]:[得点]],0)))</f>
        <v/>
      </c>
      <c r="K211" s="129" t="str">
        <f>IF($A211&gt;MAX(入力シート!$AH$6:$AH$505),"",INDEX(テーブル2[[学年]:[判定]],MATCH(体力優良証交付申請書!$A211,入力シート!$AH$6:$AH$505,0),MATCH(体力優良証交付申請書!K$14,テーブル2[[#Headers],[学年]:[得点]],0)))</f>
        <v/>
      </c>
      <c r="L211" s="115" t="str">
        <f>IF($A211&gt;MAX(入力シート!$AH$6:$AH$505),"",INDEX(テーブル2[[学年]:[判定]],MATCH(体力優良証交付申請書!$A211,入力シート!$AH$6:$AH$505,0),MATCH(体力優良証交付申請書!L$14,テーブル2[[#Headers],[学年]:[得点]],0)))</f>
        <v/>
      </c>
      <c r="M211" s="115" t="str">
        <f>IF($A211&gt;MAX(入力シート!$AH$6:$AH$505),"",INDEX(テーブル2[[学年]:[判定]],MATCH(体力優良証交付申請書!$A211,入力シート!$AH$6:$AH$505,0),MATCH(体力優良証交付申請書!M$14,テーブル2[[#Headers],[学年]:[得点]],0)))</f>
        <v/>
      </c>
      <c r="N211" s="27" t="str">
        <f>IF($A211&gt;MAX(入力シート!$AH$6:$AH$505),"",INDEX(テーブル2[[学年]:[判定]],MATCH(体力優良証交付申請書!$A211,入力シート!$AH$6:$AH$505,0),MATCH(体力優良証交付申請書!N$14,テーブル2[[#Headers],[学年]:[得点]],0)))</f>
        <v/>
      </c>
    </row>
    <row r="212" spans="1:14" x14ac:dyDescent="0.15">
      <c r="A212" s="17">
        <v>198</v>
      </c>
      <c r="B212" s="115" t="str">
        <f>IF($A212&gt;MAX(入力シート!$AH$6:$AH$505),"",INDEX(テーブル2[[学年]:[判定]],MATCH(体力優良証交付申請書!$A212,入力シート!$AH$6:$AH$505,0),MATCH(体力優良証交付申請書!B$14,テーブル2[[#Headers],[学年]:[得点]],0)))</f>
        <v/>
      </c>
      <c r="C212" s="115" t="str">
        <f>IF($A212&gt;MAX(入力シート!$AH$6:$AH$505),"",INDEX(テーブル2[[学年]:[判定]],MATCH(体力優良証交付申請書!$A212,入力シート!$AH$6:$AH$505,0),MATCH(体力優良証交付申請書!C$14,テーブル2[[#Headers],[学年]:[得点]],0)))</f>
        <v/>
      </c>
      <c r="D212" s="115" t="str">
        <f>IF($A212&gt;MAX(入力シート!$AH$6:$AH$505),"",INDEX(テーブル2[[学年]:[判定]],MATCH(体力優良証交付申請書!$A212,入力シート!$AH$6:$AH$505,0),MATCH(体力優良証交付申請書!D$14,テーブル2[[#Headers],[学年]:[得点]],0)))</f>
        <v/>
      </c>
      <c r="E212" s="115" t="str">
        <f>IF($A212&gt;MAX(入力シート!$AH$6:$AH$505),"",INDEX(テーブル2[[学年]:[判定]],MATCH(体力優良証交付申請書!$A212,入力シート!$AH$6:$AH$505,0),MATCH(体力優良証交付申請書!E$14,テーブル2[[#Headers],[学年]:[得点]],0)))</f>
        <v/>
      </c>
      <c r="F212" s="115" t="str">
        <f>IF($A212&gt;MAX(入力シート!$AH$6:$AH$505),"",INDEX(テーブル2[[学年]:[判定]],MATCH(体力優良証交付申請書!$A212,入力シート!$AH$6:$AH$505,0),MATCH(体力優良証交付申請書!F$14,テーブル2[[#Headers],[学年]:[得点]],0)))</f>
        <v/>
      </c>
      <c r="G212" s="115" t="str">
        <f>IF($A212&gt;MAX(入力シート!$AH$6:$AH$505),"",INDEX(テーブル2[[学年]:[判定]],MATCH(体力優良証交付申請書!$A212,入力シート!$AH$6:$AH$505,0),MATCH(体力優良証交付申請書!G$14,テーブル2[[#Headers],[学年]:[得点]],0)))</f>
        <v/>
      </c>
      <c r="H212" s="115" t="str">
        <f>IF($A212&gt;MAX(入力シート!$AH$6:$AH$505),"",INDEX(テーブル2[[学年]:[判定]],MATCH(体力優良証交付申請書!$A212,入力シート!$AH$6:$AH$505,0),MATCH(体力優良証交付申請書!H$14,テーブル2[[#Headers],[学年]:[得点]],0)))</f>
        <v/>
      </c>
      <c r="I212" s="115" t="str">
        <f>IF($A212&gt;MAX(入力シート!$AH$6:$AH$505),"",INDEX(テーブル2[[学年]:[判定]],MATCH(体力優良証交付申請書!$A212,入力シート!$AH$6:$AH$505,0),MATCH(体力優良証交付申請書!I$14,テーブル2[[#Headers],[学年]:[得点]],0)))</f>
        <v/>
      </c>
      <c r="J212" s="115" t="str">
        <f>IF($A212&gt;MAX(入力シート!$AH$6:$AH$505),"",INDEX(テーブル2[[学年]:[判定]],MATCH(体力優良証交付申請書!$A212,入力シート!$AH$6:$AH$505,0),MATCH(体力優良証交付申請書!J$14,テーブル2[[#Headers],[学年]:[得点]],0)))</f>
        <v/>
      </c>
      <c r="K212" s="129" t="str">
        <f>IF($A212&gt;MAX(入力シート!$AH$6:$AH$505),"",INDEX(テーブル2[[学年]:[判定]],MATCH(体力優良証交付申請書!$A212,入力シート!$AH$6:$AH$505,0),MATCH(体力優良証交付申請書!K$14,テーブル2[[#Headers],[学年]:[得点]],0)))</f>
        <v/>
      </c>
      <c r="L212" s="115" t="str">
        <f>IF($A212&gt;MAX(入力シート!$AH$6:$AH$505),"",INDEX(テーブル2[[学年]:[判定]],MATCH(体力優良証交付申請書!$A212,入力シート!$AH$6:$AH$505,0),MATCH(体力優良証交付申請書!L$14,テーブル2[[#Headers],[学年]:[得点]],0)))</f>
        <v/>
      </c>
      <c r="M212" s="115" t="str">
        <f>IF($A212&gt;MAX(入力シート!$AH$6:$AH$505),"",INDEX(テーブル2[[学年]:[判定]],MATCH(体力優良証交付申請書!$A212,入力シート!$AH$6:$AH$505,0),MATCH(体力優良証交付申請書!M$14,テーブル2[[#Headers],[学年]:[得点]],0)))</f>
        <v/>
      </c>
      <c r="N212" s="27" t="str">
        <f>IF($A212&gt;MAX(入力シート!$AH$6:$AH$505),"",INDEX(テーブル2[[学年]:[判定]],MATCH(体力優良証交付申請書!$A212,入力シート!$AH$6:$AH$505,0),MATCH(体力優良証交付申請書!N$14,テーブル2[[#Headers],[学年]:[得点]],0)))</f>
        <v/>
      </c>
    </row>
    <row r="213" spans="1:14" x14ac:dyDescent="0.15">
      <c r="A213" s="17">
        <v>199</v>
      </c>
      <c r="B213" s="115" t="str">
        <f>IF($A213&gt;MAX(入力シート!$AH$6:$AH$505),"",INDEX(テーブル2[[学年]:[判定]],MATCH(体力優良証交付申請書!$A213,入力シート!$AH$6:$AH$505,0),MATCH(体力優良証交付申請書!B$14,テーブル2[[#Headers],[学年]:[得点]],0)))</f>
        <v/>
      </c>
      <c r="C213" s="115" t="str">
        <f>IF($A213&gt;MAX(入力シート!$AH$6:$AH$505),"",INDEX(テーブル2[[学年]:[判定]],MATCH(体力優良証交付申請書!$A213,入力シート!$AH$6:$AH$505,0),MATCH(体力優良証交付申請書!C$14,テーブル2[[#Headers],[学年]:[得点]],0)))</f>
        <v/>
      </c>
      <c r="D213" s="115" t="str">
        <f>IF($A213&gt;MAX(入力シート!$AH$6:$AH$505),"",INDEX(テーブル2[[学年]:[判定]],MATCH(体力優良証交付申請書!$A213,入力シート!$AH$6:$AH$505,0),MATCH(体力優良証交付申請書!D$14,テーブル2[[#Headers],[学年]:[得点]],0)))</f>
        <v/>
      </c>
      <c r="E213" s="115" t="str">
        <f>IF($A213&gt;MAX(入力シート!$AH$6:$AH$505),"",INDEX(テーブル2[[学年]:[判定]],MATCH(体力優良証交付申請書!$A213,入力シート!$AH$6:$AH$505,0),MATCH(体力優良証交付申請書!E$14,テーブル2[[#Headers],[学年]:[得点]],0)))</f>
        <v/>
      </c>
      <c r="F213" s="115" t="str">
        <f>IF($A213&gt;MAX(入力シート!$AH$6:$AH$505),"",INDEX(テーブル2[[学年]:[判定]],MATCH(体力優良証交付申請書!$A213,入力シート!$AH$6:$AH$505,0),MATCH(体力優良証交付申請書!F$14,テーブル2[[#Headers],[学年]:[得点]],0)))</f>
        <v/>
      </c>
      <c r="G213" s="115" t="str">
        <f>IF($A213&gt;MAX(入力シート!$AH$6:$AH$505),"",INDEX(テーブル2[[学年]:[判定]],MATCH(体力優良証交付申請書!$A213,入力シート!$AH$6:$AH$505,0),MATCH(体力優良証交付申請書!G$14,テーブル2[[#Headers],[学年]:[得点]],0)))</f>
        <v/>
      </c>
      <c r="H213" s="115" t="str">
        <f>IF($A213&gt;MAX(入力シート!$AH$6:$AH$505),"",INDEX(テーブル2[[学年]:[判定]],MATCH(体力優良証交付申請書!$A213,入力シート!$AH$6:$AH$505,0),MATCH(体力優良証交付申請書!H$14,テーブル2[[#Headers],[学年]:[得点]],0)))</f>
        <v/>
      </c>
      <c r="I213" s="115" t="str">
        <f>IF($A213&gt;MAX(入力シート!$AH$6:$AH$505),"",INDEX(テーブル2[[学年]:[判定]],MATCH(体力優良証交付申請書!$A213,入力シート!$AH$6:$AH$505,0),MATCH(体力優良証交付申請書!I$14,テーブル2[[#Headers],[学年]:[得点]],0)))</f>
        <v/>
      </c>
      <c r="J213" s="115" t="str">
        <f>IF($A213&gt;MAX(入力シート!$AH$6:$AH$505),"",INDEX(テーブル2[[学年]:[判定]],MATCH(体力優良証交付申請書!$A213,入力シート!$AH$6:$AH$505,0),MATCH(体力優良証交付申請書!J$14,テーブル2[[#Headers],[学年]:[得点]],0)))</f>
        <v/>
      </c>
      <c r="K213" s="129" t="str">
        <f>IF($A213&gt;MAX(入力シート!$AH$6:$AH$505),"",INDEX(テーブル2[[学年]:[判定]],MATCH(体力優良証交付申請書!$A213,入力シート!$AH$6:$AH$505,0),MATCH(体力優良証交付申請書!K$14,テーブル2[[#Headers],[学年]:[得点]],0)))</f>
        <v/>
      </c>
      <c r="L213" s="115" t="str">
        <f>IF($A213&gt;MAX(入力シート!$AH$6:$AH$505),"",INDEX(テーブル2[[学年]:[判定]],MATCH(体力優良証交付申請書!$A213,入力シート!$AH$6:$AH$505,0),MATCH(体力優良証交付申請書!L$14,テーブル2[[#Headers],[学年]:[得点]],0)))</f>
        <v/>
      </c>
      <c r="M213" s="115" t="str">
        <f>IF($A213&gt;MAX(入力シート!$AH$6:$AH$505),"",INDEX(テーブル2[[学年]:[判定]],MATCH(体力優良証交付申請書!$A213,入力シート!$AH$6:$AH$505,0),MATCH(体力優良証交付申請書!M$14,テーブル2[[#Headers],[学年]:[得点]],0)))</f>
        <v/>
      </c>
      <c r="N213" s="27" t="str">
        <f>IF($A213&gt;MAX(入力シート!$AH$6:$AH$505),"",INDEX(テーブル2[[学年]:[判定]],MATCH(体力優良証交付申請書!$A213,入力シート!$AH$6:$AH$505,0),MATCH(体力優良証交付申請書!N$14,テーブル2[[#Headers],[学年]:[得点]],0)))</f>
        <v/>
      </c>
    </row>
    <row r="214" spans="1:14" x14ac:dyDescent="0.15">
      <c r="A214" s="17">
        <v>200</v>
      </c>
      <c r="B214" s="115" t="str">
        <f>IF($A214&gt;MAX(入力シート!$AH$6:$AH$505),"",INDEX(テーブル2[[学年]:[判定]],MATCH(体力優良証交付申請書!$A214,入力シート!$AH$6:$AH$505,0),MATCH(体力優良証交付申請書!B$14,テーブル2[[#Headers],[学年]:[得点]],0)))</f>
        <v/>
      </c>
      <c r="C214" s="115" t="str">
        <f>IF($A214&gt;MAX(入力シート!$AH$6:$AH$505),"",INDEX(テーブル2[[学年]:[判定]],MATCH(体力優良証交付申請書!$A214,入力シート!$AH$6:$AH$505,0),MATCH(体力優良証交付申請書!C$14,テーブル2[[#Headers],[学年]:[得点]],0)))</f>
        <v/>
      </c>
      <c r="D214" s="115" t="str">
        <f>IF($A214&gt;MAX(入力シート!$AH$6:$AH$505),"",INDEX(テーブル2[[学年]:[判定]],MATCH(体力優良証交付申請書!$A214,入力シート!$AH$6:$AH$505,0),MATCH(体力優良証交付申請書!D$14,テーブル2[[#Headers],[学年]:[得点]],0)))</f>
        <v/>
      </c>
      <c r="E214" s="115" t="str">
        <f>IF($A214&gt;MAX(入力シート!$AH$6:$AH$505),"",INDEX(テーブル2[[学年]:[判定]],MATCH(体力優良証交付申請書!$A214,入力シート!$AH$6:$AH$505,0),MATCH(体力優良証交付申請書!E$14,テーブル2[[#Headers],[学年]:[得点]],0)))</f>
        <v/>
      </c>
      <c r="F214" s="115" t="str">
        <f>IF($A214&gt;MAX(入力シート!$AH$6:$AH$505),"",INDEX(テーブル2[[学年]:[判定]],MATCH(体力優良証交付申請書!$A214,入力シート!$AH$6:$AH$505,0),MATCH(体力優良証交付申請書!F$14,テーブル2[[#Headers],[学年]:[得点]],0)))</f>
        <v/>
      </c>
      <c r="G214" s="115" t="str">
        <f>IF($A214&gt;MAX(入力シート!$AH$6:$AH$505),"",INDEX(テーブル2[[学年]:[判定]],MATCH(体力優良証交付申請書!$A214,入力シート!$AH$6:$AH$505,0),MATCH(体力優良証交付申請書!G$14,テーブル2[[#Headers],[学年]:[得点]],0)))</f>
        <v/>
      </c>
      <c r="H214" s="115" t="str">
        <f>IF($A214&gt;MAX(入力シート!$AH$6:$AH$505),"",INDEX(テーブル2[[学年]:[判定]],MATCH(体力優良証交付申請書!$A214,入力シート!$AH$6:$AH$505,0),MATCH(体力優良証交付申請書!H$14,テーブル2[[#Headers],[学年]:[得点]],0)))</f>
        <v/>
      </c>
      <c r="I214" s="115" t="str">
        <f>IF($A214&gt;MAX(入力シート!$AH$6:$AH$505),"",INDEX(テーブル2[[学年]:[判定]],MATCH(体力優良証交付申請書!$A214,入力シート!$AH$6:$AH$505,0),MATCH(体力優良証交付申請書!I$14,テーブル2[[#Headers],[学年]:[得点]],0)))</f>
        <v/>
      </c>
      <c r="J214" s="115" t="str">
        <f>IF($A214&gt;MAX(入力シート!$AH$6:$AH$505),"",INDEX(テーブル2[[学年]:[判定]],MATCH(体力優良証交付申請書!$A214,入力シート!$AH$6:$AH$505,0),MATCH(体力優良証交付申請書!J$14,テーブル2[[#Headers],[学年]:[得点]],0)))</f>
        <v/>
      </c>
      <c r="K214" s="129" t="str">
        <f>IF($A214&gt;MAX(入力シート!$AH$6:$AH$505),"",INDEX(テーブル2[[学年]:[判定]],MATCH(体力優良証交付申請書!$A214,入力シート!$AH$6:$AH$505,0),MATCH(体力優良証交付申請書!K$14,テーブル2[[#Headers],[学年]:[得点]],0)))</f>
        <v/>
      </c>
      <c r="L214" s="115" t="str">
        <f>IF($A214&gt;MAX(入力シート!$AH$6:$AH$505),"",INDEX(テーブル2[[学年]:[判定]],MATCH(体力優良証交付申請書!$A214,入力シート!$AH$6:$AH$505,0),MATCH(体力優良証交付申請書!L$14,テーブル2[[#Headers],[学年]:[得点]],0)))</f>
        <v/>
      </c>
      <c r="M214" s="115" t="str">
        <f>IF($A214&gt;MAX(入力シート!$AH$6:$AH$505),"",INDEX(テーブル2[[学年]:[判定]],MATCH(体力優良証交付申請書!$A214,入力シート!$AH$6:$AH$505,0),MATCH(体力優良証交付申請書!M$14,テーブル2[[#Headers],[学年]:[得点]],0)))</f>
        <v/>
      </c>
      <c r="N214" s="27" t="str">
        <f>IF($A214&gt;MAX(入力シート!$AH$6:$AH$505),"",INDEX(テーブル2[[学年]:[判定]],MATCH(体力優良証交付申請書!$A214,入力シート!$AH$6:$AH$505,0),MATCH(体力優良証交付申請書!N$14,テーブル2[[#Headers],[学年]:[得点]],0)))</f>
        <v/>
      </c>
    </row>
    <row r="215" spans="1:14" x14ac:dyDescent="0.15">
      <c r="A215" s="17">
        <v>201</v>
      </c>
      <c r="B215" s="115" t="str">
        <f>IF($A215&gt;MAX(入力シート!$AH$6:$AH$505),"",INDEX(テーブル2[[学年]:[判定]],MATCH(体力優良証交付申請書!$A215,入力シート!$AH$6:$AH$505,0),MATCH(体力優良証交付申請書!B$14,テーブル2[[#Headers],[学年]:[得点]],0)))</f>
        <v/>
      </c>
      <c r="C215" s="115" t="str">
        <f>IF($A215&gt;MAX(入力シート!$AH$6:$AH$505),"",INDEX(テーブル2[[学年]:[判定]],MATCH(体力優良証交付申請書!$A215,入力シート!$AH$6:$AH$505,0),MATCH(体力優良証交付申請書!C$14,テーブル2[[#Headers],[学年]:[得点]],0)))</f>
        <v/>
      </c>
      <c r="D215" s="115" t="str">
        <f>IF($A215&gt;MAX(入力シート!$AH$6:$AH$505),"",INDEX(テーブル2[[学年]:[判定]],MATCH(体力優良証交付申請書!$A215,入力シート!$AH$6:$AH$505,0),MATCH(体力優良証交付申請書!D$14,テーブル2[[#Headers],[学年]:[得点]],0)))</f>
        <v/>
      </c>
      <c r="E215" s="115" t="str">
        <f>IF($A215&gt;MAX(入力シート!$AH$6:$AH$505),"",INDEX(テーブル2[[学年]:[判定]],MATCH(体力優良証交付申請書!$A215,入力シート!$AH$6:$AH$505,0),MATCH(体力優良証交付申請書!E$14,テーブル2[[#Headers],[学年]:[得点]],0)))</f>
        <v/>
      </c>
      <c r="F215" s="115" t="str">
        <f>IF($A215&gt;MAX(入力シート!$AH$6:$AH$505),"",INDEX(テーブル2[[学年]:[判定]],MATCH(体力優良証交付申請書!$A215,入力シート!$AH$6:$AH$505,0),MATCH(体力優良証交付申請書!F$14,テーブル2[[#Headers],[学年]:[得点]],0)))</f>
        <v/>
      </c>
      <c r="G215" s="115" t="str">
        <f>IF($A215&gt;MAX(入力シート!$AH$6:$AH$505),"",INDEX(テーブル2[[学年]:[判定]],MATCH(体力優良証交付申請書!$A215,入力シート!$AH$6:$AH$505,0),MATCH(体力優良証交付申請書!G$14,テーブル2[[#Headers],[学年]:[得点]],0)))</f>
        <v/>
      </c>
      <c r="H215" s="115" t="str">
        <f>IF($A215&gt;MAX(入力シート!$AH$6:$AH$505),"",INDEX(テーブル2[[学年]:[判定]],MATCH(体力優良証交付申請書!$A215,入力シート!$AH$6:$AH$505,0),MATCH(体力優良証交付申請書!H$14,テーブル2[[#Headers],[学年]:[得点]],0)))</f>
        <v/>
      </c>
      <c r="I215" s="115" t="str">
        <f>IF($A215&gt;MAX(入力シート!$AH$6:$AH$505),"",INDEX(テーブル2[[学年]:[判定]],MATCH(体力優良証交付申請書!$A215,入力シート!$AH$6:$AH$505,0),MATCH(体力優良証交付申請書!I$14,テーブル2[[#Headers],[学年]:[得点]],0)))</f>
        <v/>
      </c>
      <c r="J215" s="115" t="str">
        <f>IF($A215&gt;MAX(入力シート!$AH$6:$AH$505),"",INDEX(テーブル2[[学年]:[判定]],MATCH(体力優良証交付申請書!$A215,入力シート!$AH$6:$AH$505,0),MATCH(体力優良証交付申請書!J$14,テーブル2[[#Headers],[学年]:[得点]],0)))</f>
        <v/>
      </c>
      <c r="K215" s="129" t="str">
        <f>IF($A215&gt;MAX(入力シート!$AH$6:$AH$505),"",INDEX(テーブル2[[学年]:[判定]],MATCH(体力優良証交付申請書!$A215,入力シート!$AH$6:$AH$505,0),MATCH(体力優良証交付申請書!K$14,テーブル2[[#Headers],[学年]:[得点]],0)))</f>
        <v/>
      </c>
      <c r="L215" s="115" t="str">
        <f>IF($A215&gt;MAX(入力シート!$AH$6:$AH$505),"",INDEX(テーブル2[[学年]:[判定]],MATCH(体力優良証交付申請書!$A215,入力シート!$AH$6:$AH$505,0),MATCH(体力優良証交付申請書!L$14,テーブル2[[#Headers],[学年]:[得点]],0)))</f>
        <v/>
      </c>
      <c r="M215" s="115" t="str">
        <f>IF($A215&gt;MAX(入力シート!$AH$6:$AH$505),"",INDEX(テーブル2[[学年]:[判定]],MATCH(体力優良証交付申請書!$A215,入力シート!$AH$6:$AH$505,0),MATCH(体力優良証交付申請書!M$14,テーブル2[[#Headers],[学年]:[得点]],0)))</f>
        <v/>
      </c>
      <c r="N215" s="27" t="str">
        <f>IF($A215&gt;MAX(入力シート!$AH$6:$AH$505),"",INDEX(テーブル2[[学年]:[判定]],MATCH(体力優良証交付申請書!$A215,入力シート!$AH$6:$AH$505,0),MATCH(体力優良証交付申請書!N$14,テーブル2[[#Headers],[学年]:[得点]],0)))</f>
        <v/>
      </c>
    </row>
    <row r="216" spans="1:14" x14ac:dyDescent="0.15">
      <c r="A216" s="17">
        <v>202</v>
      </c>
      <c r="B216" s="115" t="str">
        <f>IF($A216&gt;MAX(入力シート!$AH$6:$AH$505),"",INDEX(テーブル2[[学年]:[判定]],MATCH(体力優良証交付申請書!$A216,入力シート!$AH$6:$AH$505,0),MATCH(体力優良証交付申請書!B$14,テーブル2[[#Headers],[学年]:[得点]],0)))</f>
        <v/>
      </c>
      <c r="C216" s="115" t="str">
        <f>IF($A216&gt;MAX(入力シート!$AH$6:$AH$505),"",INDEX(テーブル2[[学年]:[判定]],MATCH(体力優良証交付申請書!$A216,入力シート!$AH$6:$AH$505,0),MATCH(体力優良証交付申請書!C$14,テーブル2[[#Headers],[学年]:[得点]],0)))</f>
        <v/>
      </c>
      <c r="D216" s="115" t="str">
        <f>IF($A216&gt;MAX(入力シート!$AH$6:$AH$505),"",INDEX(テーブル2[[学年]:[判定]],MATCH(体力優良証交付申請書!$A216,入力シート!$AH$6:$AH$505,0),MATCH(体力優良証交付申請書!D$14,テーブル2[[#Headers],[学年]:[得点]],0)))</f>
        <v/>
      </c>
      <c r="E216" s="115" t="str">
        <f>IF($A216&gt;MAX(入力シート!$AH$6:$AH$505),"",INDEX(テーブル2[[学年]:[判定]],MATCH(体力優良証交付申請書!$A216,入力シート!$AH$6:$AH$505,0),MATCH(体力優良証交付申請書!E$14,テーブル2[[#Headers],[学年]:[得点]],0)))</f>
        <v/>
      </c>
      <c r="F216" s="115" t="str">
        <f>IF($A216&gt;MAX(入力シート!$AH$6:$AH$505),"",INDEX(テーブル2[[学年]:[判定]],MATCH(体力優良証交付申請書!$A216,入力シート!$AH$6:$AH$505,0),MATCH(体力優良証交付申請書!F$14,テーブル2[[#Headers],[学年]:[得点]],0)))</f>
        <v/>
      </c>
      <c r="G216" s="115" t="str">
        <f>IF($A216&gt;MAX(入力シート!$AH$6:$AH$505),"",INDEX(テーブル2[[学年]:[判定]],MATCH(体力優良証交付申請書!$A216,入力シート!$AH$6:$AH$505,0),MATCH(体力優良証交付申請書!G$14,テーブル2[[#Headers],[学年]:[得点]],0)))</f>
        <v/>
      </c>
      <c r="H216" s="115" t="str">
        <f>IF($A216&gt;MAX(入力シート!$AH$6:$AH$505),"",INDEX(テーブル2[[学年]:[判定]],MATCH(体力優良証交付申請書!$A216,入力シート!$AH$6:$AH$505,0),MATCH(体力優良証交付申請書!H$14,テーブル2[[#Headers],[学年]:[得点]],0)))</f>
        <v/>
      </c>
      <c r="I216" s="115" t="str">
        <f>IF($A216&gt;MAX(入力シート!$AH$6:$AH$505),"",INDEX(テーブル2[[学年]:[判定]],MATCH(体力優良証交付申請書!$A216,入力シート!$AH$6:$AH$505,0),MATCH(体力優良証交付申請書!I$14,テーブル2[[#Headers],[学年]:[得点]],0)))</f>
        <v/>
      </c>
      <c r="J216" s="115" t="str">
        <f>IF($A216&gt;MAX(入力シート!$AH$6:$AH$505),"",INDEX(テーブル2[[学年]:[判定]],MATCH(体力優良証交付申請書!$A216,入力シート!$AH$6:$AH$505,0),MATCH(体力優良証交付申請書!J$14,テーブル2[[#Headers],[学年]:[得点]],0)))</f>
        <v/>
      </c>
      <c r="K216" s="129" t="str">
        <f>IF($A216&gt;MAX(入力シート!$AH$6:$AH$505),"",INDEX(テーブル2[[学年]:[判定]],MATCH(体力優良証交付申請書!$A216,入力シート!$AH$6:$AH$505,0),MATCH(体力優良証交付申請書!K$14,テーブル2[[#Headers],[学年]:[得点]],0)))</f>
        <v/>
      </c>
      <c r="L216" s="115" t="str">
        <f>IF($A216&gt;MAX(入力シート!$AH$6:$AH$505),"",INDEX(テーブル2[[学年]:[判定]],MATCH(体力優良証交付申請書!$A216,入力シート!$AH$6:$AH$505,0),MATCH(体力優良証交付申請書!L$14,テーブル2[[#Headers],[学年]:[得点]],0)))</f>
        <v/>
      </c>
      <c r="M216" s="115" t="str">
        <f>IF($A216&gt;MAX(入力シート!$AH$6:$AH$505),"",INDEX(テーブル2[[学年]:[判定]],MATCH(体力優良証交付申請書!$A216,入力シート!$AH$6:$AH$505,0),MATCH(体力優良証交付申請書!M$14,テーブル2[[#Headers],[学年]:[得点]],0)))</f>
        <v/>
      </c>
      <c r="N216" s="27" t="str">
        <f>IF($A216&gt;MAX(入力シート!$AH$6:$AH$505),"",INDEX(テーブル2[[学年]:[判定]],MATCH(体力優良証交付申請書!$A216,入力シート!$AH$6:$AH$505,0),MATCH(体力優良証交付申請書!N$14,テーブル2[[#Headers],[学年]:[得点]],0)))</f>
        <v/>
      </c>
    </row>
    <row r="217" spans="1:14" x14ac:dyDescent="0.15">
      <c r="A217" s="17">
        <v>203</v>
      </c>
      <c r="B217" s="115" t="str">
        <f>IF($A217&gt;MAX(入力シート!$AH$6:$AH$505),"",INDEX(テーブル2[[学年]:[判定]],MATCH(体力優良証交付申請書!$A217,入力シート!$AH$6:$AH$505,0),MATCH(体力優良証交付申請書!B$14,テーブル2[[#Headers],[学年]:[得点]],0)))</f>
        <v/>
      </c>
      <c r="C217" s="115" t="str">
        <f>IF($A217&gt;MAX(入力シート!$AH$6:$AH$505),"",INDEX(テーブル2[[学年]:[判定]],MATCH(体力優良証交付申請書!$A217,入力シート!$AH$6:$AH$505,0),MATCH(体力優良証交付申請書!C$14,テーブル2[[#Headers],[学年]:[得点]],0)))</f>
        <v/>
      </c>
      <c r="D217" s="115" t="str">
        <f>IF($A217&gt;MAX(入力シート!$AH$6:$AH$505),"",INDEX(テーブル2[[学年]:[判定]],MATCH(体力優良証交付申請書!$A217,入力シート!$AH$6:$AH$505,0),MATCH(体力優良証交付申請書!D$14,テーブル2[[#Headers],[学年]:[得点]],0)))</f>
        <v/>
      </c>
      <c r="E217" s="115" t="str">
        <f>IF($A217&gt;MAX(入力シート!$AH$6:$AH$505),"",INDEX(テーブル2[[学年]:[判定]],MATCH(体力優良証交付申請書!$A217,入力シート!$AH$6:$AH$505,0),MATCH(体力優良証交付申請書!E$14,テーブル2[[#Headers],[学年]:[得点]],0)))</f>
        <v/>
      </c>
      <c r="F217" s="115" t="str">
        <f>IF($A217&gt;MAX(入力シート!$AH$6:$AH$505),"",INDEX(テーブル2[[学年]:[判定]],MATCH(体力優良証交付申請書!$A217,入力シート!$AH$6:$AH$505,0),MATCH(体力優良証交付申請書!F$14,テーブル2[[#Headers],[学年]:[得点]],0)))</f>
        <v/>
      </c>
      <c r="G217" s="115" t="str">
        <f>IF($A217&gt;MAX(入力シート!$AH$6:$AH$505),"",INDEX(テーブル2[[学年]:[判定]],MATCH(体力優良証交付申請書!$A217,入力シート!$AH$6:$AH$505,0),MATCH(体力優良証交付申請書!G$14,テーブル2[[#Headers],[学年]:[得点]],0)))</f>
        <v/>
      </c>
      <c r="H217" s="115" t="str">
        <f>IF($A217&gt;MAX(入力シート!$AH$6:$AH$505),"",INDEX(テーブル2[[学年]:[判定]],MATCH(体力優良証交付申請書!$A217,入力シート!$AH$6:$AH$505,0),MATCH(体力優良証交付申請書!H$14,テーブル2[[#Headers],[学年]:[得点]],0)))</f>
        <v/>
      </c>
      <c r="I217" s="115" t="str">
        <f>IF($A217&gt;MAX(入力シート!$AH$6:$AH$505),"",INDEX(テーブル2[[学年]:[判定]],MATCH(体力優良証交付申請書!$A217,入力シート!$AH$6:$AH$505,0),MATCH(体力優良証交付申請書!I$14,テーブル2[[#Headers],[学年]:[得点]],0)))</f>
        <v/>
      </c>
      <c r="J217" s="115" t="str">
        <f>IF($A217&gt;MAX(入力シート!$AH$6:$AH$505),"",INDEX(テーブル2[[学年]:[判定]],MATCH(体力優良証交付申請書!$A217,入力シート!$AH$6:$AH$505,0),MATCH(体力優良証交付申請書!J$14,テーブル2[[#Headers],[学年]:[得点]],0)))</f>
        <v/>
      </c>
      <c r="K217" s="129" t="str">
        <f>IF($A217&gt;MAX(入力シート!$AH$6:$AH$505),"",INDEX(テーブル2[[学年]:[判定]],MATCH(体力優良証交付申請書!$A217,入力シート!$AH$6:$AH$505,0),MATCH(体力優良証交付申請書!K$14,テーブル2[[#Headers],[学年]:[得点]],0)))</f>
        <v/>
      </c>
      <c r="L217" s="115" t="str">
        <f>IF($A217&gt;MAX(入力シート!$AH$6:$AH$505),"",INDEX(テーブル2[[学年]:[判定]],MATCH(体力優良証交付申請書!$A217,入力シート!$AH$6:$AH$505,0),MATCH(体力優良証交付申請書!L$14,テーブル2[[#Headers],[学年]:[得点]],0)))</f>
        <v/>
      </c>
      <c r="M217" s="115" t="str">
        <f>IF($A217&gt;MAX(入力シート!$AH$6:$AH$505),"",INDEX(テーブル2[[学年]:[判定]],MATCH(体力優良証交付申請書!$A217,入力シート!$AH$6:$AH$505,0),MATCH(体力優良証交付申請書!M$14,テーブル2[[#Headers],[学年]:[得点]],0)))</f>
        <v/>
      </c>
      <c r="N217" s="27" t="str">
        <f>IF($A217&gt;MAX(入力シート!$AH$6:$AH$505),"",INDEX(テーブル2[[学年]:[判定]],MATCH(体力優良証交付申請書!$A217,入力シート!$AH$6:$AH$505,0),MATCH(体力優良証交付申請書!N$14,テーブル2[[#Headers],[学年]:[得点]],0)))</f>
        <v/>
      </c>
    </row>
    <row r="218" spans="1:14" x14ac:dyDescent="0.15">
      <c r="A218" s="17">
        <v>204</v>
      </c>
      <c r="B218" s="115" t="str">
        <f>IF($A218&gt;MAX(入力シート!$AH$6:$AH$505),"",INDEX(テーブル2[[学年]:[判定]],MATCH(体力優良証交付申請書!$A218,入力シート!$AH$6:$AH$505,0),MATCH(体力優良証交付申請書!B$14,テーブル2[[#Headers],[学年]:[得点]],0)))</f>
        <v/>
      </c>
      <c r="C218" s="115" t="str">
        <f>IF($A218&gt;MAX(入力シート!$AH$6:$AH$505),"",INDEX(テーブル2[[学年]:[判定]],MATCH(体力優良証交付申請書!$A218,入力シート!$AH$6:$AH$505,0),MATCH(体力優良証交付申請書!C$14,テーブル2[[#Headers],[学年]:[得点]],0)))</f>
        <v/>
      </c>
      <c r="D218" s="115" t="str">
        <f>IF($A218&gt;MAX(入力シート!$AH$6:$AH$505),"",INDEX(テーブル2[[学年]:[判定]],MATCH(体力優良証交付申請書!$A218,入力シート!$AH$6:$AH$505,0),MATCH(体力優良証交付申請書!D$14,テーブル2[[#Headers],[学年]:[得点]],0)))</f>
        <v/>
      </c>
      <c r="E218" s="115" t="str">
        <f>IF($A218&gt;MAX(入力シート!$AH$6:$AH$505),"",INDEX(テーブル2[[学年]:[判定]],MATCH(体力優良証交付申請書!$A218,入力シート!$AH$6:$AH$505,0),MATCH(体力優良証交付申請書!E$14,テーブル2[[#Headers],[学年]:[得点]],0)))</f>
        <v/>
      </c>
      <c r="F218" s="115" t="str">
        <f>IF($A218&gt;MAX(入力シート!$AH$6:$AH$505),"",INDEX(テーブル2[[学年]:[判定]],MATCH(体力優良証交付申請書!$A218,入力シート!$AH$6:$AH$505,0),MATCH(体力優良証交付申請書!F$14,テーブル2[[#Headers],[学年]:[得点]],0)))</f>
        <v/>
      </c>
      <c r="G218" s="115" t="str">
        <f>IF($A218&gt;MAX(入力シート!$AH$6:$AH$505),"",INDEX(テーブル2[[学年]:[判定]],MATCH(体力優良証交付申請書!$A218,入力シート!$AH$6:$AH$505,0),MATCH(体力優良証交付申請書!G$14,テーブル2[[#Headers],[学年]:[得点]],0)))</f>
        <v/>
      </c>
      <c r="H218" s="115" t="str">
        <f>IF($A218&gt;MAX(入力シート!$AH$6:$AH$505),"",INDEX(テーブル2[[学年]:[判定]],MATCH(体力優良証交付申請書!$A218,入力シート!$AH$6:$AH$505,0),MATCH(体力優良証交付申請書!H$14,テーブル2[[#Headers],[学年]:[得点]],0)))</f>
        <v/>
      </c>
      <c r="I218" s="115" t="str">
        <f>IF($A218&gt;MAX(入力シート!$AH$6:$AH$505),"",INDEX(テーブル2[[学年]:[判定]],MATCH(体力優良証交付申請書!$A218,入力シート!$AH$6:$AH$505,0),MATCH(体力優良証交付申請書!I$14,テーブル2[[#Headers],[学年]:[得点]],0)))</f>
        <v/>
      </c>
      <c r="J218" s="115" t="str">
        <f>IF($A218&gt;MAX(入力シート!$AH$6:$AH$505),"",INDEX(テーブル2[[学年]:[判定]],MATCH(体力優良証交付申請書!$A218,入力シート!$AH$6:$AH$505,0),MATCH(体力優良証交付申請書!J$14,テーブル2[[#Headers],[学年]:[得点]],0)))</f>
        <v/>
      </c>
      <c r="K218" s="129" t="str">
        <f>IF($A218&gt;MAX(入力シート!$AH$6:$AH$505),"",INDEX(テーブル2[[学年]:[判定]],MATCH(体力優良証交付申請書!$A218,入力シート!$AH$6:$AH$505,0),MATCH(体力優良証交付申請書!K$14,テーブル2[[#Headers],[学年]:[得点]],0)))</f>
        <v/>
      </c>
      <c r="L218" s="115" t="str">
        <f>IF($A218&gt;MAX(入力シート!$AH$6:$AH$505),"",INDEX(テーブル2[[学年]:[判定]],MATCH(体力優良証交付申請書!$A218,入力シート!$AH$6:$AH$505,0),MATCH(体力優良証交付申請書!L$14,テーブル2[[#Headers],[学年]:[得点]],0)))</f>
        <v/>
      </c>
      <c r="M218" s="115" t="str">
        <f>IF($A218&gt;MAX(入力シート!$AH$6:$AH$505),"",INDEX(テーブル2[[学年]:[判定]],MATCH(体力優良証交付申請書!$A218,入力シート!$AH$6:$AH$505,0),MATCH(体力優良証交付申請書!M$14,テーブル2[[#Headers],[学年]:[得点]],0)))</f>
        <v/>
      </c>
      <c r="N218" s="27" t="str">
        <f>IF($A218&gt;MAX(入力シート!$AH$6:$AH$505),"",INDEX(テーブル2[[学年]:[判定]],MATCH(体力優良証交付申請書!$A218,入力シート!$AH$6:$AH$505,0),MATCH(体力優良証交付申請書!N$14,テーブル2[[#Headers],[学年]:[得点]],0)))</f>
        <v/>
      </c>
    </row>
    <row r="219" spans="1:14" x14ac:dyDescent="0.15">
      <c r="A219" s="17">
        <v>205</v>
      </c>
      <c r="B219" s="115" t="str">
        <f>IF($A219&gt;MAX(入力シート!$AH$6:$AH$505),"",INDEX(テーブル2[[学年]:[判定]],MATCH(体力優良証交付申請書!$A219,入力シート!$AH$6:$AH$505,0),MATCH(体力優良証交付申請書!B$14,テーブル2[[#Headers],[学年]:[得点]],0)))</f>
        <v/>
      </c>
      <c r="C219" s="115" t="str">
        <f>IF($A219&gt;MAX(入力シート!$AH$6:$AH$505),"",INDEX(テーブル2[[学年]:[判定]],MATCH(体力優良証交付申請書!$A219,入力シート!$AH$6:$AH$505,0),MATCH(体力優良証交付申請書!C$14,テーブル2[[#Headers],[学年]:[得点]],0)))</f>
        <v/>
      </c>
      <c r="D219" s="115" t="str">
        <f>IF($A219&gt;MAX(入力シート!$AH$6:$AH$505),"",INDEX(テーブル2[[学年]:[判定]],MATCH(体力優良証交付申請書!$A219,入力シート!$AH$6:$AH$505,0),MATCH(体力優良証交付申請書!D$14,テーブル2[[#Headers],[学年]:[得点]],0)))</f>
        <v/>
      </c>
      <c r="E219" s="115" t="str">
        <f>IF($A219&gt;MAX(入力シート!$AH$6:$AH$505),"",INDEX(テーブル2[[学年]:[判定]],MATCH(体力優良証交付申請書!$A219,入力シート!$AH$6:$AH$505,0),MATCH(体力優良証交付申請書!E$14,テーブル2[[#Headers],[学年]:[得点]],0)))</f>
        <v/>
      </c>
      <c r="F219" s="115" t="str">
        <f>IF($A219&gt;MAX(入力シート!$AH$6:$AH$505),"",INDEX(テーブル2[[学年]:[判定]],MATCH(体力優良証交付申請書!$A219,入力シート!$AH$6:$AH$505,0),MATCH(体力優良証交付申請書!F$14,テーブル2[[#Headers],[学年]:[得点]],0)))</f>
        <v/>
      </c>
      <c r="G219" s="115" t="str">
        <f>IF($A219&gt;MAX(入力シート!$AH$6:$AH$505),"",INDEX(テーブル2[[学年]:[判定]],MATCH(体力優良証交付申請書!$A219,入力シート!$AH$6:$AH$505,0),MATCH(体力優良証交付申請書!G$14,テーブル2[[#Headers],[学年]:[得点]],0)))</f>
        <v/>
      </c>
      <c r="H219" s="115" t="str">
        <f>IF($A219&gt;MAX(入力シート!$AH$6:$AH$505),"",INDEX(テーブル2[[学年]:[判定]],MATCH(体力優良証交付申請書!$A219,入力シート!$AH$6:$AH$505,0),MATCH(体力優良証交付申請書!H$14,テーブル2[[#Headers],[学年]:[得点]],0)))</f>
        <v/>
      </c>
      <c r="I219" s="115" t="str">
        <f>IF($A219&gt;MAX(入力シート!$AH$6:$AH$505),"",INDEX(テーブル2[[学年]:[判定]],MATCH(体力優良証交付申請書!$A219,入力シート!$AH$6:$AH$505,0),MATCH(体力優良証交付申請書!I$14,テーブル2[[#Headers],[学年]:[得点]],0)))</f>
        <v/>
      </c>
      <c r="J219" s="115" t="str">
        <f>IF($A219&gt;MAX(入力シート!$AH$6:$AH$505),"",INDEX(テーブル2[[学年]:[判定]],MATCH(体力優良証交付申請書!$A219,入力シート!$AH$6:$AH$505,0),MATCH(体力優良証交付申請書!J$14,テーブル2[[#Headers],[学年]:[得点]],0)))</f>
        <v/>
      </c>
      <c r="K219" s="129" t="str">
        <f>IF($A219&gt;MAX(入力シート!$AH$6:$AH$505),"",INDEX(テーブル2[[学年]:[判定]],MATCH(体力優良証交付申請書!$A219,入力シート!$AH$6:$AH$505,0),MATCH(体力優良証交付申請書!K$14,テーブル2[[#Headers],[学年]:[得点]],0)))</f>
        <v/>
      </c>
      <c r="L219" s="115" t="str">
        <f>IF($A219&gt;MAX(入力シート!$AH$6:$AH$505),"",INDEX(テーブル2[[学年]:[判定]],MATCH(体力優良証交付申請書!$A219,入力シート!$AH$6:$AH$505,0),MATCH(体力優良証交付申請書!L$14,テーブル2[[#Headers],[学年]:[得点]],0)))</f>
        <v/>
      </c>
      <c r="M219" s="115" t="str">
        <f>IF($A219&gt;MAX(入力シート!$AH$6:$AH$505),"",INDEX(テーブル2[[学年]:[判定]],MATCH(体力優良証交付申請書!$A219,入力シート!$AH$6:$AH$505,0),MATCH(体力優良証交付申請書!M$14,テーブル2[[#Headers],[学年]:[得点]],0)))</f>
        <v/>
      </c>
      <c r="N219" s="27" t="str">
        <f>IF($A219&gt;MAX(入力シート!$AH$6:$AH$505),"",INDEX(テーブル2[[学年]:[判定]],MATCH(体力優良証交付申請書!$A219,入力シート!$AH$6:$AH$505,0),MATCH(体力優良証交付申請書!N$14,テーブル2[[#Headers],[学年]:[得点]],0)))</f>
        <v/>
      </c>
    </row>
    <row r="220" spans="1:14" x14ac:dyDescent="0.15">
      <c r="A220" s="17">
        <v>206</v>
      </c>
      <c r="B220" s="115" t="str">
        <f>IF($A220&gt;MAX(入力シート!$AH$6:$AH$505),"",INDEX(テーブル2[[学年]:[判定]],MATCH(体力優良証交付申請書!$A220,入力シート!$AH$6:$AH$505,0),MATCH(体力優良証交付申請書!B$14,テーブル2[[#Headers],[学年]:[得点]],0)))</f>
        <v/>
      </c>
      <c r="C220" s="115" t="str">
        <f>IF($A220&gt;MAX(入力シート!$AH$6:$AH$505),"",INDEX(テーブル2[[学年]:[判定]],MATCH(体力優良証交付申請書!$A220,入力シート!$AH$6:$AH$505,0),MATCH(体力優良証交付申請書!C$14,テーブル2[[#Headers],[学年]:[得点]],0)))</f>
        <v/>
      </c>
      <c r="D220" s="115" t="str">
        <f>IF($A220&gt;MAX(入力シート!$AH$6:$AH$505),"",INDEX(テーブル2[[学年]:[判定]],MATCH(体力優良証交付申請書!$A220,入力シート!$AH$6:$AH$505,0),MATCH(体力優良証交付申請書!D$14,テーブル2[[#Headers],[学年]:[得点]],0)))</f>
        <v/>
      </c>
      <c r="E220" s="115" t="str">
        <f>IF($A220&gt;MAX(入力シート!$AH$6:$AH$505),"",INDEX(テーブル2[[学年]:[判定]],MATCH(体力優良証交付申請書!$A220,入力シート!$AH$6:$AH$505,0),MATCH(体力優良証交付申請書!E$14,テーブル2[[#Headers],[学年]:[得点]],0)))</f>
        <v/>
      </c>
      <c r="F220" s="115" t="str">
        <f>IF($A220&gt;MAX(入力シート!$AH$6:$AH$505),"",INDEX(テーブル2[[学年]:[判定]],MATCH(体力優良証交付申請書!$A220,入力シート!$AH$6:$AH$505,0),MATCH(体力優良証交付申請書!F$14,テーブル2[[#Headers],[学年]:[得点]],0)))</f>
        <v/>
      </c>
      <c r="G220" s="115" t="str">
        <f>IF($A220&gt;MAX(入力シート!$AH$6:$AH$505),"",INDEX(テーブル2[[学年]:[判定]],MATCH(体力優良証交付申請書!$A220,入力シート!$AH$6:$AH$505,0),MATCH(体力優良証交付申請書!G$14,テーブル2[[#Headers],[学年]:[得点]],0)))</f>
        <v/>
      </c>
      <c r="H220" s="115" t="str">
        <f>IF($A220&gt;MAX(入力シート!$AH$6:$AH$505),"",INDEX(テーブル2[[学年]:[判定]],MATCH(体力優良証交付申請書!$A220,入力シート!$AH$6:$AH$505,0),MATCH(体力優良証交付申請書!H$14,テーブル2[[#Headers],[学年]:[得点]],0)))</f>
        <v/>
      </c>
      <c r="I220" s="115" t="str">
        <f>IF($A220&gt;MAX(入力シート!$AH$6:$AH$505),"",INDEX(テーブル2[[学年]:[判定]],MATCH(体力優良証交付申請書!$A220,入力シート!$AH$6:$AH$505,0),MATCH(体力優良証交付申請書!I$14,テーブル2[[#Headers],[学年]:[得点]],0)))</f>
        <v/>
      </c>
      <c r="J220" s="115" t="str">
        <f>IF($A220&gt;MAX(入力シート!$AH$6:$AH$505),"",INDEX(テーブル2[[学年]:[判定]],MATCH(体力優良証交付申請書!$A220,入力シート!$AH$6:$AH$505,0),MATCH(体力優良証交付申請書!J$14,テーブル2[[#Headers],[学年]:[得点]],0)))</f>
        <v/>
      </c>
      <c r="K220" s="129" t="str">
        <f>IF($A220&gt;MAX(入力シート!$AH$6:$AH$505),"",INDEX(テーブル2[[学年]:[判定]],MATCH(体力優良証交付申請書!$A220,入力シート!$AH$6:$AH$505,0),MATCH(体力優良証交付申請書!K$14,テーブル2[[#Headers],[学年]:[得点]],0)))</f>
        <v/>
      </c>
      <c r="L220" s="115" t="str">
        <f>IF($A220&gt;MAX(入力シート!$AH$6:$AH$505),"",INDEX(テーブル2[[学年]:[判定]],MATCH(体力優良証交付申請書!$A220,入力シート!$AH$6:$AH$505,0),MATCH(体力優良証交付申請書!L$14,テーブル2[[#Headers],[学年]:[得点]],0)))</f>
        <v/>
      </c>
      <c r="M220" s="115" t="str">
        <f>IF($A220&gt;MAX(入力シート!$AH$6:$AH$505),"",INDEX(テーブル2[[学年]:[判定]],MATCH(体力優良証交付申請書!$A220,入力シート!$AH$6:$AH$505,0),MATCH(体力優良証交付申請書!M$14,テーブル2[[#Headers],[学年]:[得点]],0)))</f>
        <v/>
      </c>
      <c r="N220" s="27" t="str">
        <f>IF($A220&gt;MAX(入力シート!$AH$6:$AH$505),"",INDEX(テーブル2[[学年]:[判定]],MATCH(体力優良証交付申請書!$A220,入力シート!$AH$6:$AH$505,0),MATCH(体力優良証交付申請書!N$14,テーブル2[[#Headers],[学年]:[得点]],0)))</f>
        <v/>
      </c>
    </row>
    <row r="221" spans="1:14" x14ac:dyDescent="0.15">
      <c r="A221" s="17">
        <v>207</v>
      </c>
      <c r="B221" s="115" t="str">
        <f>IF($A221&gt;MAX(入力シート!$AH$6:$AH$505),"",INDEX(テーブル2[[学年]:[判定]],MATCH(体力優良証交付申請書!$A221,入力シート!$AH$6:$AH$505,0),MATCH(体力優良証交付申請書!B$14,テーブル2[[#Headers],[学年]:[得点]],0)))</f>
        <v/>
      </c>
      <c r="C221" s="115" t="str">
        <f>IF($A221&gt;MAX(入力シート!$AH$6:$AH$505),"",INDEX(テーブル2[[学年]:[判定]],MATCH(体力優良証交付申請書!$A221,入力シート!$AH$6:$AH$505,0),MATCH(体力優良証交付申請書!C$14,テーブル2[[#Headers],[学年]:[得点]],0)))</f>
        <v/>
      </c>
      <c r="D221" s="115" t="str">
        <f>IF($A221&gt;MAX(入力シート!$AH$6:$AH$505),"",INDEX(テーブル2[[学年]:[判定]],MATCH(体力優良証交付申請書!$A221,入力シート!$AH$6:$AH$505,0),MATCH(体力優良証交付申請書!D$14,テーブル2[[#Headers],[学年]:[得点]],0)))</f>
        <v/>
      </c>
      <c r="E221" s="115" t="str">
        <f>IF($A221&gt;MAX(入力シート!$AH$6:$AH$505),"",INDEX(テーブル2[[学年]:[判定]],MATCH(体力優良証交付申請書!$A221,入力シート!$AH$6:$AH$505,0),MATCH(体力優良証交付申請書!E$14,テーブル2[[#Headers],[学年]:[得点]],0)))</f>
        <v/>
      </c>
      <c r="F221" s="115" t="str">
        <f>IF($A221&gt;MAX(入力シート!$AH$6:$AH$505),"",INDEX(テーブル2[[学年]:[判定]],MATCH(体力優良証交付申請書!$A221,入力シート!$AH$6:$AH$505,0),MATCH(体力優良証交付申請書!F$14,テーブル2[[#Headers],[学年]:[得点]],0)))</f>
        <v/>
      </c>
      <c r="G221" s="115" t="str">
        <f>IF($A221&gt;MAX(入力シート!$AH$6:$AH$505),"",INDEX(テーブル2[[学年]:[判定]],MATCH(体力優良証交付申請書!$A221,入力シート!$AH$6:$AH$505,0),MATCH(体力優良証交付申請書!G$14,テーブル2[[#Headers],[学年]:[得点]],0)))</f>
        <v/>
      </c>
      <c r="H221" s="115" t="str">
        <f>IF($A221&gt;MAX(入力シート!$AH$6:$AH$505),"",INDEX(テーブル2[[学年]:[判定]],MATCH(体力優良証交付申請書!$A221,入力シート!$AH$6:$AH$505,0),MATCH(体力優良証交付申請書!H$14,テーブル2[[#Headers],[学年]:[得点]],0)))</f>
        <v/>
      </c>
      <c r="I221" s="115" t="str">
        <f>IF($A221&gt;MAX(入力シート!$AH$6:$AH$505),"",INDEX(テーブル2[[学年]:[判定]],MATCH(体力優良証交付申請書!$A221,入力シート!$AH$6:$AH$505,0),MATCH(体力優良証交付申請書!I$14,テーブル2[[#Headers],[学年]:[得点]],0)))</f>
        <v/>
      </c>
      <c r="J221" s="115" t="str">
        <f>IF($A221&gt;MAX(入力シート!$AH$6:$AH$505),"",INDEX(テーブル2[[学年]:[判定]],MATCH(体力優良証交付申請書!$A221,入力シート!$AH$6:$AH$505,0),MATCH(体力優良証交付申請書!J$14,テーブル2[[#Headers],[学年]:[得点]],0)))</f>
        <v/>
      </c>
      <c r="K221" s="129" t="str">
        <f>IF($A221&gt;MAX(入力シート!$AH$6:$AH$505),"",INDEX(テーブル2[[学年]:[判定]],MATCH(体力優良証交付申請書!$A221,入力シート!$AH$6:$AH$505,0),MATCH(体力優良証交付申請書!K$14,テーブル2[[#Headers],[学年]:[得点]],0)))</f>
        <v/>
      </c>
      <c r="L221" s="115" t="str">
        <f>IF($A221&gt;MAX(入力シート!$AH$6:$AH$505),"",INDEX(テーブル2[[学年]:[判定]],MATCH(体力優良証交付申請書!$A221,入力シート!$AH$6:$AH$505,0),MATCH(体力優良証交付申請書!L$14,テーブル2[[#Headers],[学年]:[得点]],0)))</f>
        <v/>
      </c>
      <c r="M221" s="115" t="str">
        <f>IF($A221&gt;MAX(入力シート!$AH$6:$AH$505),"",INDEX(テーブル2[[学年]:[判定]],MATCH(体力優良証交付申請書!$A221,入力シート!$AH$6:$AH$505,0),MATCH(体力優良証交付申請書!M$14,テーブル2[[#Headers],[学年]:[得点]],0)))</f>
        <v/>
      </c>
      <c r="N221" s="27" t="str">
        <f>IF($A221&gt;MAX(入力シート!$AH$6:$AH$505),"",INDEX(テーブル2[[学年]:[判定]],MATCH(体力優良証交付申請書!$A221,入力シート!$AH$6:$AH$505,0),MATCH(体力優良証交付申請書!N$14,テーブル2[[#Headers],[学年]:[得点]],0)))</f>
        <v/>
      </c>
    </row>
    <row r="222" spans="1:14" x14ac:dyDescent="0.15">
      <c r="A222" s="17">
        <v>208</v>
      </c>
      <c r="B222" s="115" t="str">
        <f>IF($A222&gt;MAX(入力シート!$AH$6:$AH$505),"",INDEX(テーブル2[[学年]:[判定]],MATCH(体力優良証交付申請書!$A222,入力シート!$AH$6:$AH$505,0),MATCH(体力優良証交付申請書!B$14,テーブル2[[#Headers],[学年]:[得点]],0)))</f>
        <v/>
      </c>
      <c r="C222" s="115" t="str">
        <f>IF($A222&gt;MAX(入力シート!$AH$6:$AH$505),"",INDEX(テーブル2[[学年]:[判定]],MATCH(体力優良証交付申請書!$A222,入力シート!$AH$6:$AH$505,0),MATCH(体力優良証交付申請書!C$14,テーブル2[[#Headers],[学年]:[得点]],0)))</f>
        <v/>
      </c>
      <c r="D222" s="115" t="str">
        <f>IF($A222&gt;MAX(入力シート!$AH$6:$AH$505),"",INDEX(テーブル2[[学年]:[判定]],MATCH(体力優良証交付申請書!$A222,入力シート!$AH$6:$AH$505,0),MATCH(体力優良証交付申請書!D$14,テーブル2[[#Headers],[学年]:[得点]],0)))</f>
        <v/>
      </c>
      <c r="E222" s="115" t="str">
        <f>IF($A222&gt;MAX(入力シート!$AH$6:$AH$505),"",INDEX(テーブル2[[学年]:[判定]],MATCH(体力優良証交付申請書!$A222,入力シート!$AH$6:$AH$505,0),MATCH(体力優良証交付申請書!E$14,テーブル2[[#Headers],[学年]:[得点]],0)))</f>
        <v/>
      </c>
      <c r="F222" s="115" t="str">
        <f>IF($A222&gt;MAX(入力シート!$AH$6:$AH$505),"",INDEX(テーブル2[[学年]:[判定]],MATCH(体力優良証交付申請書!$A222,入力シート!$AH$6:$AH$505,0),MATCH(体力優良証交付申請書!F$14,テーブル2[[#Headers],[学年]:[得点]],0)))</f>
        <v/>
      </c>
      <c r="G222" s="115" t="str">
        <f>IF($A222&gt;MAX(入力シート!$AH$6:$AH$505),"",INDEX(テーブル2[[学年]:[判定]],MATCH(体力優良証交付申請書!$A222,入力シート!$AH$6:$AH$505,0),MATCH(体力優良証交付申請書!G$14,テーブル2[[#Headers],[学年]:[得点]],0)))</f>
        <v/>
      </c>
      <c r="H222" s="115" t="str">
        <f>IF($A222&gt;MAX(入力シート!$AH$6:$AH$505),"",INDEX(テーブル2[[学年]:[判定]],MATCH(体力優良証交付申請書!$A222,入力シート!$AH$6:$AH$505,0),MATCH(体力優良証交付申請書!H$14,テーブル2[[#Headers],[学年]:[得点]],0)))</f>
        <v/>
      </c>
      <c r="I222" s="115" t="str">
        <f>IF($A222&gt;MAX(入力シート!$AH$6:$AH$505),"",INDEX(テーブル2[[学年]:[判定]],MATCH(体力優良証交付申請書!$A222,入力シート!$AH$6:$AH$505,0),MATCH(体力優良証交付申請書!I$14,テーブル2[[#Headers],[学年]:[得点]],0)))</f>
        <v/>
      </c>
      <c r="J222" s="115" t="str">
        <f>IF($A222&gt;MAX(入力シート!$AH$6:$AH$505),"",INDEX(テーブル2[[学年]:[判定]],MATCH(体力優良証交付申請書!$A222,入力シート!$AH$6:$AH$505,0),MATCH(体力優良証交付申請書!J$14,テーブル2[[#Headers],[学年]:[得点]],0)))</f>
        <v/>
      </c>
      <c r="K222" s="129" t="str">
        <f>IF($A222&gt;MAX(入力シート!$AH$6:$AH$505),"",INDEX(テーブル2[[学年]:[判定]],MATCH(体力優良証交付申請書!$A222,入力シート!$AH$6:$AH$505,0),MATCH(体力優良証交付申請書!K$14,テーブル2[[#Headers],[学年]:[得点]],0)))</f>
        <v/>
      </c>
      <c r="L222" s="115" t="str">
        <f>IF($A222&gt;MAX(入力シート!$AH$6:$AH$505),"",INDEX(テーブル2[[学年]:[判定]],MATCH(体力優良証交付申請書!$A222,入力シート!$AH$6:$AH$505,0),MATCH(体力優良証交付申請書!L$14,テーブル2[[#Headers],[学年]:[得点]],0)))</f>
        <v/>
      </c>
      <c r="M222" s="115" t="str">
        <f>IF($A222&gt;MAX(入力シート!$AH$6:$AH$505),"",INDEX(テーブル2[[学年]:[判定]],MATCH(体力優良証交付申請書!$A222,入力シート!$AH$6:$AH$505,0),MATCH(体力優良証交付申請書!M$14,テーブル2[[#Headers],[学年]:[得点]],0)))</f>
        <v/>
      </c>
      <c r="N222" s="27" t="str">
        <f>IF($A222&gt;MAX(入力シート!$AH$6:$AH$505),"",INDEX(テーブル2[[学年]:[判定]],MATCH(体力優良証交付申請書!$A222,入力シート!$AH$6:$AH$505,0),MATCH(体力優良証交付申請書!N$14,テーブル2[[#Headers],[学年]:[得点]],0)))</f>
        <v/>
      </c>
    </row>
    <row r="223" spans="1:14" x14ac:dyDescent="0.15">
      <c r="A223" s="17">
        <v>209</v>
      </c>
      <c r="B223" s="115" t="str">
        <f>IF($A223&gt;MAX(入力シート!$AH$6:$AH$505),"",INDEX(テーブル2[[学年]:[判定]],MATCH(体力優良証交付申請書!$A223,入力シート!$AH$6:$AH$505,0),MATCH(体力優良証交付申請書!B$14,テーブル2[[#Headers],[学年]:[得点]],0)))</f>
        <v/>
      </c>
      <c r="C223" s="115" t="str">
        <f>IF($A223&gt;MAX(入力シート!$AH$6:$AH$505),"",INDEX(テーブル2[[学年]:[判定]],MATCH(体力優良証交付申請書!$A223,入力シート!$AH$6:$AH$505,0),MATCH(体力優良証交付申請書!C$14,テーブル2[[#Headers],[学年]:[得点]],0)))</f>
        <v/>
      </c>
      <c r="D223" s="115" t="str">
        <f>IF($A223&gt;MAX(入力シート!$AH$6:$AH$505),"",INDEX(テーブル2[[学年]:[判定]],MATCH(体力優良証交付申請書!$A223,入力シート!$AH$6:$AH$505,0),MATCH(体力優良証交付申請書!D$14,テーブル2[[#Headers],[学年]:[得点]],0)))</f>
        <v/>
      </c>
      <c r="E223" s="115" t="str">
        <f>IF($A223&gt;MAX(入力シート!$AH$6:$AH$505),"",INDEX(テーブル2[[学年]:[判定]],MATCH(体力優良証交付申請書!$A223,入力シート!$AH$6:$AH$505,0),MATCH(体力優良証交付申請書!E$14,テーブル2[[#Headers],[学年]:[得点]],0)))</f>
        <v/>
      </c>
      <c r="F223" s="115" t="str">
        <f>IF($A223&gt;MAX(入力シート!$AH$6:$AH$505),"",INDEX(テーブル2[[学年]:[判定]],MATCH(体力優良証交付申請書!$A223,入力シート!$AH$6:$AH$505,0),MATCH(体力優良証交付申請書!F$14,テーブル2[[#Headers],[学年]:[得点]],0)))</f>
        <v/>
      </c>
      <c r="G223" s="115" t="str">
        <f>IF($A223&gt;MAX(入力シート!$AH$6:$AH$505),"",INDEX(テーブル2[[学年]:[判定]],MATCH(体力優良証交付申請書!$A223,入力シート!$AH$6:$AH$505,0),MATCH(体力優良証交付申請書!G$14,テーブル2[[#Headers],[学年]:[得点]],0)))</f>
        <v/>
      </c>
      <c r="H223" s="115" t="str">
        <f>IF($A223&gt;MAX(入力シート!$AH$6:$AH$505),"",INDEX(テーブル2[[学年]:[判定]],MATCH(体力優良証交付申請書!$A223,入力シート!$AH$6:$AH$505,0),MATCH(体力優良証交付申請書!H$14,テーブル2[[#Headers],[学年]:[得点]],0)))</f>
        <v/>
      </c>
      <c r="I223" s="115" t="str">
        <f>IF($A223&gt;MAX(入力シート!$AH$6:$AH$505),"",INDEX(テーブル2[[学年]:[判定]],MATCH(体力優良証交付申請書!$A223,入力シート!$AH$6:$AH$505,0),MATCH(体力優良証交付申請書!I$14,テーブル2[[#Headers],[学年]:[得点]],0)))</f>
        <v/>
      </c>
      <c r="J223" s="115" t="str">
        <f>IF($A223&gt;MAX(入力シート!$AH$6:$AH$505),"",INDEX(テーブル2[[学年]:[判定]],MATCH(体力優良証交付申請書!$A223,入力シート!$AH$6:$AH$505,0),MATCH(体力優良証交付申請書!J$14,テーブル2[[#Headers],[学年]:[得点]],0)))</f>
        <v/>
      </c>
      <c r="K223" s="129" t="str">
        <f>IF($A223&gt;MAX(入力シート!$AH$6:$AH$505),"",INDEX(テーブル2[[学年]:[判定]],MATCH(体力優良証交付申請書!$A223,入力シート!$AH$6:$AH$505,0),MATCH(体力優良証交付申請書!K$14,テーブル2[[#Headers],[学年]:[得点]],0)))</f>
        <v/>
      </c>
      <c r="L223" s="115" t="str">
        <f>IF($A223&gt;MAX(入力シート!$AH$6:$AH$505),"",INDEX(テーブル2[[学年]:[判定]],MATCH(体力優良証交付申請書!$A223,入力シート!$AH$6:$AH$505,0),MATCH(体力優良証交付申請書!L$14,テーブル2[[#Headers],[学年]:[得点]],0)))</f>
        <v/>
      </c>
      <c r="M223" s="115" t="str">
        <f>IF($A223&gt;MAX(入力シート!$AH$6:$AH$505),"",INDEX(テーブル2[[学年]:[判定]],MATCH(体力優良証交付申請書!$A223,入力シート!$AH$6:$AH$505,0),MATCH(体力優良証交付申請書!M$14,テーブル2[[#Headers],[学年]:[得点]],0)))</f>
        <v/>
      </c>
      <c r="N223" s="27" t="str">
        <f>IF($A223&gt;MAX(入力シート!$AH$6:$AH$505),"",INDEX(テーブル2[[学年]:[判定]],MATCH(体力優良証交付申請書!$A223,入力シート!$AH$6:$AH$505,0),MATCH(体力優良証交付申請書!N$14,テーブル2[[#Headers],[学年]:[得点]],0)))</f>
        <v/>
      </c>
    </row>
    <row r="224" spans="1:14" x14ac:dyDescent="0.15">
      <c r="A224" s="17">
        <v>210</v>
      </c>
      <c r="B224" s="115" t="str">
        <f>IF($A224&gt;MAX(入力シート!$AH$6:$AH$505),"",INDEX(テーブル2[[学年]:[判定]],MATCH(体力優良証交付申請書!$A224,入力シート!$AH$6:$AH$505,0),MATCH(体力優良証交付申請書!B$14,テーブル2[[#Headers],[学年]:[得点]],0)))</f>
        <v/>
      </c>
      <c r="C224" s="115" t="str">
        <f>IF($A224&gt;MAX(入力シート!$AH$6:$AH$505),"",INDEX(テーブル2[[学年]:[判定]],MATCH(体力優良証交付申請書!$A224,入力シート!$AH$6:$AH$505,0),MATCH(体力優良証交付申請書!C$14,テーブル2[[#Headers],[学年]:[得点]],0)))</f>
        <v/>
      </c>
      <c r="D224" s="115" t="str">
        <f>IF($A224&gt;MAX(入力シート!$AH$6:$AH$505),"",INDEX(テーブル2[[学年]:[判定]],MATCH(体力優良証交付申請書!$A224,入力シート!$AH$6:$AH$505,0),MATCH(体力優良証交付申請書!D$14,テーブル2[[#Headers],[学年]:[得点]],0)))</f>
        <v/>
      </c>
      <c r="E224" s="115" t="str">
        <f>IF($A224&gt;MAX(入力シート!$AH$6:$AH$505),"",INDEX(テーブル2[[学年]:[判定]],MATCH(体力優良証交付申請書!$A224,入力シート!$AH$6:$AH$505,0),MATCH(体力優良証交付申請書!E$14,テーブル2[[#Headers],[学年]:[得点]],0)))</f>
        <v/>
      </c>
      <c r="F224" s="115" t="str">
        <f>IF($A224&gt;MAX(入力シート!$AH$6:$AH$505),"",INDEX(テーブル2[[学年]:[判定]],MATCH(体力優良証交付申請書!$A224,入力シート!$AH$6:$AH$505,0),MATCH(体力優良証交付申請書!F$14,テーブル2[[#Headers],[学年]:[得点]],0)))</f>
        <v/>
      </c>
      <c r="G224" s="115" t="str">
        <f>IF($A224&gt;MAX(入力シート!$AH$6:$AH$505),"",INDEX(テーブル2[[学年]:[判定]],MATCH(体力優良証交付申請書!$A224,入力シート!$AH$6:$AH$505,0),MATCH(体力優良証交付申請書!G$14,テーブル2[[#Headers],[学年]:[得点]],0)))</f>
        <v/>
      </c>
      <c r="H224" s="115" t="str">
        <f>IF($A224&gt;MAX(入力シート!$AH$6:$AH$505),"",INDEX(テーブル2[[学年]:[判定]],MATCH(体力優良証交付申請書!$A224,入力シート!$AH$6:$AH$505,0),MATCH(体力優良証交付申請書!H$14,テーブル2[[#Headers],[学年]:[得点]],0)))</f>
        <v/>
      </c>
      <c r="I224" s="115" t="str">
        <f>IF($A224&gt;MAX(入力シート!$AH$6:$AH$505),"",INDEX(テーブル2[[学年]:[判定]],MATCH(体力優良証交付申請書!$A224,入力シート!$AH$6:$AH$505,0),MATCH(体力優良証交付申請書!I$14,テーブル2[[#Headers],[学年]:[得点]],0)))</f>
        <v/>
      </c>
      <c r="J224" s="115" t="str">
        <f>IF($A224&gt;MAX(入力シート!$AH$6:$AH$505),"",INDEX(テーブル2[[学年]:[判定]],MATCH(体力優良証交付申請書!$A224,入力シート!$AH$6:$AH$505,0),MATCH(体力優良証交付申請書!J$14,テーブル2[[#Headers],[学年]:[得点]],0)))</f>
        <v/>
      </c>
      <c r="K224" s="129" t="str">
        <f>IF($A224&gt;MAX(入力シート!$AH$6:$AH$505),"",INDEX(テーブル2[[学年]:[判定]],MATCH(体力優良証交付申請書!$A224,入力シート!$AH$6:$AH$505,0),MATCH(体力優良証交付申請書!K$14,テーブル2[[#Headers],[学年]:[得点]],0)))</f>
        <v/>
      </c>
      <c r="L224" s="115" t="str">
        <f>IF($A224&gt;MAX(入力シート!$AH$6:$AH$505),"",INDEX(テーブル2[[学年]:[判定]],MATCH(体力優良証交付申請書!$A224,入力シート!$AH$6:$AH$505,0),MATCH(体力優良証交付申請書!L$14,テーブル2[[#Headers],[学年]:[得点]],0)))</f>
        <v/>
      </c>
      <c r="M224" s="115" t="str">
        <f>IF($A224&gt;MAX(入力シート!$AH$6:$AH$505),"",INDEX(テーブル2[[学年]:[判定]],MATCH(体力優良証交付申請書!$A224,入力シート!$AH$6:$AH$505,0),MATCH(体力優良証交付申請書!M$14,テーブル2[[#Headers],[学年]:[得点]],0)))</f>
        <v/>
      </c>
      <c r="N224" s="27" t="str">
        <f>IF($A224&gt;MAX(入力シート!$AH$6:$AH$505),"",INDEX(テーブル2[[学年]:[判定]],MATCH(体力優良証交付申請書!$A224,入力シート!$AH$6:$AH$505,0),MATCH(体力優良証交付申請書!N$14,テーブル2[[#Headers],[学年]:[得点]],0)))</f>
        <v/>
      </c>
    </row>
    <row r="225" spans="1:14" x14ac:dyDescent="0.15">
      <c r="A225" s="17">
        <v>211</v>
      </c>
      <c r="B225" s="115" t="str">
        <f>IF($A225&gt;MAX(入力シート!$AH$6:$AH$505),"",INDEX(テーブル2[[学年]:[判定]],MATCH(体力優良証交付申請書!$A225,入力シート!$AH$6:$AH$505,0),MATCH(体力優良証交付申請書!B$14,テーブル2[[#Headers],[学年]:[得点]],0)))</f>
        <v/>
      </c>
      <c r="C225" s="115" t="str">
        <f>IF($A225&gt;MAX(入力シート!$AH$6:$AH$505),"",INDEX(テーブル2[[学年]:[判定]],MATCH(体力優良証交付申請書!$A225,入力シート!$AH$6:$AH$505,0),MATCH(体力優良証交付申請書!C$14,テーブル2[[#Headers],[学年]:[得点]],0)))</f>
        <v/>
      </c>
      <c r="D225" s="115" t="str">
        <f>IF($A225&gt;MAX(入力シート!$AH$6:$AH$505),"",INDEX(テーブル2[[学年]:[判定]],MATCH(体力優良証交付申請書!$A225,入力シート!$AH$6:$AH$505,0),MATCH(体力優良証交付申請書!D$14,テーブル2[[#Headers],[学年]:[得点]],0)))</f>
        <v/>
      </c>
      <c r="E225" s="115" t="str">
        <f>IF($A225&gt;MAX(入力シート!$AH$6:$AH$505),"",INDEX(テーブル2[[学年]:[判定]],MATCH(体力優良証交付申請書!$A225,入力シート!$AH$6:$AH$505,0),MATCH(体力優良証交付申請書!E$14,テーブル2[[#Headers],[学年]:[得点]],0)))</f>
        <v/>
      </c>
      <c r="F225" s="115" t="str">
        <f>IF($A225&gt;MAX(入力シート!$AH$6:$AH$505),"",INDEX(テーブル2[[学年]:[判定]],MATCH(体力優良証交付申請書!$A225,入力シート!$AH$6:$AH$505,0),MATCH(体力優良証交付申請書!F$14,テーブル2[[#Headers],[学年]:[得点]],0)))</f>
        <v/>
      </c>
      <c r="G225" s="115" t="str">
        <f>IF($A225&gt;MAX(入力シート!$AH$6:$AH$505),"",INDEX(テーブル2[[学年]:[判定]],MATCH(体力優良証交付申請書!$A225,入力シート!$AH$6:$AH$505,0),MATCH(体力優良証交付申請書!G$14,テーブル2[[#Headers],[学年]:[得点]],0)))</f>
        <v/>
      </c>
      <c r="H225" s="115" t="str">
        <f>IF($A225&gt;MAX(入力シート!$AH$6:$AH$505),"",INDEX(テーブル2[[学年]:[判定]],MATCH(体力優良証交付申請書!$A225,入力シート!$AH$6:$AH$505,0),MATCH(体力優良証交付申請書!H$14,テーブル2[[#Headers],[学年]:[得点]],0)))</f>
        <v/>
      </c>
      <c r="I225" s="115" t="str">
        <f>IF($A225&gt;MAX(入力シート!$AH$6:$AH$505),"",INDEX(テーブル2[[学年]:[判定]],MATCH(体力優良証交付申請書!$A225,入力シート!$AH$6:$AH$505,0),MATCH(体力優良証交付申請書!I$14,テーブル2[[#Headers],[学年]:[得点]],0)))</f>
        <v/>
      </c>
      <c r="J225" s="115" t="str">
        <f>IF($A225&gt;MAX(入力シート!$AH$6:$AH$505),"",INDEX(テーブル2[[学年]:[判定]],MATCH(体力優良証交付申請書!$A225,入力シート!$AH$6:$AH$505,0),MATCH(体力優良証交付申請書!J$14,テーブル2[[#Headers],[学年]:[得点]],0)))</f>
        <v/>
      </c>
      <c r="K225" s="129" t="str">
        <f>IF($A225&gt;MAX(入力シート!$AH$6:$AH$505),"",INDEX(テーブル2[[学年]:[判定]],MATCH(体力優良証交付申請書!$A225,入力シート!$AH$6:$AH$505,0),MATCH(体力優良証交付申請書!K$14,テーブル2[[#Headers],[学年]:[得点]],0)))</f>
        <v/>
      </c>
      <c r="L225" s="115" t="str">
        <f>IF($A225&gt;MAX(入力シート!$AH$6:$AH$505),"",INDEX(テーブル2[[学年]:[判定]],MATCH(体力優良証交付申請書!$A225,入力シート!$AH$6:$AH$505,0),MATCH(体力優良証交付申請書!L$14,テーブル2[[#Headers],[学年]:[得点]],0)))</f>
        <v/>
      </c>
      <c r="M225" s="115" t="str">
        <f>IF($A225&gt;MAX(入力シート!$AH$6:$AH$505),"",INDEX(テーブル2[[学年]:[判定]],MATCH(体力優良証交付申請書!$A225,入力シート!$AH$6:$AH$505,0),MATCH(体力優良証交付申請書!M$14,テーブル2[[#Headers],[学年]:[得点]],0)))</f>
        <v/>
      </c>
      <c r="N225" s="27" t="str">
        <f>IF($A225&gt;MAX(入力シート!$AH$6:$AH$505),"",INDEX(テーブル2[[学年]:[判定]],MATCH(体力優良証交付申請書!$A225,入力シート!$AH$6:$AH$505,0),MATCH(体力優良証交付申請書!N$14,テーブル2[[#Headers],[学年]:[得点]],0)))</f>
        <v/>
      </c>
    </row>
    <row r="226" spans="1:14" x14ac:dyDescent="0.15">
      <c r="A226" s="17">
        <v>212</v>
      </c>
      <c r="B226" s="115" t="str">
        <f>IF($A226&gt;MAX(入力シート!$AH$6:$AH$505),"",INDEX(テーブル2[[学年]:[判定]],MATCH(体力優良証交付申請書!$A226,入力シート!$AH$6:$AH$505,0),MATCH(体力優良証交付申請書!B$14,テーブル2[[#Headers],[学年]:[得点]],0)))</f>
        <v/>
      </c>
      <c r="C226" s="115" t="str">
        <f>IF($A226&gt;MAX(入力シート!$AH$6:$AH$505),"",INDEX(テーブル2[[学年]:[判定]],MATCH(体力優良証交付申請書!$A226,入力シート!$AH$6:$AH$505,0),MATCH(体力優良証交付申請書!C$14,テーブル2[[#Headers],[学年]:[得点]],0)))</f>
        <v/>
      </c>
      <c r="D226" s="115" t="str">
        <f>IF($A226&gt;MAX(入力シート!$AH$6:$AH$505),"",INDEX(テーブル2[[学年]:[判定]],MATCH(体力優良証交付申請書!$A226,入力シート!$AH$6:$AH$505,0),MATCH(体力優良証交付申請書!D$14,テーブル2[[#Headers],[学年]:[得点]],0)))</f>
        <v/>
      </c>
      <c r="E226" s="115" t="str">
        <f>IF($A226&gt;MAX(入力シート!$AH$6:$AH$505),"",INDEX(テーブル2[[学年]:[判定]],MATCH(体力優良証交付申請書!$A226,入力シート!$AH$6:$AH$505,0),MATCH(体力優良証交付申請書!E$14,テーブル2[[#Headers],[学年]:[得点]],0)))</f>
        <v/>
      </c>
      <c r="F226" s="115" t="str">
        <f>IF($A226&gt;MAX(入力シート!$AH$6:$AH$505),"",INDEX(テーブル2[[学年]:[判定]],MATCH(体力優良証交付申請書!$A226,入力シート!$AH$6:$AH$505,0),MATCH(体力優良証交付申請書!F$14,テーブル2[[#Headers],[学年]:[得点]],0)))</f>
        <v/>
      </c>
      <c r="G226" s="115" t="str">
        <f>IF($A226&gt;MAX(入力シート!$AH$6:$AH$505),"",INDEX(テーブル2[[学年]:[判定]],MATCH(体力優良証交付申請書!$A226,入力シート!$AH$6:$AH$505,0),MATCH(体力優良証交付申請書!G$14,テーブル2[[#Headers],[学年]:[得点]],0)))</f>
        <v/>
      </c>
      <c r="H226" s="115" t="str">
        <f>IF($A226&gt;MAX(入力シート!$AH$6:$AH$505),"",INDEX(テーブル2[[学年]:[判定]],MATCH(体力優良証交付申請書!$A226,入力シート!$AH$6:$AH$505,0),MATCH(体力優良証交付申請書!H$14,テーブル2[[#Headers],[学年]:[得点]],0)))</f>
        <v/>
      </c>
      <c r="I226" s="115" t="str">
        <f>IF($A226&gt;MAX(入力シート!$AH$6:$AH$505),"",INDEX(テーブル2[[学年]:[判定]],MATCH(体力優良証交付申請書!$A226,入力シート!$AH$6:$AH$505,0),MATCH(体力優良証交付申請書!I$14,テーブル2[[#Headers],[学年]:[得点]],0)))</f>
        <v/>
      </c>
      <c r="J226" s="115" t="str">
        <f>IF($A226&gt;MAX(入力シート!$AH$6:$AH$505),"",INDEX(テーブル2[[学年]:[判定]],MATCH(体力優良証交付申請書!$A226,入力シート!$AH$6:$AH$505,0),MATCH(体力優良証交付申請書!J$14,テーブル2[[#Headers],[学年]:[得点]],0)))</f>
        <v/>
      </c>
      <c r="K226" s="129" t="str">
        <f>IF($A226&gt;MAX(入力シート!$AH$6:$AH$505),"",INDEX(テーブル2[[学年]:[判定]],MATCH(体力優良証交付申請書!$A226,入力シート!$AH$6:$AH$505,0),MATCH(体力優良証交付申請書!K$14,テーブル2[[#Headers],[学年]:[得点]],0)))</f>
        <v/>
      </c>
      <c r="L226" s="115" t="str">
        <f>IF($A226&gt;MAX(入力シート!$AH$6:$AH$505),"",INDEX(テーブル2[[学年]:[判定]],MATCH(体力優良証交付申請書!$A226,入力シート!$AH$6:$AH$505,0),MATCH(体力優良証交付申請書!L$14,テーブル2[[#Headers],[学年]:[得点]],0)))</f>
        <v/>
      </c>
      <c r="M226" s="115" t="str">
        <f>IF($A226&gt;MAX(入力シート!$AH$6:$AH$505),"",INDEX(テーブル2[[学年]:[判定]],MATCH(体力優良証交付申請書!$A226,入力シート!$AH$6:$AH$505,0),MATCH(体力優良証交付申請書!M$14,テーブル2[[#Headers],[学年]:[得点]],0)))</f>
        <v/>
      </c>
      <c r="N226" s="27" t="str">
        <f>IF($A226&gt;MAX(入力シート!$AH$6:$AH$505),"",INDEX(テーブル2[[学年]:[判定]],MATCH(体力優良証交付申請書!$A226,入力シート!$AH$6:$AH$505,0),MATCH(体力優良証交付申請書!N$14,テーブル2[[#Headers],[学年]:[得点]],0)))</f>
        <v/>
      </c>
    </row>
    <row r="227" spans="1:14" x14ac:dyDescent="0.15">
      <c r="A227" s="17">
        <v>213</v>
      </c>
      <c r="B227" s="115" t="str">
        <f>IF($A227&gt;MAX(入力シート!$AH$6:$AH$505),"",INDEX(テーブル2[[学年]:[判定]],MATCH(体力優良証交付申請書!$A227,入力シート!$AH$6:$AH$505,0),MATCH(体力優良証交付申請書!B$14,テーブル2[[#Headers],[学年]:[得点]],0)))</f>
        <v/>
      </c>
      <c r="C227" s="115" t="str">
        <f>IF($A227&gt;MAX(入力シート!$AH$6:$AH$505),"",INDEX(テーブル2[[学年]:[判定]],MATCH(体力優良証交付申請書!$A227,入力シート!$AH$6:$AH$505,0),MATCH(体力優良証交付申請書!C$14,テーブル2[[#Headers],[学年]:[得点]],0)))</f>
        <v/>
      </c>
      <c r="D227" s="115" t="str">
        <f>IF($A227&gt;MAX(入力シート!$AH$6:$AH$505),"",INDEX(テーブル2[[学年]:[判定]],MATCH(体力優良証交付申請書!$A227,入力シート!$AH$6:$AH$505,0),MATCH(体力優良証交付申請書!D$14,テーブル2[[#Headers],[学年]:[得点]],0)))</f>
        <v/>
      </c>
      <c r="E227" s="115" t="str">
        <f>IF($A227&gt;MAX(入力シート!$AH$6:$AH$505),"",INDEX(テーブル2[[学年]:[判定]],MATCH(体力優良証交付申請書!$A227,入力シート!$AH$6:$AH$505,0),MATCH(体力優良証交付申請書!E$14,テーブル2[[#Headers],[学年]:[得点]],0)))</f>
        <v/>
      </c>
      <c r="F227" s="115" t="str">
        <f>IF($A227&gt;MAX(入力シート!$AH$6:$AH$505),"",INDEX(テーブル2[[学年]:[判定]],MATCH(体力優良証交付申請書!$A227,入力シート!$AH$6:$AH$505,0),MATCH(体力優良証交付申請書!F$14,テーブル2[[#Headers],[学年]:[得点]],0)))</f>
        <v/>
      </c>
      <c r="G227" s="115" t="str">
        <f>IF($A227&gt;MAX(入力シート!$AH$6:$AH$505),"",INDEX(テーブル2[[学年]:[判定]],MATCH(体力優良証交付申請書!$A227,入力シート!$AH$6:$AH$505,0),MATCH(体力優良証交付申請書!G$14,テーブル2[[#Headers],[学年]:[得点]],0)))</f>
        <v/>
      </c>
      <c r="H227" s="115" t="str">
        <f>IF($A227&gt;MAX(入力シート!$AH$6:$AH$505),"",INDEX(テーブル2[[学年]:[判定]],MATCH(体力優良証交付申請書!$A227,入力シート!$AH$6:$AH$505,0),MATCH(体力優良証交付申請書!H$14,テーブル2[[#Headers],[学年]:[得点]],0)))</f>
        <v/>
      </c>
      <c r="I227" s="115" t="str">
        <f>IF($A227&gt;MAX(入力シート!$AH$6:$AH$505),"",INDEX(テーブル2[[学年]:[判定]],MATCH(体力優良証交付申請書!$A227,入力シート!$AH$6:$AH$505,0),MATCH(体力優良証交付申請書!I$14,テーブル2[[#Headers],[学年]:[得点]],0)))</f>
        <v/>
      </c>
      <c r="J227" s="115" t="str">
        <f>IF($A227&gt;MAX(入力シート!$AH$6:$AH$505),"",INDEX(テーブル2[[学年]:[判定]],MATCH(体力優良証交付申請書!$A227,入力シート!$AH$6:$AH$505,0),MATCH(体力優良証交付申請書!J$14,テーブル2[[#Headers],[学年]:[得点]],0)))</f>
        <v/>
      </c>
      <c r="K227" s="129" t="str">
        <f>IF($A227&gt;MAX(入力シート!$AH$6:$AH$505),"",INDEX(テーブル2[[学年]:[判定]],MATCH(体力優良証交付申請書!$A227,入力シート!$AH$6:$AH$505,0),MATCH(体力優良証交付申請書!K$14,テーブル2[[#Headers],[学年]:[得点]],0)))</f>
        <v/>
      </c>
      <c r="L227" s="115" t="str">
        <f>IF($A227&gt;MAX(入力シート!$AH$6:$AH$505),"",INDEX(テーブル2[[学年]:[判定]],MATCH(体力優良証交付申請書!$A227,入力シート!$AH$6:$AH$505,0),MATCH(体力優良証交付申請書!L$14,テーブル2[[#Headers],[学年]:[得点]],0)))</f>
        <v/>
      </c>
      <c r="M227" s="115" t="str">
        <f>IF($A227&gt;MAX(入力シート!$AH$6:$AH$505),"",INDEX(テーブル2[[学年]:[判定]],MATCH(体力優良証交付申請書!$A227,入力シート!$AH$6:$AH$505,0),MATCH(体力優良証交付申請書!M$14,テーブル2[[#Headers],[学年]:[得点]],0)))</f>
        <v/>
      </c>
      <c r="N227" s="27" t="str">
        <f>IF($A227&gt;MAX(入力シート!$AH$6:$AH$505),"",INDEX(テーブル2[[学年]:[判定]],MATCH(体力優良証交付申請書!$A227,入力シート!$AH$6:$AH$505,0),MATCH(体力優良証交付申請書!N$14,テーブル2[[#Headers],[学年]:[得点]],0)))</f>
        <v/>
      </c>
    </row>
    <row r="228" spans="1:14" x14ac:dyDescent="0.15">
      <c r="A228" s="17">
        <v>214</v>
      </c>
      <c r="B228" s="115" t="str">
        <f>IF($A228&gt;MAX(入力シート!$AH$6:$AH$505),"",INDEX(テーブル2[[学年]:[判定]],MATCH(体力優良証交付申請書!$A228,入力シート!$AH$6:$AH$505,0),MATCH(体力優良証交付申請書!B$14,テーブル2[[#Headers],[学年]:[得点]],0)))</f>
        <v/>
      </c>
      <c r="C228" s="115" t="str">
        <f>IF($A228&gt;MAX(入力シート!$AH$6:$AH$505),"",INDEX(テーブル2[[学年]:[判定]],MATCH(体力優良証交付申請書!$A228,入力シート!$AH$6:$AH$505,0),MATCH(体力優良証交付申請書!C$14,テーブル2[[#Headers],[学年]:[得点]],0)))</f>
        <v/>
      </c>
      <c r="D228" s="115" t="str">
        <f>IF($A228&gt;MAX(入力シート!$AH$6:$AH$505),"",INDEX(テーブル2[[学年]:[判定]],MATCH(体力優良証交付申請書!$A228,入力シート!$AH$6:$AH$505,0),MATCH(体力優良証交付申請書!D$14,テーブル2[[#Headers],[学年]:[得点]],0)))</f>
        <v/>
      </c>
      <c r="E228" s="115" t="str">
        <f>IF($A228&gt;MAX(入力シート!$AH$6:$AH$505),"",INDEX(テーブル2[[学年]:[判定]],MATCH(体力優良証交付申請書!$A228,入力シート!$AH$6:$AH$505,0),MATCH(体力優良証交付申請書!E$14,テーブル2[[#Headers],[学年]:[得点]],0)))</f>
        <v/>
      </c>
      <c r="F228" s="115" t="str">
        <f>IF($A228&gt;MAX(入力シート!$AH$6:$AH$505),"",INDEX(テーブル2[[学年]:[判定]],MATCH(体力優良証交付申請書!$A228,入力シート!$AH$6:$AH$505,0),MATCH(体力優良証交付申請書!F$14,テーブル2[[#Headers],[学年]:[得点]],0)))</f>
        <v/>
      </c>
      <c r="G228" s="115" t="str">
        <f>IF($A228&gt;MAX(入力シート!$AH$6:$AH$505),"",INDEX(テーブル2[[学年]:[判定]],MATCH(体力優良証交付申請書!$A228,入力シート!$AH$6:$AH$505,0),MATCH(体力優良証交付申請書!G$14,テーブル2[[#Headers],[学年]:[得点]],0)))</f>
        <v/>
      </c>
      <c r="H228" s="115" t="str">
        <f>IF($A228&gt;MAX(入力シート!$AH$6:$AH$505),"",INDEX(テーブル2[[学年]:[判定]],MATCH(体力優良証交付申請書!$A228,入力シート!$AH$6:$AH$505,0),MATCH(体力優良証交付申請書!H$14,テーブル2[[#Headers],[学年]:[得点]],0)))</f>
        <v/>
      </c>
      <c r="I228" s="115" t="str">
        <f>IF($A228&gt;MAX(入力シート!$AH$6:$AH$505),"",INDEX(テーブル2[[学年]:[判定]],MATCH(体力優良証交付申請書!$A228,入力シート!$AH$6:$AH$505,0),MATCH(体力優良証交付申請書!I$14,テーブル2[[#Headers],[学年]:[得点]],0)))</f>
        <v/>
      </c>
      <c r="J228" s="115" t="str">
        <f>IF($A228&gt;MAX(入力シート!$AH$6:$AH$505),"",INDEX(テーブル2[[学年]:[判定]],MATCH(体力優良証交付申請書!$A228,入力シート!$AH$6:$AH$505,0),MATCH(体力優良証交付申請書!J$14,テーブル2[[#Headers],[学年]:[得点]],0)))</f>
        <v/>
      </c>
      <c r="K228" s="129" t="str">
        <f>IF($A228&gt;MAX(入力シート!$AH$6:$AH$505),"",INDEX(テーブル2[[学年]:[判定]],MATCH(体力優良証交付申請書!$A228,入力シート!$AH$6:$AH$505,0),MATCH(体力優良証交付申請書!K$14,テーブル2[[#Headers],[学年]:[得点]],0)))</f>
        <v/>
      </c>
      <c r="L228" s="115" t="str">
        <f>IF($A228&gt;MAX(入力シート!$AH$6:$AH$505),"",INDEX(テーブル2[[学年]:[判定]],MATCH(体力優良証交付申請書!$A228,入力シート!$AH$6:$AH$505,0),MATCH(体力優良証交付申請書!L$14,テーブル2[[#Headers],[学年]:[得点]],0)))</f>
        <v/>
      </c>
      <c r="M228" s="115" t="str">
        <f>IF($A228&gt;MAX(入力シート!$AH$6:$AH$505),"",INDEX(テーブル2[[学年]:[判定]],MATCH(体力優良証交付申請書!$A228,入力シート!$AH$6:$AH$505,0),MATCH(体力優良証交付申請書!M$14,テーブル2[[#Headers],[学年]:[得点]],0)))</f>
        <v/>
      </c>
      <c r="N228" s="27" t="str">
        <f>IF($A228&gt;MAX(入力シート!$AH$6:$AH$505),"",INDEX(テーブル2[[学年]:[判定]],MATCH(体力優良証交付申請書!$A228,入力シート!$AH$6:$AH$505,0),MATCH(体力優良証交付申請書!N$14,テーブル2[[#Headers],[学年]:[得点]],0)))</f>
        <v/>
      </c>
    </row>
    <row r="229" spans="1:14" x14ac:dyDescent="0.15">
      <c r="A229" s="17">
        <v>215</v>
      </c>
      <c r="B229" s="115" t="str">
        <f>IF($A229&gt;MAX(入力シート!$AH$6:$AH$505),"",INDEX(テーブル2[[学年]:[判定]],MATCH(体力優良証交付申請書!$A229,入力シート!$AH$6:$AH$505,0),MATCH(体力優良証交付申請書!B$14,テーブル2[[#Headers],[学年]:[得点]],0)))</f>
        <v/>
      </c>
      <c r="C229" s="115" t="str">
        <f>IF($A229&gt;MAX(入力シート!$AH$6:$AH$505),"",INDEX(テーブル2[[学年]:[判定]],MATCH(体力優良証交付申請書!$A229,入力シート!$AH$6:$AH$505,0),MATCH(体力優良証交付申請書!C$14,テーブル2[[#Headers],[学年]:[得点]],0)))</f>
        <v/>
      </c>
      <c r="D229" s="115" t="str">
        <f>IF($A229&gt;MAX(入力シート!$AH$6:$AH$505),"",INDEX(テーブル2[[学年]:[判定]],MATCH(体力優良証交付申請書!$A229,入力シート!$AH$6:$AH$505,0),MATCH(体力優良証交付申請書!D$14,テーブル2[[#Headers],[学年]:[得点]],0)))</f>
        <v/>
      </c>
      <c r="E229" s="115" t="str">
        <f>IF($A229&gt;MAX(入力シート!$AH$6:$AH$505),"",INDEX(テーブル2[[学年]:[判定]],MATCH(体力優良証交付申請書!$A229,入力シート!$AH$6:$AH$505,0),MATCH(体力優良証交付申請書!E$14,テーブル2[[#Headers],[学年]:[得点]],0)))</f>
        <v/>
      </c>
      <c r="F229" s="115" t="str">
        <f>IF($A229&gt;MAX(入力シート!$AH$6:$AH$505),"",INDEX(テーブル2[[学年]:[判定]],MATCH(体力優良証交付申請書!$A229,入力シート!$AH$6:$AH$505,0),MATCH(体力優良証交付申請書!F$14,テーブル2[[#Headers],[学年]:[得点]],0)))</f>
        <v/>
      </c>
      <c r="G229" s="115" t="str">
        <f>IF($A229&gt;MAX(入力シート!$AH$6:$AH$505),"",INDEX(テーブル2[[学年]:[判定]],MATCH(体力優良証交付申請書!$A229,入力シート!$AH$6:$AH$505,0),MATCH(体力優良証交付申請書!G$14,テーブル2[[#Headers],[学年]:[得点]],0)))</f>
        <v/>
      </c>
      <c r="H229" s="115" t="str">
        <f>IF($A229&gt;MAX(入力シート!$AH$6:$AH$505),"",INDEX(テーブル2[[学年]:[判定]],MATCH(体力優良証交付申請書!$A229,入力シート!$AH$6:$AH$505,0),MATCH(体力優良証交付申請書!H$14,テーブル2[[#Headers],[学年]:[得点]],0)))</f>
        <v/>
      </c>
      <c r="I229" s="115" t="str">
        <f>IF($A229&gt;MAX(入力シート!$AH$6:$AH$505),"",INDEX(テーブル2[[学年]:[判定]],MATCH(体力優良証交付申請書!$A229,入力シート!$AH$6:$AH$505,0),MATCH(体力優良証交付申請書!I$14,テーブル2[[#Headers],[学年]:[得点]],0)))</f>
        <v/>
      </c>
      <c r="J229" s="115" t="str">
        <f>IF($A229&gt;MAX(入力シート!$AH$6:$AH$505),"",INDEX(テーブル2[[学年]:[判定]],MATCH(体力優良証交付申請書!$A229,入力シート!$AH$6:$AH$505,0),MATCH(体力優良証交付申請書!J$14,テーブル2[[#Headers],[学年]:[得点]],0)))</f>
        <v/>
      </c>
      <c r="K229" s="129" t="str">
        <f>IF($A229&gt;MAX(入力シート!$AH$6:$AH$505),"",INDEX(テーブル2[[学年]:[判定]],MATCH(体力優良証交付申請書!$A229,入力シート!$AH$6:$AH$505,0),MATCH(体力優良証交付申請書!K$14,テーブル2[[#Headers],[学年]:[得点]],0)))</f>
        <v/>
      </c>
      <c r="L229" s="115" t="str">
        <f>IF($A229&gt;MAX(入力シート!$AH$6:$AH$505),"",INDEX(テーブル2[[学年]:[判定]],MATCH(体力優良証交付申請書!$A229,入力シート!$AH$6:$AH$505,0),MATCH(体力優良証交付申請書!L$14,テーブル2[[#Headers],[学年]:[得点]],0)))</f>
        <v/>
      </c>
      <c r="M229" s="115" t="str">
        <f>IF($A229&gt;MAX(入力シート!$AH$6:$AH$505),"",INDEX(テーブル2[[学年]:[判定]],MATCH(体力優良証交付申請書!$A229,入力シート!$AH$6:$AH$505,0),MATCH(体力優良証交付申請書!M$14,テーブル2[[#Headers],[学年]:[得点]],0)))</f>
        <v/>
      </c>
      <c r="N229" s="27" t="str">
        <f>IF($A229&gt;MAX(入力シート!$AH$6:$AH$505),"",INDEX(テーブル2[[学年]:[判定]],MATCH(体力優良証交付申請書!$A229,入力シート!$AH$6:$AH$505,0),MATCH(体力優良証交付申請書!N$14,テーブル2[[#Headers],[学年]:[得点]],0)))</f>
        <v/>
      </c>
    </row>
    <row r="230" spans="1:14" x14ac:dyDescent="0.15">
      <c r="A230" s="17">
        <v>216</v>
      </c>
      <c r="B230" s="115" t="str">
        <f>IF($A230&gt;MAX(入力シート!$AH$6:$AH$505),"",INDEX(テーブル2[[学年]:[判定]],MATCH(体力優良証交付申請書!$A230,入力シート!$AH$6:$AH$505,0),MATCH(体力優良証交付申請書!B$14,テーブル2[[#Headers],[学年]:[得点]],0)))</f>
        <v/>
      </c>
      <c r="C230" s="115" t="str">
        <f>IF($A230&gt;MAX(入力シート!$AH$6:$AH$505),"",INDEX(テーブル2[[学年]:[判定]],MATCH(体力優良証交付申請書!$A230,入力シート!$AH$6:$AH$505,0),MATCH(体力優良証交付申請書!C$14,テーブル2[[#Headers],[学年]:[得点]],0)))</f>
        <v/>
      </c>
      <c r="D230" s="115" t="str">
        <f>IF($A230&gt;MAX(入力シート!$AH$6:$AH$505),"",INDEX(テーブル2[[学年]:[判定]],MATCH(体力優良証交付申請書!$A230,入力シート!$AH$6:$AH$505,0),MATCH(体力優良証交付申請書!D$14,テーブル2[[#Headers],[学年]:[得点]],0)))</f>
        <v/>
      </c>
      <c r="E230" s="115" t="str">
        <f>IF($A230&gt;MAX(入力シート!$AH$6:$AH$505),"",INDEX(テーブル2[[学年]:[判定]],MATCH(体力優良証交付申請書!$A230,入力シート!$AH$6:$AH$505,0),MATCH(体力優良証交付申請書!E$14,テーブル2[[#Headers],[学年]:[得点]],0)))</f>
        <v/>
      </c>
      <c r="F230" s="115" t="str">
        <f>IF($A230&gt;MAX(入力シート!$AH$6:$AH$505),"",INDEX(テーブル2[[学年]:[判定]],MATCH(体力優良証交付申請書!$A230,入力シート!$AH$6:$AH$505,0),MATCH(体力優良証交付申請書!F$14,テーブル2[[#Headers],[学年]:[得点]],0)))</f>
        <v/>
      </c>
      <c r="G230" s="115" t="str">
        <f>IF($A230&gt;MAX(入力シート!$AH$6:$AH$505),"",INDEX(テーブル2[[学年]:[判定]],MATCH(体力優良証交付申請書!$A230,入力シート!$AH$6:$AH$505,0),MATCH(体力優良証交付申請書!G$14,テーブル2[[#Headers],[学年]:[得点]],0)))</f>
        <v/>
      </c>
      <c r="H230" s="115" t="str">
        <f>IF($A230&gt;MAX(入力シート!$AH$6:$AH$505),"",INDEX(テーブル2[[学年]:[判定]],MATCH(体力優良証交付申請書!$A230,入力シート!$AH$6:$AH$505,0),MATCH(体力優良証交付申請書!H$14,テーブル2[[#Headers],[学年]:[得点]],0)))</f>
        <v/>
      </c>
      <c r="I230" s="115" t="str">
        <f>IF($A230&gt;MAX(入力シート!$AH$6:$AH$505),"",INDEX(テーブル2[[学年]:[判定]],MATCH(体力優良証交付申請書!$A230,入力シート!$AH$6:$AH$505,0),MATCH(体力優良証交付申請書!I$14,テーブル2[[#Headers],[学年]:[得点]],0)))</f>
        <v/>
      </c>
      <c r="J230" s="115" t="str">
        <f>IF($A230&gt;MAX(入力シート!$AH$6:$AH$505),"",INDEX(テーブル2[[学年]:[判定]],MATCH(体力優良証交付申請書!$A230,入力シート!$AH$6:$AH$505,0),MATCH(体力優良証交付申請書!J$14,テーブル2[[#Headers],[学年]:[得点]],0)))</f>
        <v/>
      </c>
      <c r="K230" s="129" t="str">
        <f>IF($A230&gt;MAX(入力シート!$AH$6:$AH$505),"",INDEX(テーブル2[[学年]:[判定]],MATCH(体力優良証交付申請書!$A230,入力シート!$AH$6:$AH$505,0),MATCH(体力優良証交付申請書!K$14,テーブル2[[#Headers],[学年]:[得点]],0)))</f>
        <v/>
      </c>
      <c r="L230" s="115" t="str">
        <f>IF($A230&gt;MAX(入力シート!$AH$6:$AH$505),"",INDEX(テーブル2[[学年]:[判定]],MATCH(体力優良証交付申請書!$A230,入力シート!$AH$6:$AH$505,0),MATCH(体力優良証交付申請書!L$14,テーブル2[[#Headers],[学年]:[得点]],0)))</f>
        <v/>
      </c>
      <c r="M230" s="115" t="str">
        <f>IF($A230&gt;MAX(入力シート!$AH$6:$AH$505),"",INDEX(テーブル2[[学年]:[判定]],MATCH(体力優良証交付申請書!$A230,入力シート!$AH$6:$AH$505,0),MATCH(体力優良証交付申請書!M$14,テーブル2[[#Headers],[学年]:[得点]],0)))</f>
        <v/>
      </c>
      <c r="N230" s="27" t="str">
        <f>IF($A230&gt;MAX(入力シート!$AH$6:$AH$505),"",INDEX(テーブル2[[学年]:[判定]],MATCH(体力優良証交付申請書!$A230,入力シート!$AH$6:$AH$505,0),MATCH(体力優良証交付申請書!N$14,テーブル2[[#Headers],[学年]:[得点]],0)))</f>
        <v/>
      </c>
    </row>
    <row r="231" spans="1:14" x14ac:dyDescent="0.15">
      <c r="A231" s="17">
        <v>217</v>
      </c>
      <c r="B231" s="115" t="str">
        <f>IF($A231&gt;MAX(入力シート!$AH$6:$AH$505),"",INDEX(テーブル2[[学年]:[判定]],MATCH(体力優良証交付申請書!$A231,入力シート!$AH$6:$AH$505,0),MATCH(体力優良証交付申請書!B$14,テーブル2[[#Headers],[学年]:[得点]],0)))</f>
        <v/>
      </c>
      <c r="C231" s="115" t="str">
        <f>IF($A231&gt;MAX(入力シート!$AH$6:$AH$505),"",INDEX(テーブル2[[学年]:[判定]],MATCH(体力優良証交付申請書!$A231,入力シート!$AH$6:$AH$505,0),MATCH(体力優良証交付申請書!C$14,テーブル2[[#Headers],[学年]:[得点]],0)))</f>
        <v/>
      </c>
      <c r="D231" s="115" t="str">
        <f>IF($A231&gt;MAX(入力シート!$AH$6:$AH$505),"",INDEX(テーブル2[[学年]:[判定]],MATCH(体力優良証交付申請書!$A231,入力シート!$AH$6:$AH$505,0),MATCH(体力優良証交付申請書!D$14,テーブル2[[#Headers],[学年]:[得点]],0)))</f>
        <v/>
      </c>
      <c r="E231" s="115" t="str">
        <f>IF($A231&gt;MAX(入力シート!$AH$6:$AH$505),"",INDEX(テーブル2[[学年]:[判定]],MATCH(体力優良証交付申請書!$A231,入力シート!$AH$6:$AH$505,0),MATCH(体力優良証交付申請書!E$14,テーブル2[[#Headers],[学年]:[得点]],0)))</f>
        <v/>
      </c>
      <c r="F231" s="115" t="str">
        <f>IF($A231&gt;MAX(入力シート!$AH$6:$AH$505),"",INDEX(テーブル2[[学年]:[判定]],MATCH(体力優良証交付申請書!$A231,入力シート!$AH$6:$AH$505,0),MATCH(体力優良証交付申請書!F$14,テーブル2[[#Headers],[学年]:[得点]],0)))</f>
        <v/>
      </c>
      <c r="G231" s="115" t="str">
        <f>IF($A231&gt;MAX(入力シート!$AH$6:$AH$505),"",INDEX(テーブル2[[学年]:[判定]],MATCH(体力優良証交付申請書!$A231,入力シート!$AH$6:$AH$505,0),MATCH(体力優良証交付申請書!G$14,テーブル2[[#Headers],[学年]:[得点]],0)))</f>
        <v/>
      </c>
      <c r="H231" s="115" t="str">
        <f>IF($A231&gt;MAX(入力シート!$AH$6:$AH$505),"",INDEX(テーブル2[[学年]:[判定]],MATCH(体力優良証交付申請書!$A231,入力シート!$AH$6:$AH$505,0),MATCH(体力優良証交付申請書!H$14,テーブル2[[#Headers],[学年]:[得点]],0)))</f>
        <v/>
      </c>
      <c r="I231" s="115" t="str">
        <f>IF($A231&gt;MAX(入力シート!$AH$6:$AH$505),"",INDEX(テーブル2[[学年]:[判定]],MATCH(体力優良証交付申請書!$A231,入力シート!$AH$6:$AH$505,0),MATCH(体力優良証交付申請書!I$14,テーブル2[[#Headers],[学年]:[得点]],0)))</f>
        <v/>
      </c>
      <c r="J231" s="115" t="str">
        <f>IF($A231&gt;MAX(入力シート!$AH$6:$AH$505),"",INDEX(テーブル2[[学年]:[判定]],MATCH(体力優良証交付申請書!$A231,入力シート!$AH$6:$AH$505,0),MATCH(体力優良証交付申請書!J$14,テーブル2[[#Headers],[学年]:[得点]],0)))</f>
        <v/>
      </c>
      <c r="K231" s="129" t="str">
        <f>IF($A231&gt;MAX(入力シート!$AH$6:$AH$505),"",INDEX(テーブル2[[学年]:[判定]],MATCH(体力優良証交付申請書!$A231,入力シート!$AH$6:$AH$505,0),MATCH(体力優良証交付申請書!K$14,テーブル2[[#Headers],[学年]:[得点]],0)))</f>
        <v/>
      </c>
      <c r="L231" s="115" t="str">
        <f>IF($A231&gt;MAX(入力シート!$AH$6:$AH$505),"",INDEX(テーブル2[[学年]:[判定]],MATCH(体力優良証交付申請書!$A231,入力シート!$AH$6:$AH$505,0),MATCH(体力優良証交付申請書!L$14,テーブル2[[#Headers],[学年]:[得点]],0)))</f>
        <v/>
      </c>
      <c r="M231" s="115" t="str">
        <f>IF($A231&gt;MAX(入力シート!$AH$6:$AH$505),"",INDEX(テーブル2[[学年]:[判定]],MATCH(体力優良証交付申請書!$A231,入力シート!$AH$6:$AH$505,0),MATCH(体力優良証交付申請書!M$14,テーブル2[[#Headers],[学年]:[得点]],0)))</f>
        <v/>
      </c>
      <c r="N231" s="27" t="str">
        <f>IF($A231&gt;MAX(入力シート!$AH$6:$AH$505),"",INDEX(テーブル2[[学年]:[判定]],MATCH(体力優良証交付申請書!$A231,入力シート!$AH$6:$AH$505,0),MATCH(体力優良証交付申請書!N$14,テーブル2[[#Headers],[学年]:[得点]],0)))</f>
        <v/>
      </c>
    </row>
    <row r="232" spans="1:14" x14ac:dyDescent="0.15">
      <c r="A232" s="17">
        <v>218</v>
      </c>
      <c r="B232" s="115" t="str">
        <f>IF($A232&gt;MAX(入力シート!$AH$6:$AH$505),"",INDEX(テーブル2[[学年]:[判定]],MATCH(体力優良証交付申請書!$A232,入力シート!$AH$6:$AH$505,0),MATCH(体力優良証交付申請書!B$14,テーブル2[[#Headers],[学年]:[得点]],0)))</f>
        <v/>
      </c>
      <c r="C232" s="115" t="str">
        <f>IF($A232&gt;MAX(入力シート!$AH$6:$AH$505),"",INDEX(テーブル2[[学年]:[判定]],MATCH(体力優良証交付申請書!$A232,入力シート!$AH$6:$AH$505,0),MATCH(体力優良証交付申請書!C$14,テーブル2[[#Headers],[学年]:[得点]],0)))</f>
        <v/>
      </c>
      <c r="D232" s="115" t="str">
        <f>IF($A232&gt;MAX(入力シート!$AH$6:$AH$505),"",INDEX(テーブル2[[学年]:[判定]],MATCH(体力優良証交付申請書!$A232,入力シート!$AH$6:$AH$505,0),MATCH(体力優良証交付申請書!D$14,テーブル2[[#Headers],[学年]:[得点]],0)))</f>
        <v/>
      </c>
      <c r="E232" s="115" t="str">
        <f>IF($A232&gt;MAX(入力シート!$AH$6:$AH$505),"",INDEX(テーブル2[[学年]:[判定]],MATCH(体力優良証交付申請書!$A232,入力シート!$AH$6:$AH$505,0),MATCH(体力優良証交付申請書!E$14,テーブル2[[#Headers],[学年]:[得点]],0)))</f>
        <v/>
      </c>
      <c r="F232" s="115" t="str">
        <f>IF($A232&gt;MAX(入力シート!$AH$6:$AH$505),"",INDEX(テーブル2[[学年]:[判定]],MATCH(体力優良証交付申請書!$A232,入力シート!$AH$6:$AH$505,0),MATCH(体力優良証交付申請書!F$14,テーブル2[[#Headers],[学年]:[得点]],0)))</f>
        <v/>
      </c>
      <c r="G232" s="115" t="str">
        <f>IF($A232&gt;MAX(入力シート!$AH$6:$AH$505),"",INDEX(テーブル2[[学年]:[判定]],MATCH(体力優良証交付申請書!$A232,入力シート!$AH$6:$AH$505,0),MATCH(体力優良証交付申請書!G$14,テーブル2[[#Headers],[学年]:[得点]],0)))</f>
        <v/>
      </c>
      <c r="H232" s="115" t="str">
        <f>IF($A232&gt;MAX(入力シート!$AH$6:$AH$505),"",INDEX(テーブル2[[学年]:[判定]],MATCH(体力優良証交付申請書!$A232,入力シート!$AH$6:$AH$505,0),MATCH(体力優良証交付申請書!H$14,テーブル2[[#Headers],[学年]:[得点]],0)))</f>
        <v/>
      </c>
      <c r="I232" s="115" t="str">
        <f>IF($A232&gt;MAX(入力シート!$AH$6:$AH$505),"",INDEX(テーブル2[[学年]:[判定]],MATCH(体力優良証交付申請書!$A232,入力シート!$AH$6:$AH$505,0),MATCH(体力優良証交付申請書!I$14,テーブル2[[#Headers],[学年]:[得点]],0)))</f>
        <v/>
      </c>
      <c r="J232" s="115" t="str">
        <f>IF($A232&gt;MAX(入力シート!$AH$6:$AH$505),"",INDEX(テーブル2[[学年]:[判定]],MATCH(体力優良証交付申請書!$A232,入力シート!$AH$6:$AH$505,0),MATCH(体力優良証交付申請書!J$14,テーブル2[[#Headers],[学年]:[得点]],0)))</f>
        <v/>
      </c>
      <c r="K232" s="129" t="str">
        <f>IF($A232&gt;MAX(入力シート!$AH$6:$AH$505),"",INDEX(テーブル2[[学年]:[判定]],MATCH(体力優良証交付申請書!$A232,入力シート!$AH$6:$AH$505,0),MATCH(体力優良証交付申請書!K$14,テーブル2[[#Headers],[学年]:[得点]],0)))</f>
        <v/>
      </c>
      <c r="L232" s="115" t="str">
        <f>IF($A232&gt;MAX(入力シート!$AH$6:$AH$505),"",INDEX(テーブル2[[学年]:[判定]],MATCH(体力優良証交付申請書!$A232,入力シート!$AH$6:$AH$505,0),MATCH(体力優良証交付申請書!L$14,テーブル2[[#Headers],[学年]:[得点]],0)))</f>
        <v/>
      </c>
      <c r="M232" s="115" t="str">
        <f>IF($A232&gt;MAX(入力シート!$AH$6:$AH$505),"",INDEX(テーブル2[[学年]:[判定]],MATCH(体力優良証交付申請書!$A232,入力シート!$AH$6:$AH$505,0),MATCH(体力優良証交付申請書!M$14,テーブル2[[#Headers],[学年]:[得点]],0)))</f>
        <v/>
      </c>
      <c r="N232" s="27" t="str">
        <f>IF($A232&gt;MAX(入力シート!$AH$6:$AH$505),"",INDEX(テーブル2[[学年]:[判定]],MATCH(体力優良証交付申請書!$A232,入力シート!$AH$6:$AH$505,0),MATCH(体力優良証交付申請書!N$14,テーブル2[[#Headers],[学年]:[得点]],0)))</f>
        <v/>
      </c>
    </row>
    <row r="233" spans="1:14" x14ac:dyDescent="0.15">
      <c r="A233" s="17">
        <v>219</v>
      </c>
      <c r="B233" s="115" t="str">
        <f>IF($A233&gt;MAX(入力シート!$AH$6:$AH$505),"",INDEX(テーブル2[[学年]:[判定]],MATCH(体力優良証交付申請書!$A233,入力シート!$AH$6:$AH$505,0),MATCH(体力優良証交付申請書!B$14,テーブル2[[#Headers],[学年]:[得点]],0)))</f>
        <v/>
      </c>
      <c r="C233" s="115" t="str">
        <f>IF($A233&gt;MAX(入力シート!$AH$6:$AH$505),"",INDEX(テーブル2[[学年]:[判定]],MATCH(体力優良証交付申請書!$A233,入力シート!$AH$6:$AH$505,0),MATCH(体力優良証交付申請書!C$14,テーブル2[[#Headers],[学年]:[得点]],0)))</f>
        <v/>
      </c>
      <c r="D233" s="115" t="str">
        <f>IF($A233&gt;MAX(入力シート!$AH$6:$AH$505),"",INDEX(テーブル2[[学年]:[判定]],MATCH(体力優良証交付申請書!$A233,入力シート!$AH$6:$AH$505,0),MATCH(体力優良証交付申請書!D$14,テーブル2[[#Headers],[学年]:[得点]],0)))</f>
        <v/>
      </c>
      <c r="E233" s="115" t="str">
        <f>IF($A233&gt;MAX(入力シート!$AH$6:$AH$505),"",INDEX(テーブル2[[学年]:[判定]],MATCH(体力優良証交付申請書!$A233,入力シート!$AH$6:$AH$505,0),MATCH(体力優良証交付申請書!E$14,テーブル2[[#Headers],[学年]:[得点]],0)))</f>
        <v/>
      </c>
      <c r="F233" s="115" t="str">
        <f>IF($A233&gt;MAX(入力シート!$AH$6:$AH$505),"",INDEX(テーブル2[[学年]:[判定]],MATCH(体力優良証交付申請書!$A233,入力シート!$AH$6:$AH$505,0),MATCH(体力優良証交付申請書!F$14,テーブル2[[#Headers],[学年]:[得点]],0)))</f>
        <v/>
      </c>
      <c r="G233" s="115" t="str">
        <f>IF($A233&gt;MAX(入力シート!$AH$6:$AH$505),"",INDEX(テーブル2[[学年]:[判定]],MATCH(体力優良証交付申請書!$A233,入力シート!$AH$6:$AH$505,0),MATCH(体力優良証交付申請書!G$14,テーブル2[[#Headers],[学年]:[得点]],0)))</f>
        <v/>
      </c>
      <c r="H233" s="115" t="str">
        <f>IF($A233&gt;MAX(入力シート!$AH$6:$AH$505),"",INDEX(テーブル2[[学年]:[判定]],MATCH(体力優良証交付申請書!$A233,入力シート!$AH$6:$AH$505,0),MATCH(体力優良証交付申請書!H$14,テーブル2[[#Headers],[学年]:[得点]],0)))</f>
        <v/>
      </c>
      <c r="I233" s="115" t="str">
        <f>IF($A233&gt;MAX(入力シート!$AH$6:$AH$505),"",INDEX(テーブル2[[学年]:[判定]],MATCH(体力優良証交付申請書!$A233,入力シート!$AH$6:$AH$505,0),MATCH(体力優良証交付申請書!I$14,テーブル2[[#Headers],[学年]:[得点]],0)))</f>
        <v/>
      </c>
      <c r="J233" s="115" t="str">
        <f>IF($A233&gt;MAX(入力シート!$AH$6:$AH$505),"",INDEX(テーブル2[[学年]:[判定]],MATCH(体力優良証交付申請書!$A233,入力シート!$AH$6:$AH$505,0),MATCH(体力優良証交付申請書!J$14,テーブル2[[#Headers],[学年]:[得点]],0)))</f>
        <v/>
      </c>
      <c r="K233" s="129" t="str">
        <f>IF($A233&gt;MAX(入力シート!$AH$6:$AH$505),"",INDEX(テーブル2[[学年]:[判定]],MATCH(体力優良証交付申請書!$A233,入力シート!$AH$6:$AH$505,0),MATCH(体力優良証交付申請書!K$14,テーブル2[[#Headers],[学年]:[得点]],0)))</f>
        <v/>
      </c>
      <c r="L233" s="115" t="str">
        <f>IF($A233&gt;MAX(入力シート!$AH$6:$AH$505),"",INDEX(テーブル2[[学年]:[判定]],MATCH(体力優良証交付申請書!$A233,入力シート!$AH$6:$AH$505,0),MATCH(体力優良証交付申請書!L$14,テーブル2[[#Headers],[学年]:[得点]],0)))</f>
        <v/>
      </c>
      <c r="M233" s="115" t="str">
        <f>IF($A233&gt;MAX(入力シート!$AH$6:$AH$505),"",INDEX(テーブル2[[学年]:[判定]],MATCH(体力優良証交付申請書!$A233,入力シート!$AH$6:$AH$505,0),MATCH(体力優良証交付申請書!M$14,テーブル2[[#Headers],[学年]:[得点]],0)))</f>
        <v/>
      </c>
      <c r="N233" s="27" t="str">
        <f>IF($A233&gt;MAX(入力シート!$AH$6:$AH$505),"",INDEX(テーブル2[[学年]:[判定]],MATCH(体力優良証交付申請書!$A233,入力シート!$AH$6:$AH$505,0),MATCH(体力優良証交付申請書!N$14,テーブル2[[#Headers],[学年]:[得点]],0)))</f>
        <v/>
      </c>
    </row>
    <row r="234" spans="1:14" x14ac:dyDescent="0.15">
      <c r="A234" s="17">
        <v>220</v>
      </c>
      <c r="B234" s="115" t="str">
        <f>IF($A234&gt;MAX(入力シート!$AH$6:$AH$505),"",INDEX(テーブル2[[学年]:[判定]],MATCH(体力優良証交付申請書!$A234,入力シート!$AH$6:$AH$505,0),MATCH(体力優良証交付申請書!B$14,テーブル2[[#Headers],[学年]:[得点]],0)))</f>
        <v/>
      </c>
      <c r="C234" s="115" t="str">
        <f>IF($A234&gt;MAX(入力シート!$AH$6:$AH$505),"",INDEX(テーブル2[[学年]:[判定]],MATCH(体力優良証交付申請書!$A234,入力シート!$AH$6:$AH$505,0),MATCH(体力優良証交付申請書!C$14,テーブル2[[#Headers],[学年]:[得点]],0)))</f>
        <v/>
      </c>
      <c r="D234" s="115" t="str">
        <f>IF($A234&gt;MAX(入力シート!$AH$6:$AH$505),"",INDEX(テーブル2[[学年]:[判定]],MATCH(体力優良証交付申請書!$A234,入力シート!$AH$6:$AH$505,0),MATCH(体力優良証交付申請書!D$14,テーブル2[[#Headers],[学年]:[得点]],0)))</f>
        <v/>
      </c>
      <c r="E234" s="115" t="str">
        <f>IF($A234&gt;MAX(入力シート!$AH$6:$AH$505),"",INDEX(テーブル2[[学年]:[判定]],MATCH(体力優良証交付申請書!$A234,入力シート!$AH$6:$AH$505,0),MATCH(体力優良証交付申請書!E$14,テーブル2[[#Headers],[学年]:[得点]],0)))</f>
        <v/>
      </c>
      <c r="F234" s="115" t="str">
        <f>IF($A234&gt;MAX(入力シート!$AH$6:$AH$505),"",INDEX(テーブル2[[学年]:[判定]],MATCH(体力優良証交付申請書!$A234,入力シート!$AH$6:$AH$505,0),MATCH(体力優良証交付申請書!F$14,テーブル2[[#Headers],[学年]:[得点]],0)))</f>
        <v/>
      </c>
      <c r="G234" s="115" t="str">
        <f>IF($A234&gt;MAX(入力シート!$AH$6:$AH$505),"",INDEX(テーブル2[[学年]:[判定]],MATCH(体力優良証交付申請書!$A234,入力シート!$AH$6:$AH$505,0),MATCH(体力優良証交付申請書!G$14,テーブル2[[#Headers],[学年]:[得点]],0)))</f>
        <v/>
      </c>
      <c r="H234" s="115" t="str">
        <f>IF($A234&gt;MAX(入力シート!$AH$6:$AH$505),"",INDEX(テーブル2[[学年]:[判定]],MATCH(体力優良証交付申請書!$A234,入力シート!$AH$6:$AH$505,0),MATCH(体力優良証交付申請書!H$14,テーブル2[[#Headers],[学年]:[得点]],0)))</f>
        <v/>
      </c>
      <c r="I234" s="115" t="str">
        <f>IF($A234&gt;MAX(入力シート!$AH$6:$AH$505),"",INDEX(テーブル2[[学年]:[判定]],MATCH(体力優良証交付申請書!$A234,入力シート!$AH$6:$AH$505,0),MATCH(体力優良証交付申請書!I$14,テーブル2[[#Headers],[学年]:[得点]],0)))</f>
        <v/>
      </c>
      <c r="J234" s="115" t="str">
        <f>IF($A234&gt;MAX(入力シート!$AH$6:$AH$505),"",INDEX(テーブル2[[学年]:[判定]],MATCH(体力優良証交付申請書!$A234,入力シート!$AH$6:$AH$505,0),MATCH(体力優良証交付申請書!J$14,テーブル2[[#Headers],[学年]:[得点]],0)))</f>
        <v/>
      </c>
      <c r="K234" s="129" t="str">
        <f>IF($A234&gt;MAX(入力シート!$AH$6:$AH$505),"",INDEX(テーブル2[[学年]:[判定]],MATCH(体力優良証交付申請書!$A234,入力シート!$AH$6:$AH$505,0),MATCH(体力優良証交付申請書!K$14,テーブル2[[#Headers],[学年]:[得点]],0)))</f>
        <v/>
      </c>
      <c r="L234" s="115" t="str">
        <f>IF($A234&gt;MAX(入力シート!$AH$6:$AH$505),"",INDEX(テーブル2[[学年]:[判定]],MATCH(体力優良証交付申請書!$A234,入力シート!$AH$6:$AH$505,0),MATCH(体力優良証交付申請書!L$14,テーブル2[[#Headers],[学年]:[得点]],0)))</f>
        <v/>
      </c>
      <c r="M234" s="115" t="str">
        <f>IF($A234&gt;MAX(入力シート!$AH$6:$AH$505),"",INDEX(テーブル2[[学年]:[判定]],MATCH(体力優良証交付申請書!$A234,入力シート!$AH$6:$AH$505,0),MATCH(体力優良証交付申請書!M$14,テーブル2[[#Headers],[学年]:[得点]],0)))</f>
        <v/>
      </c>
      <c r="N234" s="27" t="str">
        <f>IF($A234&gt;MAX(入力シート!$AH$6:$AH$505),"",INDEX(テーブル2[[学年]:[判定]],MATCH(体力優良証交付申請書!$A234,入力シート!$AH$6:$AH$505,0),MATCH(体力優良証交付申請書!N$14,テーブル2[[#Headers],[学年]:[得点]],0)))</f>
        <v/>
      </c>
    </row>
    <row r="235" spans="1:14" x14ac:dyDescent="0.15">
      <c r="A235" s="17">
        <v>221</v>
      </c>
      <c r="B235" s="115" t="str">
        <f>IF($A235&gt;MAX(入力シート!$AH$6:$AH$505),"",INDEX(テーブル2[[学年]:[判定]],MATCH(体力優良証交付申請書!$A235,入力シート!$AH$6:$AH$505,0),MATCH(体力優良証交付申請書!B$14,テーブル2[[#Headers],[学年]:[得点]],0)))</f>
        <v/>
      </c>
      <c r="C235" s="115" t="str">
        <f>IF($A235&gt;MAX(入力シート!$AH$6:$AH$505),"",INDEX(テーブル2[[学年]:[判定]],MATCH(体力優良証交付申請書!$A235,入力シート!$AH$6:$AH$505,0),MATCH(体力優良証交付申請書!C$14,テーブル2[[#Headers],[学年]:[得点]],0)))</f>
        <v/>
      </c>
      <c r="D235" s="115" t="str">
        <f>IF($A235&gt;MAX(入力シート!$AH$6:$AH$505),"",INDEX(テーブル2[[学年]:[判定]],MATCH(体力優良証交付申請書!$A235,入力シート!$AH$6:$AH$505,0),MATCH(体力優良証交付申請書!D$14,テーブル2[[#Headers],[学年]:[得点]],0)))</f>
        <v/>
      </c>
      <c r="E235" s="115" t="str">
        <f>IF($A235&gt;MAX(入力シート!$AH$6:$AH$505),"",INDEX(テーブル2[[学年]:[判定]],MATCH(体力優良証交付申請書!$A235,入力シート!$AH$6:$AH$505,0),MATCH(体力優良証交付申請書!E$14,テーブル2[[#Headers],[学年]:[得点]],0)))</f>
        <v/>
      </c>
      <c r="F235" s="115" t="str">
        <f>IF($A235&gt;MAX(入力シート!$AH$6:$AH$505),"",INDEX(テーブル2[[学年]:[判定]],MATCH(体力優良証交付申請書!$A235,入力シート!$AH$6:$AH$505,0),MATCH(体力優良証交付申請書!F$14,テーブル2[[#Headers],[学年]:[得点]],0)))</f>
        <v/>
      </c>
      <c r="G235" s="115" t="str">
        <f>IF($A235&gt;MAX(入力シート!$AH$6:$AH$505),"",INDEX(テーブル2[[学年]:[判定]],MATCH(体力優良証交付申請書!$A235,入力シート!$AH$6:$AH$505,0),MATCH(体力優良証交付申請書!G$14,テーブル2[[#Headers],[学年]:[得点]],0)))</f>
        <v/>
      </c>
      <c r="H235" s="115" t="str">
        <f>IF($A235&gt;MAX(入力シート!$AH$6:$AH$505),"",INDEX(テーブル2[[学年]:[判定]],MATCH(体力優良証交付申請書!$A235,入力シート!$AH$6:$AH$505,0),MATCH(体力優良証交付申請書!H$14,テーブル2[[#Headers],[学年]:[得点]],0)))</f>
        <v/>
      </c>
      <c r="I235" s="115" t="str">
        <f>IF($A235&gt;MAX(入力シート!$AH$6:$AH$505),"",INDEX(テーブル2[[学年]:[判定]],MATCH(体力優良証交付申請書!$A235,入力シート!$AH$6:$AH$505,0),MATCH(体力優良証交付申請書!I$14,テーブル2[[#Headers],[学年]:[得点]],0)))</f>
        <v/>
      </c>
      <c r="J235" s="115" t="str">
        <f>IF($A235&gt;MAX(入力シート!$AH$6:$AH$505),"",INDEX(テーブル2[[学年]:[判定]],MATCH(体力優良証交付申請書!$A235,入力シート!$AH$6:$AH$505,0),MATCH(体力優良証交付申請書!J$14,テーブル2[[#Headers],[学年]:[得点]],0)))</f>
        <v/>
      </c>
      <c r="K235" s="129" t="str">
        <f>IF($A235&gt;MAX(入力シート!$AH$6:$AH$505),"",INDEX(テーブル2[[学年]:[判定]],MATCH(体力優良証交付申請書!$A235,入力シート!$AH$6:$AH$505,0),MATCH(体力優良証交付申請書!K$14,テーブル2[[#Headers],[学年]:[得点]],0)))</f>
        <v/>
      </c>
      <c r="L235" s="115" t="str">
        <f>IF($A235&gt;MAX(入力シート!$AH$6:$AH$505),"",INDEX(テーブル2[[学年]:[判定]],MATCH(体力優良証交付申請書!$A235,入力シート!$AH$6:$AH$505,0),MATCH(体力優良証交付申請書!L$14,テーブル2[[#Headers],[学年]:[得点]],0)))</f>
        <v/>
      </c>
      <c r="M235" s="115" t="str">
        <f>IF($A235&gt;MAX(入力シート!$AH$6:$AH$505),"",INDEX(テーブル2[[学年]:[判定]],MATCH(体力優良証交付申請書!$A235,入力シート!$AH$6:$AH$505,0),MATCH(体力優良証交付申請書!M$14,テーブル2[[#Headers],[学年]:[得点]],0)))</f>
        <v/>
      </c>
      <c r="N235" s="27" t="str">
        <f>IF($A235&gt;MAX(入力シート!$AH$6:$AH$505),"",INDEX(テーブル2[[学年]:[判定]],MATCH(体力優良証交付申請書!$A235,入力シート!$AH$6:$AH$505,0),MATCH(体力優良証交付申請書!N$14,テーブル2[[#Headers],[学年]:[得点]],0)))</f>
        <v/>
      </c>
    </row>
    <row r="236" spans="1:14" x14ac:dyDescent="0.15">
      <c r="A236" s="17">
        <v>222</v>
      </c>
      <c r="B236" s="115" t="str">
        <f>IF($A236&gt;MAX(入力シート!$AH$6:$AH$505),"",INDEX(テーブル2[[学年]:[判定]],MATCH(体力優良証交付申請書!$A236,入力シート!$AH$6:$AH$505,0),MATCH(体力優良証交付申請書!B$14,テーブル2[[#Headers],[学年]:[得点]],0)))</f>
        <v/>
      </c>
      <c r="C236" s="115" t="str">
        <f>IF($A236&gt;MAX(入力シート!$AH$6:$AH$505),"",INDEX(テーブル2[[学年]:[判定]],MATCH(体力優良証交付申請書!$A236,入力シート!$AH$6:$AH$505,0),MATCH(体力優良証交付申請書!C$14,テーブル2[[#Headers],[学年]:[得点]],0)))</f>
        <v/>
      </c>
      <c r="D236" s="115" t="str">
        <f>IF($A236&gt;MAX(入力シート!$AH$6:$AH$505),"",INDEX(テーブル2[[学年]:[判定]],MATCH(体力優良証交付申請書!$A236,入力シート!$AH$6:$AH$505,0),MATCH(体力優良証交付申請書!D$14,テーブル2[[#Headers],[学年]:[得点]],0)))</f>
        <v/>
      </c>
      <c r="E236" s="115" t="str">
        <f>IF($A236&gt;MAX(入力シート!$AH$6:$AH$505),"",INDEX(テーブル2[[学年]:[判定]],MATCH(体力優良証交付申請書!$A236,入力シート!$AH$6:$AH$505,0),MATCH(体力優良証交付申請書!E$14,テーブル2[[#Headers],[学年]:[得点]],0)))</f>
        <v/>
      </c>
      <c r="F236" s="115" t="str">
        <f>IF($A236&gt;MAX(入力シート!$AH$6:$AH$505),"",INDEX(テーブル2[[学年]:[判定]],MATCH(体力優良証交付申請書!$A236,入力シート!$AH$6:$AH$505,0),MATCH(体力優良証交付申請書!F$14,テーブル2[[#Headers],[学年]:[得点]],0)))</f>
        <v/>
      </c>
      <c r="G236" s="115" t="str">
        <f>IF($A236&gt;MAX(入力シート!$AH$6:$AH$505),"",INDEX(テーブル2[[学年]:[判定]],MATCH(体力優良証交付申請書!$A236,入力シート!$AH$6:$AH$505,0),MATCH(体力優良証交付申請書!G$14,テーブル2[[#Headers],[学年]:[得点]],0)))</f>
        <v/>
      </c>
      <c r="H236" s="115" t="str">
        <f>IF($A236&gt;MAX(入力シート!$AH$6:$AH$505),"",INDEX(テーブル2[[学年]:[判定]],MATCH(体力優良証交付申請書!$A236,入力シート!$AH$6:$AH$505,0),MATCH(体力優良証交付申請書!H$14,テーブル2[[#Headers],[学年]:[得点]],0)))</f>
        <v/>
      </c>
      <c r="I236" s="115" t="str">
        <f>IF($A236&gt;MAX(入力シート!$AH$6:$AH$505),"",INDEX(テーブル2[[学年]:[判定]],MATCH(体力優良証交付申請書!$A236,入力シート!$AH$6:$AH$505,0),MATCH(体力優良証交付申請書!I$14,テーブル2[[#Headers],[学年]:[得点]],0)))</f>
        <v/>
      </c>
      <c r="J236" s="115" t="str">
        <f>IF($A236&gt;MAX(入力シート!$AH$6:$AH$505),"",INDEX(テーブル2[[学年]:[判定]],MATCH(体力優良証交付申請書!$A236,入力シート!$AH$6:$AH$505,0),MATCH(体力優良証交付申請書!J$14,テーブル2[[#Headers],[学年]:[得点]],0)))</f>
        <v/>
      </c>
      <c r="K236" s="129" t="str">
        <f>IF($A236&gt;MAX(入力シート!$AH$6:$AH$505),"",INDEX(テーブル2[[学年]:[判定]],MATCH(体力優良証交付申請書!$A236,入力シート!$AH$6:$AH$505,0),MATCH(体力優良証交付申請書!K$14,テーブル2[[#Headers],[学年]:[得点]],0)))</f>
        <v/>
      </c>
      <c r="L236" s="115" t="str">
        <f>IF($A236&gt;MAX(入力シート!$AH$6:$AH$505),"",INDEX(テーブル2[[学年]:[判定]],MATCH(体力優良証交付申請書!$A236,入力シート!$AH$6:$AH$505,0),MATCH(体力優良証交付申請書!L$14,テーブル2[[#Headers],[学年]:[得点]],0)))</f>
        <v/>
      </c>
      <c r="M236" s="115" t="str">
        <f>IF($A236&gt;MAX(入力シート!$AH$6:$AH$505),"",INDEX(テーブル2[[学年]:[判定]],MATCH(体力優良証交付申請書!$A236,入力シート!$AH$6:$AH$505,0),MATCH(体力優良証交付申請書!M$14,テーブル2[[#Headers],[学年]:[得点]],0)))</f>
        <v/>
      </c>
      <c r="N236" s="27" t="str">
        <f>IF($A236&gt;MAX(入力シート!$AH$6:$AH$505),"",INDEX(テーブル2[[学年]:[判定]],MATCH(体力優良証交付申請書!$A236,入力シート!$AH$6:$AH$505,0),MATCH(体力優良証交付申請書!N$14,テーブル2[[#Headers],[学年]:[得点]],0)))</f>
        <v/>
      </c>
    </row>
    <row r="237" spans="1:14" x14ac:dyDescent="0.15">
      <c r="A237" s="17">
        <v>223</v>
      </c>
      <c r="B237" s="115" t="str">
        <f>IF($A237&gt;MAX(入力シート!$AH$6:$AH$505),"",INDEX(テーブル2[[学年]:[判定]],MATCH(体力優良証交付申請書!$A237,入力シート!$AH$6:$AH$505,0),MATCH(体力優良証交付申請書!B$14,テーブル2[[#Headers],[学年]:[得点]],0)))</f>
        <v/>
      </c>
      <c r="C237" s="115" t="str">
        <f>IF($A237&gt;MAX(入力シート!$AH$6:$AH$505),"",INDEX(テーブル2[[学年]:[判定]],MATCH(体力優良証交付申請書!$A237,入力シート!$AH$6:$AH$505,0),MATCH(体力優良証交付申請書!C$14,テーブル2[[#Headers],[学年]:[得点]],0)))</f>
        <v/>
      </c>
      <c r="D237" s="115" t="str">
        <f>IF($A237&gt;MAX(入力シート!$AH$6:$AH$505),"",INDEX(テーブル2[[学年]:[判定]],MATCH(体力優良証交付申請書!$A237,入力シート!$AH$6:$AH$505,0),MATCH(体力優良証交付申請書!D$14,テーブル2[[#Headers],[学年]:[得点]],0)))</f>
        <v/>
      </c>
      <c r="E237" s="115" t="str">
        <f>IF($A237&gt;MAX(入力シート!$AH$6:$AH$505),"",INDEX(テーブル2[[学年]:[判定]],MATCH(体力優良証交付申請書!$A237,入力シート!$AH$6:$AH$505,0),MATCH(体力優良証交付申請書!E$14,テーブル2[[#Headers],[学年]:[得点]],0)))</f>
        <v/>
      </c>
      <c r="F237" s="115" t="str">
        <f>IF($A237&gt;MAX(入力シート!$AH$6:$AH$505),"",INDEX(テーブル2[[学年]:[判定]],MATCH(体力優良証交付申請書!$A237,入力シート!$AH$6:$AH$505,0),MATCH(体力優良証交付申請書!F$14,テーブル2[[#Headers],[学年]:[得点]],0)))</f>
        <v/>
      </c>
      <c r="G237" s="115" t="str">
        <f>IF($A237&gt;MAX(入力シート!$AH$6:$AH$505),"",INDEX(テーブル2[[学年]:[判定]],MATCH(体力優良証交付申請書!$A237,入力シート!$AH$6:$AH$505,0),MATCH(体力優良証交付申請書!G$14,テーブル2[[#Headers],[学年]:[得点]],0)))</f>
        <v/>
      </c>
      <c r="H237" s="115" t="str">
        <f>IF($A237&gt;MAX(入力シート!$AH$6:$AH$505),"",INDEX(テーブル2[[学年]:[判定]],MATCH(体力優良証交付申請書!$A237,入力シート!$AH$6:$AH$505,0),MATCH(体力優良証交付申請書!H$14,テーブル2[[#Headers],[学年]:[得点]],0)))</f>
        <v/>
      </c>
      <c r="I237" s="115" t="str">
        <f>IF($A237&gt;MAX(入力シート!$AH$6:$AH$505),"",INDEX(テーブル2[[学年]:[判定]],MATCH(体力優良証交付申請書!$A237,入力シート!$AH$6:$AH$505,0),MATCH(体力優良証交付申請書!I$14,テーブル2[[#Headers],[学年]:[得点]],0)))</f>
        <v/>
      </c>
      <c r="J237" s="115" t="str">
        <f>IF($A237&gt;MAX(入力シート!$AH$6:$AH$505),"",INDEX(テーブル2[[学年]:[判定]],MATCH(体力優良証交付申請書!$A237,入力シート!$AH$6:$AH$505,0),MATCH(体力優良証交付申請書!J$14,テーブル2[[#Headers],[学年]:[得点]],0)))</f>
        <v/>
      </c>
      <c r="K237" s="129" t="str">
        <f>IF($A237&gt;MAX(入力シート!$AH$6:$AH$505),"",INDEX(テーブル2[[学年]:[判定]],MATCH(体力優良証交付申請書!$A237,入力シート!$AH$6:$AH$505,0),MATCH(体力優良証交付申請書!K$14,テーブル2[[#Headers],[学年]:[得点]],0)))</f>
        <v/>
      </c>
      <c r="L237" s="115" t="str">
        <f>IF($A237&gt;MAX(入力シート!$AH$6:$AH$505),"",INDEX(テーブル2[[学年]:[判定]],MATCH(体力優良証交付申請書!$A237,入力シート!$AH$6:$AH$505,0),MATCH(体力優良証交付申請書!L$14,テーブル2[[#Headers],[学年]:[得点]],0)))</f>
        <v/>
      </c>
      <c r="M237" s="115" t="str">
        <f>IF($A237&gt;MAX(入力シート!$AH$6:$AH$505),"",INDEX(テーブル2[[学年]:[判定]],MATCH(体力優良証交付申請書!$A237,入力シート!$AH$6:$AH$505,0),MATCH(体力優良証交付申請書!M$14,テーブル2[[#Headers],[学年]:[得点]],0)))</f>
        <v/>
      </c>
      <c r="N237" s="27" t="str">
        <f>IF($A237&gt;MAX(入力シート!$AH$6:$AH$505),"",INDEX(テーブル2[[学年]:[判定]],MATCH(体力優良証交付申請書!$A237,入力シート!$AH$6:$AH$505,0),MATCH(体力優良証交付申請書!N$14,テーブル2[[#Headers],[学年]:[得点]],0)))</f>
        <v/>
      </c>
    </row>
    <row r="238" spans="1:14" x14ac:dyDescent="0.15">
      <c r="A238" s="17">
        <v>224</v>
      </c>
      <c r="B238" s="115" t="str">
        <f>IF($A238&gt;MAX(入力シート!$AH$6:$AH$505),"",INDEX(テーブル2[[学年]:[判定]],MATCH(体力優良証交付申請書!$A238,入力シート!$AH$6:$AH$505,0),MATCH(体力優良証交付申請書!B$14,テーブル2[[#Headers],[学年]:[得点]],0)))</f>
        <v/>
      </c>
      <c r="C238" s="115" t="str">
        <f>IF($A238&gt;MAX(入力シート!$AH$6:$AH$505),"",INDEX(テーブル2[[学年]:[判定]],MATCH(体力優良証交付申請書!$A238,入力シート!$AH$6:$AH$505,0),MATCH(体力優良証交付申請書!C$14,テーブル2[[#Headers],[学年]:[得点]],0)))</f>
        <v/>
      </c>
      <c r="D238" s="115" t="str">
        <f>IF($A238&gt;MAX(入力シート!$AH$6:$AH$505),"",INDEX(テーブル2[[学年]:[判定]],MATCH(体力優良証交付申請書!$A238,入力シート!$AH$6:$AH$505,0),MATCH(体力優良証交付申請書!D$14,テーブル2[[#Headers],[学年]:[得点]],0)))</f>
        <v/>
      </c>
      <c r="E238" s="115" t="str">
        <f>IF($A238&gt;MAX(入力シート!$AH$6:$AH$505),"",INDEX(テーブル2[[学年]:[判定]],MATCH(体力優良証交付申請書!$A238,入力シート!$AH$6:$AH$505,0),MATCH(体力優良証交付申請書!E$14,テーブル2[[#Headers],[学年]:[得点]],0)))</f>
        <v/>
      </c>
      <c r="F238" s="115" t="str">
        <f>IF($A238&gt;MAX(入力シート!$AH$6:$AH$505),"",INDEX(テーブル2[[学年]:[判定]],MATCH(体力優良証交付申請書!$A238,入力シート!$AH$6:$AH$505,0),MATCH(体力優良証交付申請書!F$14,テーブル2[[#Headers],[学年]:[得点]],0)))</f>
        <v/>
      </c>
      <c r="G238" s="115" t="str">
        <f>IF($A238&gt;MAX(入力シート!$AH$6:$AH$505),"",INDEX(テーブル2[[学年]:[判定]],MATCH(体力優良証交付申請書!$A238,入力シート!$AH$6:$AH$505,0),MATCH(体力優良証交付申請書!G$14,テーブル2[[#Headers],[学年]:[得点]],0)))</f>
        <v/>
      </c>
      <c r="H238" s="115" t="str">
        <f>IF($A238&gt;MAX(入力シート!$AH$6:$AH$505),"",INDEX(テーブル2[[学年]:[判定]],MATCH(体力優良証交付申請書!$A238,入力シート!$AH$6:$AH$505,0),MATCH(体力優良証交付申請書!H$14,テーブル2[[#Headers],[学年]:[得点]],0)))</f>
        <v/>
      </c>
      <c r="I238" s="115" t="str">
        <f>IF($A238&gt;MAX(入力シート!$AH$6:$AH$505),"",INDEX(テーブル2[[学年]:[判定]],MATCH(体力優良証交付申請書!$A238,入力シート!$AH$6:$AH$505,0),MATCH(体力優良証交付申請書!I$14,テーブル2[[#Headers],[学年]:[得点]],0)))</f>
        <v/>
      </c>
      <c r="J238" s="115" t="str">
        <f>IF($A238&gt;MAX(入力シート!$AH$6:$AH$505),"",INDEX(テーブル2[[学年]:[判定]],MATCH(体力優良証交付申請書!$A238,入力シート!$AH$6:$AH$505,0),MATCH(体力優良証交付申請書!J$14,テーブル2[[#Headers],[学年]:[得点]],0)))</f>
        <v/>
      </c>
      <c r="K238" s="129" t="str">
        <f>IF($A238&gt;MAX(入力シート!$AH$6:$AH$505),"",INDEX(テーブル2[[学年]:[判定]],MATCH(体力優良証交付申請書!$A238,入力シート!$AH$6:$AH$505,0),MATCH(体力優良証交付申請書!K$14,テーブル2[[#Headers],[学年]:[得点]],0)))</f>
        <v/>
      </c>
      <c r="L238" s="115" t="str">
        <f>IF($A238&gt;MAX(入力シート!$AH$6:$AH$505),"",INDEX(テーブル2[[学年]:[判定]],MATCH(体力優良証交付申請書!$A238,入力シート!$AH$6:$AH$505,0),MATCH(体力優良証交付申請書!L$14,テーブル2[[#Headers],[学年]:[得点]],0)))</f>
        <v/>
      </c>
      <c r="M238" s="115" t="str">
        <f>IF($A238&gt;MAX(入力シート!$AH$6:$AH$505),"",INDEX(テーブル2[[学年]:[判定]],MATCH(体力優良証交付申請書!$A238,入力シート!$AH$6:$AH$505,0),MATCH(体力優良証交付申請書!M$14,テーブル2[[#Headers],[学年]:[得点]],0)))</f>
        <v/>
      </c>
      <c r="N238" s="27" t="str">
        <f>IF($A238&gt;MAX(入力シート!$AH$6:$AH$505),"",INDEX(テーブル2[[学年]:[判定]],MATCH(体力優良証交付申請書!$A238,入力シート!$AH$6:$AH$505,0),MATCH(体力優良証交付申請書!N$14,テーブル2[[#Headers],[学年]:[得点]],0)))</f>
        <v/>
      </c>
    </row>
    <row r="239" spans="1:14" x14ac:dyDescent="0.15">
      <c r="A239" s="17">
        <v>225</v>
      </c>
      <c r="B239" s="115" t="str">
        <f>IF($A239&gt;MAX(入力シート!$AH$6:$AH$505),"",INDEX(テーブル2[[学年]:[判定]],MATCH(体力優良証交付申請書!$A239,入力シート!$AH$6:$AH$505,0),MATCH(体力優良証交付申請書!B$14,テーブル2[[#Headers],[学年]:[得点]],0)))</f>
        <v/>
      </c>
      <c r="C239" s="115" t="str">
        <f>IF($A239&gt;MAX(入力シート!$AH$6:$AH$505),"",INDEX(テーブル2[[学年]:[判定]],MATCH(体力優良証交付申請書!$A239,入力シート!$AH$6:$AH$505,0),MATCH(体力優良証交付申請書!C$14,テーブル2[[#Headers],[学年]:[得点]],0)))</f>
        <v/>
      </c>
      <c r="D239" s="115" t="str">
        <f>IF($A239&gt;MAX(入力シート!$AH$6:$AH$505),"",INDEX(テーブル2[[学年]:[判定]],MATCH(体力優良証交付申請書!$A239,入力シート!$AH$6:$AH$505,0),MATCH(体力優良証交付申請書!D$14,テーブル2[[#Headers],[学年]:[得点]],0)))</f>
        <v/>
      </c>
      <c r="E239" s="115" t="str">
        <f>IF($A239&gt;MAX(入力シート!$AH$6:$AH$505),"",INDEX(テーブル2[[学年]:[判定]],MATCH(体力優良証交付申請書!$A239,入力シート!$AH$6:$AH$505,0),MATCH(体力優良証交付申請書!E$14,テーブル2[[#Headers],[学年]:[得点]],0)))</f>
        <v/>
      </c>
      <c r="F239" s="115" t="str">
        <f>IF($A239&gt;MAX(入力シート!$AH$6:$AH$505),"",INDEX(テーブル2[[学年]:[判定]],MATCH(体力優良証交付申請書!$A239,入力シート!$AH$6:$AH$505,0),MATCH(体力優良証交付申請書!F$14,テーブル2[[#Headers],[学年]:[得点]],0)))</f>
        <v/>
      </c>
      <c r="G239" s="115" t="str">
        <f>IF($A239&gt;MAX(入力シート!$AH$6:$AH$505),"",INDEX(テーブル2[[学年]:[判定]],MATCH(体力優良証交付申請書!$A239,入力シート!$AH$6:$AH$505,0),MATCH(体力優良証交付申請書!G$14,テーブル2[[#Headers],[学年]:[得点]],0)))</f>
        <v/>
      </c>
      <c r="H239" s="115" t="str">
        <f>IF($A239&gt;MAX(入力シート!$AH$6:$AH$505),"",INDEX(テーブル2[[学年]:[判定]],MATCH(体力優良証交付申請書!$A239,入力シート!$AH$6:$AH$505,0),MATCH(体力優良証交付申請書!H$14,テーブル2[[#Headers],[学年]:[得点]],0)))</f>
        <v/>
      </c>
      <c r="I239" s="115" t="str">
        <f>IF($A239&gt;MAX(入力シート!$AH$6:$AH$505),"",INDEX(テーブル2[[学年]:[判定]],MATCH(体力優良証交付申請書!$A239,入力シート!$AH$6:$AH$505,0),MATCH(体力優良証交付申請書!I$14,テーブル2[[#Headers],[学年]:[得点]],0)))</f>
        <v/>
      </c>
      <c r="J239" s="115" t="str">
        <f>IF($A239&gt;MAX(入力シート!$AH$6:$AH$505),"",INDEX(テーブル2[[学年]:[判定]],MATCH(体力優良証交付申請書!$A239,入力シート!$AH$6:$AH$505,0),MATCH(体力優良証交付申請書!J$14,テーブル2[[#Headers],[学年]:[得点]],0)))</f>
        <v/>
      </c>
      <c r="K239" s="129" t="str">
        <f>IF($A239&gt;MAX(入力シート!$AH$6:$AH$505),"",INDEX(テーブル2[[学年]:[判定]],MATCH(体力優良証交付申請書!$A239,入力シート!$AH$6:$AH$505,0),MATCH(体力優良証交付申請書!K$14,テーブル2[[#Headers],[学年]:[得点]],0)))</f>
        <v/>
      </c>
      <c r="L239" s="115" t="str">
        <f>IF($A239&gt;MAX(入力シート!$AH$6:$AH$505),"",INDEX(テーブル2[[学年]:[判定]],MATCH(体力優良証交付申請書!$A239,入力シート!$AH$6:$AH$505,0),MATCH(体力優良証交付申請書!L$14,テーブル2[[#Headers],[学年]:[得点]],0)))</f>
        <v/>
      </c>
      <c r="M239" s="115" t="str">
        <f>IF($A239&gt;MAX(入力シート!$AH$6:$AH$505),"",INDEX(テーブル2[[学年]:[判定]],MATCH(体力優良証交付申請書!$A239,入力シート!$AH$6:$AH$505,0),MATCH(体力優良証交付申請書!M$14,テーブル2[[#Headers],[学年]:[得点]],0)))</f>
        <v/>
      </c>
      <c r="N239" s="27" t="str">
        <f>IF($A239&gt;MAX(入力シート!$AH$6:$AH$505),"",INDEX(テーブル2[[学年]:[判定]],MATCH(体力優良証交付申請書!$A239,入力シート!$AH$6:$AH$505,0),MATCH(体力優良証交付申請書!N$14,テーブル2[[#Headers],[学年]:[得点]],0)))</f>
        <v/>
      </c>
    </row>
    <row r="240" spans="1:14" x14ac:dyDescent="0.15">
      <c r="A240" s="17">
        <v>226</v>
      </c>
      <c r="B240" s="115" t="str">
        <f>IF($A240&gt;MAX(入力シート!$AH$6:$AH$505),"",INDEX(テーブル2[[学年]:[判定]],MATCH(体力優良証交付申請書!$A240,入力シート!$AH$6:$AH$505,0),MATCH(体力優良証交付申請書!B$14,テーブル2[[#Headers],[学年]:[得点]],0)))</f>
        <v/>
      </c>
      <c r="C240" s="115" t="str">
        <f>IF($A240&gt;MAX(入力シート!$AH$6:$AH$505),"",INDEX(テーブル2[[学年]:[判定]],MATCH(体力優良証交付申請書!$A240,入力シート!$AH$6:$AH$505,0),MATCH(体力優良証交付申請書!C$14,テーブル2[[#Headers],[学年]:[得点]],0)))</f>
        <v/>
      </c>
      <c r="D240" s="115" t="str">
        <f>IF($A240&gt;MAX(入力シート!$AH$6:$AH$505),"",INDEX(テーブル2[[学年]:[判定]],MATCH(体力優良証交付申請書!$A240,入力シート!$AH$6:$AH$505,0),MATCH(体力優良証交付申請書!D$14,テーブル2[[#Headers],[学年]:[得点]],0)))</f>
        <v/>
      </c>
      <c r="E240" s="115" t="str">
        <f>IF($A240&gt;MAX(入力シート!$AH$6:$AH$505),"",INDEX(テーブル2[[学年]:[判定]],MATCH(体力優良証交付申請書!$A240,入力シート!$AH$6:$AH$505,0),MATCH(体力優良証交付申請書!E$14,テーブル2[[#Headers],[学年]:[得点]],0)))</f>
        <v/>
      </c>
      <c r="F240" s="115" t="str">
        <f>IF($A240&gt;MAX(入力シート!$AH$6:$AH$505),"",INDEX(テーブル2[[学年]:[判定]],MATCH(体力優良証交付申請書!$A240,入力シート!$AH$6:$AH$505,0),MATCH(体力優良証交付申請書!F$14,テーブル2[[#Headers],[学年]:[得点]],0)))</f>
        <v/>
      </c>
      <c r="G240" s="115" t="str">
        <f>IF($A240&gt;MAX(入力シート!$AH$6:$AH$505),"",INDEX(テーブル2[[学年]:[判定]],MATCH(体力優良証交付申請書!$A240,入力シート!$AH$6:$AH$505,0),MATCH(体力優良証交付申請書!G$14,テーブル2[[#Headers],[学年]:[得点]],0)))</f>
        <v/>
      </c>
      <c r="H240" s="115" t="str">
        <f>IF($A240&gt;MAX(入力シート!$AH$6:$AH$505),"",INDEX(テーブル2[[学年]:[判定]],MATCH(体力優良証交付申請書!$A240,入力シート!$AH$6:$AH$505,0),MATCH(体力優良証交付申請書!H$14,テーブル2[[#Headers],[学年]:[得点]],0)))</f>
        <v/>
      </c>
      <c r="I240" s="115" t="str">
        <f>IF($A240&gt;MAX(入力シート!$AH$6:$AH$505),"",INDEX(テーブル2[[学年]:[判定]],MATCH(体力優良証交付申請書!$A240,入力シート!$AH$6:$AH$505,0),MATCH(体力優良証交付申請書!I$14,テーブル2[[#Headers],[学年]:[得点]],0)))</f>
        <v/>
      </c>
      <c r="J240" s="115" t="str">
        <f>IF($A240&gt;MAX(入力シート!$AH$6:$AH$505),"",INDEX(テーブル2[[学年]:[判定]],MATCH(体力優良証交付申請書!$A240,入力シート!$AH$6:$AH$505,0),MATCH(体力優良証交付申請書!J$14,テーブル2[[#Headers],[学年]:[得点]],0)))</f>
        <v/>
      </c>
      <c r="K240" s="129" t="str">
        <f>IF($A240&gt;MAX(入力シート!$AH$6:$AH$505),"",INDEX(テーブル2[[学年]:[判定]],MATCH(体力優良証交付申請書!$A240,入力シート!$AH$6:$AH$505,0),MATCH(体力優良証交付申請書!K$14,テーブル2[[#Headers],[学年]:[得点]],0)))</f>
        <v/>
      </c>
      <c r="L240" s="115" t="str">
        <f>IF($A240&gt;MAX(入力シート!$AH$6:$AH$505),"",INDEX(テーブル2[[学年]:[判定]],MATCH(体力優良証交付申請書!$A240,入力シート!$AH$6:$AH$505,0),MATCH(体力優良証交付申請書!L$14,テーブル2[[#Headers],[学年]:[得点]],0)))</f>
        <v/>
      </c>
      <c r="M240" s="115" t="str">
        <f>IF($A240&gt;MAX(入力シート!$AH$6:$AH$505),"",INDEX(テーブル2[[学年]:[判定]],MATCH(体力優良証交付申請書!$A240,入力シート!$AH$6:$AH$505,0),MATCH(体力優良証交付申請書!M$14,テーブル2[[#Headers],[学年]:[得点]],0)))</f>
        <v/>
      </c>
      <c r="N240" s="27" t="str">
        <f>IF($A240&gt;MAX(入力シート!$AH$6:$AH$505),"",INDEX(テーブル2[[学年]:[判定]],MATCH(体力優良証交付申請書!$A240,入力シート!$AH$6:$AH$505,0),MATCH(体力優良証交付申請書!N$14,テーブル2[[#Headers],[学年]:[得点]],0)))</f>
        <v/>
      </c>
    </row>
    <row r="241" spans="1:14" x14ac:dyDescent="0.15">
      <c r="A241" s="17">
        <v>227</v>
      </c>
      <c r="B241" s="115" t="str">
        <f>IF($A241&gt;MAX(入力シート!$AH$6:$AH$505),"",INDEX(テーブル2[[学年]:[判定]],MATCH(体力優良証交付申請書!$A241,入力シート!$AH$6:$AH$505,0),MATCH(体力優良証交付申請書!B$14,テーブル2[[#Headers],[学年]:[得点]],0)))</f>
        <v/>
      </c>
      <c r="C241" s="115" t="str">
        <f>IF($A241&gt;MAX(入力シート!$AH$6:$AH$505),"",INDEX(テーブル2[[学年]:[判定]],MATCH(体力優良証交付申請書!$A241,入力シート!$AH$6:$AH$505,0),MATCH(体力優良証交付申請書!C$14,テーブル2[[#Headers],[学年]:[得点]],0)))</f>
        <v/>
      </c>
      <c r="D241" s="115" t="str">
        <f>IF($A241&gt;MAX(入力シート!$AH$6:$AH$505),"",INDEX(テーブル2[[学年]:[判定]],MATCH(体力優良証交付申請書!$A241,入力シート!$AH$6:$AH$505,0),MATCH(体力優良証交付申請書!D$14,テーブル2[[#Headers],[学年]:[得点]],0)))</f>
        <v/>
      </c>
      <c r="E241" s="115" t="str">
        <f>IF($A241&gt;MAX(入力シート!$AH$6:$AH$505),"",INDEX(テーブル2[[学年]:[判定]],MATCH(体力優良証交付申請書!$A241,入力シート!$AH$6:$AH$505,0),MATCH(体力優良証交付申請書!E$14,テーブル2[[#Headers],[学年]:[得点]],0)))</f>
        <v/>
      </c>
      <c r="F241" s="115" t="str">
        <f>IF($A241&gt;MAX(入力シート!$AH$6:$AH$505),"",INDEX(テーブル2[[学年]:[判定]],MATCH(体力優良証交付申請書!$A241,入力シート!$AH$6:$AH$505,0),MATCH(体力優良証交付申請書!F$14,テーブル2[[#Headers],[学年]:[得点]],0)))</f>
        <v/>
      </c>
      <c r="G241" s="115" t="str">
        <f>IF($A241&gt;MAX(入力シート!$AH$6:$AH$505),"",INDEX(テーブル2[[学年]:[判定]],MATCH(体力優良証交付申請書!$A241,入力シート!$AH$6:$AH$505,0),MATCH(体力優良証交付申請書!G$14,テーブル2[[#Headers],[学年]:[得点]],0)))</f>
        <v/>
      </c>
      <c r="H241" s="115" t="str">
        <f>IF($A241&gt;MAX(入力シート!$AH$6:$AH$505),"",INDEX(テーブル2[[学年]:[判定]],MATCH(体力優良証交付申請書!$A241,入力シート!$AH$6:$AH$505,0),MATCH(体力優良証交付申請書!H$14,テーブル2[[#Headers],[学年]:[得点]],0)))</f>
        <v/>
      </c>
      <c r="I241" s="115" t="str">
        <f>IF($A241&gt;MAX(入力シート!$AH$6:$AH$505),"",INDEX(テーブル2[[学年]:[判定]],MATCH(体力優良証交付申請書!$A241,入力シート!$AH$6:$AH$505,0),MATCH(体力優良証交付申請書!I$14,テーブル2[[#Headers],[学年]:[得点]],0)))</f>
        <v/>
      </c>
      <c r="J241" s="115" t="str">
        <f>IF($A241&gt;MAX(入力シート!$AH$6:$AH$505),"",INDEX(テーブル2[[学年]:[判定]],MATCH(体力優良証交付申請書!$A241,入力シート!$AH$6:$AH$505,0),MATCH(体力優良証交付申請書!J$14,テーブル2[[#Headers],[学年]:[得点]],0)))</f>
        <v/>
      </c>
      <c r="K241" s="129" t="str">
        <f>IF($A241&gt;MAX(入力シート!$AH$6:$AH$505),"",INDEX(テーブル2[[学年]:[判定]],MATCH(体力優良証交付申請書!$A241,入力シート!$AH$6:$AH$505,0),MATCH(体力優良証交付申請書!K$14,テーブル2[[#Headers],[学年]:[得点]],0)))</f>
        <v/>
      </c>
      <c r="L241" s="115" t="str">
        <f>IF($A241&gt;MAX(入力シート!$AH$6:$AH$505),"",INDEX(テーブル2[[学年]:[判定]],MATCH(体力優良証交付申請書!$A241,入力シート!$AH$6:$AH$505,0),MATCH(体力優良証交付申請書!L$14,テーブル2[[#Headers],[学年]:[得点]],0)))</f>
        <v/>
      </c>
      <c r="M241" s="115" t="str">
        <f>IF($A241&gt;MAX(入力シート!$AH$6:$AH$505),"",INDEX(テーブル2[[学年]:[判定]],MATCH(体力優良証交付申請書!$A241,入力シート!$AH$6:$AH$505,0),MATCH(体力優良証交付申請書!M$14,テーブル2[[#Headers],[学年]:[得点]],0)))</f>
        <v/>
      </c>
      <c r="N241" s="27" t="str">
        <f>IF($A241&gt;MAX(入力シート!$AH$6:$AH$505),"",INDEX(テーブル2[[学年]:[判定]],MATCH(体力優良証交付申請書!$A241,入力シート!$AH$6:$AH$505,0),MATCH(体力優良証交付申請書!N$14,テーブル2[[#Headers],[学年]:[得点]],0)))</f>
        <v/>
      </c>
    </row>
    <row r="242" spans="1:14" x14ac:dyDescent="0.15">
      <c r="A242" s="17">
        <v>228</v>
      </c>
      <c r="B242" s="115" t="str">
        <f>IF($A242&gt;MAX(入力シート!$AH$6:$AH$505),"",INDEX(テーブル2[[学年]:[判定]],MATCH(体力優良証交付申請書!$A242,入力シート!$AH$6:$AH$505,0),MATCH(体力優良証交付申請書!B$14,テーブル2[[#Headers],[学年]:[得点]],0)))</f>
        <v/>
      </c>
      <c r="C242" s="115" t="str">
        <f>IF($A242&gt;MAX(入力シート!$AH$6:$AH$505),"",INDEX(テーブル2[[学年]:[判定]],MATCH(体力優良証交付申請書!$A242,入力シート!$AH$6:$AH$505,0),MATCH(体力優良証交付申請書!C$14,テーブル2[[#Headers],[学年]:[得点]],0)))</f>
        <v/>
      </c>
      <c r="D242" s="115" t="str">
        <f>IF($A242&gt;MAX(入力シート!$AH$6:$AH$505),"",INDEX(テーブル2[[学年]:[判定]],MATCH(体力優良証交付申請書!$A242,入力シート!$AH$6:$AH$505,0),MATCH(体力優良証交付申請書!D$14,テーブル2[[#Headers],[学年]:[得点]],0)))</f>
        <v/>
      </c>
      <c r="E242" s="115" t="str">
        <f>IF($A242&gt;MAX(入力シート!$AH$6:$AH$505),"",INDEX(テーブル2[[学年]:[判定]],MATCH(体力優良証交付申請書!$A242,入力シート!$AH$6:$AH$505,0),MATCH(体力優良証交付申請書!E$14,テーブル2[[#Headers],[学年]:[得点]],0)))</f>
        <v/>
      </c>
      <c r="F242" s="115" t="str">
        <f>IF($A242&gt;MAX(入力シート!$AH$6:$AH$505),"",INDEX(テーブル2[[学年]:[判定]],MATCH(体力優良証交付申請書!$A242,入力シート!$AH$6:$AH$505,0),MATCH(体力優良証交付申請書!F$14,テーブル2[[#Headers],[学年]:[得点]],0)))</f>
        <v/>
      </c>
      <c r="G242" s="115" t="str">
        <f>IF($A242&gt;MAX(入力シート!$AH$6:$AH$505),"",INDEX(テーブル2[[学年]:[判定]],MATCH(体力優良証交付申請書!$A242,入力シート!$AH$6:$AH$505,0),MATCH(体力優良証交付申請書!G$14,テーブル2[[#Headers],[学年]:[得点]],0)))</f>
        <v/>
      </c>
      <c r="H242" s="115" t="str">
        <f>IF($A242&gt;MAX(入力シート!$AH$6:$AH$505),"",INDEX(テーブル2[[学年]:[判定]],MATCH(体力優良証交付申請書!$A242,入力シート!$AH$6:$AH$505,0),MATCH(体力優良証交付申請書!H$14,テーブル2[[#Headers],[学年]:[得点]],0)))</f>
        <v/>
      </c>
      <c r="I242" s="115" t="str">
        <f>IF($A242&gt;MAX(入力シート!$AH$6:$AH$505),"",INDEX(テーブル2[[学年]:[判定]],MATCH(体力優良証交付申請書!$A242,入力シート!$AH$6:$AH$505,0),MATCH(体力優良証交付申請書!I$14,テーブル2[[#Headers],[学年]:[得点]],0)))</f>
        <v/>
      </c>
      <c r="J242" s="115" t="str">
        <f>IF($A242&gt;MAX(入力シート!$AH$6:$AH$505),"",INDEX(テーブル2[[学年]:[判定]],MATCH(体力優良証交付申請書!$A242,入力シート!$AH$6:$AH$505,0),MATCH(体力優良証交付申請書!J$14,テーブル2[[#Headers],[学年]:[得点]],0)))</f>
        <v/>
      </c>
      <c r="K242" s="129" t="str">
        <f>IF($A242&gt;MAX(入力シート!$AH$6:$AH$505),"",INDEX(テーブル2[[学年]:[判定]],MATCH(体力優良証交付申請書!$A242,入力シート!$AH$6:$AH$505,0),MATCH(体力優良証交付申請書!K$14,テーブル2[[#Headers],[学年]:[得点]],0)))</f>
        <v/>
      </c>
      <c r="L242" s="115" t="str">
        <f>IF($A242&gt;MAX(入力シート!$AH$6:$AH$505),"",INDEX(テーブル2[[学年]:[判定]],MATCH(体力優良証交付申請書!$A242,入力シート!$AH$6:$AH$505,0),MATCH(体力優良証交付申請書!L$14,テーブル2[[#Headers],[学年]:[得点]],0)))</f>
        <v/>
      </c>
      <c r="M242" s="115" t="str">
        <f>IF($A242&gt;MAX(入力シート!$AH$6:$AH$505),"",INDEX(テーブル2[[学年]:[判定]],MATCH(体力優良証交付申請書!$A242,入力シート!$AH$6:$AH$505,0),MATCH(体力優良証交付申請書!M$14,テーブル2[[#Headers],[学年]:[得点]],0)))</f>
        <v/>
      </c>
      <c r="N242" s="27" t="str">
        <f>IF($A242&gt;MAX(入力シート!$AH$6:$AH$505),"",INDEX(テーブル2[[学年]:[判定]],MATCH(体力優良証交付申請書!$A242,入力シート!$AH$6:$AH$505,0),MATCH(体力優良証交付申請書!N$14,テーブル2[[#Headers],[学年]:[得点]],0)))</f>
        <v/>
      </c>
    </row>
    <row r="243" spans="1:14" x14ac:dyDescent="0.15">
      <c r="A243" s="17">
        <v>229</v>
      </c>
      <c r="B243" s="115" t="str">
        <f>IF($A243&gt;MAX(入力シート!$AH$6:$AH$505),"",INDEX(テーブル2[[学年]:[判定]],MATCH(体力優良証交付申請書!$A243,入力シート!$AH$6:$AH$505,0),MATCH(体力優良証交付申請書!B$14,テーブル2[[#Headers],[学年]:[得点]],0)))</f>
        <v/>
      </c>
      <c r="C243" s="115" t="str">
        <f>IF($A243&gt;MAX(入力シート!$AH$6:$AH$505),"",INDEX(テーブル2[[学年]:[判定]],MATCH(体力優良証交付申請書!$A243,入力シート!$AH$6:$AH$505,0),MATCH(体力優良証交付申請書!C$14,テーブル2[[#Headers],[学年]:[得点]],0)))</f>
        <v/>
      </c>
      <c r="D243" s="115" t="str">
        <f>IF($A243&gt;MAX(入力シート!$AH$6:$AH$505),"",INDEX(テーブル2[[学年]:[判定]],MATCH(体力優良証交付申請書!$A243,入力シート!$AH$6:$AH$505,0),MATCH(体力優良証交付申請書!D$14,テーブル2[[#Headers],[学年]:[得点]],0)))</f>
        <v/>
      </c>
      <c r="E243" s="115" t="str">
        <f>IF($A243&gt;MAX(入力シート!$AH$6:$AH$505),"",INDEX(テーブル2[[学年]:[判定]],MATCH(体力優良証交付申請書!$A243,入力シート!$AH$6:$AH$505,0),MATCH(体力優良証交付申請書!E$14,テーブル2[[#Headers],[学年]:[得点]],0)))</f>
        <v/>
      </c>
      <c r="F243" s="115" t="str">
        <f>IF($A243&gt;MAX(入力シート!$AH$6:$AH$505),"",INDEX(テーブル2[[学年]:[判定]],MATCH(体力優良証交付申請書!$A243,入力シート!$AH$6:$AH$505,0),MATCH(体力優良証交付申請書!F$14,テーブル2[[#Headers],[学年]:[得点]],0)))</f>
        <v/>
      </c>
      <c r="G243" s="115" t="str">
        <f>IF($A243&gt;MAX(入力シート!$AH$6:$AH$505),"",INDEX(テーブル2[[学年]:[判定]],MATCH(体力優良証交付申請書!$A243,入力シート!$AH$6:$AH$505,0),MATCH(体力優良証交付申請書!G$14,テーブル2[[#Headers],[学年]:[得点]],0)))</f>
        <v/>
      </c>
      <c r="H243" s="115" t="str">
        <f>IF($A243&gt;MAX(入力シート!$AH$6:$AH$505),"",INDEX(テーブル2[[学年]:[判定]],MATCH(体力優良証交付申請書!$A243,入力シート!$AH$6:$AH$505,0),MATCH(体力優良証交付申請書!H$14,テーブル2[[#Headers],[学年]:[得点]],0)))</f>
        <v/>
      </c>
      <c r="I243" s="115" t="str">
        <f>IF($A243&gt;MAX(入力シート!$AH$6:$AH$505),"",INDEX(テーブル2[[学年]:[判定]],MATCH(体力優良証交付申請書!$A243,入力シート!$AH$6:$AH$505,0),MATCH(体力優良証交付申請書!I$14,テーブル2[[#Headers],[学年]:[得点]],0)))</f>
        <v/>
      </c>
      <c r="J243" s="115" t="str">
        <f>IF($A243&gt;MAX(入力シート!$AH$6:$AH$505),"",INDEX(テーブル2[[学年]:[判定]],MATCH(体力優良証交付申請書!$A243,入力シート!$AH$6:$AH$505,0),MATCH(体力優良証交付申請書!J$14,テーブル2[[#Headers],[学年]:[得点]],0)))</f>
        <v/>
      </c>
      <c r="K243" s="129" t="str">
        <f>IF($A243&gt;MAX(入力シート!$AH$6:$AH$505),"",INDEX(テーブル2[[学年]:[判定]],MATCH(体力優良証交付申請書!$A243,入力シート!$AH$6:$AH$505,0),MATCH(体力優良証交付申請書!K$14,テーブル2[[#Headers],[学年]:[得点]],0)))</f>
        <v/>
      </c>
      <c r="L243" s="115" t="str">
        <f>IF($A243&gt;MAX(入力シート!$AH$6:$AH$505),"",INDEX(テーブル2[[学年]:[判定]],MATCH(体力優良証交付申請書!$A243,入力シート!$AH$6:$AH$505,0),MATCH(体力優良証交付申請書!L$14,テーブル2[[#Headers],[学年]:[得点]],0)))</f>
        <v/>
      </c>
      <c r="M243" s="115" t="str">
        <f>IF($A243&gt;MAX(入力シート!$AH$6:$AH$505),"",INDEX(テーブル2[[学年]:[判定]],MATCH(体力優良証交付申請書!$A243,入力シート!$AH$6:$AH$505,0),MATCH(体力優良証交付申請書!M$14,テーブル2[[#Headers],[学年]:[得点]],0)))</f>
        <v/>
      </c>
      <c r="N243" s="27" t="str">
        <f>IF($A243&gt;MAX(入力シート!$AH$6:$AH$505),"",INDEX(テーブル2[[学年]:[判定]],MATCH(体力優良証交付申請書!$A243,入力シート!$AH$6:$AH$505,0),MATCH(体力優良証交付申請書!N$14,テーブル2[[#Headers],[学年]:[得点]],0)))</f>
        <v/>
      </c>
    </row>
    <row r="244" spans="1:14" x14ac:dyDescent="0.15">
      <c r="A244" s="17">
        <v>230</v>
      </c>
      <c r="B244" s="115" t="str">
        <f>IF($A244&gt;MAX(入力シート!$AH$6:$AH$505),"",INDEX(テーブル2[[学年]:[判定]],MATCH(体力優良証交付申請書!$A244,入力シート!$AH$6:$AH$505,0),MATCH(体力優良証交付申請書!B$14,テーブル2[[#Headers],[学年]:[得点]],0)))</f>
        <v/>
      </c>
      <c r="C244" s="115" t="str">
        <f>IF($A244&gt;MAX(入力シート!$AH$6:$AH$505),"",INDEX(テーブル2[[学年]:[判定]],MATCH(体力優良証交付申請書!$A244,入力シート!$AH$6:$AH$505,0),MATCH(体力優良証交付申請書!C$14,テーブル2[[#Headers],[学年]:[得点]],0)))</f>
        <v/>
      </c>
      <c r="D244" s="115" t="str">
        <f>IF($A244&gt;MAX(入力シート!$AH$6:$AH$505),"",INDEX(テーブル2[[学年]:[判定]],MATCH(体力優良証交付申請書!$A244,入力シート!$AH$6:$AH$505,0),MATCH(体力優良証交付申請書!D$14,テーブル2[[#Headers],[学年]:[得点]],0)))</f>
        <v/>
      </c>
      <c r="E244" s="115" t="str">
        <f>IF($A244&gt;MAX(入力シート!$AH$6:$AH$505),"",INDEX(テーブル2[[学年]:[判定]],MATCH(体力優良証交付申請書!$A244,入力シート!$AH$6:$AH$505,0),MATCH(体力優良証交付申請書!E$14,テーブル2[[#Headers],[学年]:[得点]],0)))</f>
        <v/>
      </c>
      <c r="F244" s="115" t="str">
        <f>IF($A244&gt;MAX(入力シート!$AH$6:$AH$505),"",INDEX(テーブル2[[学年]:[判定]],MATCH(体力優良証交付申請書!$A244,入力シート!$AH$6:$AH$505,0),MATCH(体力優良証交付申請書!F$14,テーブル2[[#Headers],[学年]:[得点]],0)))</f>
        <v/>
      </c>
      <c r="G244" s="115" t="str">
        <f>IF($A244&gt;MAX(入力シート!$AH$6:$AH$505),"",INDEX(テーブル2[[学年]:[判定]],MATCH(体力優良証交付申請書!$A244,入力シート!$AH$6:$AH$505,0),MATCH(体力優良証交付申請書!G$14,テーブル2[[#Headers],[学年]:[得点]],0)))</f>
        <v/>
      </c>
      <c r="H244" s="115" t="str">
        <f>IF($A244&gt;MAX(入力シート!$AH$6:$AH$505),"",INDEX(テーブル2[[学年]:[判定]],MATCH(体力優良証交付申請書!$A244,入力シート!$AH$6:$AH$505,0),MATCH(体力優良証交付申請書!H$14,テーブル2[[#Headers],[学年]:[得点]],0)))</f>
        <v/>
      </c>
      <c r="I244" s="115" t="str">
        <f>IF($A244&gt;MAX(入力シート!$AH$6:$AH$505),"",INDEX(テーブル2[[学年]:[判定]],MATCH(体力優良証交付申請書!$A244,入力シート!$AH$6:$AH$505,0),MATCH(体力優良証交付申請書!I$14,テーブル2[[#Headers],[学年]:[得点]],0)))</f>
        <v/>
      </c>
      <c r="J244" s="115" t="str">
        <f>IF($A244&gt;MAX(入力シート!$AH$6:$AH$505),"",INDEX(テーブル2[[学年]:[判定]],MATCH(体力優良証交付申請書!$A244,入力シート!$AH$6:$AH$505,0),MATCH(体力優良証交付申請書!J$14,テーブル2[[#Headers],[学年]:[得点]],0)))</f>
        <v/>
      </c>
      <c r="K244" s="129" t="str">
        <f>IF($A244&gt;MAX(入力シート!$AH$6:$AH$505),"",INDEX(テーブル2[[学年]:[判定]],MATCH(体力優良証交付申請書!$A244,入力シート!$AH$6:$AH$505,0),MATCH(体力優良証交付申請書!K$14,テーブル2[[#Headers],[学年]:[得点]],0)))</f>
        <v/>
      </c>
      <c r="L244" s="115" t="str">
        <f>IF($A244&gt;MAX(入力シート!$AH$6:$AH$505),"",INDEX(テーブル2[[学年]:[判定]],MATCH(体力優良証交付申請書!$A244,入力シート!$AH$6:$AH$505,0),MATCH(体力優良証交付申請書!L$14,テーブル2[[#Headers],[学年]:[得点]],0)))</f>
        <v/>
      </c>
      <c r="M244" s="115" t="str">
        <f>IF($A244&gt;MAX(入力シート!$AH$6:$AH$505),"",INDEX(テーブル2[[学年]:[判定]],MATCH(体力優良証交付申請書!$A244,入力シート!$AH$6:$AH$505,0),MATCH(体力優良証交付申請書!M$14,テーブル2[[#Headers],[学年]:[得点]],0)))</f>
        <v/>
      </c>
      <c r="N244" s="27" t="str">
        <f>IF($A244&gt;MAX(入力シート!$AH$6:$AH$505),"",INDEX(テーブル2[[学年]:[判定]],MATCH(体力優良証交付申請書!$A244,入力シート!$AH$6:$AH$505,0),MATCH(体力優良証交付申請書!N$14,テーブル2[[#Headers],[学年]:[得点]],0)))</f>
        <v/>
      </c>
    </row>
    <row r="245" spans="1:14" x14ac:dyDescent="0.15">
      <c r="A245" s="17">
        <v>231</v>
      </c>
      <c r="B245" s="115" t="str">
        <f>IF($A245&gt;MAX(入力シート!$AH$6:$AH$505),"",INDEX(テーブル2[[学年]:[判定]],MATCH(体力優良証交付申請書!$A245,入力シート!$AH$6:$AH$505,0),MATCH(体力優良証交付申請書!B$14,テーブル2[[#Headers],[学年]:[得点]],0)))</f>
        <v/>
      </c>
      <c r="C245" s="115" t="str">
        <f>IF($A245&gt;MAX(入力シート!$AH$6:$AH$505),"",INDEX(テーブル2[[学年]:[判定]],MATCH(体力優良証交付申請書!$A245,入力シート!$AH$6:$AH$505,0),MATCH(体力優良証交付申請書!C$14,テーブル2[[#Headers],[学年]:[得点]],0)))</f>
        <v/>
      </c>
      <c r="D245" s="115" t="str">
        <f>IF($A245&gt;MAX(入力シート!$AH$6:$AH$505),"",INDEX(テーブル2[[学年]:[判定]],MATCH(体力優良証交付申請書!$A245,入力シート!$AH$6:$AH$505,0),MATCH(体力優良証交付申請書!D$14,テーブル2[[#Headers],[学年]:[得点]],0)))</f>
        <v/>
      </c>
      <c r="E245" s="115" t="str">
        <f>IF($A245&gt;MAX(入力シート!$AH$6:$AH$505),"",INDEX(テーブル2[[学年]:[判定]],MATCH(体力優良証交付申請書!$A245,入力シート!$AH$6:$AH$505,0),MATCH(体力優良証交付申請書!E$14,テーブル2[[#Headers],[学年]:[得点]],0)))</f>
        <v/>
      </c>
      <c r="F245" s="115" t="str">
        <f>IF($A245&gt;MAX(入力シート!$AH$6:$AH$505),"",INDEX(テーブル2[[学年]:[判定]],MATCH(体力優良証交付申請書!$A245,入力シート!$AH$6:$AH$505,0),MATCH(体力優良証交付申請書!F$14,テーブル2[[#Headers],[学年]:[得点]],0)))</f>
        <v/>
      </c>
      <c r="G245" s="115" t="str">
        <f>IF($A245&gt;MAX(入力シート!$AH$6:$AH$505),"",INDEX(テーブル2[[学年]:[判定]],MATCH(体力優良証交付申請書!$A245,入力シート!$AH$6:$AH$505,0),MATCH(体力優良証交付申請書!G$14,テーブル2[[#Headers],[学年]:[得点]],0)))</f>
        <v/>
      </c>
      <c r="H245" s="115" t="str">
        <f>IF($A245&gt;MAX(入力シート!$AH$6:$AH$505),"",INDEX(テーブル2[[学年]:[判定]],MATCH(体力優良証交付申請書!$A245,入力シート!$AH$6:$AH$505,0),MATCH(体力優良証交付申請書!H$14,テーブル2[[#Headers],[学年]:[得点]],0)))</f>
        <v/>
      </c>
      <c r="I245" s="115" t="str">
        <f>IF($A245&gt;MAX(入力シート!$AH$6:$AH$505),"",INDEX(テーブル2[[学年]:[判定]],MATCH(体力優良証交付申請書!$A245,入力シート!$AH$6:$AH$505,0),MATCH(体力優良証交付申請書!I$14,テーブル2[[#Headers],[学年]:[得点]],0)))</f>
        <v/>
      </c>
      <c r="J245" s="115" t="str">
        <f>IF($A245&gt;MAX(入力シート!$AH$6:$AH$505),"",INDEX(テーブル2[[学年]:[判定]],MATCH(体力優良証交付申請書!$A245,入力シート!$AH$6:$AH$505,0),MATCH(体力優良証交付申請書!J$14,テーブル2[[#Headers],[学年]:[得点]],0)))</f>
        <v/>
      </c>
      <c r="K245" s="129" t="str">
        <f>IF($A245&gt;MAX(入力シート!$AH$6:$AH$505),"",INDEX(テーブル2[[学年]:[判定]],MATCH(体力優良証交付申請書!$A245,入力シート!$AH$6:$AH$505,0),MATCH(体力優良証交付申請書!K$14,テーブル2[[#Headers],[学年]:[得点]],0)))</f>
        <v/>
      </c>
      <c r="L245" s="115" t="str">
        <f>IF($A245&gt;MAX(入力シート!$AH$6:$AH$505),"",INDEX(テーブル2[[学年]:[判定]],MATCH(体力優良証交付申請書!$A245,入力シート!$AH$6:$AH$505,0),MATCH(体力優良証交付申請書!L$14,テーブル2[[#Headers],[学年]:[得点]],0)))</f>
        <v/>
      </c>
      <c r="M245" s="115" t="str">
        <f>IF($A245&gt;MAX(入力シート!$AH$6:$AH$505),"",INDEX(テーブル2[[学年]:[判定]],MATCH(体力優良証交付申請書!$A245,入力シート!$AH$6:$AH$505,0),MATCH(体力優良証交付申請書!M$14,テーブル2[[#Headers],[学年]:[得点]],0)))</f>
        <v/>
      </c>
      <c r="N245" s="27" t="str">
        <f>IF($A245&gt;MAX(入力シート!$AH$6:$AH$505),"",INDEX(テーブル2[[学年]:[判定]],MATCH(体力優良証交付申請書!$A245,入力シート!$AH$6:$AH$505,0),MATCH(体力優良証交付申請書!N$14,テーブル2[[#Headers],[学年]:[得点]],0)))</f>
        <v/>
      </c>
    </row>
    <row r="246" spans="1:14" x14ac:dyDescent="0.15">
      <c r="A246" s="17">
        <v>232</v>
      </c>
      <c r="B246" s="115" t="str">
        <f>IF($A246&gt;MAX(入力シート!$AH$6:$AH$505),"",INDEX(テーブル2[[学年]:[判定]],MATCH(体力優良証交付申請書!$A246,入力シート!$AH$6:$AH$505,0),MATCH(体力優良証交付申請書!B$14,テーブル2[[#Headers],[学年]:[得点]],0)))</f>
        <v/>
      </c>
      <c r="C246" s="115" t="str">
        <f>IF($A246&gt;MAX(入力シート!$AH$6:$AH$505),"",INDEX(テーブル2[[学年]:[判定]],MATCH(体力優良証交付申請書!$A246,入力シート!$AH$6:$AH$505,0),MATCH(体力優良証交付申請書!C$14,テーブル2[[#Headers],[学年]:[得点]],0)))</f>
        <v/>
      </c>
      <c r="D246" s="115" t="str">
        <f>IF($A246&gt;MAX(入力シート!$AH$6:$AH$505),"",INDEX(テーブル2[[学年]:[判定]],MATCH(体力優良証交付申請書!$A246,入力シート!$AH$6:$AH$505,0),MATCH(体力優良証交付申請書!D$14,テーブル2[[#Headers],[学年]:[得点]],0)))</f>
        <v/>
      </c>
      <c r="E246" s="115" t="str">
        <f>IF($A246&gt;MAX(入力シート!$AH$6:$AH$505),"",INDEX(テーブル2[[学年]:[判定]],MATCH(体力優良証交付申請書!$A246,入力シート!$AH$6:$AH$505,0),MATCH(体力優良証交付申請書!E$14,テーブル2[[#Headers],[学年]:[得点]],0)))</f>
        <v/>
      </c>
      <c r="F246" s="115" t="str">
        <f>IF($A246&gt;MAX(入力シート!$AH$6:$AH$505),"",INDEX(テーブル2[[学年]:[判定]],MATCH(体力優良証交付申請書!$A246,入力シート!$AH$6:$AH$505,0),MATCH(体力優良証交付申請書!F$14,テーブル2[[#Headers],[学年]:[得点]],0)))</f>
        <v/>
      </c>
      <c r="G246" s="115" t="str">
        <f>IF($A246&gt;MAX(入力シート!$AH$6:$AH$505),"",INDEX(テーブル2[[学年]:[判定]],MATCH(体力優良証交付申請書!$A246,入力シート!$AH$6:$AH$505,0),MATCH(体力優良証交付申請書!G$14,テーブル2[[#Headers],[学年]:[得点]],0)))</f>
        <v/>
      </c>
      <c r="H246" s="115" t="str">
        <f>IF($A246&gt;MAX(入力シート!$AH$6:$AH$505),"",INDEX(テーブル2[[学年]:[判定]],MATCH(体力優良証交付申請書!$A246,入力シート!$AH$6:$AH$505,0),MATCH(体力優良証交付申請書!H$14,テーブル2[[#Headers],[学年]:[得点]],0)))</f>
        <v/>
      </c>
      <c r="I246" s="115" t="str">
        <f>IF($A246&gt;MAX(入力シート!$AH$6:$AH$505),"",INDEX(テーブル2[[学年]:[判定]],MATCH(体力優良証交付申請書!$A246,入力シート!$AH$6:$AH$505,0),MATCH(体力優良証交付申請書!I$14,テーブル2[[#Headers],[学年]:[得点]],0)))</f>
        <v/>
      </c>
      <c r="J246" s="115" t="str">
        <f>IF($A246&gt;MAX(入力シート!$AH$6:$AH$505),"",INDEX(テーブル2[[学年]:[判定]],MATCH(体力優良証交付申請書!$A246,入力シート!$AH$6:$AH$505,0),MATCH(体力優良証交付申請書!J$14,テーブル2[[#Headers],[学年]:[得点]],0)))</f>
        <v/>
      </c>
      <c r="K246" s="129" t="str">
        <f>IF($A246&gt;MAX(入力シート!$AH$6:$AH$505),"",INDEX(テーブル2[[学年]:[判定]],MATCH(体力優良証交付申請書!$A246,入力シート!$AH$6:$AH$505,0),MATCH(体力優良証交付申請書!K$14,テーブル2[[#Headers],[学年]:[得点]],0)))</f>
        <v/>
      </c>
      <c r="L246" s="115" t="str">
        <f>IF($A246&gt;MAX(入力シート!$AH$6:$AH$505),"",INDEX(テーブル2[[学年]:[判定]],MATCH(体力優良証交付申請書!$A246,入力シート!$AH$6:$AH$505,0),MATCH(体力優良証交付申請書!L$14,テーブル2[[#Headers],[学年]:[得点]],0)))</f>
        <v/>
      </c>
      <c r="M246" s="115" t="str">
        <f>IF($A246&gt;MAX(入力シート!$AH$6:$AH$505),"",INDEX(テーブル2[[学年]:[判定]],MATCH(体力優良証交付申請書!$A246,入力シート!$AH$6:$AH$505,0),MATCH(体力優良証交付申請書!M$14,テーブル2[[#Headers],[学年]:[得点]],0)))</f>
        <v/>
      </c>
      <c r="N246" s="27" t="str">
        <f>IF($A246&gt;MAX(入力シート!$AH$6:$AH$505),"",INDEX(テーブル2[[学年]:[判定]],MATCH(体力優良証交付申請書!$A246,入力シート!$AH$6:$AH$505,0),MATCH(体力優良証交付申請書!N$14,テーブル2[[#Headers],[学年]:[得点]],0)))</f>
        <v/>
      </c>
    </row>
    <row r="247" spans="1:14" x14ac:dyDescent="0.15">
      <c r="A247" s="17">
        <v>233</v>
      </c>
      <c r="B247" s="115" t="str">
        <f>IF($A247&gt;MAX(入力シート!$AH$6:$AH$505),"",INDEX(テーブル2[[学年]:[判定]],MATCH(体力優良証交付申請書!$A247,入力シート!$AH$6:$AH$505,0),MATCH(体力優良証交付申請書!B$14,テーブル2[[#Headers],[学年]:[得点]],0)))</f>
        <v/>
      </c>
      <c r="C247" s="115" t="str">
        <f>IF($A247&gt;MAX(入力シート!$AH$6:$AH$505),"",INDEX(テーブル2[[学年]:[判定]],MATCH(体力優良証交付申請書!$A247,入力シート!$AH$6:$AH$505,0),MATCH(体力優良証交付申請書!C$14,テーブル2[[#Headers],[学年]:[得点]],0)))</f>
        <v/>
      </c>
      <c r="D247" s="115" t="str">
        <f>IF($A247&gt;MAX(入力シート!$AH$6:$AH$505),"",INDEX(テーブル2[[学年]:[判定]],MATCH(体力優良証交付申請書!$A247,入力シート!$AH$6:$AH$505,0),MATCH(体力優良証交付申請書!D$14,テーブル2[[#Headers],[学年]:[得点]],0)))</f>
        <v/>
      </c>
      <c r="E247" s="115" t="str">
        <f>IF($A247&gt;MAX(入力シート!$AH$6:$AH$505),"",INDEX(テーブル2[[学年]:[判定]],MATCH(体力優良証交付申請書!$A247,入力シート!$AH$6:$AH$505,0),MATCH(体力優良証交付申請書!E$14,テーブル2[[#Headers],[学年]:[得点]],0)))</f>
        <v/>
      </c>
      <c r="F247" s="115" t="str">
        <f>IF($A247&gt;MAX(入力シート!$AH$6:$AH$505),"",INDEX(テーブル2[[学年]:[判定]],MATCH(体力優良証交付申請書!$A247,入力シート!$AH$6:$AH$505,0),MATCH(体力優良証交付申請書!F$14,テーブル2[[#Headers],[学年]:[得点]],0)))</f>
        <v/>
      </c>
      <c r="G247" s="115" t="str">
        <f>IF($A247&gt;MAX(入力シート!$AH$6:$AH$505),"",INDEX(テーブル2[[学年]:[判定]],MATCH(体力優良証交付申請書!$A247,入力シート!$AH$6:$AH$505,0),MATCH(体力優良証交付申請書!G$14,テーブル2[[#Headers],[学年]:[得点]],0)))</f>
        <v/>
      </c>
      <c r="H247" s="115" t="str">
        <f>IF($A247&gt;MAX(入力シート!$AH$6:$AH$505),"",INDEX(テーブル2[[学年]:[判定]],MATCH(体力優良証交付申請書!$A247,入力シート!$AH$6:$AH$505,0),MATCH(体力優良証交付申請書!H$14,テーブル2[[#Headers],[学年]:[得点]],0)))</f>
        <v/>
      </c>
      <c r="I247" s="115" t="str">
        <f>IF($A247&gt;MAX(入力シート!$AH$6:$AH$505),"",INDEX(テーブル2[[学年]:[判定]],MATCH(体力優良証交付申請書!$A247,入力シート!$AH$6:$AH$505,0),MATCH(体力優良証交付申請書!I$14,テーブル2[[#Headers],[学年]:[得点]],0)))</f>
        <v/>
      </c>
      <c r="J247" s="115" t="str">
        <f>IF($A247&gt;MAX(入力シート!$AH$6:$AH$505),"",INDEX(テーブル2[[学年]:[判定]],MATCH(体力優良証交付申請書!$A247,入力シート!$AH$6:$AH$505,0),MATCH(体力優良証交付申請書!J$14,テーブル2[[#Headers],[学年]:[得点]],0)))</f>
        <v/>
      </c>
      <c r="K247" s="129" t="str">
        <f>IF($A247&gt;MAX(入力シート!$AH$6:$AH$505),"",INDEX(テーブル2[[学年]:[判定]],MATCH(体力優良証交付申請書!$A247,入力シート!$AH$6:$AH$505,0),MATCH(体力優良証交付申請書!K$14,テーブル2[[#Headers],[学年]:[得点]],0)))</f>
        <v/>
      </c>
      <c r="L247" s="115" t="str">
        <f>IF($A247&gt;MAX(入力シート!$AH$6:$AH$505),"",INDEX(テーブル2[[学年]:[判定]],MATCH(体力優良証交付申請書!$A247,入力シート!$AH$6:$AH$505,0),MATCH(体力優良証交付申請書!L$14,テーブル2[[#Headers],[学年]:[得点]],0)))</f>
        <v/>
      </c>
      <c r="M247" s="115" t="str">
        <f>IF($A247&gt;MAX(入力シート!$AH$6:$AH$505),"",INDEX(テーブル2[[学年]:[判定]],MATCH(体力優良証交付申請書!$A247,入力シート!$AH$6:$AH$505,0),MATCH(体力優良証交付申請書!M$14,テーブル2[[#Headers],[学年]:[得点]],0)))</f>
        <v/>
      </c>
      <c r="N247" s="27" t="str">
        <f>IF($A247&gt;MAX(入力シート!$AH$6:$AH$505),"",INDEX(テーブル2[[学年]:[判定]],MATCH(体力優良証交付申請書!$A247,入力シート!$AH$6:$AH$505,0),MATCH(体力優良証交付申請書!N$14,テーブル2[[#Headers],[学年]:[得点]],0)))</f>
        <v/>
      </c>
    </row>
    <row r="248" spans="1:14" x14ac:dyDescent="0.15">
      <c r="A248" s="17">
        <v>234</v>
      </c>
      <c r="B248" s="115" t="str">
        <f>IF($A248&gt;MAX(入力シート!$AH$6:$AH$505),"",INDEX(テーブル2[[学年]:[判定]],MATCH(体力優良証交付申請書!$A248,入力シート!$AH$6:$AH$505,0),MATCH(体力優良証交付申請書!B$14,テーブル2[[#Headers],[学年]:[得点]],0)))</f>
        <v/>
      </c>
      <c r="C248" s="115" t="str">
        <f>IF($A248&gt;MAX(入力シート!$AH$6:$AH$505),"",INDEX(テーブル2[[学年]:[判定]],MATCH(体力優良証交付申請書!$A248,入力シート!$AH$6:$AH$505,0),MATCH(体力優良証交付申請書!C$14,テーブル2[[#Headers],[学年]:[得点]],0)))</f>
        <v/>
      </c>
      <c r="D248" s="115" t="str">
        <f>IF($A248&gt;MAX(入力シート!$AH$6:$AH$505),"",INDEX(テーブル2[[学年]:[判定]],MATCH(体力優良証交付申請書!$A248,入力シート!$AH$6:$AH$505,0),MATCH(体力優良証交付申請書!D$14,テーブル2[[#Headers],[学年]:[得点]],0)))</f>
        <v/>
      </c>
      <c r="E248" s="115" t="str">
        <f>IF($A248&gt;MAX(入力シート!$AH$6:$AH$505),"",INDEX(テーブル2[[学年]:[判定]],MATCH(体力優良証交付申請書!$A248,入力シート!$AH$6:$AH$505,0),MATCH(体力優良証交付申請書!E$14,テーブル2[[#Headers],[学年]:[得点]],0)))</f>
        <v/>
      </c>
      <c r="F248" s="115" t="str">
        <f>IF($A248&gt;MAX(入力シート!$AH$6:$AH$505),"",INDEX(テーブル2[[学年]:[判定]],MATCH(体力優良証交付申請書!$A248,入力シート!$AH$6:$AH$505,0),MATCH(体力優良証交付申請書!F$14,テーブル2[[#Headers],[学年]:[得点]],0)))</f>
        <v/>
      </c>
      <c r="G248" s="115" t="str">
        <f>IF($A248&gt;MAX(入力シート!$AH$6:$AH$505),"",INDEX(テーブル2[[学年]:[判定]],MATCH(体力優良証交付申請書!$A248,入力シート!$AH$6:$AH$505,0),MATCH(体力優良証交付申請書!G$14,テーブル2[[#Headers],[学年]:[得点]],0)))</f>
        <v/>
      </c>
      <c r="H248" s="115" t="str">
        <f>IF($A248&gt;MAX(入力シート!$AH$6:$AH$505),"",INDEX(テーブル2[[学年]:[判定]],MATCH(体力優良証交付申請書!$A248,入力シート!$AH$6:$AH$505,0),MATCH(体力優良証交付申請書!H$14,テーブル2[[#Headers],[学年]:[得点]],0)))</f>
        <v/>
      </c>
      <c r="I248" s="115" t="str">
        <f>IF($A248&gt;MAX(入力シート!$AH$6:$AH$505),"",INDEX(テーブル2[[学年]:[判定]],MATCH(体力優良証交付申請書!$A248,入力シート!$AH$6:$AH$505,0),MATCH(体力優良証交付申請書!I$14,テーブル2[[#Headers],[学年]:[得点]],0)))</f>
        <v/>
      </c>
      <c r="J248" s="115" t="str">
        <f>IF($A248&gt;MAX(入力シート!$AH$6:$AH$505),"",INDEX(テーブル2[[学年]:[判定]],MATCH(体力優良証交付申請書!$A248,入力シート!$AH$6:$AH$505,0),MATCH(体力優良証交付申請書!J$14,テーブル2[[#Headers],[学年]:[得点]],0)))</f>
        <v/>
      </c>
      <c r="K248" s="129" t="str">
        <f>IF($A248&gt;MAX(入力シート!$AH$6:$AH$505),"",INDEX(テーブル2[[学年]:[判定]],MATCH(体力優良証交付申請書!$A248,入力シート!$AH$6:$AH$505,0),MATCH(体力優良証交付申請書!K$14,テーブル2[[#Headers],[学年]:[得点]],0)))</f>
        <v/>
      </c>
      <c r="L248" s="115" t="str">
        <f>IF($A248&gt;MAX(入力シート!$AH$6:$AH$505),"",INDEX(テーブル2[[学年]:[判定]],MATCH(体力優良証交付申請書!$A248,入力シート!$AH$6:$AH$505,0),MATCH(体力優良証交付申請書!L$14,テーブル2[[#Headers],[学年]:[得点]],0)))</f>
        <v/>
      </c>
      <c r="M248" s="115" t="str">
        <f>IF($A248&gt;MAX(入力シート!$AH$6:$AH$505),"",INDEX(テーブル2[[学年]:[判定]],MATCH(体力優良証交付申請書!$A248,入力シート!$AH$6:$AH$505,0),MATCH(体力優良証交付申請書!M$14,テーブル2[[#Headers],[学年]:[得点]],0)))</f>
        <v/>
      </c>
      <c r="N248" s="27" t="str">
        <f>IF($A248&gt;MAX(入力シート!$AH$6:$AH$505),"",INDEX(テーブル2[[学年]:[判定]],MATCH(体力優良証交付申請書!$A248,入力シート!$AH$6:$AH$505,0),MATCH(体力優良証交付申請書!N$14,テーブル2[[#Headers],[学年]:[得点]],0)))</f>
        <v/>
      </c>
    </row>
    <row r="249" spans="1:14" x14ac:dyDescent="0.15">
      <c r="A249" s="17">
        <v>235</v>
      </c>
      <c r="B249" s="115" t="str">
        <f>IF($A249&gt;MAX(入力シート!$AH$6:$AH$505),"",INDEX(テーブル2[[学年]:[判定]],MATCH(体力優良証交付申請書!$A249,入力シート!$AH$6:$AH$505,0),MATCH(体力優良証交付申請書!B$14,テーブル2[[#Headers],[学年]:[得点]],0)))</f>
        <v/>
      </c>
      <c r="C249" s="115" t="str">
        <f>IF($A249&gt;MAX(入力シート!$AH$6:$AH$505),"",INDEX(テーブル2[[学年]:[判定]],MATCH(体力優良証交付申請書!$A249,入力シート!$AH$6:$AH$505,0),MATCH(体力優良証交付申請書!C$14,テーブル2[[#Headers],[学年]:[得点]],0)))</f>
        <v/>
      </c>
      <c r="D249" s="115" t="str">
        <f>IF($A249&gt;MAX(入力シート!$AH$6:$AH$505),"",INDEX(テーブル2[[学年]:[判定]],MATCH(体力優良証交付申請書!$A249,入力シート!$AH$6:$AH$505,0),MATCH(体力優良証交付申請書!D$14,テーブル2[[#Headers],[学年]:[得点]],0)))</f>
        <v/>
      </c>
      <c r="E249" s="115" t="str">
        <f>IF($A249&gt;MAX(入力シート!$AH$6:$AH$505),"",INDEX(テーブル2[[学年]:[判定]],MATCH(体力優良証交付申請書!$A249,入力シート!$AH$6:$AH$505,0),MATCH(体力優良証交付申請書!E$14,テーブル2[[#Headers],[学年]:[得点]],0)))</f>
        <v/>
      </c>
      <c r="F249" s="115" t="str">
        <f>IF($A249&gt;MAX(入力シート!$AH$6:$AH$505),"",INDEX(テーブル2[[学年]:[判定]],MATCH(体力優良証交付申請書!$A249,入力シート!$AH$6:$AH$505,0),MATCH(体力優良証交付申請書!F$14,テーブル2[[#Headers],[学年]:[得点]],0)))</f>
        <v/>
      </c>
      <c r="G249" s="115" t="str">
        <f>IF($A249&gt;MAX(入力シート!$AH$6:$AH$505),"",INDEX(テーブル2[[学年]:[判定]],MATCH(体力優良証交付申請書!$A249,入力シート!$AH$6:$AH$505,0),MATCH(体力優良証交付申請書!G$14,テーブル2[[#Headers],[学年]:[得点]],0)))</f>
        <v/>
      </c>
      <c r="H249" s="115" t="str">
        <f>IF($A249&gt;MAX(入力シート!$AH$6:$AH$505),"",INDEX(テーブル2[[学年]:[判定]],MATCH(体力優良証交付申請書!$A249,入力シート!$AH$6:$AH$505,0),MATCH(体力優良証交付申請書!H$14,テーブル2[[#Headers],[学年]:[得点]],0)))</f>
        <v/>
      </c>
      <c r="I249" s="115" t="str">
        <f>IF($A249&gt;MAX(入力シート!$AH$6:$AH$505),"",INDEX(テーブル2[[学年]:[判定]],MATCH(体力優良証交付申請書!$A249,入力シート!$AH$6:$AH$505,0),MATCH(体力優良証交付申請書!I$14,テーブル2[[#Headers],[学年]:[得点]],0)))</f>
        <v/>
      </c>
      <c r="J249" s="115" t="str">
        <f>IF($A249&gt;MAX(入力シート!$AH$6:$AH$505),"",INDEX(テーブル2[[学年]:[判定]],MATCH(体力優良証交付申請書!$A249,入力シート!$AH$6:$AH$505,0),MATCH(体力優良証交付申請書!J$14,テーブル2[[#Headers],[学年]:[得点]],0)))</f>
        <v/>
      </c>
      <c r="K249" s="129" t="str">
        <f>IF($A249&gt;MAX(入力シート!$AH$6:$AH$505),"",INDEX(テーブル2[[学年]:[判定]],MATCH(体力優良証交付申請書!$A249,入力シート!$AH$6:$AH$505,0),MATCH(体力優良証交付申請書!K$14,テーブル2[[#Headers],[学年]:[得点]],0)))</f>
        <v/>
      </c>
      <c r="L249" s="115" t="str">
        <f>IF($A249&gt;MAX(入力シート!$AH$6:$AH$505),"",INDEX(テーブル2[[学年]:[判定]],MATCH(体力優良証交付申請書!$A249,入力シート!$AH$6:$AH$505,0),MATCH(体力優良証交付申請書!L$14,テーブル2[[#Headers],[学年]:[得点]],0)))</f>
        <v/>
      </c>
      <c r="M249" s="115" t="str">
        <f>IF($A249&gt;MAX(入力シート!$AH$6:$AH$505),"",INDEX(テーブル2[[学年]:[判定]],MATCH(体力優良証交付申請書!$A249,入力シート!$AH$6:$AH$505,0),MATCH(体力優良証交付申請書!M$14,テーブル2[[#Headers],[学年]:[得点]],0)))</f>
        <v/>
      </c>
      <c r="N249" s="27" t="str">
        <f>IF($A249&gt;MAX(入力シート!$AH$6:$AH$505),"",INDEX(テーブル2[[学年]:[判定]],MATCH(体力優良証交付申請書!$A249,入力シート!$AH$6:$AH$505,0),MATCH(体力優良証交付申請書!N$14,テーブル2[[#Headers],[学年]:[得点]],0)))</f>
        <v/>
      </c>
    </row>
    <row r="250" spans="1:14" x14ac:dyDescent="0.15">
      <c r="A250" s="17">
        <v>236</v>
      </c>
      <c r="B250" s="115" t="str">
        <f>IF($A250&gt;MAX(入力シート!$AH$6:$AH$505),"",INDEX(テーブル2[[学年]:[判定]],MATCH(体力優良証交付申請書!$A250,入力シート!$AH$6:$AH$505,0),MATCH(体力優良証交付申請書!B$14,テーブル2[[#Headers],[学年]:[得点]],0)))</f>
        <v/>
      </c>
      <c r="C250" s="115" t="str">
        <f>IF($A250&gt;MAX(入力シート!$AH$6:$AH$505),"",INDEX(テーブル2[[学年]:[判定]],MATCH(体力優良証交付申請書!$A250,入力シート!$AH$6:$AH$505,0),MATCH(体力優良証交付申請書!C$14,テーブル2[[#Headers],[学年]:[得点]],0)))</f>
        <v/>
      </c>
      <c r="D250" s="115" t="str">
        <f>IF($A250&gt;MAX(入力シート!$AH$6:$AH$505),"",INDEX(テーブル2[[学年]:[判定]],MATCH(体力優良証交付申請書!$A250,入力シート!$AH$6:$AH$505,0),MATCH(体力優良証交付申請書!D$14,テーブル2[[#Headers],[学年]:[得点]],0)))</f>
        <v/>
      </c>
      <c r="E250" s="115" t="str">
        <f>IF($A250&gt;MAX(入力シート!$AH$6:$AH$505),"",INDEX(テーブル2[[学年]:[判定]],MATCH(体力優良証交付申請書!$A250,入力シート!$AH$6:$AH$505,0),MATCH(体力優良証交付申請書!E$14,テーブル2[[#Headers],[学年]:[得点]],0)))</f>
        <v/>
      </c>
      <c r="F250" s="115" t="str">
        <f>IF($A250&gt;MAX(入力シート!$AH$6:$AH$505),"",INDEX(テーブル2[[学年]:[判定]],MATCH(体力優良証交付申請書!$A250,入力シート!$AH$6:$AH$505,0),MATCH(体力優良証交付申請書!F$14,テーブル2[[#Headers],[学年]:[得点]],0)))</f>
        <v/>
      </c>
      <c r="G250" s="115" t="str">
        <f>IF($A250&gt;MAX(入力シート!$AH$6:$AH$505),"",INDEX(テーブル2[[学年]:[判定]],MATCH(体力優良証交付申請書!$A250,入力シート!$AH$6:$AH$505,0),MATCH(体力優良証交付申請書!G$14,テーブル2[[#Headers],[学年]:[得点]],0)))</f>
        <v/>
      </c>
      <c r="H250" s="115" t="str">
        <f>IF($A250&gt;MAX(入力シート!$AH$6:$AH$505),"",INDEX(テーブル2[[学年]:[判定]],MATCH(体力優良証交付申請書!$A250,入力シート!$AH$6:$AH$505,0),MATCH(体力優良証交付申請書!H$14,テーブル2[[#Headers],[学年]:[得点]],0)))</f>
        <v/>
      </c>
      <c r="I250" s="115" t="str">
        <f>IF($A250&gt;MAX(入力シート!$AH$6:$AH$505),"",INDEX(テーブル2[[学年]:[判定]],MATCH(体力優良証交付申請書!$A250,入力シート!$AH$6:$AH$505,0),MATCH(体力優良証交付申請書!I$14,テーブル2[[#Headers],[学年]:[得点]],0)))</f>
        <v/>
      </c>
      <c r="J250" s="115" t="str">
        <f>IF($A250&gt;MAX(入力シート!$AH$6:$AH$505),"",INDEX(テーブル2[[学年]:[判定]],MATCH(体力優良証交付申請書!$A250,入力シート!$AH$6:$AH$505,0),MATCH(体力優良証交付申請書!J$14,テーブル2[[#Headers],[学年]:[得点]],0)))</f>
        <v/>
      </c>
      <c r="K250" s="129" t="str">
        <f>IF($A250&gt;MAX(入力シート!$AH$6:$AH$505),"",INDEX(テーブル2[[学年]:[判定]],MATCH(体力優良証交付申請書!$A250,入力シート!$AH$6:$AH$505,0),MATCH(体力優良証交付申請書!K$14,テーブル2[[#Headers],[学年]:[得点]],0)))</f>
        <v/>
      </c>
      <c r="L250" s="115" t="str">
        <f>IF($A250&gt;MAX(入力シート!$AH$6:$AH$505),"",INDEX(テーブル2[[学年]:[判定]],MATCH(体力優良証交付申請書!$A250,入力シート!$AH$6:$AH$505,0),MATCH(体力優良証交付申請書!L$14,テーブル2[[#Headers],[学年]:[得点]],0)))</f>
        <v/>
      </c>
      <c r="M250" s="115" t="str">
        <f>IF($A250&gt;MAX(入力シート!$AH$6:$AH$505),"",INDEX(テーブル2[[学年]:[判定]],MATCH(体力優良証交付申請書!$A250,入力シート!$AH$6:$AH$505,0),MATCH(体力優良証交付申請書!M$14,テーブル2[[#Headers],[学年]:[得点]],0)))</f>
        <v/>
      </c>
      <c r="N250" s="27" t="str">
        <f>IF($A250&gt;MAX(入力シート!$AH$6:$AH$505),"",INDEX(テーブル2[[学年]:[判定]],MATCH(体力優良証交付申請書!$A250,入力シート!$AH$6:$AH$505,0),MATCH(体力優良証交付申請書!N$14,テーブル2[[#Headers],[学年]:[得点]],0)))</f>
        <v/>
      </c>
    </row>
    <row r="251" spans="1:14" x14ac:dyDescent="0.15">
      <c r="A251" s="17">
        <v>237</v>
      </c>
      <c r="B251" s="115" t="str">
        <f>IF($A251&gt;MAX(入力シート!$AH$6:$AH$505),"",INDEX(テーブル2[[学年]:[判定]],MATCH(体力優良証交付申請書!$A251,入力シート!$AH$6:$AH$505,0),MATCH(体力優良証交付申請書!B$14,テーブル2[[#Headers],[学年]:[得点]],0)))</f>
        <v/>
      </c>
      <c r="C251" s="115" t="str">
        <f>IF($A251&gt;MAX(入力シート!$AH$6:$AH$505),"",INDEX(テーブル2[[学年]:[判定]],MATCH(体力優良証交付申請書!$A251,入力シート!$AH$6:$AH$505,0),MATCH(体力優良証交付申請書!C$14,テーブル2[[#Headers],[学年]:[得点]],0)))</f>
        <v/>
      </c>
      <c r="D251" s="115" t="str">
        <f>IF($A251&gt;MAX(入力シート!$AH$6:$AH$505),"",INDEX(テーブル2[[学年]:[判定]],MATCH(体力優良証交付申請書!$A251,入力シート!$AH$6:$AH$505,0),MATCH(体力優良証交付申請書!D$14,テーブル2[[#Headers],[学年]:[得点]],0)))</f>
        <v/>
      </c>
      <c r="E251" s="115" t="str">
        <f>IF($A251&gt;MAX(入力シート!$AH$6:$AH$505),"",INDEX(テーブル2[[学年]:[判定]],MATCH(体力優良証交付申請書!$A251,入力シート!$AH$6:$AH$505,0),MATCH(体力優良証交付申請書!E$14,テーブル2[[#Headers],[学年]:[得点]],0)))</f>
        <v/>
      </c>
      <c r="F251" s="115" t="str">
        <f>IF($A251&gt;MAX(入力シート!$AH$6:$AH$505),"",INDEX(テーブル2[[学年]:[判定]],MATCH(体力優良証交付申請書!$A251,入力シート!$AH$6:$AH$505,0),MATCH(体力優良証交付申請書!F$14,テーブル2[[#Headers],[学年]:[得点]],0)))</f>
        <v/>
      </c>
      <c r="G251" s="115" t="str">
        <f>IF($A251&gt;MAX(入力シート!$AH$6:$AH$505),"",INDEX(テーブル2[[学年]:[判定]],MATCH(体力優良証交付申請書!$A251,入力シート!$AH$6:$AH$505,0),MATCH(体力優良証交付申請書!G$14,テーブル2[[#Headers],[学年]:[得点]],0)))</f>
        <v/>
      </c>
      <c r="H251" s="115" t="str">
        <f>IF($A251&gt;MAX(入力シート!$AH$6:$AH$505),"",INDEX(テーブル2[[学年]:[判定]],MATCH(体力優良証交付申請書!$A251,入力シート!$AH$6:$AH$505,0),MATCH(体力優良証交付申請書!H$14,テーブル2[[#Headers],[学年]:[得点]],0)))</f>
        <v/>
      </c>
      <c r="I251" s="115" t="str">
        <f>IF($A251&gt;MAX(入力シート!$AH$6:$AH$505),"",INDEX(テーブル2[[学年]:[判定]],MATCH(体力優良証交付申請書!$A251,入力シート!$AH$6:$AH$505,0),MATCH(体力優良証交付申請書!I$14,テーブル2[[#Headers],[学年]:[得点]],0)))</f>
        <v/>
      </c>
      <c r="J251" s="115" t="str">
        <f>IF($A251&gt;MAX(入力シート!$AH$6:$AH$505),"",INDEX(テーブル2[[学年]:[判定]],MATCH(体力優良証交付申請書!$A251,入力シート!$AH$6:$AH$505,0),MATCH(体力優良証交付申請書!J$14,テーブル2[[#Headers],[学年]:[得点]],0)))</f>
        <v/>
      </c>
      <c r="K251" s="129" t="str">
        <f>IF($A251&gt;MAX(入力シート!$AH$6:$AH$505),"",INDEX(テーブル2[[学年]:[判定]],MATCH(体力優良証交付申請書!$A251,入力シート!$AH$6:$AH$505,0),MATCH(体力優良証交付申請書!K$14,テーブル2[[#Headers],[学年]:[得点]],0)))</f>
        <v/>
      </c>
      <c r="L251" s="115" t="str">
        <f>IF($A251&gt;MAX(入力シート!$AH$6:$AH$505),"",INDEX(テーブル2[[学年]:[判定]],MATCH(体力優良証交付申請書!$A251,入力シート!$AH$6:$AH$505,0),MATCH(体力優良証交付申請書!L$14,テーブル2[[#Headers],[学年]:[得点]],0)))</f>
        <v/>
      </c>
      <c r="M251" s="115" t="str">
        <f>IF($A251&gt;MAX(入力シート!$AH$6:$AH$505),"",INDEX(テーブル2[[学年]:[判定]],MATCH(体力優良証交付申請書!$A251,入力シート!$AH$6:$AH$505,0),MATCH(体力優良証交付申請書!M$14,テーブル2[[#Headers],[学年]:[得点]],0)))</f>
        <v/>
      </c>
      <c r="N251" s="27" t="str">
        <f>IF($A251&gt;MAX(入力シート!$AH$6:$AH$505),"",INDEX(テーブル2[[学年]:[判定]],MATCH(体力優良証交付申請書!$A251,入力シート!$AH$6:$AH$505,0),MATCH(体力優良証交付申請書!N$14,テーブル2[[#Headers],[学年]:[得点]],0)))</f>
        <v/>
      </c>
    </row>
    <row r="252" spans="1:14" x14ac:dyDescent="0.15">
      <c r="A252" s="17">
        <v>238</v>
      </c>
      <c r="B252" s="115" t="str">
        <f>IF($A252&gt;MAX(入力シート!$AH$6:$AH$505),"",INDEX(テーブル2[[学年]:[判定]],MATCH(体力優良証交付申請書!$A252,入力シート!$AH$6:$AH$505,0),MATCH(体力優良証交付申請書!B$14,テーブル2[[#Headers],[学年]:[得点]],0)))</f>
        <v/>
      </c>
      <c r="C252" s="115" t="str">
        <f>IF($A252&gt;MAX(入力シート!$AH$6:$AH$505),"",INDEX(テーブル2[[学年]:[判定]],MATCH(体力優良証交付申請書!$A252,入力シート!$AH$6:$AH$505,0),MATCH(体力優良証交付申請書!C$14,テーブル2[[#Headers],[学年]:[得点]],0)))</f>
        <v/>
      </c>
      <c r="D252" s="115" t="str">
        <f>IF($A252&gt;MAX(入力シート!$AH$6:$AH$505),"",INDEX(テーブル2[[学年]:[判定]],MATCH(体力優良証交付申請書!$A252,入力シート!$AH$6:$AH$505,0),MATCH(体力優良証交付申請書!D$14,テーブル2[[#Headers],[学年]:[得点]],0)))</f>
        <v/>
      </c>
      <c r="E252" s="115" t="str">
        <f>IF($A252&gt;MAX(入力シート!$AH$6:$AH$505),"",INDEX(テーブル2[[学年]:[判定]],MATCH(体力優良証交付申請書!$A252,入力シート!$AH$6:$AH$505,0),MATCH(体力優良証交付申請書!E$14,テーブル2[[#Headers],[学年]:[得点]],0)))</f>
        <v/>
      </c>
      <c r="F252" s="115" t="str">
        <f>IF($A252&gt;MAX(入力シート!$AH$6:$AH$505),"",INDEX(テーブル2[[学年]:[判定]],MATCH(体力優良証交付申請書!$A252,入力シート!$AH$6:$AH$505,0),MATCH(体力優良証交付申請書!F$14,テーブル2[[#Headers],[学年]:[得点]],0)))</f>
        <v/>
      </c>
      <c r="G252" s="115" t="str">
        <f>IF($A252&gt;MAX(入力シート!$AH$6:$AH$505),"",INDEX(テーブル2[[学年]:[判定]],MATCH(体力優良証交付申請書!$A252,入力シート!$AH$6:$AH$505,0),MATCH(体力優良証交付申請書!G$14,テーブル2[[#Headers],[学年]:[得点]],0)))</f>
        <v/>
      </c>
      <c r="H252" s="115" t="str">
        <f>IF($A252&gt;MAX(入力シート!$AH$6:$AH$505),"",INDEX(テーブル2[[学年]:[判定]],MATCH(体力優良証交付申請書!$A252,入力シート!$AH$6:$AH$505,0),MATCH(体力優良証交付申請書!H$14,テーブル2[[#Headers],[学年]:[得点]],0)))</f>
        <v/>
      </c>
      <c r="I252" s="115" t="str">
        <f>IF($A252&gt;MAX(入力シート!$AH$6:$AH$505),"",INDEX(テーブル2[[学年]:[判定]],MATCH(体力優良証交付申請書!$A252,入力シート!$AH$6:$AH$505,0),MATCH(体力優良証交付申請書!I$14,テーブル2[[#Headers],[学年]:[得点]],0)))</f>
        <v/>
      </c>
      <c r="J252" s="115" t="str">
        <f>IF($A252&gt;MAX(入力シート!$AH$6:$AH$505),"",INDEX(テーブル2[[学年]:[判定]],MATCH(体力優良証交付申請書!$A252,入力シート!$AH$6:$AH$505,0),MATCH(体力優良証交付申請書!J$14,テーブル2[[#Headers],[学年]:[得点]],0)))</f>
        <v/>
      </c>
      <c r="K252" s="129" t="str">
        <f>IF($A252&gt;MAX(入力シート!$AH$6:$AH$505),"",INDEX(テーブル2[[学年]:[判定]],MATCH(体力優良証交付申請書!$A252,入力シート!$AH$6:$AH$505,0),MATCH(体力優良証交付申請書!K$14,テーブル2[[#Headers],[学年]:[得点]],0)))</f>
        <v/>
      </c>
      <c r="L252" s="115" t="str">
        <f>IF($A252&gt;MAX(入力シート!$AH$6:$AH$505),"",INDEX(テーブル2[[学年]:[判定]],MATCH(体力優良証交付申請書!$A252,入力シート!$AH$6:$AH$505,0),MATCH(体力優良証交付申請書!L$14,テーブル2[[#Headers],[学年]:[得点]],0)))</f>
        <v/>
      </c>
      <c r="M252" s="115" t="str">
        <f>IF($A252&gt;MAX(入力シート!$AH$6:$AH$505),"",INDEX(テーブル2[[学年]:[判定]],MATCH(体力優良証交付申請書!$A252,入力シート!$AH$6:$AH$505,0),MATCH(体力優良証交付申請書!M$14,テーブル2[[#Headers],[学年]:[得点]],0)))</f>
        <v/>
      </c>
      <c r="N252" s="27" t="str">
        <f>IF($A252&gt;MAX(入力シート!$AH$6:$AH$505),"",INDEX(テーブル2[[学年]:[判定]],MATCH(体力優良証交付申請書!$A252,入力シート!$AH$6:$AH$505,0),MATCH(体力優良証交付申請書!N$14,テーブル2[[#Headers],[学年]:[得点]],0)))</f>
        <v/>
      </c>
    </row>
    <row r="253" spans="1:14" x14ac:dyDescent="0.15">
      <c r="A253" s="17">
        <v>239</v>
      </c>
      <c r="B253" s="115" t="str">
        <f>IF($A253&gt;MAX(入力シート!$AH$6:$AH$505),"",INDEX(テーブル2[[学年]:[判定]],MATCH(体力優良証交付申請書!$A253,入力シート!$AH$6:$AH$505,0),MATCH(体力優良証交付申請書!B$14,テーブル2[[#Headers],[学年]:[得点]],0)))</f>
        <v/>
      </c>
      <c r="C253" s="115" t="str">
        <f>IF($A253&gt;MAX(入力シート!$AH$6:$AH$505),"",INDEX(テーブル2[[学年]:[判定]],MATCH(体力優良証交付申請書!$A253,入力シート!$AH$6:$AH$505,0),MATCH(体力優良証交付申請書!C$14,テーブル2[[#Headers],[学年]:[得点]],0)))</f>
        <v/>
      </c>
      <c r="D253" s="115" t="str">
        <f>IF($A253&gt;MAX(入力シート!$AH$6:$AH$505),"",INDEX(テーブル2[[学年]:[判定]],MATCH(体力優良証交付申請書!$A253,入力シート!$AH$6:$AH$505,0),MATCH(体力優良証交付申請書!D$14,テーブル2[[#Headers],[学年]:[得点]],0)))</f>
        <v/>
      </c>
      <c r="E253" s="115" t="str">
        <f>IF($A253&gt;MAX(入力シート!$AH$6:$AH$505),"",INDEX(テーブル2[[学年]:[判定]],MATCH(体力優良証交付申請書!$A253,入力シート!$AH$6:$AH$505,0),MATCH(体力優良証交付申請書!E$14,テーブル2[[#Headers],[学年]:[得点]],0)))</f>
        <v/>
      </c>
      <c r="F253" s="115" t="str">
        <f>IF($A253&gt;MAX(入力シート!$AH$6:$AH$505),"",INDEX(テーブル2[[学年]:[判定]],MATCH(体力優良証交付申請書!$A253,入力シート!$AH$6:$AH$505,0),MATCH(体力優良証交付申請書!F$14,テーブル2[[#Headers],[学年]:[得点]],0)))</f>
        <v/>
      </c>
      <c r="G253" s="115" t="str">
        <f>IF($A253&gt;MAX(入力シート!$AH$6:$AH$505),"",INDEX(テーブル2[[学年]:[判定]],MATCH(体力優良証交付申請書!$A253,入力シート!$AH$6:$AH$505,0),MATCH(体力優良証交付申請書!G$14,テーブル2[[#Headers],[学年]:[得点]],0)))</f>
        <v/>
      </c>
      <c r="H253" s="115" t="str">
        <f>IF($A253&gt;MAX(入力シート!$AH$6:$AH$505),"",INDEX(テーブル2[[学年]:[判定]],MATCH(体力優良証交付申請書!$A253,入力シート!$AH$6:$AH$505,0),MATCH(体力優良証交付申請書!H$14,テーブル2[[#Headers],[学年]:[得点]],0)))</f>
        <v/>
      </c>
      <c r="I253" s="115" t="str">
        <f>IF($A253&gt;MAX(入力シート!$AH$6:$AH$505),"",INDEX(テーブル2[[学年]:[判定]],MATCH(体力優良証交付申請書!$A253,入力シート!$AH$6:$AH$505,0),MATCH(体力優良証交付申請書!I$14,テーブル2[[#Headers],[学年]:[得点]],0)))</f>
        <v/>
      </c>
      <c r="J253" s="115" t="str">
        <f>IF($A253&gt;MAX(入力シート!$AH$6:$AH$505),"",INDEX(テーブル2[[学年]:[判定]],MATCH(体力優良証交付申請書!$A253,入力シート!$AH$6:$AH$505,0),MATCH(体力優良証交付申請書!J$14,テーブル2[[#Headers],[学年]:[得点]],0)))</f>
        <v/>
      </c>
      <c r="K253" s="129" t="str">
        <f>IF($A253&gt;MAX(入力シート!$AH$6:$AH$505),"",INDEX(テーブル2[[学年]:[判定]],MATCH(体力優良証交付申請書!$A253,入力シート!$AH$6:$AH$505,0),MATCH(体力優良証交付申請書!K$14,テーブル2[[#Headers],[学年]:[得点]],0)))</f>
        <v/>
      </c>
      <c r="L253" s="115" t="str">
        <f>IF($A253&gt;MAX(入力シート!$AH$6:$AH$505),"",INDEX(テーブル2[[学年]:[判定]],MATCH(体力優良証交付申請書!$A253,入力シート!$AH$6:$AH$505,0),MATCH(体力優良証交付申請書!L$14,テーブル2[[#Headers],[学年]:[得点]],0)))</f>
        <v/>
      </c>
      <c r="M253" s="115" t="str">
        <f>IF($A253&gt;MAX(入力シート!$AH$6:$AH$505),"",INDEX(テーブル2[[学年]:[判定]],MATCH(体力優良証交付申請書!$A253,入力シート!$AH$6:$AH$505,0),MATCH(体力優良証交付申請書!M$14,テーブル2[[#Headers],[学年]:[得点]],0)))</f>
        <v/>
      </c>
      <c r="N253" s="27" t="str">
        <f>IF($A253&gt;MAX(入力シート!$AH$6:$AH$505),"",INDEX(テーブル2[[学年]:[判定]],MATCH(体力優良証交付申請書!$A253,入力シート!$AH$6:$AH$505,0),MATCH(体力優良証交付申請書!N$14,テーブル2[[#Headers],[学年]:[得点]],0)))</f>
        <v/>
      </c>
    </row>
    <row r="254" spans="1:14" x14ac:dyDescent="0.15">
      <c r="A254" s="17">
        <v>240</v>
      </c>
      <c r="B254" s="115" t="str">
        <f>IF($A254&gt;MAX(入力シート!$AH$6:$AH$505),"",INDEX(テーブル2[[学年]:[判定]],MATCH(体力優良証交付申請書!$A254,入力シート!$AH$6:$AH$505,0),MATCH(体力優良証交付申請書!B$14,テーブル2[[#Headers],[学年]:[得点]],0)))</f>
        <v/>
      </c>
      <c r="C254" s="115" t="str">
        <f>IF($A254&gt;MAX(入力シート!$AH$6:$AH$505),"",INDEX(テーブル2[[学年]:[判定]],MATCH(体力優良証交付申請書!$A254,入力シート!$AH$6:$AH$505,0),MATCH(体力優良証交付申請書!C$14,テーブル2[[#Headers],[学年]:[得点]],0)))</f>
        <v/>
      </c>
      <c r="D254" s="115" t="str">
        <f>IF($A254&gt;MAX(入力シート!$AH$6:$AH$505),"",INDEX(テーブル2[[学年]:[判定]],MATCH(体力優良証交付申請書!$A254,入力シート!$AH$6:$AH$505,0),MATCH(体力優良証交付申請書!D$14,テーブル2[[#Headers],[学年]:[得点]],0)))</f>
        <v/>
      </c>
      <c r="E254" s="115" t="str">
        <f>IF($A254&gt;MAX(入力シート!$AH$6:$AH$505),"",INDEX(テーブル2[[学年]:[判定]],MATCH(体力優良証交付申請書!$A254,入力シート!$AH$6:$AH$505,0),MATCH(体力優良証交付申請書!E$14,テーブル2[[#Headers],[学年]:[得点]],0)))</f>
        <v/>
      </c>
      <c r="F254" s="115" t="str">
        <f>IF($A254&gt;MAX(入力シート!$AH$6:$AH$505),"",INDEX(テーブル2[[学年]:[判定]],MATCH(体力優良証交付申請書!$A254,入力シート!$AH$6:$AH$505,0),MATCH(体力優良証交付申請書!F$14,テーブル2[[#Headers],[学年]:[得点]],0)))</f>
        <v/>
      </c>
      <c r="G254" s="115" t="str">
        <f>IF($A254&gt;MAX(入力シート!$AH$6:$AH$505),"",INDEX(テーブル2[[学年]:[判定]],MATCH(体力優良証交付申請書!$A254,入力シート!$AH$6:$AH$505,0),MATCH(体力優良証交付申請書!G$14,テーブル2[[#Headers],[学年]:[得点]],0)))</f>
        <v/>
      </c>
      <c r="H254" s="115" t="str">
        <f>IF($A254&gt;MAX(入力シート!$AH$6:$AH$505),"",INDEX(テーブル2[[学年]:[判定]],MATCH(体力優良証交付申請書!$A254,入力シート!$AH$6:$AH$505,0),MATCH(体力優良証交付申請書!H$14,テーブル2[[#Headers],[学年]:[得点]],0)))</f>
        <v/>
      </c>
      <c r="I254" s="115" t="str">
        <f>IF($A254&gt;MAX(入力シート!$AH$6:$AH$505),"",INDEX(テーブル2[[学年]:[判定]],MATCH(体力優良証交付申請書!$A254,入力シート!$AH$6:$AH$505,0),MATCH(体力優良証交付申請書!I$14,テーブル2[[#Headers],[学年]:[得点]],0)))</f>
        <v/>
      </c>
      <c r="J254" s="115" t="str">
        <f>IF($A254&gt;MAX(入力シート!$AH$6:$AH$505),"",INDEX(テーブル2[[学年]:[判定]],MATCH(体力優良証交付申請書!$A254,入力シート!$AH$6:$AH$505,0),MATCH(体力優良証交付申請書!J$14,テーブル2[[#Headers],[学年]:[得点]],0)))</f>
        <v/>
      </c>
      <c r="K254" s="129" t="str">
        <f>IF($A254&gt;MAX(入力シート!$AH$6:$AH$505),"",INDEX(テーブル2[[学年]:[判定]],MATCH(体力優良証交付申請書!$A254,入力シート!$AH$6:$AH$505,0),MATCH(体力優良証交付申請書!K$14,テーブル2[[#Headers],[学年]:[得点]],0)))</f>
        <v/>
      </c>
      <c r="L254" s="115" t="str">
        <f>IF($A254&gt;MAX(入力シート!$AH$6:$AH$505),"",INDEX(テーブル2[[学年]:[判定]],MATCH(体力優良証交付申請書!$A254,入力シート!$AH$6:$AH$505,0),MATCH(体力優良証交付申請書!L$14,テーブル2[[#Headers],[学年]:[得点]],0)))</f>
        <v/>
      </c>
      <c r="M254" s="115" t="str">
        <f>IF($A254&gt;MAX(入力シート!$AH$6:$AH$505),"",INDEX(テーブル2[[学年]:[判定]],MATCH(体力優良証交付申請書!$A254,入力シート!$AH$6:$AH$505,0),MATCH(体力優良証交付申請書!M$14,テーブル2[[#Headers],[学年]:[得点]],0)))</f>
        <v/>
      </c>
      <c r="N254" s="27" t="str">
        <f>IF($A254&gt;MAX(入力シート!$AH$6:$AH$505),"",INDEX(テーブル2[[学年]:[判定]],MATCH(体力優良証交付申請書!$A254,入力シート!$AH$6:$AH$505,0),MATCH(体力優良証交付申請書!N$14,テーブル2[[#Headers],[学年]:[得点]],0)))</f>
        <v/>
      </c>
    </row>
    <row r="255" spans="1:14" x14ac:dyDescent="0.15">
      <c r="A255" s="17">
        <v>241</v>
      </c>
      <c r="B255" s="115" t="str">
        <f>IF($A255&gt;MAX(入力シート!$AH$6:$AH$505),"",INDEX(テーブル2[[学年]:[判定]],MATCH(体力優良証交付申請書!$A255,入力シート!$AH$6:$AH$505,0),MATCH(体力優良証交付申請書!B$14,テーブル2[[#Headers],[学年]:[得点]],0)))</f>
        <v/>
      </c>
      <c r="C255" s="115" t="str">
        <f>IF($A255&gt;MAX(入力シート!$AH$6:$AH$505),"",INDEX(テーブル2[[学年]:[判定]],MATCH(体力優良証交付申請書!$A255,入力シート!$AH$6:$AH$505,0),MATCH(体力優良証交付申請書!C$14,テーブル2[[#Headers],[学年]:[得点]],0)))</f>
        <v/>
      </c>
      <c r="D255" s="115" t="str">
        <f>IF($A255&gt;MAX(入力シート!$AH$6:$AH$505),"",INDEX(テーブル2[[学年]:[判定]],MATCH(体力優良証交付申請書!$A255,入力シート!$AH$6:$AH$505,0),MATCH(体力優良証交付申請書!D$14,テーブル2[[#Headers],[学年]:[得点]],0)))</f>
        <v/>
      </c>
      <c r="E255" s="115" t="str">
        <f>IF($A255&gt;MAX(入力シート!$AH$6:$AH$505),"",INDEX(テーブル2[[学年]:[判定]],MATCH(体力優良証交付申請書!$A255,入力シート!$AH$6:$AH$505,0),MATCH(体力優良証交付申請書!E$14,テーブル2[[#Headers],[学年]:[得点]],0)))</f>
        <v/>
      </c>
      <c r="F255" s="115" t="str">
        <f>IF($A255&gt;MAX(入力シート!$AH$6:$AH$505),"",INDEX(テーブル2[[学年]:[判定]],MATCH(体力優良証交付申請書!$A255,入力シート!$AH$6:$AH$505,0),MATCH(体力優良証交付申請書!F$14,テーブル2[[#Headers],[学年]:[得点]],0)))</f>
        <v/>
      </c>
      <c r="G255" s="115" t="str">
        <f>IF($A255&gt;MAX(入力シート!$AH$6:$AH$505),"",INDEX(テーブル2[[学年]:[判定]],MATCH(体力優良証交付申請書!$A255,入力シート!$AH$6:$AH$505,0),MATCH(体力優良証交付申請書!G$14,テーブル2[[#Headers],[学年]:[得点]],0)))</f>
        <v/>
      </c>
      <c r="H255" s="115" t="str">
        <f>IF($A255&gt;MAX(入力シート!$AH$6:$AH$505),"",INDEX(テーブル2[[学年]:[判定]],MATCH(体力優良証交付申請書!$A255,入力シート!$AH$6:$AH$505,0),MATCH(体力優良証交付申請書!H$14,テーブル2[[#Headers],[学年]:[得点]],0)))</f>
        <v/>
      </c>
      <c r="I255" s="115" t="str">
        <f>IF($A255&gt;MAX(入力シート!$AH$6:$AH$505),"",INDEX(テーブル2[[学年]:[判定]],MATCH(体力優良証交付申請書!$A255,入力シート!$AH$6:$AH$505,0),MATCH(体力優良証交付申請書!I$14,テーブル2[[#Headers],[学年]:[得点]],0)))</f>
        <v/>
      </c>
      <c r="J255" s="115" t="str">
        <f>IF($A255&gt;MAX(入力シート!$AH$6:$AH$505),"",INDEX(テーブル2[[学年]:[判定]],MATCH(体力優良証交付申請書!$A255,入力シート!$AH$6:$AH$505,0),MATCH(体力優良証交付申請書!J$14,テーブル2[[#Headers],[学年]:[得点]],0)))</f>
        <v/>
      </c>
      <c r="K255" s="129" t="str">
        <f>IF($A255&gt;MAX(入力シート!$AH$6:$AH$505),"",INDEX(テーブル2[[学年]:[判定]],MATCH(体力優良証交付申請書!$A255,入力シート!$AH$6:$AH$505,0),MATCH(体力優良証交付申請書!K$14,テーブル2[[#Headers],[学年]:[得点]],0)))</f>
        <v/>
      </c>
      <c r="L255" s="115" t="str">
        <f>IF($A255&gt;MAX(入力シート!$AH$6:$AH$505),"",INDEX(テーブル2[[学年]:[判定]],MATCH(体力優良証交付申請書!$A255,入力シート!$AH$6:$AH$505,0),MATCH(体力優良証交付申請書!L$14,テーブル2[[#Headers],[学年]:[得点]],0)))</f>
        <v/>
      </c>
      <c r="M255" s="115" t="str">
        <f>IF($A255&gt;MAX(入力シート!$AH$6:$AH$505),"",INDEX(テーブル2[[学年]:[判定]],MATCH(体力優良証交付申請書!$A255,入力シート!$AH$6:$AH$505,0),MATCH(体力優良証交付申請書!M$14,テーブル2[[#Headers],[学年]:[得点]],0)))</f>
        <v/>
      </c>
      <c r="N255" s="27" t="str">
        <f>IF($A255&gt;MAX(入力シート!$AH$6:$AH$505),"",INDEX(テーブル2[[学年]:[判定]],MATCH(体力優良証交付申請書!$A255,入力シート!$AH$6:$AH$505,0),MATCH(体力優良証交付申請書!N$14,テーブル2[[#Headers],[学年]:[得点]],0)))</f>
        <v/>
      </c>
    </row>
    <row r="256" spans="1:14" x14ac:dyDescent="0.15">
      <c r="A256" s="17">
        <v>242</v>
      </c>
      <c r="B256" s="115" t="str">
        <f>IF($A256&gt;MAX(入力シート!$AH$6:$AH$505),"",INDEX(テーブル2[[学年]:[判定]],MATCH(体力優良証交付申請書!$A256,入力シート!$AH$6:$AH$505,0),MATCH(体力優良証交付申請書!B$14,テーブル2[[#Headers],[学年]:[得点]],0)))</f>
        <v/>
      </c>
      <c r="C256" s="115" t="str">
        <f>IF($A256&gt;MAX(入力シート!$AH$6:$AH$505),"",INDEX(テーブル2[[学年]:[判定]],MATCH(体力優良証交付申請書!$A256,入力シート!$AH$6:$AH$505,0),MATCH(体力優良証交付申請書!C$14,テーブル2[[#Headers],[学年]:[得点]],0)))</f>
        <v/>
      </c>
      <c r="D256" s="115" t="str">
        <f>IF($A256&gt;MAX(入力シート!$AH$6:$AH$505),"",INDEX(テーブル2[[学年]:[判定]],MATCH(体力優良証交付申請書!$A256,入力シート!$AH$6:$AH$505,0),MATCH(体力優良証交付申請書!D$14,テーブル2[[#Headers],[学年]:[得点]],0)))</f>
        <v/>
      </c>
      <c r="E256" s="115" t="str">
        <f>IF($A256&gt;MAX(入力シート!$AH$6:$AH$505),"",INDEX(テーブル2[[学年]:[判定]],MATCH(体力優良証交付申請書!$A256,入力シート!$AH$6:$AH$505,0),MATCH(体力優良証交付申請書!E$14,テーブル2[[#Headers],[学年]:[得点]],0)))</f>
        <v/>
      </c>
      <c r="F256" s="115" t="str">
        <f>IF($A256&gt;MAX(入力シート!$AH$6:$AH$505),"",INDEX(テーブル2[[学年]:[判定]],MATCH(体力優良証交付申請書!$A256,入力シート!$AH$6:$AH$505,0),MATCH(体力優良証交付申請書!F$14,テーブル2[[#Headers],[学年]:[得点]],0)))</f>
        <v/>
      </c>
      <c r="G256" s="115" t="str">
        <f>IF($A256&gt;MAX(入力シート!$AH$6:$AH$505),"",INDEX(テーブル2[[学年]:[判定]],MATCH(体力優良証交付申請書!$A256,入力シート!$AH$6:$AH$505,0),MATCH(体力優良証交付申請書!G$14,テーブル2[[#Headers],[学年]:[得点]],0)))</f>
        <v/>
      </c>
      <c r="H256" s="115" t="str">
        <f>IF($A256&gt;MAX(入力シート!$AH$6:$AH$505),"",INDEX(テーブル2[[学年]:[判定]],MATCH(体力優良証交付申請書!$A256,入力シート!$AH$6:$AH$505,0),MATCH(体力優良証交付申請書!H$14,テーブル2[[#Headers],[学年]:[得点]],0)))</f>
        <v/>
      </c>
      <c r="I256" s="115" t="str">
        <f>IF($A256&gt;MAX(入力シート!$AH$6:$AH$505),"",INDEX(テーブル2[[学年]:[判定]],MATCH(体力優良証交付申請書!$A256,入力シート!$AH$6:$AH$505,0),MATCH(体力優良証交付申請書!I$14,テーブル2[[#Headers],[学年]:[得点]],0)))</f>
        <v/>
      </c>
      <c r="J256" s="115" t="str">
        <f>IF($A256&gt;MAX(入力シート!$AH$6:$AH$505),"",INDEX(テーブル2[[学年]:[判定]],MATCH(体力優良証交付申請書!$A256,入力シート!$AH$6:$AH$505,0),MATCH(体力優良証交付申請書!J$14,テーブル2[[#Headers],[学年]:[得点]],0)))</f>
        <v/>
      </c>
      <c r="K256" s="129" t="str">
        <f>IF($A256&gt;MAX(入力シート!$AH$6:$AH$505),"",INDEX(テーブル2[[学年]:[判定]],MATCH(体力優良証交付申請書!$A256,入力シート!$AH$6:$AH$505,0),MATCH(体力優良証交付申請書!K$14,テーブル2[[#Headers],[学年]:[得点]],0)))</f>
        <v/>
      </c>
      <c r="L256" s="115" t="str">
        <f>IF($A256&gt;MAX(入力シート!$AH$6:$AH$505),"",INDEX(テーブル2[[学年]:[判定]],MATCH(体力優良証交付申請書!$A256,入力シート!$AH$6:$AH$505,0),MATCH(体力優良証交付申請書!L$14,テーブル2[[#Headers],[学年]:[得点]],0)))</f>
        <v/>
      </c>
      <c r="M256" s="115" t="str">
        <f>IF($A256&gt;MAX(入力シート!$AH$6:$AH$505),"",INDEX(テーブル2[[学年]:[判定]],MATCH(体力優良証交付申請書!$A256,入力シート!$AH$6:$AH$505,0),MATCH(体力優良証交付申請書!M$14,テーブル2[[#Headers],[学年]:[得点]],0)))</f>
        <v/>
      </c>
      <c r="N256" s="27" t="str">
        <f>IF($A256&gt;MAX(入力シート!$AH$6:$AH$505),"",INDEX(テーブル2[[学年]:[判定]],MATCH(体力優良証交付申請書!$A256,入力シート!$AH$6:$AH$505,0),MATCH(体力優良証交付申請書!N$14,テーブル2[[#Headers],[学年]:[得点]],0)))</f>
        <v/>
      </c>
    </row>
    <row r="257" spans="1:14" x14ac:dyDescent="0.15">
      <c r="A257" s="17">
        <v>243</v>
      </c>
      <c r="B257" s="115" t="str">
        <f>IF($A257&gt;MAX(入力シート!$AH$6:$AH$505),"",INDEX(テーブル2[[学年]:[判定]],MATCH(体力優良証交付申請書!$A257,入力シート!$AH$6:$AH$505,0),MATCH(体力優良証交付申請書!B$14,テーブル2[[#Headers],[学年]:[得点]],0)))</f>
        <v/>
      </c>
      <c r="C257" s="115" t="str">
        <f>IF($A257&gt;MAX(入力シート!$AH$6:$AH$505),"",INDEX(テーブル2[[学年]:[判定]],MATCH(体力優良証交付申請書!$A257,入力シート!$AH$6:$AH$505,0),MATCH(体力優良証交付申請書!C$14,テーブル2[[#Headers],[学年]:[得点]],0)))</f>
        <v/>
      </c>
      <c r="D257" s="115" t="str">
        <f>IF($A257&gt;MAX(入力シート!$AH$6:$AH$505),"",INDEX(テーブル2[[学年]:[判定]],MATCH(体力優良証交付申請書!$A257,入力シート!$AH$6:$AH$505,0),MATCH(体力優良証交付申請書!D$14,テーブル2[[#Headers],[学年]:[得点]],0)))</f>
        <v/>
      </c>
      <c r="E257" s="115" t="str">
        <f>IF($A257&gt;MAX(入力シート!$AH$6:$AH$505),"",INDEX(テーブル2[[学年]:[判定]],MATCH(体力優良証交付申請書!$A257,入力シート!$AH$6:$AH$505,0),MATCH(体力優良証交付申請書!E$14,テーブル2[[#Headers],[学年]:[得点]],0)))</f>
        <v/>
      </c>
      <c r="F257" s="115" t="str">
        <f>IF($A257&gt;MAX(入力シート!$AH$6:$AH$505),"",INDEX(テーブル2[[学年]:[判定]],MATCH(体力優良証交付申請書!$A257,入力シート!$AH$6:$AH$505,0),MATCH(体力優良証交付申請書!F$14,テーブル2[[#Headers],[学年]:[得点]],0)))</f>
        <v/>
      </c>
      <c r="G257" s="115" t="str">
        <f>IF($A257&gt;MAX(入力シート!$AH$6:$AH$505),"",INDEX(テーブル2[[学年]:[判定]],MATCH(体力優良証交付申請書!$A257,入力シート!$AH$6:$AH$505,0),MATCH(体力優良証交付申請書!G$14,テーブル2[[#Headers],[学年]:[得点]],0)))</f>
        <v/>
      </c>
      <c r="H257" s="115" t="str">
        <f>IF($A257&gt;MAX(入力シート!$AH$6:$AH$505),"",INDEX(テーブル2[[学年]:[判定]],MATCH(体力優良証交付申請書!$A257,入力シート!$AH$6:$AH$505,0),MATCH(体力優良証交付申請書!H$14,テーブル2[[#Headers],[学年]:[得点]],0)))</f>
        <v/>
      </c>
      <c r="I257" s="115" t="str">
        <f>IF($A257&gt;MAX(入力シート!$AH$6:$AH$505),"",INDEX(テーブル2[[学年]:[判定]],MATCH(体力優良証交付申請書!$A257,入力シート!$AH$6:$AH$505,0),MATCH(体力優良証交付申請書!I$14,テーブル2[[#Headers],[学年]:[得点]],0)))</f>
        <v/>
      </c>
      <c r="J257" s="115" t="str">
        <f>IF($A257&gt;MAX(入力シート!$AH$6:$AH$505),"",INDEX(テーブル2[[学年]:[判定]],MATCH(体力優良証交付申請書!$A257,入力シート!$AH$6:$AH$505,0),MATCH(体力優良証交付申請書!J$14,テーブル2[[#Headers],[学年]:[得点]],0)))</f>
        <v/>
      </c>
      <c r="K257" s="129" t="str">
        <f>IF($A257&gt;MAX(入力シート!$AH$6:$AH$505),"",INDEX(テーブル2[[学年]:[判定]],MATCH(体力優良証交付申請書!$A257,入力シート!$AH$6:$AH$505,0),MATCH(体力優良証交付申請書!K$14,テーブル2[[#Headers],[学年]:[得点]],0)))</f>
        <v/>
      </c>
      <c r="L257" s="115" t="str">
        <f>IF($A257&gt;MAX(入力シート!$AH$6:$AH$505),"",INDEX(テーブル2[[学年]:[判定]],MATCH(体力優良証交付申請書!$A257,入力シート!$AH$6:$AH$505,0),MATCH(体力優良証交付申請書!L$14,テーブル2[[#Headers],[学年]:[得点]],0)))</f>
        <v/>
      </c>
      <c r="M257" s="115" t="str">
        <f>IF($A257&gt;MAX(入力シート!$AH$6:$AH$505),"",INDEX(テーブル2[[学年]:[判定]],MATCH(体力優良証交付申請書!$A257,入力シート!$AH$6:$AH$505,0),MATCH(体力優良証交付申請書!M$14,テーブル2[[#Headers],[学年]:[得点]],0)))</f>
        <v/>
      </c>
      <c r="N257" s="27" t="str">
        <f>IF($A257&gt;MAX(入力シート!$AH$6:$AH$505),"",INDEX(テーブル2[[学年]:[判定]],MATCH(体力優良証交付申請書!$A257,入力シート!$AH$6:$AH$505,0),MATCH(体力優良証交付申請書!N$14,テーブル2[[#Headers],[学年]:[得点]],0)))</f>
        <v/>
      </c>
    </row>
    <row r="258" spans="1:14" x14ac:dyDescent="0.15">
      <c r="A258" s="17">
        <v>244</v>
      </c>
      <c r="B258" s="115" t="str">
        <f>IF($A258&gt;MAX(入力シート!$AH$6:$AH$505),"",INDEX(テーブル2[[学年]:[判定]],MATCH(体力優良証交付申請書!$A258,入力シート!$AH$6:$AH$505,0),MATCH(体力優良証交付申請書!B$14,テーブル2[[#Headers],[学年]:[得点]],0)))</f>
        <v/>
      </c>
      <c r="C258" s="115" t="str">
        <f>IF($A258&gt;MAX(入力シート!$AH$6:$AH$505),"",INDEX(テーブル2[[学年]:[判定]],MATCH(体力優良証交付申請書!$A258,入力シート!$AH$6:$AH$505,0),MATCH(体力優良証交付申請書!C$14,テーブル2[[#Headers],[学年]:[得点]],0)))</f>
        <v/>
      </c>
      <c r="D258" s="115" t="str">
        <f>IF($A258&gt;MAX(入力シート!$AH$6:$AH$505),"",INDEX(テーブル2[[学年]:[判定]],MATCH(体力優良証交付申請書!$A258,入力シート!$AH$6:$AH$505,0),MATCH(体力優良証交付申請書!D$14,テーブル2[[#Headers],[学年]:[得点]],0)))</f>
        <v/>
      </c>
      <c r="E258" s="115" t="str">
        <f>IF($A258&gt;MAX(入力シート!$AH$6:$AH$505),"",INDEX(テーブル2[[学年]:[判定]],MATCH(体力優良証交付申請書!$A258,入力シート!$AH$6:$AH$505,0),MATCH(体力優良証交付申請書!E$14,テーブル2[[#Headers],[学年]:[得点]],0)))</f>
        <v/>
      </c>
      <c r="F258" s="115" t="str">
        <f>IF($A258&gt;MAX(入力シート!$AH$6:$AH$505),"",INDEX(テーブル2[[学年]:[判定]],MATCH(体力優良証交付申請書!$A258,入力シート!$AH$6:$AH$505,0),MATCH(体力優良証交付申請書!F$14,テーブル2[[#Headers],[学年]:[得点]],0)))</f>
        <v/>
      </c>
      <c r="G258" s="115" t="str">
        <f>IF($A258&gt;MAX(入力シート!$AH$6:$AH$505),"",INDEX(テーブル2[[学年]:[判定]],MATCH(体力優良証交付申請書!$A258,入力シート!$AH$6:$AH$505,0),MATCH(体力優良証交付申請書!G$14,テーブル2[[#Headers],[学年]:[得点]],0)))</f>
        <v/>
      </c>
      <c r="H258" s="115" t="str">
        <f>IF($A258&gt;MAX(入力シート!$AH$6:$AH$505),"",INDEX(テーブル2[[学年]:[判定]],MATCH(体力優良証交付申請書!$A258,入力シート!$AH$6:$AH$505,0),MATCH(体力優良証交付申請書!H$14,テーブル2[[#Headers],[学年]:[得点]],0)))</f>
        <v/>
      </c>
      <c r="I258" s="115" t="str">
        <f>IF($A258&gt;MAX(入力シート!$AH$6:$AH$505),"",INDEX(テーブル2[[学年]:[判定]],MATCH(体力優良証交付申請書!$A258,入力シート!$AH$6:$AH$505,0),MATCH(体力優良証交付申請書!I$14,テーブル2[[#Headers],[学年]:[得点]],0)))</f>
        <v/>
      </c>
      <c r="J258" s="115" t="str">
        <f>IF($A258&gt;MAX(入力シート!$AH$6:$AH$505),"",INDEX(テーブル2[[学年]:[判定]],MATCH(体力優良証交付申請書!$A258,入力シート!$AH$6:$AH$505,0),MATCH(体力優良証交付申請書!J$14,テーブル2[[#Headers],[学年]:[得点]],0)))</f>
        <v/>
      </c>
      <c r="K258" s="129" t="str">
        <f>IF($A258&gt;MAX(入力シート!$AH$6:$AH$505),"",INDEX(テーブル2[[学年]:[判定]],MATCH(体力優良証交付申請書!$A258,入力シート!$AH$6:$AH$505,0),MATCH(体力優良証交付申請書!K$14,テーブル2[[#Headers],[学年]:[得点]],0)))</f>
        <v/>
      </c>
      <c r="L258" s="115" t="str">
        <f>IF($A258&gt;MAX(入力シート!$AH$6:$AH$505),"",INDEX(テーブル2[[学年]:[判定]],MATCH(体力優良証交付申請書!$A258,入力シート!$AH$6:$AH$505,0),MATCH(体力優良証交付申請書!L$14,テーブル2[[#Headers],[学年]:[得点]],0)))</f>
        <v/>
      </c>
      <c r="M258" s="115" t="str">
        <f>IF($A258&gt;MAX(入力シート!$AH$6:$AH$505),"",INDEX(テーブル2[[学年]:[判定]],MATCH(体力優良証交付申請書!$A258,入力シート!$AH$6:$AH$505,0),MATCH(体力優良証交付申請書!M$14,テーブル2[[#Headers],[学年]:[得点]],0)))</f>
        <v/>
      </c>
      <c r="N258" s="27" t="str">
        <f>IF($A258&gt;MAX(入力シート!$AH$6:$AH$505),"",INDEX(テーブル2[[学年]:[判定]],MATCH(体力優良証交付申請書!$A258,入力シート!$AH$6:$AH$505,0),MATCH(体力優良証交付申請書!N$14,テーブル2[[#Headers],[学年]:[得点]],0)))</f>
        <v/>
      </c>
    </row>
    <row r="259" spans="1:14" x14ac:dyDescent="0.15">
      <c r="A259" s="17">
        <v>245</v>
      </c>
      <c r="B259" s="115" t="str">
        <f>IF($A259&gt;MAX(入力シート!$AH$6:$AH$505),"",INDEX(テーブル2[[学年]:[判定]],MATCH(体力優良証交付申請書!$A259,入力シート!$AH$6:$AH$505,0),MATCH(体力優良証交付申請書!B$14,テーブル2[[#Headers],[学年]:[得点]],0)))</f>
        <v/>
      </c>
      <c r="C259" s="115" t="str">
        <f>IF($A259&gt;MAX(入力シート!$AH$6:$AH$505),"",INDEX(テーブル2[[学年]:[判定]],MATCH(体力優良証交付申請書!$A259,入力シート!$AH$6:$AH$505,0),MATCH(体力優良証交付申請書!C$14,テーブル2[[#Headers],[学年]:[得点]],0)))</f>
        <v/>
      </c>
      <c r="D259" s="115" t="str">
        <f>IF($A259&gt;MAX(入力シート!$AH$6:$AH$505),"",INDEX(テーブル2[[学年]:[判定]],MATCH(体力優良証交付申請書!$A259,入力シート!$AH$6:$AH$505,0),MATCH(体力優良証交付申請書!D$14,テーブル2[[#Headers],[学年]:[得点]],0)))</f>
        <v/>
      </c>
      <c r="E259" s="115" t="str">
        <f>IF($A259&gt;MAX(入力シート!$AH$6:$AH$505),"",INDEX(テーブル2[[学年]:[判定]],MATCH(体力優良証交付申請書!$A259,入力シート!$AH$6:$AH$505,0),MATCH(体力優良証交付申請書!E$14,テーブル2[[#Headers],[学年]:[得点]],0)))</f>
        <v/>
      </c>
      <c r="F259" s="115" t="str">
        <f>IF($A259&gt;MAX(入力シート!$AH$6:$AH$505),"",INDEX(テーブル2[[学年]:[判定]],MATCH(体力優良証交付申請書!$A259,入力シート!$AH$6:$AH$505,0),MATCH(体力優良証交付申請書!F$14,テーブル2[[#Headers],[学年]:[得点]],0)))</f>
        <v/>
      </c>
      <c r="G259" s="115" t="str">
        <f>IF($A259&gt;MAX(入力シート!$AH$6:$AH$505),"",INDEX(テーブル2[[学年]:[判定]],MATCH(体力優良証交付申請書!$A259,入力シート!$AH$6:$AH$505,0),MATCH(体力優良証交付申請書!G$14,テーブル2[[#Headers],[学年]:[得点]],0)))</f>
        <v/>
      </c>
      <c r="H259" s="115" t="str">
        <f>IF($A259&gt;MAX(入力シート!$AH$6:$AH$505),"",INDEX(テーブル2[[学年]:[判定]],MATCH(体力優良証交付申請書!$A259,入力シート!$AH$6:$AH$505,0),MATCH(体力優良証交付申請書!H$14,テーブル2[[#Headers],[学年]:[得点]],0)))</f>
        <v/>
      </c>
      <c r="I259" s="115" t="str">
        <f>IF($A259&gt;MAX(入力シート!$AH$6:$AH$505),"",INDEX(テーブル2[[学年]:[判定]],MATCH(体力優良証交付申請書!$A259,入力シート!$AH$6:$AH$505,0),MATCH(体力優良証交付申請書!I$14,テーブル2[[#Headers],[学年]:[得点]],0)))</f>
        <v/>
      </c>
      <c r="J259" s="115" t="str">
        <f>IF($A259&gt;MAX(入力シート!$AH$6:$AH$505),"",INDEX(テーブル2[[学年]:[判定]],MATCH(体力優良証交付申請書!$A259,入力シート!$AH$6:$AH$505,0),MATCH(体力優良証交付申請書!J$14,テーブル2[[#Headers],[学年]:[得点]],0)))</f>
        <v/>
      </c>
      <c r="K259" s="129" t="str">
        <f>IF($A259&gt;MAX(入力シート!$AH$6:$AH$505),"",INDEX(テーブル2[[学年]:[判定]],MATCH(体力優良証交付申請書!$A259,入力シート!$AH$6:$AH$505,0),MATCH(体力優良証交付申請書!K$14,テーブル2[[#Headers],[学年]:[得点]],0)))</f>
        <v/>
      </c>
      <c r="L259" s="115" t="str">
        <f>IF($A259&gt;MAX(入力シート!$AH$6:$AH$505),"",INDEX(テーブル2[[学年]:[判定]],MATCH(体力優良証交付申請書!$A259,入力シート!$AH$6:$AH$505,0),MATCH(体力優良証交付申請書!L$14,テーブル2[[#Headers],[学年]:[得点]],0)))</f>
        <v/>
      </c>
      <c r="M259" s="115" t="str">
        <f>IF($A259&gt;MAX(入力シート!$AH$6:$AH$505),"",INDEX(テーブル2[[学年]:[判定]],MATCH(体力優良証交付申請書!$A259,入力シート!$AH$6:$AH$505,0),MATCH(体力優良証交付申請書!M$14,テーブル2[[#Headers],[学年]:[得点]],0)))</f>
        <v/>
      </c>
      <c r="N259" s="27" t="str">
        <f>IF($A259&gt;MAX(入力シート!$AH$6:$AH$505),"",INDEX(テーブル2[[学年]:[判定]],MATCH(体力優良証交付申請書!$A259,入力シート!$AH$6:$AH$505,0),MATCH(体力優良証交付申請書!N$14,テーブル2[[#Headers],[学年]:[得点]],0)))</f>
        <v/>
      </c>
    </row>
    <row r="260" spans="1:14" x14ac:dyDescent="0.15">
      <c r="A260" s="17">
        <v>246</v>
      </c>
      <c r="B260" s="115" t="str">
        <f>IF($A260&gt;MAX(入力シート!$AH$6:$AH$505),"",INDEX(テーブル2[[学年]:[判定]],MATCH(体力優良証交付申請書!$A260,入力シート!$AH$6:$AH$505,0),MATCH(体力優良証交付申請書!B$14,テーブル2[[#Headers],[学年]:[得点]],0)))</f>
        <v/>
      </c>
      <c r="C260" s="115" t="str">
        <f>IF($A260&gt;MAX(入力シート!$AH$6:$AH$505),"",INDEX(テーブル2[[学年]:[判定]],MATCH(体力優良証交付申請書!$A260,入力シート!$AH$6:$AH$505,0),MATCH(体力優良証交付申請書!C$14,テーブル2[[#Headers],[学年]:[得点]],0)))</f>
        <v/>
      </c>
      <c r="D260" s="115" t="str">
        <f>IF($A260&gt;MAX(入力シート!$AH$6:$AH$505),"",INDEX(テーブル2[[学年]:[判定]],MATCH(体力優良証交付申請書!$A260,入力シート!$AH$6:$AH$505,0),MATCH(体力優良証交付申請書!D$14,テーブル2[[#Headers],[学年]:[得点]],0)))</f>
        <v/>
      </c>
      <c r="E260" s="115" t="str">
        <f>IF($A260&gt;MAX(入力シート!$AH$6:$AH$505),"",INDEX(テーブル2[[学年]:[判定]],MATCH(体力優良証交付申請書!$A260,入力シート!$AH$6:$AH$505,0),MATCH(体力優良証交付申請書!E$14,テーブル2[[#Headers],[学年]:[得点]],0)))</f>
        <v/>
      </c>
      <c r="F260" s="115" t="str">
        <f>IF($A260&gt;MAX(入力シート!$AH$6:$AH$505),"",INDEX(テーブル2[[学年]:[判定]],MATCH(体力優良証交付申請書!$A260,入力シート!$AH$6:$AH$505,0),MATCH(体力優良証交付申請書!F$14,テーブル2[[#Headers],[学年]:[得点]],0)))</f>
        <v/>
      </c>
      <c r="G260" s="115" t="str">
        <f>IF($A260&gt;MAX(入力シート!$AH$6:$AH$505),"",INDEX(テーブル2[[学年]:[判定]],MATCH(体力優良証交付申請書!$A260,入力シート!$AH$6:$AH$505,0),MATCH(体力優良証交付申請書!G$14,テーブル2[[#Headers],[学年]:[得点]],0)))</f>
        <v/>
      </c>
      <c r="H260" s="115" t="str">
        <f>IF($A260&gt;MAX(入力シート!$AH$6:$AH$505),"",INDEX(テーブル2[[学年]:[判定]],MATCH(体力優良証交付申請書!$A260,入力シート!$AH$6:$AH$505,0),MATCH(体力優良証交付申請書!H$14,テーブル2[[#Headers],[学年]:[得点]],0)))</f>
        <v/>
      </c>
      <c r="I260" s="115" t="str">
        <f>IF($A260&gt;MAX(入力シート!$AH$6:$AH$505),"",INDEX(テーブル2[[学年]:[判定]],MATCH(体力優良証交付申請書!$A260,入力シート!$AH$6:$AH$505,0),MATCH(体力優良証交付申請書!I$14,テーブル2[[#Headers],[学年]:[得点]],0)))</f>
        <v/>
      </c>
      <c r="J260" s="115" t="str">
        <f>IF($A260&gt;MAX(入力シート!$AH$6:$AH$505),"",INDEX(テーブル2[[学年]:[判定]],MATCH(体力優良証交付申請書!$A260,入力シート!$AH$6:$AH$505,0),MATCH(体力優良証交付申請書!J$14,テーブル2[[#Headers],[学年]:[得点]],0)))</f>
        <v/>
      </c>
      <c r="K260" s="129" t="str">
        <f>IF($A260&gt;MAX(入力シート!$AH$6:$AH$505),"",INDEX(テーブル2[[学年]:[判定]],MATCH(体力優良証交付申請書!$A260,入力シート!$AH$6:$AH$505,0),MATCH(体力優良証交付申請書!K$14,テーブル2[[#Headers],[学年]:[得点]],0)))</f>
        <v/>
      </c>
      <c r="L260" s="115" t="str">
        <f>IF($A260&gt;MAX(入力シート!$AH$6:$AH$505),"",INDEX(テーブル2[[学年]:[判定]],MATCH(体力優良証交付申請書!$A260,入力シート!$AH$6:$AH$505,0),MATCH(体力優良証交付申請書!L$14,テーブル2[[#Headers],[学年]:[得点]],0)))</f>
        <v/>
      </c>
      <c r="M260" s="115" t="str">
        <f>IF($A260&gt;MAX(入力シート!$AH$6:$AH$505),"",INDEX(テーブル2[[学年]:[判定]],MATCH(体力優良証交付申請書!$A260,入力シート!$AH$6:$AH$505,0),MATCH(体力優良証交付申請書!M$14,テーブル2[[#Headers],[学年]:[得点]],0)))</f>
        <v/>
      </c>
      <c r="N260" s="27" t="str">
        <f>IF($A260&gt;MAX(入力シート!$AH$6:$AH$505),"",INDEX(テーブル2[[学年]:[判定]],MATCH(体力優良証交付申請書!$A260,入力シート!$AH$6:$AH$505,0),MATCH(体力優良証交付申請書!N$14,テーブル2[[#Headers],[学年]:[得点]],0)))</f>
        <v/>
      </c>
    </row>
    <row r="261" spans="1:14" x14ac:dyDescent="0.15">
      <c r="A261" s="17">
        <v>247</v>
      </c>
      <c r="B261" s="115" t="str">
        <f>IF($A261&gt;MAX(入力シート!$AH$6:$AH$505),"",INDEX(テーブル2[[学年]:[判定]],MATCH(体力優良証交付申請書!$A261,入力シート!$AH$6:$AH$505,0),MATCH(体力優良証交付申請書!B$14,テーブル2[[#Headers],[学年]:[得点]],0)))</f>
        <v/>
      </c>
      <c r="C261" s="115" t="str">
        <f>IF($A261&gt;MAX(入力シート!$AH$6:$AH$505),"",INDEX(テーブル2[[学年]:[判定]],MATCH(体力優良証交付申請書!$A261,入力シート!$AH$6:$AH$505,0),MATCH(体力優良証交付申請書!C$14,テーブル2[[#Headers],[学年]:[得点]],0)))</f>
        <v/>
      </c>
      <c r="D261" s="115" t="str">
        <f>IF($A261&gt;MAX(入力シート!$AH$6:$AH$505),"",INDEX(テーブル2[[学年]:[判定]],MATCH(体力優良証交付申請書!$A261,入力シート!$AH$6:$AH$505,0),MATCH(体力優良証交付申請書!D$14,テーブル2[[#Headers],[学年]:[得点]],0)))</f>
        <v/>
      </c>
      <c r="E261" s="115" t="str">
        <f>IF($A261&gt;MAX(入力シート!$AH$6:$AH$505),"",INDEX(テーブル2[[学年]:[判定]],MATCH(体力優良証交付申請書!$A261,入力シート!$AH$6:$AH$505,0),MATCH(体力優良証交付申請書!E$14,テーブル2[[#Headers],[学年]:[得点]],0)))</f>
        <v/>
      </c>
      <c r="F261" s="115" t="str">
        <f>IF($A261&gt;MAX(入力シート!$AH$6:$AH$505),"",INDEX(テーブル2[[学年]:[判定]],MATCH(体力優良証交付申請書!$A261,入力シート!$AH$6:$AH$505,0),MATCH(体力優良証交付申請書!F$14,テーブル2[[#Headers],[学年]:[得点]],0)))</f>
        <v/>
      </c>
      <c r="G261" s="115" t="str">
        <f>IF($A261&gt;MAX(入力シート!$AH$6:$AH$505),"",INDEX(テーブル2[[学年]:[判定]],MATCH(体力優良証交付申請書!$A261,入力シート!$AH$6:$AH$505,0),MATCH(体力優良証交付申請書!G$14,テーブル2[[#Headers],[学年]:[得点]],0)))</f>
        <v/>
      </c>
      <c r="H261" s="115" t="str">
        <f>IF($A261&gt;MAX(入力シート!$AH$6:$AH$505),"",INDEX(テーブル2[[学年]:[判定]],MATCH(体力優良証交付申請書!$A261,入力シート!$AH$6:$AH$505,0),MATCH(体力優良証交付申請書!H$14,テーブル2[[#Headers],[学年]:[得点]],0)))</f>
        <v/>
      </c>
      <c r="I261" s="115" t="str">
        <f>IF($A261&gt;MAX(入力シート!$AH$6:$AH$505),"",INDEX(テーブル2[[学年]:[判定]],MATCH(体力優良証交付申請書!$A261,入力シート!$AH$6:$AH$505,0),MATCH(体力優良証交付申請書!I$14,テーブル2[[#Headers],[学年]:[得点]],0)))</f>
        <v/>
      </c>
      <c r="J261" s="115" t="str">
        <f>IF($A261&gt;MAX(入力シート!$AH$6:$AH$505),"",INDEX(テーブル2[[学年]:[判定]],MATCH(体力優良証交付申請書!$A261,入力シート!$AH$6:$AH$505,0),MATCH(体力優良証交付申請書!J$14,テーブル2[[#Headers],[学年]:[得点]],0)))</f>
        <v/>
      </c>
      <c r="K261" s="129" t="str">
        <f>IF($A261&gt;MAX(入力シート!$AH$6:$AH$505),"",INDEX(テーブル2[[学年]:[判定]],MATCH(体力優良証交付申請書!$A261,入力シート!$AH$6:$AH$505,0),MATCH(体力優良証交付申請書!K$14,テーブル2[[#Headers],[学年]:[得点]],0)))</f>
        <v/>
      </c>
      <c r="L261" s="115" t="str">
        <f>IF($A261&gt;MAX(入力シート!$AH$6:$AH$505),"",INDEX(テーブル2[[学年]:[判定]],MATCH(体力優良証交付申請書!$A261,入力シート!$AH$6:$AH$505,0),MATCH(体力優良証交付申請書!L$14,テーブル2[[#Headers],[学年]:[得点]],0)))</f>
        <v/>
      </c>
      <c r="M261" s="115" t="str">
        <f>IF($A261&gt;MAX(入力シート!$AH$6:$AH$505),"",INDEX(テーブル2[[学年]:[判定]],MATCH(体力優良証交付申請書!$A261,入力シート!$AH$6:$AH$505,0),MATCH(体力優良証交付申請書!M$14,テーブル2[[#Headers],[学年]:[得点]],0)))</f>
        <v/>
      </c>
      <c r="N261" s="27" t="str">
        <f>IF($A261&gt;MAX(入力シート!$AH$6:$AH$505),"",INDEX(テーブル2[[学年]:[判定]],MATCH(体力優良証交付申請書!$A261,入力シート!$AH$6:$AH$505,0),MATCH(体力優良証交付申請書!N$14,テーブル2[[#Headers],[学年]:[得点]],0)))</f>
        <v/>
      </c>
    </row>
    <row r="262" spans="1:14" x14ac:dyDescent="0.15">
      <c r="A262" s="17">
        <v>248</v>
      </c>
      <c r="B262" s="115" t="str">
        <f>IF($A262&gt;MAX(入力シート!$AH$6:$AH$505),"",INDEX(テーブル2[[学年]:[判定]],MATCH(体力優良証交付申請書!$A262,入力シート!$AH$6:$AH$505,0),MATCH(体力優良証交付申請書!B$14,テーブル2[[#Headers],[学年]:[得点]],0)))</f>
        <v/>
      </c>
      <c r="C262" s="115" t="str">
        <f>IF($A262&gt;MAX(入力シート!$AH$6:$AH$505),"",INDEX(テーブル2[[学年]:[判定]],MATCH(体力優良証交付申請書!$A262,入力シート!$AH$6:$AH$505,0),MATCH(体力優良証交付申請書!C$14,テーブル2[[#Headers],[学年]:[得点]],0)))</f>
        <v/>
      </c>
      <c r="D262" s="115" t="str">
        <f>IF($A262&gt;MAX(入力シート!$AH$6:$AH$505),"",INDEX(テーブル2[[学年]:[判定]],MATCH(体力優良証交付申請書!$A262,入力シート!$AH$6:$AH$505,0),MATCH(体力優良証交付申請書!D$14,テーブル2[[#Headers],[学年]:[得点]],0)))</f>
        <v/>
      </c>
      <c r="E262" s="115" t="str">
        <f>IF($A262&gt;MAX(入力シート!$AH$6:$AH$505),"",INDEX(テーブル2[[学年]:[判定]],MATCH(体力優良証交付申請書!$A262,入力シート!$AH$6:$AH$505,0),MATCH(体力優良証交付申請書!E$14,テーブル2[[#Headers],[学年]:[得点]],0)))</f>
        <v/>
      </c>
      <c r="F262" s="115" t="str">
        <f>IF($A262&gt;MAX(入力シート!$AH$6:$AH$505),"",INDEX(テーブル2[[学年]:[判定]],MATCH(体力優良証交付申請書!$A262,入力シート!$AH$6:$AH$505,0),MATCH(体力優良証交付申請書!F$14,テーブル2[[#Headers],[学年]:[得点]],0)))</f>
        <v/>
      </c>
      <c r="G262" s="115" t="str">
        <f>IF($A262&gt;MAX(入力シート!$AH$6:$AH$505),"",INDEX(テーブル2[[学年]:[判定]],MATCH(体力優良証交付申請書!$A262,入力シート!$AH$6:$AH$505,0),MATCH(体力優良証交付申請書!G$14,テーブル2[[#Headers],[学年]:[得点]],0)))</f>
        <v/>
      </c>
      <c r="H262" s="115" t="str">
        <f>IF($A262&gt;MAX(入力シート!$AH$6:$AH$505),"",INDEX(テーブル2[[学年]:[判定]],MATCH(体力優良証交付申請書!$A262,入力シート!$AH$6:$AH$505,0),MATCH(体力優良証交付申請書!H$14,テーブル2[[#Headers],[学年]:[得点]],0)))</f>
        <v/>
      </c>
      <c r="I262" s="115" t="str">
        <f>IF($A262&gt;MAX(入力シート!$AH$6:$AH$505),"",INDEX(テーブル2[[学年]:[判定]],MATCH(体力優良証交付申請書!$A262,入力シート!$AH$6:$AH$505,0),MATCH(体力優良証交付申請書!I$14,テーブル2[[#Headers],[学年]:[得点]],0)))</f>
        <v/>
      </c>
      <c r="J262" s="115" t="str">
        <f>IF($A262&gt;MAX(入力シート!$AH$6:$AH$505),"",INDEX(テーブル2[[学年]:[判定]],MATCH(体力優良証交付申請書!$A262,入力シート!$AH$6:$AH$505,0),MATCH(体力優良証交付申請書!J$14,テーブル2[[#Headers],[学年]:[得点]],0)))</f>
        <v/>
      </c>
      <c r="K262" s="129" t="str">
        <f>IF($A262&gt;MAX(入力シート!$AH$6:$AH$505),"",INDEX(テーブル2[[学年]:[判定]],MATCH(体力優良証交付申請書!$A262,入力シート!$AH$6:$AH$505,0),MATCH(体力優良証交付申請書!K$14,テーブル2[[#Headers],[学年]:[得点]],0)))</f>
        <v/>
      </c>
      <c r="L262" s="115" t="str">
        <f>IF($A262&gt;MAX(入力シート!$AH$6:$AH$505),"",INDEX(テーブル2[[学年]:[判定]],MATCH(体力優良証交付申請書!$A262,入力シート!$AH$6:$AH$505,0),MATCH(体力優良証交付申請書!L$14,テーブル2[[#Headers],[学年]:[得点]],0)))</f>
        <v/>
      </c>
      <c r="M262" s="115" t="str">
        <f>IF($A262&gt;MAX(入力シート!$AH$6:$AH$505),"",INDEX(テーブル2[[学年]:[判定]],MATCH(体力優良証交付申請書!$A262,入力シート!$AH$6:$AH$505,0),MATCH(体力優良証交付申請書!M$14,テーブル2[[#Headers],[学年]:[得点]],0)))</f>
        <v/>
      </c>
      <c r="N262" s="27" t="str">
        <f>IF($A262&gt;MAX(入力シート!$AH$6:$AH$505),"",INDEX(テーブル2[[学年]:[判定]],MATCH(体力優良証交付申請書!$A262,入力シート!$AH$6:$AH$505,0),MATCH(体力優良証交付申請書!N$14,テーブル2[[#Headers],[学年]:[得点]],0)))</f>
        <v/>
      </c>
    </row>
    <row r="263" spans="1:14" x14ac:dyDescent="0.15">
      <c r="A263" s="17">
        <v>249</v>
      </c>
      <c r="B263" s="115" t="str">
        <f>IF($A263&gt;MAX(入力シート!$AH$6:$AH$505),"",INDEX(テーブル2[[学年]:[判定]],MATCH(体力優良証交付申請書!$A263,入力シート!$AH$6:$AH$505,0),MATCH(体力優良証交付申請書!B$14,テーブル2[[#Headers],[学年]:[得点]],0)))</f>
        <v/>
      </c>
      <c r="C263" s="115" t="str">
        <f>IF($A263&gt;MAX(入力シート!$AH$6:$AH$505),"",INDEX(テーブル2[[学年]:[判定]],MATCH(体力優良証交付申請書!$A263,入力シート!$AH$6:$AH$505,0),MATCH(体力優良証交付申請書!C$14,テーブル2[[#Headers],[学年]:[得点]],0)))</f>
        <v/>
      </c>
      <c r="D263" s="115" t="str">
        <f>IF($A263&gt;MAX(入力シート!$AH$6:$AH$505),"",INDEX(テーブル2[[学年]:[判定]],MATCH(体力優良証交付申請書!$A263,入力シート!$AH$6:$AH$505,0),MATCH(体力優良証交付申請書!D$14,テーブル2[[#Headers],[学年]:[得点]],0)))</f>
        <v/>
      </c>
      <c r="E263" s="115" t="str">
        <f>IF($A263&gt;MAX(入力シート!$AH$6:$AH$505),"",INDEX(テーブル2[[学年]:[判定]],MATCH(体力優良証交付申請書!$A263,入力シート!$AH$6:$AH$505,0),MATCH(体力優良証交付申請書!E$14,テーブル2[[#Headers],[学年]:[得点]],0)))</f>
        <v/>
      </c>
      <c r="F263" s="115" t="str">
        <f>IF($A263&gt;MAX(入力シート!$AH$6:$AH$505),"",INDEX(テーブル2[[学年]:[判定]],MATCH(体力優良証交付申請書!$A263,入力シート!$AH$6:$AH$505,0),MATCH(体力優良証交付申請書!F$14,テーブル2[[#Headers],[学年]:[得点]],0)))</f>
        <v/>
      </c>
      <c r="G263" s="115" t="str">
        <f>IF($A263&gt;MAX(入力シート!$AH$6:$AH$505),"",INDEX(テーブル2[[学年]:[判定]],MATCH(体力優良証交付申請書!$A263,入力シート!$AH$6:$AH$505,0),MATCH(体力優良証交付申請書!G$14,テーブル2[[#Headers],[学年]:[得点]],0)))</f>
        <v/>
      </c>
      <c r="H263" s="115" t="str">
        <f>IF($A263&gt;MAX(入力シート!$AH$6:$AH$505),"",INDEX(テーブル2[[学年]:[判定]],MATCH(体力優良証交付申請書!$A263,入力シート!$AH$6:$AH$505,0),MATCH(体力優良証交付申請書!H$14,テーブル2[[#Headers],[学年]:[得点]],0)))</f>
        <v/>
      </c>
      <c r="I263" s="115" t="str">
        <f>IF($A263&gt;MAX(入力シート!$AH$6:$AH$505),"",INDEX(テーブル2[[学年]:[判定]],MATCH(体力優良証交付申請書!$A263,入力シート!$AH$6:$AH$505,0),MATCH(体力優良証交付申請書!I$14,テーブル2[[#Headers],[学年]:[得点]],0)))</f>
        <v/>
      </c>
      <c r="J263" s="115" t="str">
        <f>IF($A263&gt;MAX(入力シート!$AH$6:$AH$505),"",INDEX(テーブル2[[学年]:[判定]],MATCH(体力優良証交付申請書!$A263,入力シート!$AH$6:$AH$505,0),MATCH(体力優良証交付申請書!J$14,テーブル2[[#Headers],[学年]:[得点]],0)))</f>
        <v/>
      </c>
      <c r="K263" s="129" t="str">
        <f>IF($A263&gt;MAX(入力シート!$AH$6:$AH$505),"",INDEX(テーブル2[[学年]:[判定]],MATCH(体力優良証交付申請書!$A263,入力シート!$AH$6:$AH$505,0),MATCH(体力優良証交付申請書!K$14,テーブル2[[#Headers],[学年]:[得点]],0)))</f>
        <v/>
      </c>
      <c r="L263" s="115" t="str">
        <f>IF($A263&gt;MAX(入力シート!$AH$6:$AH$505),"",INDEX(テーブル2[[学年]:[判定]],MATCH(体力優良証交付申請書!$A263,入力シート!$AH$6:$AH$505,0),MATCH(体力優良証交付申請書!L$14,テーブル2[[#Headers],[学年]:[得点]],0)))</f>
        <v/>
      </c>
      <c r="M263" s="115" t="str">
        <f>IF($A263&gt;MAX(入力シート!$AH$6:$AH$505),"",INDEX(テーブル2[[学年]:[判定]],MATCH(体力優良証交付申請書!$A263,入力シート!$AH$6:$AH$505,0),MATCH(体力優良証交付申請書!M$14,テーブル2[[#Headers],[学年]:[得点]],0)))</f>
        <v/>
      </c>
      <c r="N263" s="27" t="str">
        <f>IF($A263&gt;MAX(入力シート!$AH$6:$AH$505),"",INDEX(テーブル2[[学年]:[判定]],MATCH(体力優良証交付申請書!$A263,入力シート!$AH$6:$AH$505,0),MATCH(体力優良証交付申請書!N$14,テーブル2[[#Headers],[学年]:[得点]],0)))</f>
        <v/>
      </c>
    </row>
    <row r="264" spans="1:14" x14ac:dyDescent="0.15">
      <c r="A264" s="17">
        <v>250</v>
      </c>
      <c r="B264" s="115" t="str">
        <f>IF($A264&gt;MAX(入力シート!$AH$6:$AH$505),"",INDEX(テーブル2[[学年]:[判定]],MATCH(体力優良証交付申請書!$A264,入力シート!$AH$6:$AH$505,0),MATCH(体力優良証交付申請書!B$14,テーブル2[[#Headers],[学年]:[得点]],0)))</f>
        <v/>
      </c>
      <c r="C264" s="115" t="str">
        <f>IF($A264&gt;MAX(入力シート!$AH$6:$AH$505),"",INDEX(テーブル2[[学年]:[判定]],MATCH(体力優良証交付申請書!$A264,入力シート!$AH$6:$AH$505,0),MATCH(体力優良証交付申請書!C$14,テーブル2[[#Headers],[学年]:[得点]],0)))</f>
        <v/>
      </c>
      <c r="D264" s="115" t="str">
        <f>IF($A264&gt;MAX(入力シート!$AH$6:$AH$505),"",INDEX(テーブル2[[学年]:[判定]],MATCH(体力優良証交付申請書!$A264,入力シート!$AH$6:$AH$505,0),MATCH(体力優良証交付申請書!D$14,テーブル2[[#Headers],[学年]:[得点]],0)))</f>
        <v/>
      </c>
      <c r="E264" s="115" t="str">
        <f>IF($A264&gt;MAX(入力シート!$AH$6:$AH$505),"",INDEX(テーブル2[[学年]:[判定]],MATCH(体力優良証交付申請書!$A264,入力シート!$AH$6:$AH$505,0),MATCH(体力優良証交付申請書!E$14,テーブル2[[#Headers],[学年]:[得点]],0)))</f>
        <v/>
      </c>
      <c r="F264" s="115" t="str">
        <f>IF($A264&gt;MAX(入力シート!$AH$6:$AH$505),"",INDEX(テーブル2[[学年]:[判定]],MATCH(体力優良証交付申請書!$A264,入力シート!$AH$6:$AH$505,0),MATCH(体力優良証交付申請書!F$14,テーブル2[[#Headers],[学年]:[得点]],0)))</f>
        <v/>
      </c>
      <c r="G264" s="115" t="str">
        <f>IF($A264&gt;MAX(入力シート!$AH$6:$AH$505),"",INDEX(テーブル2[[学年]:[判定]],MATCH(体力優良証交付申請書!$A264,入力シート!$AH$6:$AH$505,0),MATCH(体力優良証交付申請書!G$14,テーブル2[[#Headers],[学年]:[得点]],0)))</f>
        <v/>
      </c>
      <c r="H264" s="115" t="str">
        <f>IF($A264&gt;MAX(入力シート!$AH$6:$AH$505),"",INDEX(テーブル2[[学年]:[判定]],MATCH(体力優良証交付申請書!$A264,入力シート!$AH$6:$AH$505,0),MATCH(体力優良証交付申請書!H$14,テーブル2[[#Headers],[学年]:[得点]],0)))</f>
        <v/>
      </c>
      <c r="I264" s="115" t="str">
        <f>IF($A264&gt;MAX(入力シート!$AH$6:$AH$505),"",INDEX(テーブル2[[学年]:[判定]],MATCH(体力優良証交付申請書!$A264,入力シート!$AH$6:$AH$505,0),MATCH(体力優良証交付申請書!I$14,テーブル2[[#Headers],[学年]:[得点]],0)))</f>
        <v/>
      </c>
      <c r="J264" s="115" t="str">
        <f>IF($A264&gt;MAX(入力シート!$AH$6:$AH$505),"",INDEX(テーブル2[[学年]:[判定]],MATCH(体力優良証交付申請書!$A264,入力シート!$AH$6:$AH$505,0),MATCH(体力優良証交付申請書!J$14,テーブル2[[#Headers],[学年]:[得点]],0)))</f>
        <v/>
      </c>
      <c r="K264" s="129" t="str">
        <f>IF($A264&gt;MAX(入力シート!$AH$6:$AH$505),"",INDEX(テーブル2[[学年]:[判定]],MATCH(体力優良証交付申請書!$A264,入力シート!$AH$6:$AH$505,0),MATCH(体力優良証交付申請書!K$14,テーブル2[[#Headers],[学年]:[得点]],0)))</f>
        <v/>
      </c>
      <c r="L264" s="115" t="str">
        <f>IF($A264&gt;MAX(入力シート!$AH$6:$AH$505),"",INDEX(テーブル2[[学年]:[判定]],MATCH(体力優良証交付申請書!$A264,入力シート!$AH$6:$AH$505,0),MATCH(体力優良証交付申請書!L$14,テーブル2[[#Headers],[学年]:[得点]],0)))</f>
        <v/>
      </c>
      <c r="M264" s="115" t="str">
        <f>IF($A264&gt;MAX(入力シート!$AH$6:$AH$505),"",INDEX(テーブル2[[学年]:[判定]],MATCH(体力優良証交付申請書!$A264,入力シート!$AH$6:$AH$505,0),MATCH(体力優良証交付申請書!M$14,テーブル2[[#Headers],[学年]:[得点]],0)))</f>
        <v/>
      </c>
      <c r="N264" s="27" t="str">
        <f>IF($A264&gt;MAX(入力シート!$AH$6:$AH$505),"",INDEX(テーブル2[[学年]:[判定]],MATCH(体力優良証交付申請書!$A264,入力シート!$AH$6:$AH$505,0),MATCH(体力優良証交付申請書!N$14,テーブル2[[#Headers],[学年]:[得点]],0)))</f>
        <v/>
      </c>
    </row>
    <row r="265" spans="1:14" x14ac:dyDescent="0.15">
      <c r="A265" s="17">
        <v>251</v>
      </c>
      <c r="B265" s="115" t="str">
        <f>IF($A265&gt;MAX(入力シート!$AH$6:$AH$505),"",INDEX(テーブル2[[学年]:[判定]],MATCH(体力優良証交付申請書!$A265,入力シート!$AH$6:$AH$505,0),MATCH(体力優良証交付申請書!B$14,テーブル2[[#Headers],[学年]:[得点]],0)))</f>
        <v/>
      </c>
      <c r="C265" s="115" t="str">
        <f>IF($A265&gt;MAX(入力シート!$AH$6:$AH$505),"",INDEX(テーブル2[[学年]:[判定]],MATCH(体力優良証交付申請書!$A265,入力シート!$AH$6:$AH$505,0),MATCH(体力優良証交付申請書!C$14,テーブル2[[#Headers],[学年]:[得点]],0)))</f>
        <v/>
      </c>
      <c r="D265" s="115" t="str">
        <f>IF($A265&gt;MAX(入力シート!$AH$6:$AH$505),"",INDEX(テーブル2[[学年]:[判定]],MATCH(体力優良証交付申請書!$A265,入力シート!$AH$6:$AH$505,0),MATCH(体力優良証交付申請書!D$14,テーブル2[[#Headers],[学年]:[得点]],0)))</f>
        <v/>
      </c>
      <c r="E265" s="115" t="str">
        <f>IF($A265&gt;MAX(入力シート!$AH$6:$AH$505),"",INDEX(テーブル2[[学年]:[判定]],MATCH(体力優良証交付申請書!$A265,入力シート!$AH$6:$AH$505,0),MATCH(体力優良証交付申請書!E$14,テーブル2[[#Headers],[学年]:[得点]],0)))</f>
        <v/>
      </c>
      <c r="F265" s="115" t="str">
        <f>IF($A265&gt;MAX(入力シート!$AH$6:$AH$505),"",INDEX(テーブル2[[学年]:[判定]],MATCH(体力優良証交付申請書!$A265,入力シート!$AH$6:$AH$505,0),MATCH(体力優良証交付申請書!F$14,テーブル2[[#Headers],[学年]:[得点]],0)))</f>
        <v/>
      </c>
      <c r="G265" s="115" t="str">
        <f>IF($A265&gt;MAX(入力シート!$AH$6:$AH$505),"",INDEX(テーブル2[[学年]:[判定]],MATCH(体力優良証交付申請書!$A265,入力シート!$AH$6:$AH$505,0),MATCH(体力優良証交付申請書!G$14,テーブル2[[#Headers],[学年]:[得点]],0)))</f>
        <v/>
      </c>
      <c r="H265" s="115" t="str">
        <f>IF($A265&gt;MAX(入力シート!$AH$6:$AH$505),"",INDEX(テーブル2[[学年]:[判定]],MATCH(体力優良証交付申請書!$A265,入力シート!$AH$6:$AH$505,0),MATCH(体力優良証交付申請書!H$14,テーブル2[[#Headers],[学年]:[得点]],0)))</f>
        <v/>
      </c>
      <c r="I265" s="115" t="str">
        <f>IF($A265&gt;MAX(入力シート!$AH$6:$AH$505),"",INDEX(テーブル2[[学年]:[判定]],MATCH(体力優良証交付申請書!$A265,入力シート!$AH$6:$AH$505,0),MATCH(体力優良証交付申請書!I$14,テーブル2[[#Headers],[学年]:[得点]],0)))</f>
        <v/>
      </c>
      <c r="J265" s="115" t="str">
        <f>IF($A265&gt;MAX(入力シート!$AH$6:$AH$505),"",INDEX(テーブル2[[学年]:[判定]],MATCH(体力優良証交付申請書!$A265,入力シート!$AH$6:$AH$505,0),MATCH(体力優良証交付申請書!J$14,テーブル2[[#Headers],[学年]:[得点]],0)))</f>
        <v/>
      </c>
      <c r="K265" s="129" t="str">
        <f>IF($A265&gt;MAX(入力シート!$AH$6:$AH$505),"",INDEX(テーブル2[[学年]:[判定]],MATCH(体力優良証交付申請書!$A265,入力シート!$AH$6:$AH$505,0),MATCH(体力優良証交付申請書!K$14,テーブル2[[#Headers],[学年]:[得点]],0)))</f>
        <v/>
      </c>
      <c r="L265" s="115" t="str">
        <f>IF($A265&gt;MAX(入力シート!$AH$6:$AH$505),"",INDEX(テーブル2[[学年]:[判定]],MATCH(体力優良証交付申請書!$A265,入力シート!$AH$6:$AH$505,0),MATCH(体力優良証交付申請書!L$14,テーブル2[[#Headers],[学年]:[得点]],0)))</f>
        <v/>
      </c>
      <c r="M265" s="115" t="str">
        <f>IF($A265&gt;MAX(入力シート!$AH$6:$AH$505),"",INDEX(テーブル2[[学年]:[判定]],MATCH(体力優良証交付申請書!$A265,入力シート!$AH$6:$AH$505,0),MATCH(体力優良証交付申請書!M$14,テーブル2[[#Headers],[学年]:[得点]],0)))</f>
        <v/>
      </c>
      <c r="N265" s="27" t="str">
        <f>IF($A265&gt;MAX(入力シート!$AH$6:$AH$505),"",INDEX(テーブル2[[学年]:[判定]],MATCH(体力優良証交付申請書!$A265,入力シート!$AH$6:$AH$505,0),MATCH(体力優良証交付申請書!N$14,テーブル2[[#Headers],[学年]:[得点]],0)))</f>
        <v/>
      </c>
    </row>
    <row r="266" spans="1:14" x14ac:dyDescent="0.15">
      <c r="A266" s="17">
        <v>252</v>
      </c>
      <c r="B266" s="115" t="str">
        <f>IF($A266&gt;MAX(入力シート!$AH$6:$AH$505),"",INDEX(テーブル2[[学年]:[判定]],MATCH(体力優良証交付申請書!$A266,入力シート!$AH$6:$AH$505,0),MATCH(体力優良証交付申請書!B$14,テーブル2[[#Headers],[学年]:[得点]],0)))</f>
        <v/>
      </c>
      <c r="C266" s="115" t="str">
        <f>IF($A266&gt;MAX(入力シート!$AH$6:$AH$505),"",INDEX(テーブル2[[学年]:[判定]],MATCH(体力優良証交付申請書!$A266,入力シート!$AH$6:$AH$505,0),MATCH(体力優良証交付申請書!C$14,テーブル2[[#Headers],[学年]:[得点]],0)))</f>
        <v/>
      </c>
      <c r="D266" s="115" t="str">
        <f>IF($A266&gt;MAX(入力シート!$AH$6:$AH$505),"",INDEX(テーブル2[[学年]:[判定]],MATCH(体力優良証交付申請書!$A266,入力シート!$AH$6:$AH$505,0),MATCH(体力優良証交付申請書!D$14,テーブル2[[#Headers],[学年]:[得点]],0)))</f>
        <v/>
      </c>
      <c r="E266" s="115" t="str">
        <f>IF($A266&gt;MAX(入力シート!$AH$6:$AH$505),"",INDEX(テーブル2[[学年]:[判定]],MATCH(体力優良証交付申請書!$A266,入力シート!$AH$6:$AH$505,0),MATCH(体力優良証交付申請書!E$14,テーブル2[[#Headers],[学年]:[得点]],0)))</f>
        <v/>
      </c>
      <c r="F266" s="115" t="str">
        <f>IF($A266&gt;MAX(入力シート!$AH$6:$AH$505),"",INDEX(テーブル2[[学年]:[判定]],MATCH(体力優良証交付申請書!$A266,入力シート!$AH$6:$AH$505,0),MATCH(体力優良証交付申請書!F$14,テーブル2[[#Headers],[学年]:[得点]],0)))</f>
        <v/>
      </c>
      <c r="G266" s="115" t="str">
        <f>IF($A266&gt;MAX(入力シート!$AH$6:$AH$505),"",INDEX(テーブル2[[学年]:[判定]],MATCH(体力優良証交付申請書!$A266,入力シート!$AH$6:$AH$505,0),MATCH(体力優良証交付申請書!G$14,テーブル2[[#Headers],[学年]:[得点]],0)))</f>
        <v/>
      </c>
      <c r="H266" s="115" t="str">
        <f>IF($A266&gt;MAX(入力シート!$AH$6:$AH$505),"",INDEX(テーブル2[[学年]:[判定]],MATCH(体力優良証交付申請書!$A266,入力シート!$AH$6:$AH$505,0),MATCH(体力優良証交付申請書!H$14,テーブル2[[#Headers],[学年]:[得点]],0)))</f>
        <v/>
      </c>
      <c r="I266" s="115" t="str">
        <f>IF($A266&gt;MAX(入力シート!$AH$6:$AH$505),"",INDEX(テーブル2[[学年]:[判定]],MATCH(体力優良証交付申請書!$A266,入力シート!$AH$6:$AH$505,0),MATCH(体力優良証交付申請書!I$14,テーブル2[[#Headers],[学年]:[得点]],0)))</f>
        <v/>
      </c>
      <c r="J266" s="115" t="str">
        <f>IF($A266&gt;MAX(入力シート!$AH$6:$AH$505),"",INDEX(テーブル2[[学年]:[判定]],MATCH(体力優良証交付申請書!$A266,入力シート!$AH$6:$AH$505,0),MATCH(体力優良証交付申請書!J$14,テーブル2[[#Headers],[学年]:[得点]],0)))</f>
        <v/>
      </c>
      <c r="K266" s="129" t="str">
        <f>IF($A266&gt;MAX(入力シート!$AH$6:$AH$505),"",INDEX(テーブル2[[学年]:[判定]],MATCH(体力優良証交付申請書!$A266,入力シート!$AH$6:$AH$505,0),MATCH(体力優良証交付申請書!K$14,テーブル2[[#Headers],[学年]:[得点]],0)))</f>
        <v/>
      </c>
      <c r="L266" s="115" t="str">
        <f>IF($A266&gt;MAX(入力シート!$AH$6:$AH$505),"",INDEX(テーブル2[[学年]:[判定]],MATCH(体力優良証交付申請書!$A266,入力シート!$AH$6:$AH$505,0),MATCH(体力優良証交付申請書!L$14,テーブル2[[#Headers],[学年]:[得点]],0)))</f>
        <v/>
      </c>
      <c r="M266" s="115" t="str">
        <f>IF($A266&gt;MAX(入力シート!$AH$6:$AH$505),"",INDEX(テーブル2[[学年]:[判定]],MATCH(体力優良証交付申請書!$A266,入力シート!$AH$6:$AH$505,0),MATCH(体力優良証交付申請書!M$14,テーブル2[[#Headers],[学年]:[得点]],0)))</f>
        <v/>
      </c>
      <c r="N266" s="27" t="str">
        <f>IF($A266&gt;MAX(入力シート!$AH$6:$AH$505),"",INDEX(テーブル2[[学年]:[判定]],MATCH(体力優良証交付申請書!$A266,入力シート!$AH$6:$AH$505,0),MATCH(体力優良証交付申請書!N$14,テーブル2[[#Headers],[学年]:[得点]],0)))</f>
        <v/>
      </c>
    </row>
    <row r="267" spans="1:14" x14ac:dyDescent="0.15">
      <c r="A267" s="17">
        <v>253</v>
      </c>
      <c r="B267" s="115" t="str">
        <f>IF($A267&gt;MAX(入力シート!$AH$6:$AH$505),"",INDEX(テーブル2[[学年]:[判定]],MATCH(体力優良証交付申請書!$A267,入力シート!$AH$6:$AH$505,0),MATCH(体力優良証交付申請書!B$14,テーブル2[[#Headers],[学年]:[得点]],0)))</f>
        <v/>
      </c>
      <c r="C267" s="115" t="str">
        <f>IF($A267&gt;MAX(入力シート!$AH$6:$AH$505),"",INDEX(テーブル2[[学年]:[判定]],MATCH(体力優良証交付申請書!$A267,入力シート!$AH$6:$AH$505,0),MATCH(体力優良証交付申請書!C$14,テーブル2[[#Headers],[学年]:[得点]],0)))</f>
        <v/>
      </c>
      <c r="D267" s="115" t="str">
        <f>IF($A267&gt;MAX(入力シート!$AH$6:$AH$505),"",INDEX(テーブル2[[学年]:[判定]],MATCH(体力優良証交付申請書!$A267,入力シート!$AH$6:$AH$505,0),MATCH(体力優良証交付申請書!D$14,テーブル2[[#Headers],[学年]:[得点]],0)))</f>
        <v/>
      </c>
      <c r="E267" s="115" t="str">
        <f>IF($A267&gt;MAX(入力シート!$AH$6:$AH$505),"",INDEX(テーブル2[[学年]:[判定]],MATCH(体力優良証交付申請書!$A267,入力シート!$AH$6:$AH$505,0),MATCH(体力優良証交付申請書!E$14,テーブル2[[#Headers],[学年]:[得点]],0)))</f>
        <v/>
      </c>
      <c r="F267" s="115" t="str">
        <f>IF($A267&gt;MAX(入力シート!$AH$6:$AH$505),"",INDEX(テーブル2[[学年]:[判定]],MATCH(体力優良証交付申請書!$A267,入力シート!$AH$6:$AH$505,0),MATCH(体力優良証交付申請書!F$14,テーブル2[[#Headers],[学年]:[得点]],0)))</f>
        <v/>
      </c>
      <c r="G267" s="115" t="str">
        <f>IF($A267&gt;MAX(入力シート!$AH$6:$AH$505),"",INDEX(テーブル2[[学年]:[判定]],MATCH(体力優良証交付申請書!$A267,入力シート!$AH$6:$AH$505,0),MATCH(体力優良証交付申請書!G$14,テーブル2[[#Headers],[学年]:[得点]],0)))</f>
        <v/>
      </c>
      <c r="H267" s="115" t="str">
        <f>IF($A267&gt;MAX(入力シート!$AH$6:$AH$505),"",INDEX(テーブル2[[学年]:[判定]],MATCH(体力優良証交付申請書!$A267,入力シート!$AH$6:$AH$505,0),MATCH(体力優良証交付申請書!H$14,テーブル2[[#Headers],[学年]:[得点]],0)))</f>
        <v/>
      </c>
      <c r="I267" s="115" t="str">
        <f>IF($A267&gt;MAX(入力シート!$AH$6:$AH$505),"",INDEX(テーブル2[[学年]:[判定]],MATCH(体力優良証交付申請書!$A267,入力シート!$AH$6:$AH$505,0),MATCH(体力優良証交付申請書!I$14,テーブル2[[#Headers],[学年]:[得点]],0)))</f>
        <v/>
      </c>
      <c r="J267" s="115" t="str">
        <f>IF($A267&gt;MAX(入力シート!$AH$6:$AH$505),"",INDEX(テーブル2[[学年]:[判定]],MATCH(体力優良証交付申請書!$A267,入力シート!$AH$6:$AH$505,0),MATCH(体力優良証交付申請書!J$14,テーブル2[[#Headers],[学年]:[得点]],0)))</f>
        <v/>
      </c>
      <c r="K267" s="129" t="str">
        <f>IF($A267&gt;MAX(入力シート!$AH$6:$AH$505),"",INDEX(テーブル2[[学年]:[判定]],MATCH(体力優良証交付申請書!$A267,入力シート!$AH$6:$AH$505,0),MATCH(体力優良証交付申請書!K$14,テーブル2[[#Headers],[学年]:[得点]],0)))</f>
        <v/>
      </c>
      <c r="L267" s="115" t="str">
        <f>IF($A267&gt;MAX(入力シート!$AH$6:$AH$505),"",INDEX(テーブル2[[学年]:[判定]],MATCH(体力優良証交付申請書!$A267,入力シート!$AH$6:$AH$505,0),MATCH(体力優良証交付申請書!L$14,テーブル2[[#Headers],[学年]:[得点]],0)))</f>
        <v/>
      </c>
      <c r="M267" s="115" t="str">
        <f>IF($A267&gt;MAX(入力シート!$AH$6:$AH$505),"",INDEX(テーブル2[[学年]:[判定]],MATCH(体力優良証交付申請書!$A267,入力シート!$AH$6:$AH$505,0),MATCH(体力優良証交付申請書!M$14,テーブル2[[#Headers],[学年]:[得点]],0)))</f>
        <v/>
      </c>
      <c r="N267" s="27" t="str">
        <f>IF($A267&gt;MAX(入力シート!$AH$6:$AH$505),"",INDEX(テーブル2[[学年]:[判定]],MATCH(体力優良証交付申請書!$A267,入力シート!$AH$6:$AH$505,0),MATCH(体力優良証交付申請書!N$14,テーブル2[[#Headers],[学年]:[得点]],0)))</f>
        <v/>
      </c>
    </row>
    <row r="268" spans="1:14" x14ac:dyDescent="0.15">
      <c r="A268" s="17">
        <v>254</v>
      </c>
      <c r="B268" s="115" t="str">
        <f>IF($A268&gt;MAX(入力シート!$AH$6:$AH$505),"",INDEX(テーブル2[[学年]:[判定]],MATCH(体力優良証交付申請書!$A268,入力シート!$AH$6:$AH$505,0),MATCH(体力優良証交付申請書!B$14,テーブル2[[#Headers],[学年]:[得点]],0)))</f>
        <v/>
      </c>
      <c r="C268" s="115" t="str">
        <f>IF($A268&gt;MAX(入力シート!$AH$6:$AH$505),"",INDEX(テーブル2[[学年]:[判定]],MATCH(体力優良証交付申請書!$A268,入力シート!$AH$6:$AH$505,0),MATCH(体力優良証交付申請書!C$14,テーブル2[[#Headers],[学年]:[得点]],0)))</f>
        <v/>
      </c>
      <c r="D268" s="115" t="str">
        <f>IF($A268&gt;MAX(入力シート!$AH$6:$AH$505),"",INDEX(テーブル2[[学年]:[判定]],MATCH(体力優良証交付申請書!$A268,入力シート!$AH$6:$AH$505,0),MATCH(体力優良証交付申請書!D$14,テーブル2[[#Headers],[学年]:[得点]],0)))</f>
        <v/>
      </c>
      <c r="E268" s="115" t="str">
        <f>IF($A268&gt;MAX(入力シート!$AH$6:$AH$505),"",INDEX(テーブル2[[学年]:[判定]],MATCH(体力優良証交付申請書!$A268,入力シート!$AH$6:$AH$505,0),MATCH(体力優良証交付申請書!E$14,テーブル2[[#Headers],[学年]:[得点]],0)))</f>
        <v/>
      </c>
      <c r="F268" s="115" t="str">
        <f>IF($A268&gt;MAX(入力シート!$AH$6:$AH$505),"",INDEX(テーブル2[[学年]:[判定]],MATCH(体力優良証交付申請書!$A268,入力シート!$AH$6:$AH$505,0),MATCH(体力優良証交付申請書!F$14,テーブル2[[#Headers],[学年]:[得点]],0)))</f>
        <v/>
      </c>
      <c r="G268" s="115" t="str">
        <f>IF($A268&gt;MAX(入力シート!$AH$6:$AH$505),"",INDEX(テーブル2[[学年]:[判定]],MATCH(体力優良証交付申請書!$A268,入力シート!$AH$6:$AH$505,0),MATCH(体力優良証交付申請書!G$14,テーブル2[[#Headers],[学年]:[得点]],0)))</f>
        <v/>
      </c>
      <c r="H268" s="115" t="str">
        <f>IF($A268&gt;MAX(入力シート!$AH$6:$AH$505),"",INDEX(テーブル2[[学年]:[判定]],MATCH(体力優良証交付申請書!$A268,入力シート!$AH$6:$AH$505,0),MATCH(体力優良証交付申請書!H$14,テーブル2[[#Headers],[学年]:[得点]],0)))</f>
        <v/>
      </c>
      <c r="I268" s="115" t="str">
        <f>IF($A268&gt;MAX(入力シート!$AH$6:$AH$505),"",INDEX(テーブル2[[学年]:[判定]],MATCH(体力優良証交付申請書!$A268,入力シート!$AH$6:$AH$505,0),MATCH(体力優良証交付申請書!I$14,テーブル2[[#Headers],[学年]:[得点]],0)))</f>
        <v/>
      </c>
      <c r="J268" s="115" t="str">
        <f>IF($A268&gt;MAX(入力シート!$AH$6:$AH$505),"",INDEX(テーブル2[[学年]:[判定]],MATCH(体力優良証交付申請書!$A268,入力シート!$AH$6:$AH$505,0),MATCH(体力優良証交付申請書!J$14,テーブル2[[#Headers],[学年]:[得点]],0)))</f>
        <v/>
      </c>
      <c r="K268" s="129" t="str">
        <f>IF($A268&gt;MAX(入力シート!$AH$6:$AH$505),"",INDEX(テーブル2[[学年]:[判定]],MATCH(体力優良証交付申請書!$A268,入力シート!$AH$6:$AH$505,0),MATCH(体力優良証交付申請書!K$14,テーブル2[[#Headers],[学年]:[得点]],0)))</f>
        <v/>
      </c>
      <c r="L268" s="115" t="str">
        <f>IF($A268&gt;MAX(入力シート!$AH$6:$AH$505),"",INDEX(テーブル2[[学年]:[判定]],MATCH(体力優良証交付申請書!$A268,入力シート!$AH$6:$AH$505,0),MATCH(体力優良証交付申請書!L$14,テーブル2[[#Headers],[学年]:[得点]],0)))</f>
        <v/>
      </c>
      <c r="M268" s="115" t="str">
        <f>IF($A268&gt;MAX(入力シート!$AH$6:$AH$505),"",INDEX(テーブル2[[学年]:[判定]],MATCH(体力優良証交付申請書!$A268,入力シート!$AH$6:$AH$505,0),MATCH(体力優良証交付申請書!M$14,テーブル2[[#Headers],[学年]:[得点]],0)))</f>
        <v/>
      </c>
      <c r="N268" s="27" t="str">
        <f>IF($A268&gt;MAX(入力シート!$AH$6:$AH$505),"",INDEX(テーブル2[[学年]:[判定]],MATCH(体力優良証交付申請書!$A268,入力シート!$AH$6:$AH$505,0),MATCH(体力優良証交付申請書!N$14,テーブル2[[#Headers],[学年]:[得点]],0)))</f>
        <v/>
      </c>
    </row>
    <row r="269" spans="1:14" x14ac:dyDescent="0.15">
      <c r="A269" s="17">
        <v>255</v>
      </c>
      <c r="B269" s="115" t="str">
        <f>IF($A269&gt;MAX(入力シート!$AH$6:$AH$505),"",INDEX(テーブル2[[学年]:[判定]],MATCH(体力優良証交付申請書!$A269,入力シート!$AH$6:$AH$505,0),MATCH(体力優良証交付申請書!B$14,テーブル2[[#Headers],[学年]:[得点]],0)))</f>
        <v/>
      </c>
      <c r="C269" s="115" t="str">
        <f>IF($A269&gt;MAX(入力シート!$AH$6:$AH$505),"",INDEX(テーブル2[[学年]:[判定]],MATCH(体力優良証交付申請書!$A269,入力シート!$AH$6:$AH$505,0),MATCH(体力優良証交付申請書!C$14,テーブル2[[#Headers],[学年]:[得点]],0)))</f>
        <v/>
      </c>
      <c r="D269" s="115" t="str">
        <f>IF($A269&gt;MAX(入力シート!$AH$6:$AH$505),"",INDEX(テーブル2[[学年]:[判定]],MATCH(体力優良証交付申請書!$A269,入力シート!$AH$6:$AH$505,0),MATCH(体力優良証交付申請書!D$14,テーブル2[[#Headers],[学年]:[得点]],0)))</f>
        <v/>
      </c>
      <c r="E269" s="115" t="str">
        <f>IF($A269&gt;MAX(入力シート!$AH$6:$AH$505),"",INDEX(テーブル2[[学年]:[判定]],MATCH(体力優良証交付申請書!$A269,入力シート!$AH$6:$AH$505,0),MATCH(体力優良証交付申請書!E$14,テーブル2[[#Headers],[学年]:[得点]],0)))</f>
        <v/>
      </c>
      <c r="F269" s="115" t="str">
        <f>IF($A269&gt;MAX(入力シート!$AH$6:$AH$505),"",INDEX(テーブル2[[学年]:[判定]],MATCH(体力優良証交付申請書!$A269,入力シート!$AH$6:$AH$505,0),MATCH(体力優良証交付申請書!F$14,テーブル2[[#Headers],[学年]:[得点]],0)))</f>
        <v/>
      </c>
      <c r="G269" s="115" t="str">
        <f>IF($A269&gt;MAX(入力シート!$AH$6:$AH$505),"",INDEX(テーブル2[[学年]:[判定]],MATCH(体力優良証交付申請書!$A269,入力シート!$AH$6:$AH$505,0),MATCH(体力優良証交付申請書!G$14,テーブル2[[#Headers],[学年]:[得点]],0)))</f>
        <v/>
      </c>
      <c r="H269" s="115" t="str">
        <f>IF($A269&gt;MAX(入力シート!$AH$6:$AH$505),"",INDEX(テーブル2[[学年]:[判定]],MATCH(体力優良証交付申請書!$A269,入力シート!$AH$6:$AH$505,0),MATCH(体力優良証交付申請書!H$14,テーブル2[[#Headers],[学年]:[得点]],0)))</f>
        <v/>
      </c>
      <c r="I269" s="115" t="str">
        <f>IF($A269&gt;MAX(入力シート!$AH$6:$AH$505),"",INDEX(テーブル2[[学年]:[判定]],MATCH(体力優良証交付申請書!$A269,入力シート!$AH$6:$AH$505,0),MATCH(体力優良証交付申請書!I$14,テーブル2[[#Headers],[学年]:[得点]],0)))</f>
        <v/>
      </c>
      <c r="J269" s="115" t="str">
        <f>IF($A269&gt;MAX(入力シート!$AH$6:$AH$505),"",INDEX(テーブル2[[学年]:[判定]],MATCH(体力優良証交付申請書!$A269,入力シート!$AH$6:$AH$505,0),MATCH(体力優良証交付申請書!J$14,テーブル2[[#Headers],[学年]:[得点]],0)))</f>
        <v/>
      </c>
      <c r="K269" s="129" t="str">
        <f>IF($A269&gt;MAX(入力シート!$AH$6:$AH$505),"",INDEX(テーブル2[[学年]:[判定]],MATCH(体力優良証交付申請書!$A269,入力シート!$AH$6:$AH$505,0),MATCH(体力優良証交付申請書!K$14,テーブル2[[#Headers],[学年]:[得点]],0)))</f>
        <v/>
      </c>
      <c r="L269" s="115" t="str">
        <f>IF($A269&gt;MAX(入力シート!$AH$6:$AH$505),"",INDEX(テーブル2[[学年]:[判定]],MATCH(体力優良証交付申請書!$A269,入力シート!$AH$6:$AH$505,0),MATCH(体力優良証交付申請書!L$14,テーブル2[[#Headers],[学年]:[得点]],0)))</f>
        <v/>
      </c>
      <c r="M269" s="115" t="str">
        <f>IF($A269&gt;MAX(入力シート!$AH$6:$AH$505),"",INDEX(テーブル2[[学年]:[判定]],MATCH(体力優良証交付申請書!$A269,入力シート!$AH$6:$AH$505,0),MATCH(体力優良証交付申請書!M$14,テーブル2[[#Headers],[学年]:[得点]],0)))</f>
        <v/>
      </c>
      <c r="N269" s="27" t="str">
        <f>IF($A269&gt;MAX(入力シート!$AH$6:$AH$505),"",INDEX(テーブル2[[学年]:[判定]],MATCH(体力優良証交付申請書!$A269,入力シート!$AH$6:$AH$505,0),MATCH(体力優良証交付申請書!N$14,テーブル2[[#Headers],[学年]:[得点]],0)))</f>
        <v/>
      </c>
    </row>
    <row r="270" spans="1:14" x14ac:dyDescent="0.15">
      <c r="A270" s="17">
        <v>256</v>
      </c>
      <c r="B270" s="115" t="str">
        <f>IF($A270&gt;MAX(入力シート!$AH$6:$AH$505),"",INDEX(テーブル2[[学年]:[判定]],MATCH(体力優良証交付申請書!$A270,入力シート!$AH$6:$AH$505,0),MATCH(体力優良証交付申請書!B$14,テーブル2[[#Headers],[学年]:[得点]],0)))</f>
        <v/>
      </c>
      <c r="C270" s="115" t="str">
        <f>IF($A270&gt;MAX(入力シート!$AH$6:$AH$505),"",INDEX(テーブル2[[学年]:[判定]],MATCH(体力優良証交付申請書!$A270,入力シート!$AH$6:$AH$505,0),MATCH(体力優良証交付申請書!C$14,テーブル2[[#Headers],[学年]:[得点]],0)))</f>
        <v/>
      </c>
      <c r="D270" s="115" t="str">
        <f>IF($A270&gt;MAX(入力シート!$AH$6:$AH$505),"",INDEX(テーブル2[[学年]:[判定]],MATCH(体力優良証交付申請書!$A270,入力シート!$AH$6:$AH$505,0),MATCH(体力優良証交付申請書!D$14,テーブル2[[#Headers],[学年]:[得点]],0)))</f>
        <v/>
      </c>
      <c r="E270" s="115" t="str">
        <f>IF($A270&gt;MAX(入力シート!$AH$6:$AH$505),"",INDEX(テーブル2[[学年]:[判定]],MATCH(体力優良証交付申請書!$A270,入力シート!$AH$6:$AH$505,0),MATCH(体力優良証交付申請書!E$14,テーブル2[[#Headers],[学年]:[得点]],0)))</f>
        <v/>
      </c>
      <c r="F270" s="115" t="str">
        <f>IF($A270&gt;MAX(入力シート!$AH$6:$AH$505),"",INDEX(テーブル2[[学年]:[判定]],MATCH(体力優良証交付申請書!$A270,入力シート!$AH$6:$AH$505,0),MATCH(体力優良証交付申請書!F$14,テーブル2[[#Headers],[学年]:[得点]],0)))</f>
        <v/>
      </c>
      <c r="G270" s="115" t="str">
        <f>IF($A270&gt;MAX(入力シート!$AH$6:$AH$505),"",INDEX(テーブル2[[学年]:[判定]],MATCH(体力優良証交付申請書!$A270,入力シート!$AH$6:$AH$505,0),MATCH(体力優良証交付申請書!G$14,テーブル2[[#Headers],[学年]:[得点]],0)))</f>
        <v/>
      </c>
      <c r="H270" s="115" t="str">
        <f>IF($A270&gt;MAX(入力シート!$AH$6:$AH$505),"",INDEX(テーブル2[[学年]:[判定]],MATCH(体力優良証交付申請書!$A270,入力シート!$AH$6:$AH$505,0),MATCH(体力優良証交付申請書!H$14,テーブル2[[#Headers],[学年]:[得点]],0)))</f>
        <v/>
      </c>
      <c r="I270" s="115" t="str">
        <f>IF($A270&gt;MAX(入力シート!$AH$6:$AH$505),"",INDEX(テーブル2[[学年]:[判定]],MATCH(体力優良証交付申請書!$A270,入力シート!$AH$6:$AH$505,0),MATCH(体力優良証交付申請書!I$14,テーブル2[[#Headers],[学年]:[得点]],0)))</f>
        <v/>
      </c>
      <c r="J270" s="115" t="str">
        <f>IF($A270&gt;MAX(入力シート!$AH$6:$AH$505),"",INDEX(テーブル2[[学年]:[判定]],MATCH(体力優良証交付申請書!$A270,入力シート!$AH$6:$AH$505,0),MATCH(体力優良証交付申請書!J$14,テーブル2[[#Headers],[学年]:[得点]],0)))</f>
        <v/>
      </c>
      <c r="K270" s="129" t="str">
        <f>IF($A270&gt;MAX(入力シート!$AH$6:$AH$505),"",INDEX(テーブル2[[学年]:[判定]],MATCH(体力優良証交付申請書!$A270,入力シート!$AH$6:$AH$505,0),MATCH(体力優良証交付申請書!K$14,テーブル2[[#Headers],[学年]:[得点]],0)))</f>
        <v/>
      </c>
      <c r="L270" s="115" t="str">
        <f>IF($A270&gt;MAX(入力シート!$AH$6:$AH$505),"",INDEX(テーブル2[[学年]:[判定]],MATCH(体力優良証交付申請書!$A270,入力シート!$AH$6:$AH$505,0),MATCH(体力優良証交付申請書!L$14,テーブル2[[#Headers],[学年]:[得点]],0)))</f>
        <v/>
      </c>
      <c r="M270" s="115" t="str">
        <f>IF($A270&gt;MAX(入力シート!$AH$6:$AH$505),"",INDEX(テーブル2[[学年]:[判定]],MATCH(体力優良証交付申請書!$A270,入力シート!$AH$6:$AH$505,0),MATCH(体力優良証交付申請書!M$14,テーブル2[[#Headers],[学年]:[得点]],0)))</f>
        <v/>
      </c>
      <c r="N270" s="27" t="str">
        <f>IF($A270&gt;MAX(入力シート!$AH$6:$AH$505),"",INDEX(テーブル2[[学年]:[判定]],MATCH(体力優良証交付申請書!$A270,入力シート!$AH$6:$AH$505,0),MATCH(体力優良証交付申請書!N$14,テーブル2[[#Headers],[学年]:[得点]],0)))</f>
        <v/>
      </c>
    </row>
    <row r="271" spans="1:14" x14ac:dyDescent="0.15">
      <c r="A271" s="17">
        <v>257</v>
      </c>
      <c r="B271" s="115" t="str">
        <f>IF($A271&gt;MAX(入力シート!$AH$6:$AH$505),"",INDEX(テーブル2[[学年]:[判定]],MATCH(体力優良証交付申請書!$A271,入力シート!$AH$6:$AH$505,0),MATCH(体力優良証交付申請書!B$14,テーブル2[[#Headers],[学年]:[得点]],0)))</f>
        <v/>
      </c>
      <c r="C271" s="115" t="str">
        <f>IF($A271&gt;MAX(入力シート!$AH$6:$AH$505),"",INDEX(テーブル2[[学年]:[判定]],MATCH(体力優良証交付申請書!$A271,入力シート!$AH$6:$AH$505,0),MATCH(体力優良証交付申請書!C$14,テーブル2[[#Headers],[学年]:[得点]],0)))</f>
        <v/>
      </c>
      <c r="D271" s="115" t="str">
        <f>IF($A271&gt;MAX(入力シート!$AH$6:$AH$505),"",INDEX(テーブル2[[学年]:[判定]],MATCH(体力優良証交付申請書!$A271,入力シート!$AH$6:$AH$505,0),MATCH(体力優良証交付申請書!D$14,テーブル2[[#Headers],[学年]:[得点]],0)))</f>
        <v/>
      </c>
      <c r="E271" s="115" t="str">
        <f>IF($A271&gt;MAX(入力シート!$AH$6:$AH$505),"",INDEX(テーブル2[[学年]:[判定]],MATCH(体力優良証交付申請書!$A271,入力シート!$AH$6:$AH$505,0),MATCH(体力優良証交付申請書!E$14,テーブル2[[#Headers],[学年]:[得点]],0)))</f>
        <v/>
      </c>
      <c r="F271" s="115" t="str">
        <f>IF($A271&gt;MAX(入力シート!$AH$6:$AH$505),"",INDEX(テーブル2[[学年]:[判定]],MATCH(体力優良証交付申請書!$A271,入力シート!$AH$6:$AH$505,0),MATCH(体力優良証交付申請書!F$14,テーブル2[[#Headers],[学年]:[得点]],0)))</f>
        <v/>
      </c>
      <c r="G271" s="115" t="str">
        <f>IF($A271&gt;MAX(入力シート!$AH$6:$AH$505),"",INDEX(テーブル2[[学年]:[判定]],MATCH(体力優良証交付申請書!$A271,入力シート!$AH$6:$AH$505,0),MATCH(体力優良証交付申請書!G$14,テーブル2[[#Headers],[学年]:[得点]],0)))</f>
        <v/>
      </c>
      <c r="H271" s="115" t="str">
        <f>IF($A271&gt;MAX(入力シート!$AH$6:$AH$505),"",INDEX(テーブル2[[学年]:[判定]],MATCH(体力優良証交付申請書!$A271,入力シート!$AH$6:$AH$505,0),MATCH(体力優良証交付申請書!H$14,テーブル2[[#Headers],[学年]:[得点]],0)))</f>
        <v/>
      </c>
      <c r="I271" s="115" t="str">
        <f>IF($A271&gt;MAX(入力シート!$AH$6:$AH$505),"",INDEX(テーブル2[[学年]:[判定]],MATCH(体力優良証交付申請書!$A271,入力シート!$AH$6:$AH$505,0),MATCH(体力優良証交付申請書!I$14,テーブル2[[#Headers],[学年]:[得点]],0)))</f>
        <v/>
      </c>
      <c r="J271" s="115" t="str">
        <f>IF($A271&gt;MAX(入力シート!$AH$6:$AH$505),"",INDEX(テーブル2[[学年]:[判定]],MATCH(体力優良証交付申請書!$A271,入力シート!$AH$6:$AH$505,0),MATCH(体力優良証交付申請書!J$14,テーブル2[[#Headers],[学年]:[得点]],0)))</f>
        <v/>
      </c>
      <c r="K271" s="129" t="str">
        <f>IF($A271&gt;MAX(入力シート!$AH$6:$AH$505),"",INDEX(テーブル2[[学年]:[判定]],MATCH(体力優良証交付申請書!$A271,入力シート!$AH$6:$AH$505,0),MATCH(体力優良証交付申請書!K$14,テーブル2[[#Headers],[学年]:[得点]],0)))</f>
        <v/>
      </c>
      <c r="L271" s="115" t="str">
        <f>IF($A271&gt;MAX(入力シート!$AH$6:$AH$505),"",INDEX(テーブル2[[学年]:[判定]],MATCH(体力優良証交付申請書!$A271,入力シート!$AH$6:$AH$505,0),MATCH(体力優良証交付申請書!L$14,テーブル2[[#Headers],[学年]:[得点]],0)))</f>
        <v/>
      </c>
      <c r="M271" s="115" t="str">
        <f>IF($A271&gt;MAX(入力シート!$AH$6:$AH$505),"",INDEX(テーブル2[[学年]:[判定]],MATCH(体力優良証交付申請書!$A271,入力シート!$AH$6:$AH$505,0),MATCH(体力優良証交付申請書!M$14,テーブル2[[#Headers],[学年]:[得点]],0)))</f>
        <v/>
      </c>
      <c r="N271" s="27" t="str">
        <f>IF($A271&gt;MAX(入力シート!$AH$6:$AH$505),"",INDEX(テーブル2[[学年]:[判定]],MATCH(体力優良証交付申請書!$A271,入力シート!$AH$6:$AH$505,0),MATCH(体力優良証交付申請書!N$14,テーブル2[[#Headers],[学年]:[得点]],0)))</f>
        <v/>
      </c>
    </row>
    <row r="272" spans="1:14" x14ac:dyDescent="0.15">
      <c r="A272" s="17">
        <v>258</v>
      </c>
      <c r="B272" s="115" t="str">
        <f>IF($A272&gt;MAX(入力シート!$AH$6:$AH$505),"",INDEX(テーブル2[[学年]:[判定]],MATCH(体力優良証交付申請書!$A272,入力シート!$AH$6:$AH$505,0),MATCH(体力優良証交付申請書!B$14,テーブル2[[#Headers],[学年]:[得点]],0)))</f>
        <v/>
      </c>
      <c r="C272" s="115" t="str">
        <f>IF($A272&gt;MAX(入力シート!$AH$6:$AH$505),"",INDEX(テーブル2[[学年]:[判定]],MATCH(体力優良証交付申請書!$A272,入力シート!$AH$6:$AH$505,0),MATCH(体力優良証交付申請書!C$14,テーブル2[[#Headers],[学年]:[得点]],0)))</f>
        <v/>
      </c>
      <c r="D272" s="115" t="str">
        <f>IF($A272&gt;MAX(入力シート!$AH$6:$AH$505),"",INDEX(テーブル2[[学年]:[判定]],MATCH(体力優良証交付申請書!$A272,入力シート!$AH$6:$AH$505,0),MATCH(体力優良証交付申請書!D$14,テーブル2[[#Headers],[学年]:[得点]],0)))</f>
        <v/>
      </c>
      <c r="E272" s="115" t="str">
        <f>IF($A272&gt;MAX(入力シート!$AH$6:$AH$505),"",INDEX(テーブル2[[学年]:[判定]],MATCH(体力優良証交付申請書!$A272,入力シート!$AH$6:$AH$505,0),MATCH(体力優良証交付申請書!E$14,テーブル2[[#Headers],[学年]:[得点]],0)))</f>
        <v/>
      </c>
      <c r="F272" s="115" t="str">
        <f>IF($A272&gt;MAX(入力シート!$AH$6:$AH$505),"",INDEX(テーブル2[[学年]:[判定]],MATCH(体力優良証交付申請書!$A272,入力シート!$AH$6:$AH$505,0),MATCH(体力優良証交付申請書!F$14,テーブル2[[#Headers],[学年]:[得点]],0)))</f>
        <v/>
      </c>
      <c r="G272" s="115" t="str">
        <f>IF($A272&gt;MAX(入力シート!$AH$6:$AH$505),"",INDEX(テーブル2[[学年]:[判定]],MATCH(体力優良証交付申請書!$A272,入力シート!$AH$6:$AH$505,0),MATCH(体力優良証交付申請書!G$14,テーブル2[[#Headers],[学年]:[得点]],0)))</f>
        <v/>
      </c>
      <c r="H272" s="115" t="str">
        <f>IF($A272&gt;MAX(入力シート!$AH$6:$AH$505),"",INDEX(テーブル2[[学年]:[判定]],MATCH(体力優良証交付申請書!$A272,入力シート!$AH$6:$AH$505,0),MATCH(体力優良証交付申請書!H$14,テーブル2[[#Headers],[学年]:[得点]],0)))</f>
        <v/>
      </c>
      <c r="I272" s="115" t="str">
        <f>IF($A272&gt;MAX(入力シート!$AH$6:$AH$505),"",INDEX(テーブル2[[学年]:[判定]],MATCH(体力優良証交付申請書!$A272,入力シート!$AH$6:$AH$505,0),MATCH(体力優良証交付申請書!I$14,テーブル2[[#Headers],[学年]:[得点]],0)))</f>
        <v/>
      </c>
      <c r="J272" s="115" t="str">
        <f>IF($A272&gt;MAX(入力シート!$AH$6:$AH$505),"",INDEX(テーブル2[[学年]:[判定]],MATCH(体力優良証交付申請書!$A272,入力シート!$AH$6:$AH$505,0),MATCH(体力優良証交付申請書!J$14,テーブル2[[#Headers],[学年]:[得点]],0)))</f>
        <v/>
      </c>
      <c r="K272" s="129" t="str">
        <f>IF($A272&gt;MAX(入力シート!$AH$6:$AH$505),"",INDEX(テーブル2[[学年]:[判定]],MATCH(体力優良証交付申請書!$A272,入力シート!$AH$6:$AH$505,0),MATCH(体力優良証交付申請書!K$14,テーブル2[[#Headers],[学年]:[得点]],0)))</f>
        <v/>
      </c>
      <c r="L272" s="115" t="str">
        <f>IF($A272&gt;MAX(入力シート!$AH$6:$AH$505),"",INDEX(テーブル2[[学年]:[判定]],MATCH(体力優良証交付申請書!$A272,入力シート!$AH$6:$AH$505,0),MATCH(体力優良証交付申請書!L$14,テーブル2[[#Headers],[学年]:[得点]],0)))</f>
        <v/>
      </c>
      <c r="M272" s="115" t="str">
        <f>IF($A272&gt;MAX(入力シート!$AH$6:$AH$505),"",INDEX(テーブル2[[学年]:[判定]],MATCH(体力優良証交付申請書!$A272,入力シート!$AH$6:$AH$505,0),MATCH(体力優良証交付申請書!M$14,テーブル2[[#Headers],[学年]:[得点]],0)))</f>
        <v/>
      </c>
      <c r="N272" s="27" t="str">
        <f>IF($A272&gt;MAX(入力シート!$AH$6:$AH$505),"",INDEX(テーブル2[[学年]:[判定]],MATCH(体力優良証交付申請書!$A272,入力シート!$AH$6:$AH$505,0),MATCH(体力優良証交付申請書!N$14,テーブル2[[#Headers],[学年]:[得点]],0)))</f>
        <v/>
      </c>
    </row>
    <row r="273" spans="1:14" x14ac:dyDescent="0.15">
      <c r="A273" s="17">
        <v>259</v>
      </c>
      <c r="B273" s="115" t="str">
        <f>IF($A273&gt;MAX(入力シート!$AH$6:$AH$505),"",INDEX(テーブル2[[学年]:[判定]],MATCH(体力優良証交付申請書!$A273,入力シート!$AH$6:$AH$505,0),MATCH(体力優良証交付申請書!B$14,テーブル2[[#Headers],[学年]:[得点]],0)))</f>
        <v/>
      </c>
      <c r="C273" s="115" t="str">
        <f>IF($A273&gt;MAX(入力シート!$AH$6:$AH$505),"",INDEX(テーブル2[[学年]:[判定]],MATCH(体力優良証交付申請書!$A273,入力シート!$AH$6:$AH$505,0),MATCH(体力優良証交付申請書!C$14,テーブル2[[#Headers],[学年]:[得点]],0)))</f>
        <v/>
      </c>
      <c r="D273" s="115" t="str">
        <f>IF($A273&gt;MAX(入力シート!$AH$6:$AH$505),"",INDEX(テーブル2[[学年]:[判定]],MATCH(体力優良証交付申請書!$A273,入力シート!$AH$6:$AH$505,0),MATCH(体力優良証交付申請書!D$14,テーブル2[[#Headers],[学年]:[得点]],0)))</f>
        <v/>
      </c>
      <c r="E273" s="115" t="str">
        <f>IF($A273&gt;MAX(入力シート!$AH$6:$AH$505),"",INDEX(テーブル2[[学年]:[判定]],MATCH(体力優良証交付申請書!$A273,入力シート!$AH$6:$AH$505,0),MATCH(体力優良証交付申請書!E$14,テーブル2[[#Headers],[学年]:[得点]],0)))</f>
        <v/>
      </c>
      <c r="F273" s="115" t="str">
        <f>IF($A273&gt;MAX(入力シート!$AH$6:$AH$505),"",INDEX(テーブル2[[学年]:[判定]],MATCH(体力優良証交付申請書!$A273,入力シート!$AH$6:$AH$505,0),MATCH(体力優良証交付申請書!F$14,テーブル2[[#Headers],[学年]:[得点]],0)))</f>
        <v/>
      </c>
      <c r="G273" s="115" t="str">
        <f>IF($A273&gt;MAX(入力シート!$AH$6:$AH$505),"",INDEX(テーブル2[[学年]:[判定]],MATCH(体力優良証交付申請書!$A273,入力シート!$AH$6:$AH$505,0),MATCH(体力優良証交付申請書!G$14,テーブル2[[#Headers],[学年]:[得点]],0)))</f>
        <v/>
      </c>
      <c r="H273" s="115" t="str">
        <f>IF($A273&gt;MAX(入力シート!$AH$6:$AH$505),"",INDEX(テーブル2[[学年]:[判定]],MATCH(体力優良証交付申請書!$A273,入力シート!$AH$6:$AH$505,0),MATCH(体力優良証交付申請書!H$14,テーブル2[[#Headers],[学年]:[得点]],0)))</f>
        <v/>
      </c>
      <c r="I273" s="115" t="str">
        <f>IF($A273&gt;MAX(入力シート!$AH$6:$AH$505),"",INDEX(テーブル2[[学年]:[判定]],MATCH(体力優良証交付申請書!$A273,入力シート!$AH$6:$AH$505,0),MATCH(体力優良証交付申請書!I$14,テーブル2[[#Headers],[学年]:[得点]],0)))</f>
        <v/>
      </c>
      <c r="J273" s="115" t="str">
        <f>IF($A273&gt;MAX(入力シート!$AH$6:$AH$505),"",INDEX(テーブル2[[学年]:[判定]],MATCH(体力優良証交付申請書!$A273,入力シート!$AH$6:$AH$505,0),MATCH(体力優良証交付申請書!J$14,テーブル2[[#Headers],[学年]:[得点]],0)))</f>
        <v/>
      </c>
      <c r="K273" s="129" t="str">
        <f>IF($A273&gt;MAX(入力シート!$AH$6:$AH$505),"",INDEX(テーブル2[[学年]:[判定]],MATCH(体力優良証交付申請書!$A273,入力シート!$AH$6:$AH$505,0),MATCH(体力優良証交付申請書!K$14,テーブル2[[#Headers],[学年]:[得点]],0)))</f>
        <v/>
      </c>
      <c r="L273" s="115" t="str">
        <f>IF($A273&gt;MAX(入力シート!$AH$6:$AH$505),"",INDEX(テーブル2[[学年]:[判定]],MATCH(体力優良証交付申請書!$A273,入力シート!$AH$6:$AH$505,0),MATCH(体力優良証交付申請書!L$14,テーブル2[[#Headers],[学年]:[得点]],0)))</f>
        <v/>
      </c>
      <c r="M273" s="115" t="str">
        <f>IF($A273&gt;MAX(入力シート!$AH$6:$AH$505),"",INDEX(テーブル2[[学年]:[判定]],MATCH(体力優良証交付申請書!$A273,入力シート!$AH$6:$AH$505,0),MATCH(体力優良証交付申請書!M$14,テーブル2[[#Headers],[学年]:[得点]],0)))</f>
        <v/>
      </c>
      <c r="N273" s="27" t="str">
        <f>IF($A273&gt;MAX(入力シート!$AH$6:$AH$505),"",INDEX(テーブル2[[学年]:[判定]],MATCH(体力優良証交付申請書!$A273,入力シート!$AH$6:$AH$505,0),MATCH(体力優良証交付申請書!N$14,テーブル2[[#Headers],[学年]:[得点]],0)))</f>
        <v/>
      </c>
    </row>
    <row r="274" spans="1:14" x14ac:dyDescent="0.15">
      <c r="A274" s="17">
        <v>260</v>
      </c>
      <c r="B274" s="115" t="str">
        <f>IF($A274&gt;MAX(入力シート!$AH$6:$AH$505),"",INDEX(テーブル2[[学年]:[判定]],MATCH(体力優良証交付申請書!$A274,入力シート!$AH$6:$AH$505,0),MATCH(体力優良証交付申請書!B$14,テーブル2[[#Headers],[学年]:[得点]],0)))</f>
        <v/>
      </c>
      <c r="C274" s="115" t="str">
        <f>IF($A274&gt;MAX(入力シート!$AH$6:$AH$505),"",INDEX(テーブル2[[学年]:[判定]],MATCH(体力優良証交付申請書!$A274,入力シート!$AH$6:$AH$505,0),MATCH(体力優良証交付申請書!C$14,テーブル2[[#Headers],[学年]:[得点]],0)))</f>
        <v/>
      </c>
      <c r="D274" s="115" t="str">
        <f>IF($A274&gt;MAX(入力シート!$AH$6:$AH$505),"",INDEX(テーブル2[[学年]:[判定]],MATCH(体力優良証交付申請書!$A274,入力シート!$AH$6:$AH$505,0),MATCH(体力優良証交付申請書!D$14,テーブル2[[#Headers],[学年]:[得点]],0)))</f>
        <v/>
      </c>
      <c r="E274" s="115" t="str">
        <f>IF($A274&gt;MAX(入力シート!$AH$6:$AH$505),"",INDEX(テーブル2[[学年]:[判定]],MATCH(体力優良証交付申請書!$A274,入力シート!$AH$6:$AH$505,0),MATCH(体力優良証交付申請書!E$14,テーブル2[[#Headers],[学年]:[得点]],0)))</f>
        <v/>
      </c>
      <c r="F274" s="115" t="str">
        <f>IF($A274&gt;MAX(入力シート!$AH$6:$AH$505),"",INDEX(テーブル2[[学年]:[判定]],MATCH(体力優良証交付申請書!$A274,入力シート!$AH$6:$AH$505,0),MATCH(体力優良証交付申請書!F$14,テーブル2[[#Headers],[学年]:[得点]],0)))</f>
        <v/>
      </c>
      <c r="G274" s="115" t="str">
        <f>IF($A274&gt;MAX(入力シート!$AH$6:$AH$505),"",INDEX(テーブル2[[学年]:[判定]],MATCH(体力優良証交付申請書!$A274,入力シート!$AH$6:$AH$505,0),MATCH(体力優良証交付申請書!G$14,テーブル2[[#Headers],[学年]:[得点]],0)))</f>
        <v/>
      </c>
      <c r="H274" s="115" t="str">
        <f>IF($A274&gt;MAX(入力シート!$AH$6:$AH$505),"",INDEX(テーブル2[[学年]:[判定]],MATCH(体力優良証交付申請書!$A274,入力シート!$AH$6:$AH$505,0),MATCH(体力優良証交付申請書!H$14,テーブル2[[#Headers],[学年]:[得点]],0)))</f>
        <v/>
      </c>
      <c r="I274" s="115" t="str">
        <f>IF($A274&gt;MAX(入力シート!$AH$6:$AH$505),"",INDEX(テーブル2[[学年]:[判定]],MATCH(体力優良証交付申請書!$A274,入力シート!$AH$6:$AH$505,0),MATCH(体力優良証交付申請書!I$14,テーブル2[[#Headers],[学年]:[得点]],0)))</f>
        <v/>
      </c>
      <c r="J274" s="115" t="str">
        <f>IF($A274&gt;MAX(入力シート!$AH$6:$AH$505),"",INDEX(テーブル2[[学年]:[判定]],MATCH(体力優良証交付申請書!$A274,入力シート!$AH$6:$AH$505,0),MATCH(体力優良証交付申請書!J$14,テーブル2[[#Headers],[学年]:[得点]],0)))</f>
        <v/>
      </c>
      <c r="K274" s="129" t="str">
        <f>IF($A274&gt;MAX(入力シート!$AH$6:$AH$505),"",INDEX(テーブル2[[学年]:[判定]],MATCH(体力優良証交付申請書!$A274,入力シート!$AH$6:$AH$505,0),MATCH(体力優良証交付申請書!K$14,テーブル2[[#Headers],[学年]:[得点]],0)))</f>
        <v/>
      </c>
      <c r="L274" s="115" t="str">
        <f>IF($A274&gt;MAX(入力シート!$AH$6:$AH$505),"",INDEX(テーブル2[[学年]:[判定]],MATCH(体力優良証交付申請書!$A274,入力シート!$AH$6:$AH$505,0),MATCH(体力優良証交付申請書!L$14,テーブル2[[#Headers],[学年]:[得点]],0)))</f>
        <v/>
      </c>
      <c r="M274" s="115" t="str">
        <f>IF($A274&gt;MAX(入力シート!$AH$6:$AH$505),"",INDEX(テーブル2[[学年]:[判定]],MATCH(体力優良証交付申請書!$A274,入力シート!$AH$6:$AH$505,0),MATCH(体力優良証交付申請書!M$14,テーブル2[[#Headers],[学年]:[得点]],0)))</f>
        <v/>
      </c>
      <c r="N274" s="27" t="str">
        <f>IF($A274&gt;MAX(入力シート!$AH$6:$AH$505),"",INDEX(テーブル2[[学年]:[判定]],MATCH(体力優良証交付申請書!$A274,入力シート!$AH$6:$AH$505,0),MATCH(体力優良証交付申請書!N$14,テーブル2[[#Headers],[学年]:[得点]],0)))</f>
        <v/>
      </c>
    </row>
    <row r="275" spans="1:14" x14ac:dyDescent="0.15">
      <c r="A275" s="17">
        <v>261</v>
      </c>
      <c r="B275" s="115" t="str">
        <f>IF($A275&gt;MAX(入力シート!$AH$6:$AH$505),"",INDEX(テーブル2[[学年]:[判定]],MATCH(体力優良証交付申請書!$A275,入力シート!$AH$6:$AH$505,0),MATCH(体力優良証交付申請書!B$14,テーブル2[[#Headers],[学年]:[得点]],0)))</f>
        <v/>
      </c>
      <c r="C275" s="115" t="str">
        <f>IF($A275&gt;MAX(入力シート!$AH$6:$AH$505),"",INDEX(テーブル2[[学年]:[判定]],MATCH(体力優良証交付申請書!$A275,入力シート!$AH$6:$AH$505,0),MATCH(体力優良証交付申請書!C$14,テーブル2[[#Headers],[学年]:[得点]],0)))</f>
        <v/>
      </c>
      <c r="D275" s="115" t="str">
        <f>IF($A275&gt;MAX(入力シート!$AH$6:$AH$505),"",INDEX(テーブル2[[学年]:[判定]],MATCH(体力優良証交付申請書!$A275,入力シート!$AH$6:$AH$505,0),MATCH(体力優良証交付申請書!D$14,テーブル2[[#Headers],[学年]:[得点]],0)))</f>
        <v/>
      </c>
      <c r="E275" s="115" t="str">
        <f>IF($A275&gt;MAX(入力シート!$AH$6:$AH$505),"",INDEX(テーブル2[[学年]:[判定]],MATCH(体力優良証交付申請書!$A275,入力シート!$AH$6:$AH$505,0),MATCH(体力優良証交付申請書!E$14,テーブル2[[#Headers],[学年]:[得点]],0)))</f>
        <v/>
      </c>
      <c r="F275" s="115" t="str">
        <f>IF($A275&gt;MAX(入力シート!$AH$6:$AH$505),"",INDEX(テーブル2[[学年]:[判定]],MATCH(体力優良証交付申請書!$A275,入力シート!$AH$6:$AH$505,0),MATCH(体力優良証交付申請書!F$14,テーブル2[[#Headers],[学年]:[得点]],0)))</f>
        <v/>
      </c>
      <c r="G275" s="115" t="str">
        <f>IF($A275&gt;MAX(入力シート!$AH$6:$AH$505),"",INDEX(テーブル2[[学年]:[判定]],MATCH(体力優良証交付申請書!$A275,入力シート!$AH$6:$AH$505,0),MATCH(体力優良証交付申請書!G$14,テーブル2[[#Headers],[学年]:[得点]],0)))</f>
        <v/>
      </c>
      <c r="H275" s="115" t="str">
        <f>IF($A275&gt;MAX(入力シート!$AH$6:$AH$505),"",INDEX(テーブル2[[学年]:[判定]],MATCH(体力優良証交付申請書!$A275,入力シート!$AH$6:$AH$505,0),MATCH(体力優良証交付申請書!H$14,テーブル2[[#Headers],[学年]:[得点]],0)))</f>
        <v/>
      </c>
      <c r="I275" s="115" t="str">
        <f>IF($A275&gt;MAX(入力シート!$AH$6:$AH$505),"",INDEX(テーブル2[[学年]:[判定]],MATCH(体力優良証交付申請書!$A275,入力シート!$AH$6:$AH$505,0),MATCH(体力優良証交付申請書!I$14,テーブル2[[#Headers],[学年]:[得点]],0)))</f>
        <v/>
      </c>
      <c r="J275" s="115" t="str">
        <f>IF($A275&gt;MAX(入力シート!$AH$6:$AH$505),"",INDEX(テーブル2[[学年]:[判定]],MATCH(体力優良証交付申請書!$A275,入力シート!$AH$6:$AH$505,0),MATCH(体力優良証交付申請書!J$14,テーブル2[[#Headers],[学年]:[得点]],0)))</f>
        <v/>
      </c>
      <c r="K275" s="129" t="str">
        <f>IF($A275&gt;MAX(入力シート!$AH$6:$AH$505),"",INDEX(テーブル2[[学年]:[判定]],MATCH(体力優良証交付申請書!$A275,入力シート!$AH$6:$AH$505,0),MATCH(体力優良証交付申請書!K$14,テーブル2[[#Headers],[学年]:[得点]],0)))</f>
        <v/>
      </c>
      <c r="L275" s="115" t="str">
        <f>IF($A275&gt;MAX(入力シート!$AH$6:$AH$505),"",INDEX(テーブル2[[学年]:[判定]],MATCH(体力優良証交付申請書!$A275,入力シート!$AH$6:$AH$505,0),MATCH(体力優良証交付申請書!L$14,テーブル2[[#Headers],[学年]:[得点]],0)))</f>
        <v/>
      </c>
      <c r="M275" s="115" t="str">
        <f>IF($A275&gt;MAX(入力シート!$AH$6:$AH$505),"",INDEX(テーブル2[[学年]:[判定]],MATCH(体力優良証交付申請書!$A275,入力シート!$AH$6:$AH$505,0),MATCH(体力優良証交付申請書!M$14,テーブル2[[#Headers],[学年]:[得点]],0)))</f>
        <v/>
      </c>
      <c r="N275" s="27" t="str">
        <f>IF($A275&gt;MAX(入力シート!$AH$6:$AH$505),"",INDEX(テーブル2[[学年]:[判定]],MATCH(体力優良証交付申請書!$A275,入力シート!$AH$6:$AH$505,0),MATCH(体力優良証交付申請書!N$14,テーブル2[[#Headers],[学年]:[得点]],0)))</f>
        <v/>
      </c>
    </row>
    <row r="276" spans="1:14" x14ac:dyDescent="0.15">
      <c r="A276" s="17">
        <v>262</v>
      </c>
      <c r="B276" s="115" t="str">
        <f>IF($A276&gt;MAX(入力シート!$AH$6:$AH$505),"",INDEX(テーブル2[[学年]:[判定]],MATCH(体力優良証交付申請書!$A276,入力シート!$AH$6:$AH$505,0),MATCH(体力優良証交付申請書!B$14,テーブル2[[#Headers],[学年]:[得点]],0)))</f>
        <v/>
      </c>
      <c r="C276" s="115" t="str">
        <f>IF($A276&gt;MAX(入力シート!$AH$6:$AH$505),"",INDEX(テーブル2[[学年]:[判定]],MATCH(体力優良証交付申請書!$A276,入力シート!$AH$6:$AH$505,0),MATCH(体力優良証交付申請書!C$14,テーブル2[[#Headers],[学年]:[得点]],0)))</f>
        <v/>
      </c>
      <c r="D276" s="115" t="str">
        <f>IF($A276&gt;MAX(入力シート!$AH$6:$AH$505),"",INDEX(テーブル2[[学年]:[判定]],MATCH(体力優良証交付申請書!$A276,入力シート!$AH$6:$AH$505,0),MATCH(体力優良証交付申請書!D$14,テーブル2[[#Headers],[学年]:[得点]],0)))</f>
        <v/>
      </c>
      <c r="E276" s="115" t="str">
        <f>IF($A276&gt;MAX(入力シート!$AH$6:$AH$505),"",INDEX(テーブル2[[学年]:[判定]],MATCH(体力優良証交付申請書!$A276,入力シート!$AH$6:$AH$505,0),MATCH(体力優良証交付申請書!E$14,テーブル2[[#Headers],[学年]:[得点]],0)))</f>
        <v/>
      </c>
      <c r="F276" s="115" t="str">
        <f>IF($A276&gt;MAX(入力シート!$AH$6:$AH$505),"",INDEX(テーブル2[[学年]:[判定]],MATCH(体力優良証交付申請書!$A276,入力シート!$AH$6:$AH$505,0),MATCH(体力優良証交付申請書!F$14,テーブル2[[#Headers],[学年]:[得点]],0)))</f>
        <v/>
      </c>
      <c r="G276" s="115" t="str">
        <f>IF($A276&gt;MAX(入力シート!$AH$6:$AH$505),"",INDEX(テーブル2[[学年]:[判定]],MATCH(体力優良証交付申請書!$A276,入力シート!$AH$6:$AH$505,0),MATCH(体力優良証交付申請書!G$14,テーブル2[[#Headers],[学年]:[得点]],0)))</f>
        <v/>
      </c>
      <c r="H276" s="115" t="str">
        <f>IF($A276&gt;MAX(入力シート!$AH$6:$AH$505),"",INDEX(テーブル2[[学年]:[判定]],MATCH(体力優良証交付申請書!$A276,入力シート!$AH$6:$AH$505,0),MATCH(体力優良証交付申請書!H$14,テーブル2[[#Headers],[学年]:[得点]],0)))</f>
        <v/>
      </c>
      <c r="I276" s="115" t="str">
        <f>IF($A276&gt;MAX(入力シート!$AH$6:$AH$505),"",INDEX(テーブル2[[学年]:[判定]],MATCH(体力優良証交付申請書!$A276,入力シート!$AH$6:$AH$505,0),MATCH(体力優良証交付申請書!I$14,テーブル2[[#Headers],[学年]:[得点]],0)))</f>
        <v/>
      </c>
      <c r="J276" s="115" t="str">
        <f>IF($A276&gt;MAX(入力シート!$AH$6:$AH$505),"",INDEX(テーブル2[[学年]:[判定]],MATCH(体力優良証交付申請書!$A276,入力シート!$AH$6:$AH$505,0),MATCH(体力優良証交付申請書!J$14,テーブル2[[#Headers],[学年]:[得点]],0)))</f>
        <v/>
      </c>
      <c r="K276" s="129" t="str">
        <f>IF($A276&gt;MAX(入力シート!$AH$6:$AH$505),"",INDEX(テーブル2[[学年]:[判定]],MATCH(体力優良証交付申請書!$A276,入力シート!$AH$6:$AH$505,0),MATCH(体力優良証交付申請書!K$14,テーブル2[[#Headers],[学年]:[得点]],0)))</f>
        <v/>
      </c>
      <c r="L276" s="115" t="str">
        <f>IF($A276&gt;MAX(入力シート!$AH$6:$AH$505),"",INDEX(テーブル2[[学年]:[判定]],MATCH(体力優良証交付申請書!$A276,入力シート!$AH$6:$AH$505,0),MATCH(体力優良証交付申請書!L$14,テーブル2[[#Headers],[学年]:[得点]],0)))</f>
        <v/>
      </c>
      <c r="M276" s="115" t="str">
        <f>IF($A276&gt;MAX(入力シート!$AH$6:$AH$505),"",INDEX(テーブル2[[学年]:[判定]],MATCH(体力優良証交付申請書!$A276,入力シート!$AH$6:$AH$505,0),MATCH(体力優良証交付申請書!M$14,テーブル2[[#Headers],[学年]:[得点]],0)))</f>
        <v/>
      </c>
      <c r="N276" s="27" t="str">
        <f>IF($A276&gt;MAX(入力シート!$AH$6:$AH$505),"",INDEX(テーブル2[[学年]:[判定]],MATCH(体力優良証交付申請書!$A276,入力シート!$AH$6:$AH$505,0),MATCH(体力優良証交付申請書!N$14,テーブル2[[#Headers],[学年]:[得点]],0)))</f>
        <v/>
      </c>
    </row>
    <row r="277" spans="1:14" x14ac:dyDescent="0.15">
      <c r="A277" s="17">
        <v>263</v>
      </c>
      <c r="B277" s="115" t="str">
        <f>IF($A277&gt;MAX(入力シート!$AH$6:$AH$505),"",INDEX(テーブル2[[学年]:[判定]],MATCH(体力優良証交付申請書!$A277,入力シート!$AH$6:$AH$505,0),MATCH(体力優良証交付申請書!B$14,テーブル2[[#Headers],[学年]:[得点]],0)))</f>
        <v/>
      </c>
      <c r="C277" s="115" t="str">
        <f>IF($A277&gt;MAX(入力シート!$AH$6:$AH$505),"",INDEX(テーブル2[[学年]:[判定]],MATCH(体力優良証交付申請書!$A277,入力シート!$AH$6:$AH$505,0),MATCH(体力優良証交付申請書!C$14,テーブル2[[#Headers],[学年]:[得点]],0)))</f>
        <v/>
      </c>
      <c r="D277" s="115" t="str">
        <f>IF($A277&gt;MAX(入力シート!$AH$6:$AH$505),"",INDEX(テーブル2[[学年]:[判定]],MATCH(体力優良証交付申請書!$A277,入力シート!$AH$6:$AH$505,0),MATCH(体力優良証交付申請書!D$14,テーブル2[[#Headers],[学年]:[得点]],0)))</f>
        <v/>
      </c>
      <c r="E277" s="115" t="str">
        <f>IF($A277&gt;MAX(入力シート!$AH$6:$AH$505),"",INDEX(テーブル2[[学年]:[判定]],MATCH(体力優良証交付申請書!$A277,入力シート!$AH$6:$AH$505,0),MATCH(体力優良証交付申請書!E$14,テーブル2[[#Headers],[学年]:[得点]],0)))</f>
        <v/>
      </c>
      <c r="F277" s="115" t="str">
        <f>IF($A277&gt;MAX(入力シート!$AH$6:$AH$505),"",INDEX(テーブル2[[学年]:[判定]],MATCH(体力優良証交付申請書!$A277,入力シート!$AH$6:$AH$505,0),MATCH(体力優良証交付申請書!F$14,テーブル2[[#Headers],[学年]:[得点]],0)))</f>
        <v/>
      </c>
      <c r="G277" s="115" t="str">
        <f>IF($A277&gt;MAX(入力シート!$AH$6:$AH$505),"",INDEX(テーブル2[[学年]:[判定]],MATCH(体力優良証交付申請書!$A277,入力シート!$AH$6:$AH$505,0),MATCH(体力優良証交付申請書!G$14,テーブル2[[#Headers],[学年]:[得点]],0)))</f>
        <v/>
      </c>
      <c r="H277" s="115" t="str">
        <f>IF($A277&gt;MAX(入力シート!$AH$6:$AH$505),"",INDEX(テーブル2[[学年]:[判定]],MATCH(体力優良証交付申請書!$A277,入力シート!$AH$6:$AH$505,0),MATCH(体力優良証交付申請書!H$14,テーブル2[[#Headers],[学年]:[得点]],0)))</f>
        <v/>
      </c>
      <c r="I277" s="115" t="str">
        <f>IF($A277&gt;MAX(入力シート!$AH$6:$AH$505),"",INDEX(テーブル2[[学年]:[判定]],MATCH(体力優良証交付申請書!$A277,入力シート!$AH$6:$AH$505,0),MATCH(体力優良証交付申請書!I$14,テーブル2[[#Headers],[学年]:[得点]],0)))</f>
        <v/>
      </c>
      <c r="J277" s="115" t="str">
        <f>IF($A277&gt;MAX(入力シート!$AH$6:$AH$505),"",INDEX(テーブル2[[学年]:[判定]],MATCH(体力優良証交付申請書!$A277,入力シート!$AH$6:$AH$505,0),MATCH(体力優良証交付申請書!J$14,テーブル2[[#Headers],[学年]:[得点]],0)))</f>
        <v/>
      </c>
      <c r="K277" s="129" t="str">
        <f>IF($A277&gt;MAX(入力シート!$AH$6:$AH$505),"",INDEX(テーブル2[[学年]:[判定]],MATCH(体力優良証交付申請書!$A277,入力シート!$AH$6:$AH$505,0),MATCH(体力優良証交付申請書!K$14,テーブル2[[#Headers],[学年]:[得点]],0)))</f>
        <v/>
      </c>
      <c r="L277" s="115" t="str">
        <f>IF($A277&gt;MAX(入力シート!$AH$6:$AH$505),"",INDEX(テーブル2[[学年]:[判定]],MATCH(体力優良証交付申請書!$A277,入力シート!$AH$6:$AH$505,0),MATCH(体力優良証交付申請書!L$14,テーブル2[[#Headers],[学年]:[得点]],0)))</f>
        <v/>
      </c>
      <c r="M277" s="115" t="str">
        <f>IF($A277&gt;MAX(入力シート!$AH$6:$AH$505),"",INDEX(テーブル2[[学年]:[判定]],MATCH(体力優良証交付申請書!$A277,入力シート!$AH$6:$AH$505,0),MATCH(体力優良証交付申請書!M$14,テーブル2[[#Headers],[学年]:[得点]],0)))</f>
        <v/>
      </c>
      <c r="N277" s="27" t="str">
        <f>IF($A277&gt;MAX(入力シート!$AH$6:$AH$505),"",INDEX(テーブル2[[学年]:[判定]],MATCH(体力優良証交付申請書!$A277,入力シート!$AH$6:$AH$505,0),MATCH(体力優良証交付申請書!N$14,テーブル2[[#Headers],[学年]:[得点]],0)))</f>
        <v/>
      </c>
    </row>
    <row r="278" spans="1:14" x14ac:dyDescent="0.15">
      <c r="A278" s="17">
        <v>264</v>
      </c>
      <c r="B278" s="115" t="str">
        <f>IF($A278&gt;MAX(入力シート!$AH$6:$AH$505),"",INDEX(テーブル2[[学年]:[判定]],MATCH(体力優良証交付申請書!$A278,入力シート!$AH$6:$AH$505,0),MATCH(体力優良証交付申請書!B$14,テーブル2[[#Headers],[学年]:[得点]],0)))</f>
        <v/>
      </c>
      <c r="C278" s="115" t="str">
        <f>IF($A278&gt;MAX(入力シート!$AH$6:$AH$505),"",INDEX(テーブル2[[学年]:[判定]],MATCH(体力優良証交付申請書!$A278,入力シート!$AH$6:$AH$505,0),MATCH(体力優良証交付申請書!C$14,テーブル2[[#Headers],[学年]:[得点]],0)))</f>
        <v/>
      </c>
      <c r="D278" s="115" t="str">
        <f>IF($A278&gt;MAX(入力シート!$AH$6:$AH$505),"",INDEX(テーブル2[[学年]:[判定]],MATCH(体力優良証交付申請書!$A278,入力シート!$AH$6:$AH$505,0),MATCH(体力優良証交付申請書!D$14,テーブル2[[#Headers],[学年]:[得点]],0)))</f>
        <v/>
      </c>
      <c r="E278" s="115" t="str">
        <f>IF($A278&gt;MAX(入力シート!$AH$6:$AH$505),"",INDEX(テーブル2[[学年]:[判定]],MATCH(体力優良証交付申請書!$A278,入力シート!$AH$6:$AH$505,0),MATCH(体力優良証交付申請書!E$14,テーブル2[[#Headers],[学年]:[得点]],0)))</f>
        <v/>
      </c>
      <c r="F278" s="115" t="str">
        <f>IF($A278&gt;MAX(入力シート!$AH$6:$AH$505),"",INDEX(テーブル2[[学年]:[判定]],MATCH(体力優良証交付申請書!$A278,入力シート!$AH$6:$AH$505,0),MATCH(体力優良証交付申請書!F$14,テーブル2[[#Headers],[学年]:[得点]],0)))</f>
        <v/>
      </c>
      <c r="G278" s="115" t="str">
        <f>IF($A278&gt;MAX(入力シート!$AH$6:$AH$505),"",INDEX(テーブル2[[学年]:[判定]],MATCH(体力優良証交付申請書!$A278,入力シート!$AH$6:$AH$505,0),MATCH(体力優良証交付申請書!G$14,テーブル2[[#Headers],[学年]:[得点]],0)))</f>
        <v/>
      </c>
      <c r="H278" s="115" t="str">
        <f>IF($A278&gt;MAX(入力シート!$AH$6:$AH$505),"",INDEX(テーブル2[[学年]:[判定]],MATCH(体力優良証交付申請書!$A278,入力シート!$AH$6:$AH$505,0),MATCH(体力優良証交付申請書!H$14,テーブル2[[#Headers],[学年]:[得点]],0)))</f>
        <v/>
      </c>
      <c r="I278" s="115" t="str">
        <f>IF($A278&gt;MAX(入力シート!$AH$6:$AH$505),"",INDEX(テーブル2[[学年]:[判定]],MATCH(体力優良証交付申請書!$A278,入力シート!$AH$6:$AH$505,0),MATCH(体力優良証交付申請書!I$14,テーブル2[[#Headers],[学年]:[得点]],0)))</f>
        <v/>
      </c>
      <c r="J278" s="115" t="str">
        <f>IF($A278&gt;MAX(入力シート!$AH$6:$AH$505),"",INDEX(テーブル2[[学年]:[判定]],MATCH(体力優良証交付申請書!$A278,入力シート!$AH$6:$AH$505,0),MATCH(体力優良証交付申請書!J$14,テーブル2[[#Headers],[学年]:[得点]],0)))</f>
        <v/>
      </c>
      <c r="K278" s="129" t="str">
        <f>IF($A278&gt;MAX(入力シート!$AH$6:$AH$505),"",INDEX(テーブル2[[学年]:[判定]],MATCH(体力優良証交付申請書!$A278,入力シート!$AH$6:$AH$505,0),MATCH(体力優良証交付申請書!K$14,テーブル2[[#Headers],[学年]:[得点]],0)))</f>
        <v/>
      </c>
      <c r="L278" s="115" t="str">
        <f>IF($A278&gt;MAX(入力シート!$AH$6:$AH$505),"",INDEX(テーブル2[[学年]:[判定]],MATCH(体力優良証交付申請書!$A278,入力シート!$AH$6:$AH$505,0),MATCH(体力優良証交付申請書!L$14,テーブル2[[#Headers],[学年]:[得点]],0)))</f>
        <v/>
      </c>
      <c r="M278" s="115" t="str">
        <f>IF($A278&gt;MAX(入力シート!$AH$6:$AH$505),"",INDEX(テーブル2[[学年]:[判定]],MATCH(体力優良証交付申請書!$A278,入力シート!$AH$6:$AH$505,0),MATCH(体力優良証交付申請書!M$14,テーブル2[[#Headers],[学年]:[得点]],0)))</f>
        <v/>
      </c>
      <c r="N278" s="27" t="str">
        <f>IF($A278&gt;MAX(入力シート!$AH$6:$AH$505),"",INDEX(テーブル2[[学年]:[判定]],MATCH(体力優良証交付申請書!$A278,入力シート!$AH$6:$AH$505,0),MATCH(体力優良証交付申請書!N$14,テーブル2[[#Headers],[学年]:[得点]],0)))</f>
        <v/>
      </c>
    </row>
    <row r="279" spans="1:14" x14ac:dyDescent="0.15">
      <c r="A279" s="17">
        <v>265</v>
      </c>
      <c r="B279" s="115" t="str">
        <f>IF($A279&gt;MAX(入力シート!$AH$6:$AH$505),"",INDEX(テーブル2[[学年]:[判定]],MATCH(体力優良証交付申請書!$A279,入力シート!$AH$6:$AH$505,0),MATCH(体力優良証交付申請書!B$14,テーブル2[[#Headers],[学年]:[得点]],0)))</f>
        <v/>
      </c>
      <c r="C279" s="115" t="str">
        <f>IF($A279&gt;MAX(入力シート!$AH$6:$AH$505),"",INDEX(テーブル2[[学年]:[判定]],MATCH(体力優良証交付申請書!$A279,入力シート!$AH$6:$AH$505,0),MATCH(体力優良証交付申請書!C$14,テーブル2[[#Headers],[学年]:[得点]],0)))</f>
        <v/>
      </c>
      <c r="D279" s="115" t="str">
        <f>IF($A279&gt;MAX(入力シート!$AH$6:$AH$505),"",INDEX(テーブル2[[学年]:[判定]],MATCH(体力優良証交付申請書!$A279,入力シート!$AH$6:$AH$505,0),MATCH(体力優良証交付申請書!D$14,テーブル2[[#Headers],[学年]:[得点]],0)))</f>
        <v/>
      </c>
      <c r="E279" s="115" t="str">
        <f>IF($A279&gt;MAX(入力シート!$AH$6:$AH$505),"",INDEX(テーブル2[[学年]:[判定]],MATCH(体力優良証交付申請書!$A279,入力シート!$AH$6:$AH$505,0),MATCH(体力優良証交付申請書!E$14,テーブル2[[#Headers],[学年]:[得点]],0)))</f>
        <v/>
      </c>
      <c r="F279" s="115" t="str">
        <f>IF($A279&gt;MAX(入力シート!$AH$6:$AH$505),"",INDEX(テーブル2[[学年]:[判定]],MATCH(体力優良証交付申請書!$A279,入力シート!$AH$6:$AH$505,0),MATCH(体力優良証交付申請書!F$14,テーブル2[[#Headers],[学年]:[得点]],0)))</f>
        <v/>
      </c>
      <c r="G279" s="115" t="str">
        <f>IF($A279&gt;MAX(入力シート!$AH$6:$AH$505),"",INDEX(テーブル2[[学年]:[判定]],MATCH(体力優良証交付申請書!$A279,入力シート!$AH$6:$AH$505,0),MATCH(体力優良証交付申請書!G$14,テーブル2[[#Headers],[学年]:[得点]],0)))</f>
        <v/>
      </c>
      <c r="H279" s="115" t="str">
        <f>IF($A279&gt;MAX(入力シート!$AH$6:$AH$505),"",INDEX(テーブル2[[学年]:[判定]],MATCH(体力優良証交付申請書!$A279,入力シート!$AH$6:$AH$505,0),MATCH(体力優良証交付申請書!H$14,テーブル2[[#Headers],[学年]:[得点]],0)))</f>
        <v/>
      </c>
      <c r="I279" s="115" t="str">
        <f>IF($A279&gt;MAX(入力シート!$AH$6:$AH$505),"",INDEX(テーブル2[[学年]:[判定]],MATCH(体力優良証交付申請書!$A279,入力シート!$AH$6:$AH$505,0),MATCH(体力優良証交付申請書!I$14,テーブル2[[#Headers],[学年]:[得点]],0)))</f>
        <v/>
      </c>
      <c r="J279" s="115" t="str">
        <f>IF($A279&gt;MAX(入力シート!$AH$6:$AH$505),"",INDEX(テーブル2[[学年]:[判定]],MATCH(体力優良証交付申請書!$A279,入力シート!$AH$6:$AH$505,0),MATCH(体力優良証交付申請書!J$14,テーブル2[[#Headers],[学年]:[得点]],0)))</f>
        <v/>
      </c>
      <c r="K279" s="129" t="str">
        <f>IF($A279&gt;MAX(入力シート!$AH$6:$AH$505),"",INDEX(テーブル2[[学年]:[判定]],MATCH(体力優良証交付申請書!$A279,入力シート!$AH$6:$AH$505,0),MATCH(体力優良証交付申請書!K$14,テーブル2[[#Headers],[学年]:[得点]],0)))</f>
        <v/>
      </c>
      <c r="L279" s="115" t="str">
        <f>IF($A279&gt;MAX(入力シート!$AH$6:$AH$505),"",INDEX(テーブル2[[学年]:[判定]],MATCH(体力優良証交付申請書!$A279,入力シート!$AH$6:$AH$505,0),MATCH(体力優良証交付申請書!L$14,テーブル2[[#Headers],[学年]:[得点]],0)))</f>
        <v/>
      </c>
      <c r="M279" s="115" t="str">
        <f>IF($A279&gt;MAX(入力シート!$AH$6:$AH$505),"",INDEX(テーブル2[[学年]:[判定]],MATCH(体力優良証交付申請書!$A279,入力シート!$AH$6:$AH$505,0),MATCH(体力優良証交付申請書!M$14,テーブル2[[#Headers],[学年]:[得点]],0)))</f>
        <v/>
      </c>
      <c r="N279" s="27" t="str">
        <f>IF($A279&gt;MAX(入力シート!$AH$6:$AH$505),"",INDEX(テーブル2[[学年]:[判定]],MATCH(体力優良証交付申請書!$A279,入力シート!$AH$6:$AH$505,0),MATCH(体力優良証交付申請書!N$14,テーブル2[[#Headers],[学年]:[得点]],0)))</f>
        <v/>
      </c>
    </row>
    <row r="280" spans="1:14" x14ac:dyDescent="0.15">
      <c r="A280" s="17">
        <v>266</v>
      </c>
      <c r="B280" s="115" t="str">
        <f>IF($A280&gt;MAX(入力シート!$AH$6:$AH$505),"",INDEX(テーブル2[[学年]:[判定]],MATCH(体力優良証交付申請書!$A280,入力シート!$AH$6:$AH$505,0),MATCH(体力優良証交付申請書!B$14,テーブル2[[#Headers],[学年]:[得点]],0)))</f>
        <v/>
      </c>
      <c r="C280" s="115" t="str">
        <f>IF($A280&gt;MAX(入力シート!$AH$6:$AH$505),"",INDEX(テーブル2[[学年]:[判定]],MATCH(体力優良証交付申請書!$A280,入力シート!$AH$6:$AH$505,0),MATCH(体力優良証交付申請書!C$14,テーブル2[[#Headers],[学年]:[得点]],0)))</f>
        <v/>
      </c>
      <c r="D280" s="115" t="str">
        <f>IF($A280&gt;MAX(入力シート!$AH$6:$AH$505),"",INDEX(テーブル2[[学年]:[判定]],MATCH(体力優良証交付申請書!$A280,入力シート!$AH$6:$AH$505,0),MATCH(体力優良証交付申請書!D$14,テーブル2[[#Headers],[学年]:[得点]],0)))</f>
        <v/>
      </c>
      <c r="E280" s="115" t="str">
        <f>IF($A280&gt;MAX(入力シート!$AH$6:$AH$505),"",INDEX(テーブル2[[学年]:[判定]],MATCH(体力優良証交付申請書!$A280,入力シート!$AH$6:$AH$505,0),MATCH(体力優良証交付申請書!E$14,テーブル2[[#Headers],[学年]:[得点]],0)))</f>
        <v/>
      </c>
      <c r="F280" s="115" t="str">
        <f>IF($A280&gt;MAX(入力シート!$AH$6:$AH$505),"",INDEX(テーブル2[[学年]:[判定]],MATCH(体力優良証交付申請書!$A280,入力シート!$AH$6:$AH$505,0),MATCH(体力優良証交付申請書!F$14,テーブル2[[#Headers],[学年]:[得点]],0)))</f>
        <v/>
      </c>
      <c r="G280" s="115" t="str">
        <f>IF($A280&gt;MAX(入力シート!$AH$6:$AH$505),"",INDEX(テーブル2[[学年]:[判定]],MATCH(体力優良証交付申請書!$A280,入力シート!$AH$6:$AH$505,0),MATCH(体力優良証交付申請書!G$14,テーブル2[[#Headers],[学年]:[得点]],0)))</f>
        <v/>
      </c>
      <c r="H280" s="115" t="str">
        <f>IF($A280&gt;MAX(入力シート!$AH$6:$AH$505),"",INDEX(テーブル2[[学年]:[判定]],MATCH(体力優良証交付申請書!$A280,入力シート!$AH$6:$AH$505,0),MATCH(体力優良証交付申請書!H$14,テーブル2[[#Headers],[学年]:[得点]],0)))</f>
        <v/>
      </c>
      <c r="I280" s="115" t="str">
        <f>IF($A280&gt;MAX(入力シート!$AH$6:$AH$505),"",INDEX(テーブル2[[学年]:[判定]],MATCH(体力優良証交付申請書!$A280,入力シート!$AH$6:$AH$505,0),MATCH(体力優良証交付申請書!I$14,テーブル2[[#Headers],[学年]:[得点]],0)))</f>
        <v/>
      </c>
      <c r="J280" s="115" t="str">
        <f>IF($A280&gt;MAX(入力シート!$AH$6:$AH$505),"",INDEX(テーブル2[[学年]:[判定]],MATCH(体力優良証交付申請書!$A280,入力シート!$AH$6:$AH$505,0),MATCH(体力優良証交付申請書!J$14,テーブル2[[#Headers],[学年]:[得点]],0)))</f>
        <v/>
      </c>
      <c r="K280" s="129" t="str">
        <f>IF($A280&gt;MAX(入力シート!$AH$6:$AH$505),"",INDEX(テーブル2[[学年]:[判定]],MATCH(体力優良証交付申請書!$A280,入力シート!$AH$6:$AH$505,0),MATCH(体力優良証交付申請書!K$14,テーブル2[[#Headers],[学年]:[得点]],0)))</f>
        <v/>
      </c>
      <c r="L280" s="115" t="str">
        <f>IF($A280&gt;MAX(入力シート!$AH$6:$AH$505),"",INDEX(テーブル2[[学年]:[判定]],MATCH(体力優良証交付申請書!$A280,入力シート!$AH$6:$AH$505,0),MATCH(体力優良証交付申請書!L$14,テーブル2[[#Headers],[学年]:[得点]],0)))</f>
        <v/>
      </c>
      <c r="M280" s="115" t="str">
        <f>IF($A280&gt;MAX(入力シート!$AH$6:$AH$505),"",INDEX(テーブル2[[学年]:[判定]],MATCH(体力優良証交付申請書!$A280,入力シート!$AH$6:$AH$505,0),MATCH(体力優良証交付申請書!M$14,テーブル2[[#Headers],[学年]:[得点]],0)))</f>
        <v/>
      </c>
      <c r="N280" s="27" t="str">
        <f>IF($A280&gt;MAX(入力シート!$AH$6:$AH$505),"",INDEX(テーブル2[[学年]:[判定]],MATCH(体力優良証交付申請書!$A280,入力シート!$AH$6:$AH$505,0),MATCH(体力優良証交付申請書!N$14,テーブル2[[#Headers],[学年]:[得点]],0)))</f>
        <v/>
      </c>
    </row>
    <row r="281" spans="1:14" x14ac:dyDescent="0.15">
      <c r="A281" s="17">
        <v>267</v>
      </c>
      <c r="B281" s="115" t="str">
        <f>IF($A281&gt;MAX(入力シート!$AH$6:$AH$505),"",INDEX(テーブル2[[学年]:[判定]],MATCH(体力優良証交付申請書!$A281,入力シート!$AH$6:$AH$505,0),MATCH(体力優良証交付申請書!B$14,テーブル2[[#Headers],[学年]:[得点]],0)))</f>
        <v/>
      </c>
      <c r="C281" s="115" t="str">
        <f>IF($A281&gt;MAX(入力シート!$AH$6:$AH$505),"",INDEX(テーブル2[[学年]:[判定]],MATCH(体力優良証交付申請書!$A281,入力シート!$AH$6:$AH$505,0),MATCH(体力優良証交付申請書!C$14,テーブル2[[#Headers],[学年]:[得点]],0)))</f>
        <v/>
      </c>
      <c r="D281" s="115" t="str">
        <f>IF($A281&gt;MAX(入力シート!$AH$6:$AH$505),"",INDEX(テーブル2[[学年]:[判定]],MATCH(体力優良証交付申請書!$A281,入力シート!$AH$6:$AH$505,0),MATCH(体力優良証交付申請書!D$14,テーブル2[[#Headers],[学年]:[得点]],0)))</f>
        <v/>
      </c>
      <c r="E281" s="115" t="str">
        <f>IF($A281&gt;MAX(入力シート!$AH$6:$AH$505),"",INDEX(テーブル2[[学年]:[判定]],MATCH(体力優良証交付申請書!$A281,入力シート!$AH$6:$AH$505,0),MATCH(体力優良証交付申請書!E$14,テーブル2[[#Headers],[学年]:[得点]],0)))</f>
        <v/>
      </c>
      <c r="F281" s="115" t="str">
        <f>IF($A281&gt;MAX(入力シート!$AH$6:$AH$505),"",INDEX(テーブル2[[学年]:[判定]],MATCH(体力優良証交付申請書!$A281,入力シート!$AH$6:$AH$505,0),MATCH(体力優良証交付申請書!F$14,テーブル2[[#Headers],[学年]:[得点]],0)))</f>
        <v/>
      </c>
      <c r="G281" s="115" t="str">
        <f>IF($A281&gt;MAX(入力シート!$AH$6:$AH$505),"",INDEX(テーブル2[[学年]:[判定]],MATCH(体力優良証交付申請書!$A281,入力シート!$AH$6:$AH$505,0),MATCH(体力優良証交付申請書!G$14,テーブル2[[#Headers],[学年]:[得点]],0)))</f>
        <v/>
      </c>
      <c r="H281" s="115" t="str">
        <f>IF($A281&gt;MAX(入力シート!$AH$6:$AH$505),"",INDEX(テーブル2[[学年]:[判定]],MATCH(体力優良証交付申請書!$A281,入力シート!$AH$6:$AH$505,0),MATCH(体力優良証交付申請書!H$14,テーブル2[[#Headers],[学年]:[得点]],0)))</f>
        <v/>
      </c>
      <c r="I281" s="115" t="str">
        <f>IF($A281&gt;MAX(入力シート!$AH$6:$AH$505),"",INDEX(テーブル2[[学年]:[判定]],MATCH(体力優良証交付申請書!$A281,入力シート!$AH$6:$AH$505,0),MATCH(体力優良証交付申請書!I$14,テーブル2[[#Headers],[学年]:[得点]],0)))</f>
        <v/>
      </c>
      <c r="J281" s="115" t="str">
        <f>IF($A281&gt;MAX(入力シート!$AH$6:$AH$505),"",INDEX(テーブル2[[学年]:[判定]],MATCH(体力優良証交付申請書!$A281,入力シート!$AH$6:$AH$505,0),MATCH(体力優良証交付申請書!J$14,テーブル2[[#Headers],[学年]:[得点]],0)))</f>
        <v/>
      </c>
      <c r="K281" s="129" t="str">
        <f>IF($A281&gt;MAX(入力シート!$AH$6:$AH$505),"",INDEX(テーブル2[[学年]:[判定]],MATCH(体力優良証交付申請書!$A281,入力シート!$AH$6:$AH$505,0),MATCH(体力優良証交付申請書!K$14,テーブル2[[#Headers],[学年]:[得点]],0)))</f>
        <v/>
      </c>
      <c r="L281" s="115" t="str">
        <f>IF($A281&gt;MAX(入力シート!$AH$6:$AH$505),"",INDEX(テーブル2[[学年]:[判定]],MATCH(体力優良証交付申請書!$A281,入力シート!$AH$6:$AH$505,0),MATCH(体力優良証交付申請書!L$14,テーブル2[[#Headers],[学年]:[得点]],0)))</f>
        <v/>
      </c>
      <c r="M281" s="115" t="str">
        <f>IF($A281&gt;MAX(入力シート!$AH$6:$AH$505),"",INDEX(テーブル2[[学年]:[判定]],MATCH(体力優良証交付申請書!$A281,入力シート!$AH$6:$AH$505,0),MATCH(体力優良証交付申請書!M$14,テーブル2[[#Headers],[学年]:[得点]],0)))</f>
        <v/>
      </c>
      <c r="N281" s="27" t="str">
        <f>IF($A281&gt;MAX(入力シート!$AH$6:$AH$505),"",INDEX(テーブル2[[学年]:[判定]],MATCH(体力優良証交付申請書!$A281,入力シート!$AH$6:$AH$505,0),MATCH(体力優良証交付申請書!N$14,テーブル2[[#Headers],[学年]:[得点]],0)))</f>
        <v/>
      </c>
    </row>
    <row r="282" spans="1:14" x14ac:dyDescent="0.15">
      <c r="A282" s="17">
        <v>268</v>
      </c>
      <c r="B282" s="115" t="str">
        <f>IF($A282&gt;MAX(入力シート!$AH$6:$AH$505),"",INDEX(テーブル2[[学年]:[判定]],MATCH(体力優良証交付申請書!$A282,入力シート!$AH$6:$AH$505,0),MATCH(体力優良証交付申請書!B$14,テーブル2[[#Headers],[学年]:[得点]],0)))</f>
        <v/>
      </c>
      <c r="C282" s="115" t="str">
        <f>IF($A282&gt;MAX(入力シート!$AH$6:$AH$505),"",INDEX(テーブル2[[学年]:[判定]],MATCH(体力優良証交付申請書!$A282,入力シート!$AH$6:$AH$505,0),MATCH(体力優良証交付申請書!C$14,テーブル2[[#Headers],[学年]:[得点]],0)))</f>
        <v/>
      </c>
      <c r="D282" s="115" t="str">
        <f>IF($A282&gt;MAX(入力シート!$AH$6:$AH$505),"",INDEX(テーブル2[[学年]:[判定]],MATCH(体力優良証交付申請書!$A282,入力シート!$AH$6:$AH$505,0),MATCH(体力優良証交付申請書!D$14,テーブル2[[#Headers],[学年]:[得点]],0)))</f>
        <v/>
      </c>
      <c r="E282" s="115" t="str">
        <f>IF($A282&gt;MAX(入力シート!$AH$6:$AH$505),"",INDEX(テーブル2[[学年]:[判定]],MATCH(体力優良証交付申請書!$A282,入力シート!$AH$6:$AH$505,0),MATCH(体力優良証交付申請書!E$14,テーブル2[[#Headers],[学年]:[得点]],0)))</f>
        <v/>
      </c>
      <c r="F282" s="115" t="str">
        <f>IF($A282&gt;MAX(入力シート!$AH$6:$AH$505),"",INDEX(テーブル2[[学年]:[判定]],MATCH(体力優良証交付申請書!$A282,入力シート!$AH$6:$AH$505,0),MATCH(体力優良証交付申請書!F$14,テーブル2[[#Headers],[学年]:[得点]],0)))</f>
        <v/>
      </c>
      <c r="G282" s="115" t="str">
        <f>IF($A282&gt;MAX(入力シート!$AH$6:$AH$505),"",INDEX(テーブル2[[学年]:[判定]],MATCH(体力優良証交付申請書!$A282,入力シート!$AH$6:$AH$505,0),MATCH(体力優良証交付申請書!G$14,テーブル2[[#Headers],[学年]:[得点]],0)))</f>
        <v/>
      </c>
      <c r="H282" s="115" t="str">
        <f>IF($A282&gt;MAX(入力シート!$AH$6:$AH$505),"",INDEX(テーブル2[[学年]:[判定]],MATCH(体力優良証交付申請書!$A282,入力シート!$AH$6:$AH$505,0),MATCH(体力優良証交付申請書!H$14,テーブル2[[#Headers],[学年]:[得点]],0)))</f>
        <v/>
      </c>
      <c r="I282" s="115" t="str">
        <f>IF($A282&gt;MAX(入力シート!$AH$6:$AH$505),"",INDEX(テーブル2[[学年]:[判定]],MATCH(体力優良証交付申請書!$A282,入力シート!$AH$6:$AH$505,0),MATCH(体力優良証交付申請書!I$14,テーブル2[[#Headers],[学年]:[得点]],0)))</f>
        <v/>
      </c>
      <c r="J282" s="115" t="str">
        <f>IF($A282&gt;MAX(入力シート!$AH$6:$AH$505),"",INDEX(テーブル2[[学年]:[判定]],MATCH(体力優良証交付申請書!$A282,入力シート!$AH$6:$AH$505,0),MATCH(体力優良証交付申請書!J$14,テーブル2[[#Headers],[学年]:[得点]],0)))</f>
        <v/>
      </c>
      <c r="K282" s="129" t="str">
        <f>IF($A282&gt;MAX(入力シート!$AH$6:$AH$505),"",INDEX(テーブル2[[学年]:[判定]],MATCH(体力優良証交付申請書!$A282,入力シート!$AH$6:$AH$505,0),MATCH(体力優良証交付申請書!K$14,テーブル2[[#Headers],[学年]:[得点]],0)))</f>
        <v/>
      </c>
      <c r="L282" s="115" t="str">
        <f>IF($A282&gt;MAX(入力シート!$AH$6:$AH$505),"",INDEX(テーブル2[[学年]:[判定]],MATCH(体力優良証交付申請書!$A282,入力シート!$AH$6:$AH$505,0),MATCH(体力優良証交付申請書!L$14,テーブル2[[#Headers],[学年]:[得点]],0)))</f>
        <v/>
      </c>
      <c r="M282" s="115" t="str">
        <f>IF($A282&gt;MAX(入力シート!$AH$6:$AH$505),"",INDEX(テーブル2[[学年]:[判定]],MATCH(体力優良証交付申請書!$A282,入力シート!$AH$6:$AH$505,0),MATCH(体力優良証交付申請書!M$14,テーブル2[[#Headers],[学年]:[得点]],0)))</f>
        <v/>
      </c>
      <c r="N282" s="27" t="str">
        <f>IF($A282&gt;MAX(入力シート!$AH$6:$AH$505),"",INDEX(テーブル2[[学年]:[判定]],MATCH(体力優良証交付申請書!$A282,入力シート!$AH$6:$AH$505,0),MATCH(体力優良証交付申請書!N$14,テーブル2[[#Headers],[学年]:[得点]],0)))</f>
        <v/>
      </c>
    </row>
    <row r="283" spans="1:14" x14ac:dyDescent="0.15">
      <c r="A283" s="17">
        <v>269</v>
      </c>
      <c r="B283" s="115" t="str">
        <f>IF($A283&gt;MAX(入力シート!$AH$6:$AH$505),"",INDEX(テーブル2[[学年]:[判定]],MATCH(体力優良証交付申請書!$A283,入力シート!$AH$6:$AH$505,0),MATCH(体力優良証交付申請書!B$14,テーブル2[[#Headers],[学年]:[得点]],0)))</f>
        <v/>
      </c>
      <c r="C283" s="115" t="str">
        <f>IF($A283&gt;MAX(入力シート!$AH$6:$AH$505),"",INDEX(テーブル2[[学年]:[判定]],MATCH(体力優良証交付申請書!$A283,入力シート!$AH$6:$AH$505,0),MATCH(体力優良証交付申請書!C$14,テーブル2[[#Headers],[学年]:[得点]],0)))</f>
        <v/>
      </c>
      <c r="D283" s="115" t="str">
        <f>IF($A283&gt;MAX(入力シート!$AH$6:$AH$505),"",INDEX(テーブル2[[学年]:[判定]],MATCH(体力優良証交付申請書!$A283,入力シート!$AH$6:$AH$505,0),MATCH(体力優良証交付申請書!D$14,テーブル2[[#Headers],[学年]:[得点]],0)))</f>
        <v/>
      </c>
      <c r="E283" s="115" t="str">
        <f>IF($A283&gt;MAX(入力シート!$AH$6:$AH$505),"",INDEX(テーブル2[[学年]:[判定]],MATCH(体力優良証交付申請書!$A283,入力シート!$AH$6:$AH$505,0),MATCH(体力優良証交付申請書!E$14,テーブル2[[#Headers],[学年]:[得点]],0)))</f>
        <v/>
      </c>
      <c r="F283" s="115" t="str">
        <f>IF($A283&gt;MAX(入力シート!$AH$6:$AH$505),"",INDEX(テーブル2[[学年]:[判定]],MATCH(体力優良証交付申請書!$A283,入力シート!$AH$6:$AH$505,0),MATCH(体力優良証交付申請書!F$14,テーブル2[[#Headers],[学年]:[得点]],0)))</f>
        <v/>
      </c>
      <c r="G283" s="115" t="str">
        <f>IF($A283&gt;MAX(入力シート!$AH$6:$AH$505),"",INDEX(テーブル2[[学年]:[判定]],MATCH(体力優良証交付申請書!$A283,入力シート!$AH$6:$AH$505,0),MATCH(体力優良証交付申請書!G$14,テーブル2[[#Headers],[学年]:[得点]],0)))</f>
        <v/>
      </c>
      <c r="H283" s="115" t="str">
        <f>IF($A283&gt;MAX(入力シート!$AH$6:$AH$505),"",INDEX(テーブル2[[学年]:[判定]],MATCH(体力優良証交付申請書!$A283,入力シート!$AH$6:$AH$505,0),MATCH(体力優良証交付申請書!H$14,テーブル2[[#Headers],[学年]:[得点]],0)))</f>
        <v/>
      </c>
      <c r="I283" s="115" t="str">
        <f>IF($A283&gt;MAX(入力シート!$AH$6:$AH$505),"",INDEX(テーブル2[[学年]:[判定]],MATCH(体力優良証交付申請書!$A283,入力シート!$AH$6:$AH$505,0),MATCH(体力優良証交付申請書!I$14,テーブル2[[#Headers],[学年]:[得点]],0)))</f>
        <v/>
      </c>
      <c r="J283" s="115" t="str">
        <f>IF($A283&gt;MAX(入力シート!$AH$6:$AH$505),"",INDEX(テーブル2[[学年]:[判定]],MATCH(体力優良証交付申請書!$A283,入力シート!$AH$6:$AH$505,0),MATCH(体力優良証交付申請書!J$14,テーブル2[[#Headers],[学年]:[得点]],0)))</f>
        <v/>
      </c>
      <c r="K283" s="129" t="str">
        <f>IF($A283&gt;MAX(入力シート!$AH$6:$AH$505),"",INDEX(テーブル2[[学年]:[判定]],MATCH(体力優良証交付申請書!$A283,入力シート!$AH$6:$AH$505,0),MATCH(体力優良証交付申請書!K$14,テーブル2[[#Headers],[学年]:[得点]],0)))</f>
        <v/>
      </c>
      <c r="L283" s="115" t="str">
        <f>IF($A283&gt;MAX(入力シート!$AH$6:$AH$505),"",INDEX(テーブル2[[学年]:[判定]],MATCH(体力優良証交付申請書!$A283,入力シート!$AH$6:$AH$505,0),MATCH(体力優良証交付申請書!L$14,テーブル2[[#Headers],[学年]:[得点]],0)))</f>
        <v/>
      </c>
      <c r="M283" s="115" t="str">
        <f>IF($A283&gt;MAX(入力シート!$AH$6:$AH$505),"",INDEX(テーブル2[[学年]:[判定]],MATCH(体力優良証交付申請書!$A283,入力シート!$AH$6:$AH$505,0),MATCH(体力優良証交付申請書!M$14,テーブル2[[#Headers],[学年]:[得点]],0)))</f>
        <v/>
      </c>
      <c r="N283" s="27" t="str">
        <f>IF($A283&gt;MAX(入力シート!$AH$6:$AH$505),"",INDEX(テーブル2[[学年]:[判定]],MATCH(体力優良証交付申請書!$A283,入力シート!$AH$6:$AH$505,0),MATCH(体力優良証交付申請書!N$14,テーブル2[[#Headers],[学年]:[得点]],0)))</f>
        <v/>
      </c>
    </row>
    <row r="284" spans="1:14" x14ac:dyDescent="0.15">
      <c r="A284" s="17">
        <v>270</v>
      </c>
      <c r="B284" s="115" t="str">
        <f>IF($A284&gt;MAX(入力シート!$AH$6:$AH$505),"",INDEX(テーブル2[[学年]:[判定]],MATCH(体力優良証交付申請書!$A284,入力シート!$AH$6:$AH$505,0),MATCH(体力優良証交付申請書!B$14,テーブル2[[#Headers],[学年]:[得点]],0)))</f>
        <v/>
      </c>
      <c r="C284" s="115" t="str">
        <f>IF($A284&gt;MAX(入力シート!$AH$6:$AH$505),"",INDEX(テーブル2[[学年]:[判定]],MATCH(体力優良証交付申請書!$A284,入力シート!$AH$6:$AH$505,0),MATCH(体力優良証交付申請書!C$14,テーブル2[[#Headers],[学年]:[得点]],0)))</f>
        <v/>
      </c>
      <c r="D284" s="115" t="str">
        <f>IF($A284&gt;MAX(入力シート!$AH$6:$AH$505),"",INDEX(テーブル2[[学年]:[判定]],MATCH(体力優良証交付申請書!$A284,入力シート!$AH$6:$AH$505,0),MATCH(体力優良証交付申請書!D$14,テーブル2[[#Headers],[学年]:[得点]],0)))</f>
        <v/>
      </c>
      <c r="E284" s="115" t="str">
        <f>IF($A284&gt;MAX(入力シート!$AH$6:$AH$505),"",INDEX(テーブル2[[学年]:[判定]],MATCH(体力優良証交付申請書!$A284,入力シート!$AH$6:$AH$505,0),MATCH(体力優良証交付申請書!E$14,テーブル2[[#Headers],[学年]:[得点]],0)))</f>
        <v/>
      </c>
      <c r="F284" s="115" t="str">
        <f>IF($A284&gt;MAX(入力シート!$AH$6:$AH$505),"",INDEX(テーブル2[[学年]:[判定]],MATCH(体力優良証交付申請書!$A284,入力シート!$AH$6:$AH$505,0),MATCH(体力優良証交付申請書!F$14,テーブル2[[#Headers],[学年]:[得点]],0)))</f>
        <v/>
      </c>
      <c r="G284" s="115" t="str">
        <f>IF($A284&gt;MAX(入力シート!$AH$6:$AH$505),"",INDEX(テーブル2[[学年]:[判定]],MATCH(体力優良証交付申請書!$A284,入力シート!$AH$6:$AH$505,0),MATCH(体力優良証交付申請書!G$14,テーブル2[[#Headers],[学年]:[得点]],0)))</f>
        <v/>
      </c>
      <c r="H284" s="115" t="str">
        <f>IF($A284&gt;MAX(入力シート!$AH$6:$AH$505),"",INDEX(テーブル2[[学年]:[判定]],MATCH(体力優良証交付申請書!$A284,入力シート!$AH$6:$AH$505,0),MATCH(体力優良証交付申請書!H$14,テーブル2[[#Headers],[学年]:[得点]],0)))</f>
        <v/>
      </c>
      <c r="I284" s="115" t="str">
        <f>IF($A284&gt;MAX(入力シート!$AH$6:$AH$505),"",INDEX(テーブル2[[学年]:[判定]],MATCH(体力優良証交付申請書!$A284,入力シート!$AH$6:$AH$505,0),MATCH(体力優良証交付申請書!I$14,テーブル2[[#Headers],[学年]:[得点]],0)))</f>
        <v/>
      </c>
      <c r="J284" s="115" t="str">
        <f>IF($A284&gt;MAX(入力シート!$AH$6:$AH$505),"",INDEX(テーブル2[[学年]:[判定]],MATCH(体力優良証交付申請書!$A284,入力シート!$AH$6:$AH$505,0),MATCH(体力優良証交付申請書!J$14,テーブル2[[#Headers],[学年]:[得点]],0)))</f>
        <v/>
      </c>
      <c r="K284" s="129" t="str">
        <f>IF($A284&gt;MAX(入力シート!$AH$6:$AH$505),"",INDEX(テーブル2[[学年]:[判定]],MATCH(体力優良証交付申請書!$A284,入力シート!$AH$6:$AH$505,0),MATCH(体力優良証交付申請書!K$14,テーブル2[[#Headers],[学年]:[得点]],0)))</f>
        <v/>
      </c>
      <c r="L284" s="115" t="str">
        <f>IF($A284&gt;MAX(入力シート!$AH$6:$AH$505),"",INDEX(テーブル2[[学年]:[判定]],MATCH(体力優良証交付申請書!$A284,入力シート!$AH$6:$AH$505,0),MATCH(体力優良証交付申請書!L$14,テーブル2[[#Headers],[学年]:[得点]],0)))</f>
        <v/>
      </c>
      <c r="M284" s="115" t="str">
        <f>IF($A284&gt;MAX(入力シート!$AH$6:$AH$505),"",INDEX(テーブル2[[学年]:[判定]],MATCH(体力優良証交付申請書!$A284,入力シート!$AH$6:$AH$505,0),MATCH(体力優良証交付申請書!M$14,テーブル2[[#Headers],[学年]:[得点]],0)))</f>
        <v/>
      </c>
      <c r="N284" s="27" t="str">
        <f>IF($A284&gt;MAX(入力シート!$AH$6:$AH$505),"",INDEX(テーブル2[[学年]:[判定]],MATCH(体力優良証交付申請書!$A284,入力シート!$AH$6:$AH$505,0),MATCH(体力優良証交付申請書!N$14,テーブル2[[#Headers],[学年]:[得点]],0)))</f>
        <v/>
      </c>
    </row>
    <row r="285" spans="1:14" x14ac:dyDescent="0.15">
      <c r="A285" s="17">
        <v>271</v>
      </c>
      <c r="B285" s="115" t="str">
        <f>IF($A285&gt;MAX(入力シート!$AH$6:$AH$505),"",INDEX(テーブル2[[学年]:[判定]],MATCH(体力優良証交付申請書!$A285,入力シート!$AH$6:$AH$505,0),MATCH(体力優良証交付申請書!B$14,テーブル2[[#Headers],[学年]:[得点]],0)))</f>
        <v/>
      </c>
      <c r="C285" s="115" t="str">
        <f>IF($A285&gt;MAX(入力シート!$AH$6:$AH$505),"",INDEX(テーブル2[[学年]:[判定]],MATCH(体力優良証交付申請書!$A285,入力シート!$AH$6:$AH$505,0),MATCH(体力優良証交付申請書!C$14,テーブル2[[#Headers],[学年]:[得点]],0)))</f>
        <v/>
      </c>
      <c r="D285" s="115" t="str">
        <f>IF($A285&gt;MAX(入力シート!$AH$6:$AH$505),"",INDEX(テーブル2[[学年]:[判定]],MATCH(体力優良証交付申請書!$A285,入力シート!$AH$6:$AH$505,0),MATCH(体力優良証交付申請書!D$14,テーブル2[[#Headers],[学年]:[得点]],0)))</f>
        <v/>
      </c>
      <c r="E285" s="115" t="str">
        <f>IF($A285&gt;MAX(入力シート!$AH$6:$AH$505),"",INDEX(テーブル2[[学年]:[判定]],MATCH(体力優良証交付申請書!$A285,入力シート!$AH$6:$AH$505,0),MATCH(体力優良証交付申請書!E$14,テーブル2[[#Headers],[学年]:[得点]],0)))</f>
        <v/>
      </c>
      <c r="F285" s="115" t="str">
        <f>IF($A285&gt;MAX(入力シート!$AH$6:$AH$505),"",INDEX(テーブル2[[学年]:[判定]],MATCH(体力優良証交付申請書!$A285,入力シート!$AH$6:$AH$505,0),MATCH(体力優良証交付申請書!F$14,テーブル2[[#Headers],[学年]:[得点]],0)))</f>
        <v/>
      </c>
      <c r="G285" s="115" t="str">
        <f>IF($A285&gt;MAX(入力シート!$AH$6:$AH$505),"",INDEX(テーブル2[[学年]:[判定]],MATCH(体力優良証交付申請書!$A285,入力シート!$AH$6:$AH$505,0),MATCH(体力優良証交付申請書!G$14,テーブル2[[#Headers],[学年]:[得点]],0)))</f>
        <v/>
      </c>
      <c r="H285" s="115" t="str">
        <f>IF($A285&gt;MAX(入力シート!$AH$6:$AH$505),"",INDEX(テーブル2[[学年]:[判定]],MATCH(体力優良証交付申請書!$A285,入力シート!$AH$6:$AH$505,0),MATCH(体力優良証交付申請書!H$14,テーブル2[[#Headers],[学年]:[得点]],0)))</f>
        <v/>
      </c>
      <c r="I285" s="115" t="str">
        <f>IF($A285&gt;MAX(入力シート!$AH$6:$AH$505),"",INDEX(テーブル2[[学年]:[判定]],MATCH(体力優良証交付申請書!$A285,入力シート!$AH$6:$AH$505,0),MATCH(体力優良証交付申請書!I$14,テーブル2[[#Headers],[学年]:[得点]],0)))</f>
        <v/>
      </c>
      <c r="J285" s="115" t="str">
        <f>IF($A285&gt;MAX(入力シート!$AH$6:$AH$505),"",INDEX(テーブル2[[学年]:[判定]],MATCH(体力優良証交付申請書!$A285,入力シート!$AH$6:$AH$505,0),MATCH(体力優良証交付申請書!J$14,テーブル2[[#Headers],[学年]:[得点]],0)))</f>
        <v/>
      </c>
      <c r="K285" s="129" t="str">
        <f>IF($A285&gt;MAX(入力シート!$AH$6:$AH$505),"",INDEX(テーブル2[[学年]:[判定]],MATCH(体力優良証交付申請書!$A285,入力シート!$AH$6:$AH$505,0),MATCH(体力優良証交付申請書!K$14,テーブル2[[#Headers],[学年]:[得点]],0)))</f>
        <v/>
      </c>
      <c r="L285" s="115" t="str">
        <f>IF($A285&gt;MAX(入力シート!$AH$6:$AH$505),"",INDEX(テーブル2[[学年]:[判定]],MATCH(体力優良証交付申請書!$A285,入力シート!$AH$6:$AH$505,0),MATCH(体力優良証交付申請書!L$14,テーブル2[[#Headers],[学年]:[得点]],0)))</f>
        <v/>
      </c>
      <c r="M285" s="115" t="str">
        <f>IF($A285&gt;MAX(入力シート!$AH$6:$AH$505),"",INDEX(テーブル2[[学年]:[判定]],MATCH(体力優良証交付申請書!$A285,入力シート!$AH$6:$AH$505,0),MATCH(体力優良証交付申請書!M$14,テーブル2[[#Headers],[学年]:[得点]],0)))</f>
        <v/>
      </c>
      <c r="N285" s="27" t="str">
        <f>IF($A285&gt;MAX(入力シート!$AH$6:$AH$505),"",INDEX(テーブル2[[学年]:[判定]],MATCH(体力優良証交付申請書!$A285,入力シート!$AH$6:$AH$505,0),MATCH(体力優良証交付申請書!N$14,テーブル2[[#Headers],[学年]:[得点]],0)))</f>
        <v/>
      </c>
    </row>
    <row r="286" spans="1:14" x14ac:dyDescent="0.15">
      <c r="A286" s="17">
        <v>272</v>
      </c>
      <c r="B286" s="115" t="str">
        <f>IF($A286&gt;MAX(入力シート!$AH$6:$AH$505),"",INDEX(テーブル2[[学年]:[判定]],MATCH(体力優良証交付申請書!$A286,入力シート!$AH$6:$AH$505,0),MATCH(体力優良証交付申請書!B$14,テーブル2[[#Headers],[学年]:[得点]],0)))</f>
        <v/>
      </c>
      <c r="C286" s="115" t="str">
        <f>IF($A286&gt;MAX(入力シート!$AH$6:$AH$505),"",INDEX(テーブル2[[学年]:[判定]],MATCH(体力優良証交付申請書!$A286,入力シート!$AH$6:$AH$505,0),MATCH(体力優良証交付申請書!C$14,テーブル2[[#Headers],[学年]:[得点]],0)))</f>
        <v/>
      </c>
      <c r="D286" s="115" t="str">
        <f>IF($A286&gt;MAX(入力シート!$AH$6:$AH$505),"",INDEX(テーブル2[[学年]:[判定]],MATCH(体力優良証交付申請書!$A286,入力シート!$AH$6:$AH$505,0),MATCH(体力優良証交付申請書!D$14,テーブル2[[#Headers],[学年]:[得点]],0)))</f>
        <v/>
      </c>
      <c r="E286" s="115" t="str">
        <f>IF($A286&gt;MAX(入力シート!$AH$6:$AH$505),"",INDEX(テーブル2[[学年]:[判定]],MATCH(体力優良証交付申請書!$A286,入力シート!$AH$6:$AH$505,0),MATCH(体力優良証交付申請書!E$14,テーブル2[[#Headers],[学年]:[得点]],0)))</f>
        <v/>
      </c>
      <c r="F286" s="115" t="str">
        <f>IF($A286&gt;MAX(入力シート!$AH$6:$AH$505),"",INDEX(テーブル2[[学年]:[判定]],MATCH(体力優良証交付申請書!$A286,入力シート!$AH$6:$AH$505,0),MATCH(体力優良証交付申請書!F$14,テーブル2[[#Headers],[学年]:[得点]],0)))</f>
        <v/>
      </c>
      <c r="G286" s="115" t="str">
        <f>IF($A286&gt;MAX(入力シート!$AH$6:$AH$505),"",INDEX(テーブル2[[学年]:[判定]],MATCH(体力優良証交付申請書!$A286,入力シート!$AH$6:$AH$505,0),MATCH(体力優良証交付申請書!G$14,テーブル2[[#Headers],[学年]:[得点]],0)))</f>
        <v/>
      </c>
      <c r="H286" s="115" t="str">
        <f>IF($A286&gt;MAX(入力シート!$AH$6:$AH$505),"",INDEX(テーブル2[[学年]:[判定]],MATCH(体力優良証交付申請書!$A286,入力シート!$AH$6:$AH$505,0),MATCH(体力優良証交付申請書!H$14,テーブル2[[#Headers],[学年]:[得点]],0)))</f>
        <v/>
      </c>
      <c r="I286" s="115" t="str">
        <f>IF($A286&gt;MAX(入力シート!$AH$6:$AH$505),"",INDEX(テーブル2[[学年]:[判定]],MATCH(体力優良証交付申請書!$A286,入力シート!$AH$6:$AH$505,0),MATCH(体力優良証交付申請書!I$14,テーブル2[[#Headers],[学年]:[得点]],0)))</f>
        <v/>
      </c>
      <c r="J286" s="115" t="str">
        <f>IF($A286&gt;MAX(入力シート!$AH$6:$AH$505),"",INDEX(テーブル2[[学年]:[判定]],MATCH(体力優良証交付申請書!$A286,入力シート!$AH$6:$AH$505,0),MATCH(体力優良証交付申請書!J$14,テーブル2[[#Headers],[学年]:[得点]],0)))</f>
        <v/>
      </c>
      <c r="K286" s="129" t="str">
        <f>IF($A286&gt;MAX(入力シート!$AH$6:$AH$505),"",INDEX(テーブル2[[学年]:[判定]],MATCH(体力優良証交付申請書!$A286,入力シート!$AH$6:$AH$505,0),MATCH(体力優良証交付申請書!K$14,テーブル2[[#Headers],[学年]:[得点]],0)))</f>
        <v/>
      </c>
      <c r="L286" s="115" t="str">
        <f>IF($A286&gt;MAX(入力シート!$AH$6:$AH$505),"",INDEX(テーブル2[[学年]:[判定]],MATCH(体力優良証交付申請書!$A286,入力シート!$AH$6:$AH$505,0),MATCH(体力優良証交付申請書!L$14,テーブル2[[#Headers],[学年]:[得点]],0)))</f>
        <v/>
      </c>
      <c r="M286" s="115" t="str">
        <f>IF($A286&gt;MAX(入力シート!$AH$6:$AH$505),"",INDEX(テーブル2[[学年]:[判定]],MATCH(体力優良証交付申請書!$A286,入力シート!$AH$6:$AH$505,0),MATCH(体力優良証交付申請書!M$14,テーブル2[[#Headers],[学年]:[得点]],0)))</f>
        <v/>
      </c>
      <c r="N286" s="27" t="str">
        <f>IF($A286&gt;MAX(入力シート!$AH$6:$AH$505),"",INDEX(テーブル2[[学年]:[判定]],MATCH(体力優良証交付申請書!$A286,入力シート!$AH$6:$AH$505,0),MATCH(体力優良証交付申請書!N$14,テーブル2[[#Headers],[学年]:[得点]],0)))</f>
        <v/>
      </c>
    </row>
    <row r="287" spans="1:14" x14ac:dyDescent="0.15">
      <c r="A287" s="17">
        <v>273</v>
      </c>
      <c r="B287" s="115" t="str">
        <f>IF($A287&gt;MAX(入力シート!$AH$6:$AH$505),"",INDEX(テーブル2[[学年]:[判定]],MATCH(体力優良証交付申請書!$A287,入力シート!$AH$6:$AH$505,0),MATCH(体力優良証交付申請書!B$14,テーブル2[[#Headers],[学年]:[得点]],0)))</f>
        <v/>
      </c>
      <c r="C287" s="115" t="str">
        <f>IF($A287&gt;MAX(入力シート!$AH$6:$AH$505),"",INDEX(テーブル2[[学年]:[判定]],MATCH(体力優良証交付申請書!$A287,入力シート!$AH$6:$AH$505,0),MATCH(体力優良証交付申請書!C$14,テーブル2[[#Headers],[学年]:[得点]],0)))</f>
        <v/>
      </c>
      <c r="D287" s="115" t="str">
        <f>IF($A287&gt;MAX(入力シート!$AH$6:$AH$505),"",INDEX(テーブル2[[学年]:[判定]],MATCH(体力優良証交付申請書!$A287,入力シート!$AH$6:$AH$505,0),MATCH(体力優良証交付申請書!D$14,テーブル2[[#Headers],[学年]:[得点]],0)))</f>
        <v/>
      </c>
      <c r="E287" s="115" t="str">
        <f>IF($A287&gt;MAX(入力シート!$AH$6:$AH$505),"",INDEX(テーブル2[[学年]:[判定]],MATCH(体力優良証交付申請書!$A287,入力シート!$AH$6:$AH$505,0),MATCH(体力優良証交付申請書!E$14,テーブル2[[#Headers],[学年]:[得点]],0)))</f>
        <v/>
      </c>
      <c r="F287" s="115" t="str">
        <f>IF($A287&gt;MAX(入力シート!$AH$6:$AH$505),"",INDEX(テーブル2[[学年]:[判定]],MATCH(体力優良証交付申請書!$A287,入力シート!$AH$6:$AH$505,0),MATCH(体力優良証交付申請書!F$14,テーブル2[[#Headers],[学年]:[得点]],0)))</f>
        <v/>
      </c>
      <c r="G287" s="115" t="str">
        <f>IF($A287&gt;MAX(入力シート!$AH$6:$AH$505),"",INDEX(テーブル2[[学年]:[判定]],MATCH(体力優良証交付申請書!$A287,入力シート!$AH$6:$AH$505,0),MATCH(体力優良証交付申請書!G$14,テーブル2[[#Headers],[学年]:[得点]],0)))</f>
        <v/>
      </c>
      <c r="H287" s="115" t="str">
        <f>IF($A287&gt;MAX(入力シート!$AH$6:$AH$505),"",INDEX(テーブル2[[学年]:[判定]],MATCH(体力優良証交付申請書!$A287,入力シート!$AH$6:$AH$505,0),MATCH(体力優良証交付申請書!H$14,テーブル2[[#Headers],[学年]:[得点]],0)))</f>
        <v/>
      </c>
      <c r="I287" s="115" t="str">
        <f>IF($A287&gt;MAX(入力シート!$AH$6:$AH$505),"",INDEX(テーブル2[[学年]:[判定]],MATCH(体力優良証交付申請書!$A287,入力シート!$AH$6:$AH$505,0),MATCH(体力優良証交付申請書!I$14,テーブル2[[#Headers],[学年]:[得点]],0)))</f>
        <v/>
      </c>
      <c r="J287" s="115" t="str">
        <f>IF($A287&gt;MAX(入力シート!$AH$6:$AH$505),"",INDEX(テーブル2[[学年]:[判定]],MATCH(体力優良証交付申請書!$A287,入力シート!$AH$6:$AH$505,0),MATCH(体力優良証交付申請書!J$14,テーブル2[[#Headers],[学年]:[得点]],0)))</f>
        <v/>
      </c>
      <c r="K287" s="129" t="str">
        <f>IF($A287&gt;MAX(入力シート!$AH$6:$AH$505),"",INDEX(テーブル2[[学年]:[判定]],MATCH(体力優良証交付申請書!$A287,入力シート!$AH$6:$AH$505,0),MATCH(体力優良証交付申請書!K$14,テーブル2[[#Headers],[学年]:[得点]],0)))</f>
        <v/>
      </c>
      <c r="L287" s="115" t="str">
        <f>IF($A287&gt;MAX(入力シート!$AH$6:$AH$505),"",INDEX(テーブル2[[学年]:[判定]],MATCH(体力優良証交付申請書!$A287,入力シート!$AH$6:$AH$505,0),MATCH(体力優良証交付申請書!L$14,テーブル2[[#Headers],[学年]:[得点]],0)))</f>
        <v/>
      </c>
      <c r="M287" s="115" t="str">
        <f>IF($A287&gt;MAX(入力シート!$AH$6:$AH$505),"",INDEX(テーブル2[[学年]:[判定]],MATCH(体力優良証交付申請書!$A287,入力シート!$AH$6:$AH$505,0),MATCH(体力優良証交付申請書!M$14,テーブル2[[#Headers],[学年]:[得点]],0)))</f>
        <v/>
      </c>
      <c r="N287" s="27" t="str">
        <f>IF($A287&gt;MAX(入力シート!$AH$6:$AH$505),"",INDEX(テーブル2[[学年]:[判定]],MATCH(体力優良証交付申請書!$A287,入力シート!$AH$6:$AH$505,0),MATCH(体力優良証交付申請書!N$14,テーブル2[[#Headers],[学年]:[得点]],0)))</f>
        <v/>
      </c>
    </row>
    <row r="288" spans="1:14" x14ac:dyDescent="0.15">
      <c r="A288" s="17">
        <v>274</v>
      </c>
      <c r="B288" s="115" t="str">
        <f>IF($A288&gt;MAX(入力シート!$AH$6:$AH$505),"",INDEX(テーブル2[[学年]:[判定]],MATCH(体力優良証交付申請書!$A288,入力シート!$AH$6:$AH$505,0),MATCH(体力優良証交付申請書!B$14,テーブル2[[#Headers],[学年]:[得点]],0)))</f>
        <v/>
      </c>
      <c r="C288" s="115" t="str">
        <f>IF($A288&gt;MAX(入力シート!$AH$6:$AH$505),"",INDEX(テーブル2[[学年]:[判定]],MATCH(体力優良証交付申請書!$A288,入力シート!$AH$6:$AH$505,0),MATCH(体力優良証交付申請書!C$14,テーブル2[[#Headers],[学年]:[得点]],0)))</f>
        <v/>
      </c>
      <c r="D288" s="115" t="str">
        <f>IF($A288&gt;MAX(入力シート!$AH$6:$AH$505),"",INDEX(テーブル2[[学年]:[判定]],MATCH(体力優良証交付申請書!$A288,入力シート!$AH$6:$AH$505,0),MATCH(体力優良証交付申請書!D$14,テーブル2[[#Headers],[学年]:[得点]],0)))</f>
        <v/>
      </c>
      <c r="E288" s="115" t="str">
        <f>IF($A288&gt;MAX(入力シート!$AH$6:$AH$505),"",INDEX(テーブル2[[学年]:[判定]],MATCH(体力優良証交付申請書!$A288,入力シート!$AH$6:$AH$505,0),MATCH(体力優良証交付申請書!E$14,テーブル2[[#Headers],[学年]:[得点]],0)))</f>
        <v/>
      </c>
      <c r="F288" s="115" t="str">
        <f>IF($A288&gt;MAX(入力シート!$AH$6:$AH$505),"",INDEX(テーブル2[[学年]:[判定]],MATCH(体力優良証交付申請書!$A288,入力シート!$AH$6:$AH$505,0),MATCH(体力優良証交付申請書!F$14,テーブル2[[#Headers],[学年]:[得点]],0)))</f>
        <v/>
      </c>
      <c r="G288" s="115" t="str">
        <f>IF($A288&gt;MAX(入力シート!$AH$6:$AH$505),"",INDEX(テーブル2[[学年]:[判定]],MATCH(体力優良証交付申請書!$A288,入力シート!$AH$6:$AH$505,0),MATCH(体力優良証交付申請書!G$14,テーブル2[[#Headers],[学年]:[得点]],0)))</f>
        <v/>
      </c>
      <c r="H288" s="115" t="str">
        <f>IF($A288&gt;MAX(入力シート!$AH$6:$AH$505),"",INDEX(テーブル2[[学年]:[判定]],MATCH(体力優良証交付申請書!$A288,入力シート!$AH$6:$AH$505,0),MATCH(体力優良証交付申請書!H$14,テーブル2[[#Headers],[学年]:[得点]],0)))</f>
        <v/>
      </c>
      <c r="I288" s="115" t="str">
        <f>IF($A288&gt;MAX(入力シート!$AH$6:$AH$505),"",INDEX(テーブル2[[学年]:[判定]],MATCH(体力優良証交付申請書!$A288,入力シート!$AH$6:$AH$505,0),MATCH(体力優良証交付申請書!I$14,テーブル2[[#Headers],[学年]:[得点]],0)))</f>
        <v/>
      </c>
      <c r="J288" s="115" t="str">
        <f>IF($A288&gt;MAX(入力シート!$AH$6:$AH$505),"",INDEX(テーブル2[[学年]:[判定]],MATCH(体力優良証交付申請書!$A288,入力シート!$AH$6:$AH$505,0),MATCH(体力優良証交付申請書!J$14,テーブル2[[#Headers],[学年]:[得点]],0)))</f>
        <v/>
      </c>
      <c r="K288" s="129" t="str">
        <f>IF($A288&gt;MAX(入力シート!$AH$6:$AH$505),"",INDEX(テーブル2[[学年]:[判定]],MATCH(体力優良証交付申請書!$A288,入力シート!$AH$6:$AH$505,0),MATCH(体力優良証交付申請書!K$14,テーブル2[[#Headers],[学年]:[得点]],0)))</f>
        <v/>
      </c>
      <c r="L288" s="115" t="str">
        <f>IF($A288&gt;MAX(入力シート!$AH$6:$AH$505),"",INDEX(テーブル2[[学年]:[判定]],MATCH(体力優良証交付申請書!$A288,入力シート!$AH$6:$AH$505,0),MATCH(体力優良証交付申請書!L$14,テーブル2[[#Headers],[学年]:[得点]],0)))</f>
        <v/>
      </c>
      <c r="M288" s="115" t="str">
        <f>IF($A288&gt;MAX(入力シート!$AH$6:$AH$505),"",INDEX(テーブル2[[学年]:[判定]],MATCH(体力優良証交付申請書!$A288,入力シート!$AH$6:$AH$505,0),MATCH(体力優良証交付申請書!M$14,テーブル2[[#Headers],[学年]:[得点]],0)))</f>
        <v/>
      </c>
      <c r="N288" s="27" t="str">
        <f>IF($A288&gt;MAX(入力シート!$AH$6:$AH$505),"",INDEX(テーブル2[[学年]:[判定]],MATCH(体力優良証交付申請書!$A288,入力シート!$AH$6:$AH$505,0),MATCH(体力優良証交付申請書!N$14,テーブル2[[#Headers],[学年]:[得点]],0)))</f>
        <v/>
      </c>
    </row>
    <row r="289" spans="1:14" x14ac:dyDescent="0.15">
      <c r="A289" s="17">
        <v>275</v>
      </c>
      <c r="B289" s="115" t="str">
        <f>IF($A289&gt;MAX(入力シート!$AH$6:$AH$505),"",INDEX(テーブル2[[学年]:[判定]],MATCH(体力優良証交付申請書!$A289,入力シート!$AH$6:$AH$505,0),MATCH(体力優良証交付申請書!B$14,テーブル2[[#Headers],[学年]:[得点]],0)))</f>
        <v/>
      </c>
      <c r="C289" s="115" t="str">
        <f>IF($A289&gt;MAX(入力シート!$AH$6:$AH$505),"",INDEX(テーブル2[[学年]:[判定]],MATCH(体力優良証交付申請書!$A289,入力シート!$AH$6:$AH$505,0),MATCH(体力優良証交付申請書!C$14,テーブル2[[#Headers],[学年]:[得点]],0)))</f>
        <v/>
      </c>
      <c r="D289" s="115" t="str">
        <f>IF($A289&gt;MAX(入力シート!$AH$6:$AH$505),"",INDEX(テーブル2[[学年]:[判定]],MATCH(体力優良証交付申請書!$A289,入力シート!$AH$6:$AH$505,0),MATCH(体力優良証交付申請書!D$14,テーブル2[[#Headers],[学年]:[得点]],0)))</f>
        <v/>
      </c>
      <c r="E289" s="115" t="str">
        <f>IF($A289&gt;MAX(入力シート!$AH$6:$AH$505),"",INDEX(テーブル2[[学年]:[判定]],MATCH(体力優良証交付申請書!$A289,入力シート!$AH$6:$AH$505,0),MATCH(体力優良証交付申請書!E$14,テーブル2[[#Headers],[学年]:[得点]],0)))</f>
        <v/>
      </c>
      <c r="F289" s="115" t="str">
        <f>IF($A289&gt;MAX(入力シート!$AH$6:$AH$505),"",INDEX(テーブル2[[学年]:[判定]],MATCH(体力優良証交付申請書!$A289,入力シート!$AH$6:$AH$505,0),MATCH(体力優良証交付申請書!F$14,テーブル2[[#Headers],[学年]:[得点]],0)))</f>
        <v/>
      </c>
      <c r="G289" s="115" t="str">
        <f>IF($A289&gt;MAX(入力シート!$AH$6:$AH$505),"",INDEX(テーブル2[[学年]:[判定]],MATCH(体力優良証交付申請書!$A289,入力シート!$AH$6:$AH$505,0),MATCH(体力優良証交付申請書!G$14,テーブル2[[#Headers],[学年]:[得点]],0)))</f>
        <v/>
      </c>
      <c r="H289" s="115" t="str">
        <f>IF($A289&gt;MAX(入力シート!$AH$6:$AH$505),"",INDEX(テーブル2[[学年]:[判定]],MATCH(体力優良証交付申請書!$A289,入力シート!$AH$6:$AH$505,0),MATCH(体力優良証交付申請書!H$14,テーブル2[[#Headers],[学年]:[得点]],0)))</f>
        <v/>
      </c>
      <c r="I289" s="115" t="str">
        <f>IF($A289&gt;MAX(入力シート!$AH$6:$AH$505),"",INDEX(テーブル2[[学年]:[判定]],MATCH(体力優良証交付申請書!$A289,入力シート!$AH$6:$AH$505,0),MATCH(体力優良証交付申請書!I$14,テーブル2[[#Headers],[学年]:[得点]],0)))</f>
        <v/>
      </c>
      <c r="J289" s="115" t="str">
        <f>IF($A289&gt;MAX(入力シート!$AH$6:$AH$505),"",INDEX(テーブル2[[学年]:[判定]],MATCH(体力優良証交付申請書!$A289,入力シート!$AH$6:$AH$505,0),MATCH(体力優良証交付申請書!J$14,テーブル2[[#Headers],[学年]:[得点]],0)))</f>
        <v/>
      </c>
      <c r="K289" s="129" t="str">
        <f>IF($A289&gt;MAX(入力シート!$AH$6:$AH$505),"",INDEX(テーブル2[[学年]:[判定]],MATCH(体力優良証交付申請書!$A289,入力シート!$AH$6:$AH$505,0),MATCH(体力優良証交付申請書!K$14,テーブル2[[#Headers],[学年]:[得点]],0)))</f>
        <v/>
      </c>
      <c r="L289" s="115" t="str">
        <f>IF($A289&gt;MAX(入力シート!$AH$6:$AH$505),"",INDEX(テーブル2[[学年]:[判定]],MATCH(体力優良証交付申請書!$A289,入力シート!$AH$6:$AH$505,0),MATCH(体力優良証交付申請書!L$14,テーブル2[[#Headers],[学年]:[得点]],0)))</f>
        <v/>
      </c>
      <c r="M289" s="115" t="str">
        <f>IF($A289&gt;MAX(入力シート!$AH$6:$AH$505),"",INDEX(テーブル2[[学年]:[判定]],MATCH(体力優良証交付申請書!$A289,入力シート!$AH$6:$AH$505,0),MATCH(体力優良証交付申請書!M$14,テーブル2[[#Headers],[学年]:[得点]],0)))</f>
        <v/>
      </c>
      <c r="N289" s="27" t="str">
        <f>IF($A289&gt;MAX(入力シート!$AH$6:$AH$505),"",INDEX(テーブル2[[学年]:[判定]],MATCH(体力優良証交付申請書!$A289,入力シート!$AH$6:$AH$505,0),MATCH(体力優良証交付申請書!N$14,テーブル2[[#Headers],[学年]:[得点]],0)))</f>
        <v/>
      </c>
    </row>
    <row r="290" spans="1:14" x14ac:dyDescent="0.15">
      <c r="A290" s="17">
        <v>276</v>
      </c>
      <c r="B290" s="115" t="str">
        <f>IF($A290&gt;MAX(入力シート!$AH$6:$AH$505),"",INDEX(テーブル2[[学年]:[判定]],MATCH(体力優良証交付申請書!$A290,入力シート!$AH$6:$AH$505,0),MATCH(体力優良証交付申請書!B$14,テーブル2[[#Headers],[学年]:[得点]],0)))</f>
        <v/>
      </c>
      <c r="C290" s="115" t="str">
        <f>IF($A290&gt;MAX(入力シート!$AH$6:$AH$505),"",INDEX(テーブル2[[学年]:[判定]],MATCH(体力優良証交付申請書!$A290,入力シート!$AH$6:$AH$505,0),MATCH(体力優良証交付申請書!C$14,テーブル2[[#Headers],[学年]:[得点]],0)))</f>
        <v/>
      </c>
      <c r="D290" s="115" t="str">
        <f>IF($A290&gt;MAX(入力シート!$AH$6:$AH$505),"",INDEX(テーブル2[[学年]:[判定]],MATCH(体力優良証交付申請書!$A290,入力シート!$AH$6:$AH$505,0),MATCH(体力優良証交付申請書!D$14,テーブル2[[#Headers],[学年]:[得点]],0)))</f>
        <v/>
      </c>
      <c r="E290" s="115" t="str">
        <f>IF($A290&gt;MAX(入力シート!$AH$6:$AH$505),"",INDEX(テーブル2[[学年]:[判定]],MATCH(体力優良証交付申請書!$A290,入力シート!$AH$6:$AH$505,0),MATCH(体力優良証交付申請書!E$14,テーブル2[[#Headers],[学年]:[得点]],0)))</f>
        <v/>
      </c>
      <c r="F290" s="115" t="str">
        <f>IF($A290&gt;MAX(入力シート!$AH$6:$AH$505),"",INDEX(テーブル2[[学年]:[判定]],MATCH(体力優良証交付申請書!$A290,入力シート!$AH$6:$AH$505,0),MATCH(体力優良証交付申請書!F$14,テーブル2[[#Headers],[学年]:[得点]],0)))</f>
        <v/>
      </c>
      <c r="G290" s="115" t="str">
        <f>IF($A290&gt;MAX(入力シート!$AH$6:$AH$505),"",INDEX(テーブル2[[学年]:[判定]],MATCH(体力優良証交付申請書!$A290,入力シート!$AH$6:$AH$505,0),MATCH(体力優良証交付申請書!G$14,テーブル2[[#Headers],[学年]:[得点]],0)))</f>
        <v/>
      </c>
      <c r="H290" s="115" t="str">
        <f>IF($A290&gt;MAX(入力シート!$AH$6:$AH$505),"",INDEX(テーブル2[[学年]:[判定]],MATCH(体力優良証交付申請書!$A290,入力シート!$AH$6:$AH$505,0),MATCH(体力優良証交付申請書!H$14,テーブル2[[#Headers],[学年]:[得点]],0)))</f>
        <v/>
      </c>
      <c r="I290" s="115" t="str">
        <f>IF($A290&gt;MAX(入力シート!$AH$6:$AH$505),"",INDEX(テーブル2[[学年]:[判定]],MATCH(体力優良証交付申請書!$A290,入力シート!$AH$6:$AH$505,0),MATCH(体力優良証交付申請書!I$14,テーブル2[[#Headers],[学年]:[得点]],0)))</f>
        <v/>
      </c>
      <c r="J290" s="115" t="str">
        <f>IF($A290&gt;MAX(入力シート!$AH$6:$AH$505),"",INDEX(テーブル2[[学年]:[判定]],MATCH(体力優良証交付申請書!$A290,入力シート!$AH$6:$AH$505,0),MATCH(体力優良証交付申請書!J$14,テーブル2[[#Headers],[学年]:[得点]],0)))</f>
        <v/>
      </c>
      <c r="K290" s="129" t="str">
        <f>IF($A290&gt;MAX(入力シート!$AH$6:$AH$505),"",INDEX(テーブル2[[学年]:[判定]],MATCH(体力優良証交付申請書!$A290,入力シート!$AH$6:$AH$505,0),MATCH(体力優良証交付申請書!K$14,テーブル2[[#Headers],[学年]:[得点]],0)))</f>
        <v/>
      </c>
      <c r="L290" s="115" t="str">
        <f>IF($A290&gt;MAX(入力シート!$AH$6:$AH$505),"",INDEX(テーブル2[[学年]:[判定]],MATCH(体力優良証交付申請書!$A290,入力シート!$AH$6:$AH$505,0),MATCH(体力優良証交付申請書!L$14,テーブル2[[#Headers],[学年]:[得点]],0)))</f>
        <v/>
      </c>
      <c r="M290" s="115" t="str">
        <f>IF($A290&gt;MAX(入力シート!$AH$6:$AH$505),"",INDEX(テーブル2[[学年]:[判定]],MATCH(体力優良証交付申請書!$A290,入力シート!$AH$6:$AH$505,0),MATCH(体力優良証交付申請書!M$14,テーブル2[[#Headers],[学年]:[得点]],0)))</f>
        <v/>
      </c>
      <c r="N290" s="27" t="str">
        <f>IF($A290&gt;MAX(入力シート!$AH$6:$AH$505),"",INDEX(テーブル2[[学年]:[判定]],MATCH(体力優良証交付申請書!$A290,入力シート!$AH$6:$AH$505,0),MATCH(体力優良証交付申請書!N$14,テーブル2[[#Headers],[学年]:[得点]],0)))</f>
        <v/>
      </c>
    </row>
    <row r="291" spans="1:14" x14ac:dyDescent="0.15">
      <c r="A291" s="17">
        <v>277</v>
      </c>
      <c r="B291" s="115" t="str">
        <f>IF($A291&gt;MAX(入力シート!$AH$6:$AH$505),"",INDEX(テーブル2[[学年]:[判定]],MATCH(体力優良証交付申請書!$A291,入力シート!$AH$6:$AH$505,0),MATCH(体力優良証交付申請書!B$14,テーブル2[[#Headers],[学年]:[得点]],0)))</f>
        <v/>
      </c>
      <c r="C291" s="115" t="str">
        <f>IF($A291&gt;MAX(入力シート!$AH$6:$AH$505),"",INDEX(テーブル2[[学年]:[判定]],MATCH(体力優良証交付申請書!$A291,入力シート!$AH$6:$AH$505,0),MATCH(体力優良証交付申請書!C$14,テーブル2[[#Headers],[学年]:[得点]],0)))</f>
        <v/>
      </c>
      <c r="D291" s="115" t="str">
        <f>IF($A291&gt;MAX(入力シート!$AH$6:$AH$505),"",INDEX(テーブル2[[学年]:[判定]],MATCH(体力優良証交付申請書!$A291,入力シート!$AH$6:$AH$505,0),MATCH(体力優良証交付申請書!D$14,テーブル2[[#Headers],[学年]:[得点]],0)))</f>
        <v/>
      </c>
      <c r="E291" s="115" t="str">
        <f>IF($A291&gt;MAX(入力シート!$AH$6:$AH$505),"",INDEX(テーブル2[[学年]:[判定]],MATCH(体力優良証交付申請書!$A291,入力シート!$AH$6:$AH$505,0),MATCH(体力優良証交付申請書!E$14,テーブル2[[#Headers],[学年]:[得点]],0)))</f>
        <v/>
      </c>
      <c r="F291" s="115" t="str">
        <f>IF($A291&gt;MAX(入力シート!$AH$6:$AH$505),"",INDEX(テーブル2[[学年]:[判定]],MATCH(体力優良証交付申請書!$A291,入力シート!$AH$6:$AH$505,0),MATCH(体力優良証交付申請書!F$14,テーブル2[[#Headers],[学年]:[得点]],0)))</f>
        <v/>
      </c>
      <c r="G291" s="115" t="str">
        <f>IF($A291&gt;MAX(入力シート!$AH$6:$AH$505),"",INDEX(テーブル2[[学年]:[判定]],MATCH(体力優良証交付申請書!$A291,入力シート!$AH$6:$AH$505,0),MATCH(体力優良証交付申請書!G$14,テーブル2[[#Headers],[学年]:[得点]],0)))</f>
        <v/>
      </c>
      <c r="H291" s="115" t="str">
        <f>IF($A291&gt;MAX(入力シート!$AH$6:$AH$505),"",INDEX(テーブル2[[学年]:[判定]],MATCH(体力優良証交付申請書!$A291,入力シート!$AH$6:$AH$505,0),MATCH(体力優良証交付申請書!H$14,テーブル2[[#Headers],[学年]:[得点]],0)))</f>
        <v/>
      </c>
      <c r="I291" s="115" t="str">
        <f>IF($A291&gt;MAX(入力シート!$AH$6:$AH$505),"",INDEX(テーブル2[[学年]:[判定]],MATCH(体力優良証交付申請書!$A291,入力シート!$AH$6:$AH$505,0),MATCH(体力優良証交付申請書!I$14,テーブル2[[#Headers],[学年]:[得点]],0)))</f>
        <v/>
      </c>
      <c r="J291" s="115" t="str">
        <f>IF($A291&gt;MAX(入力シート!$AH$6:$AH$505),"",INDEX(テーブル2[[学年]:[判定]],MATCH(体力優良証交付申請書!$A291,入力シート!$AH$6:$AH$505,0),MATCH(体力優良証交付申請書!J$14,テーブル2[[#Headers],[学年]:[得点]],0)))</f>
        <v/>
      </c>
      <c r="K291" s="129" t="str">
        <f>IF($A291&gt;MAX(入力シート!$AH$6:$AH$505),"",INDEX(テーブル2[[学年]:[判定]],MATCH(体力優良証交付申請書!$A291,入力シート!$AH$6:$AH$505,0),MATCH(体力優良証交付申請書!K$14,テーブル2[[#Headers],[学年]:[得点]],0)))</f>
        <v/>
      </c>
      <c r="L291" s="115" t="str">
        <f>IF($A291&gt;MAX(入力シート!$AH$6:$AH$505),"",INDEX(テーブル2[[学年]:[判定]],MATCH(体力優良証交付申請書!$A291,入力シート!$AH$6:$AH$505,0),MATCH(体力優良証交付申請書!L$14,テーブル2[[#Headers],[学年]:[得点]],0)))</f>
        <v/>
      </c>
      <c r="M291" s="115" t="str">
        <f>IF($A291&gt;MAX(入力シート!$AH$6:$AH$505),"",INDEX(テーブル2[[学年]:[判定]],MATCH(体力優良証交付申請書!$A291,入力シート!$AH$6:$AH$505,0),MATCH(体力優良証交付申請書!M$14,テーブル2[[#Headers],[学年]:[得点]],0)))</f>
        <v/>
      </c>
      <c r="N291" s="27" t="str">
        <f>IF($A291&gt;MAX(入力シート!$AH$6:$AH$505),"",INDEX(テーブル2[[学年]:[判定]],MATCH(体力優良証交付申請書!$A291,入力シート!$AH$6:$AH$505,0),MATCH(体力優良証交付申請書!N$14,テーブル2[[#Headers],[学年]:[得点]],0)))</f>
        <v/>
      </c>
    </row>
    <row r="292" spans="1:14" x14ac:dyDescent="0.15">
      <c r="A292" s="17">
        <v>278</v>
      </c>
      <c r="B292" s="115" t="str">
        <f>IF($A292&gt;MAX(入力シート!$AH$6:$AH$505),"",INDEX(テーブル2[[学年]:[判定]],MATCH(体力優良証交付申請書!$A292,入力シート!$AH$6:$AH$505,0),MATCH(体力優良証交付申請書!B$14,テーブル2[[#Headers],[学年]:[得点]],0)))</f>
        <v/>
      </c>
      <c r="C292" s="115" t="str">
        <f>IF($A292&gt;MAX(入力シート!$AH$6:$AH$505),"",INDEX(テーブル2[[学年]:[判定]],MATCH(体力優良証交付申請書!$A292,入力シート!$AH$6:$AH$505,0),MATCH(体力優良証交付申請書!C$14,テーブル2[[#Headers],[学年]:[得点]],0)))</f>
        <v/>
      </c>
      <c r="D292" s="115" t="str">
        <f>IF($A292&gt;MAX(入力シート!$AH$6:$AH$505),"",INDEX(テーブル2[[学年]:[判定]],MATCH(体力優良証交付申請書!$A292,入力シート!$AH$6:$AH$505,0),MATCH(体力優良証交付申請書!D$14,テーブル2[[#Headers],[学年]:[得点]],0)))</f>
        <v/>
      </c>
      <c r="E292" s="115" t="str">
        <f>IF($A292&gt;MAX(入力シート!$AH$6:$AH$505),"",INDEX(テーブル2[[学年]:[判定]],MATCH(体力優良証交付申請書!$A292,入力シート!$AH$6:$AH$505,0),MATCH(体力優良証交付申請書!E$14,テーブル2[[#Headers],[学年]:[得点]],0)))</f>
        <v/>
      </c>
      <c r="F292" s="115" t="str">
        <f>IF($A292&gt;MAX(入力シート!$AH$6:$AH$505),"",INDEX(テーブル2[[学年]:[判定]],MATCH(体力優良証交付申請書!$A292,入力シート!$AH$6:$AH$505,0),MATCH(体力優良証交付申請書!F$14,テーブル2[[#Headers],[学年]:[得点]],0)))</f>
        <v/>
      </c>
      <c r="G292" s="115" t="str">
        <f>IF($A292&gt;MAX(入力シート!$AH$6:$AH$505),"",INDEX(テーブル2[[学年]:[判定]],MATCH(体力優良証交付申請書!$A292,入力シート!$AH$6:$AH$505,0),MATCH(体力優良証交付申請書!G$14,テーブル2[[#Headers],[学年]:[得点]],0)))</f>
        <v/>
      </c>
      <c r="H292" s="115" t="str">
        <f>IF($A292&gt;MAX(入力シート!$AH$6:$AH$505),"",INDEX(テーブル2[[学年]:[判定]],MATCH(体力優良証交付申請書!$A292,入力シート!$AH$6:$AH$505,0),MATCH(体力優良証交付申請書!H$14,テーブル2[[#Headers],[学年]:[得点]],0)))</f>
        <v/>
      </c>
      <c r="I292" s="115" t="str">
        <f>IF($A292&gt;MAX(入力シート!$AH$6:$AH$505),"",INDEX(テーブル2[[学年]:[判定]],MATCH(体力優良証交付申請書!$A292,入力シート!$AH$6:$AH$505,0),MATCH(体力優良証交付申請書!I$14,テーブル2[[#Headers],[学年]:[得点]],0)))</f>
        <v/>
      </c>
      <c r="J292" s="115" t="str">
        <f>IF($A292&gt;MAX(入力シート!$AH$6:$AH$505),"",INDEX(テーブル2[[学年]:[判定]],MATCH(体力優良証交付申請書!$A292,入力シート!$AH$6:$AH$505,0),MATCH(体力優良証交付申請書!J$14,テーブル2[[#Headers],[学年]:[得点]],0)))</f>
        <v/>
      </c>
      <c r="K292" s="129" t="str">
        <f>IF($A292&gt;MAX(入力シート!$AH$6:$AH$505),"",INDEX(テーブル2[[学年]:[判定]],MATCH(体力優良証交付申請書!$A292,入力シート!$AH$6:$AH$505,0),MATCH(体力優良証交付申請書!K$14,テーブル2[[#Headers],[学年]:[得点]],0)))</f>
        <v/>
      </c>
      <c r="L292" s="115" t="str">
        <f>IF($A292&gt;MAX(入力シート!$AH$6:$AH$505),"",INDEX(テーブル2[[学年]:[判定]],MATCH(体力優良証交付申請書!$A292,入力シート!$AH$6:$AH$505,0),MATCH(体力優良証交付申請書!L$14,テーブル2[[#Headers],[学年]:[得点]],0)))</f>
        <v/>
      </c>
      <c r="M292" s="115" t="str">
        <f>IF($A292&gt;MAX(入力シート!$AH$6:$AH$505),"",INDEX(テーブル2[[学年]:[判定]],MATCH(体力優良証交付申請書!$A292,入力シート!$AH$6:$AH$505,0),MATCH(体力優良証交付申請書!M$14,テーブル2[[#Headers],[学年]:[得点]],0)))</f>
        <v/>
      </c>
      <c r="N292" s="27" t="str">
        <f>IF($A292&gt;MAX(入力シート!$AH$6:$AH$505),"",INDEX(テーブル2[[学年]:[判定]],MATCH(体力優良証交付申請書!$A292,入力シート!$AH$6:$AH$505,0),MATCH(体力優良証交付申請書!N$14,テーブル2[[#Headers],[学年]:[得点]],0)))</f>
        <v/>
      </c>
    </row>
    <row r="293" spans="1:14" x14ac:dyDescent="0.15">
      <c r="A293" s="17">
        <v>279</v>
      </c>
      <c r="B293" s="115" t="str">
        <f>IF($A293&gt;MAX(入力シート!$AH$6:$AH$505),"",INDEX(テーブル2[[学年]:[判定]],MATCH(体力優良証交付申請書!$A293,入力シート!$AH$6:$AH$505,0),MATCH(体力優良証交付申請書!B$14,テーブル2[[#Headers],[学年]:[得点]],0)))</f>
        <v/>
      </c>
      <c r="C293" s="115" t="str">
        <f>IF($A293&gt;MAX(入力シート!$AH$6:$AH$505),"",INDEX(テーブル2[[学年]:[判定]],MATCH(体力優良証交付申請書!$A293,入力シート!$AH$6:$AH$505,0),MATCH(体力優良証交付申請書!C$14,テーブル2[[#Headers],[学年]:[得点]],0)))</f>
        <v/>
      </c>
      <c r="D293" s="115" t="str">
        <f>IF($A293&gt;MAX(入力シート!$AH$6:$AH$505),"",INDEX(テーブル2[[学年]:[判定]],MATCH(体力優良証交付申請書!$A293,入力シート!$AH$6:$AH$505,0),MATCH(体力優良証交付申請書!D$14,テーブル2[[#Headers],[学年]:[得点]],0)))</f>
        <v/>
      </c>
      <c r="E293" s="115" t="str">
        <f>IF($A293&gt;MAX(入力シート!$AH$6:$AH$505),"",INDEX(テーブル2[[学年]:[判定]],MATCH(体力優良証交付申請書!$A293,入力シート!$AH$6:$AH$505,0),MATCH(体力優良証交付申請書!E$14,テーブル2[[#Headers],[学年]:[得点]],0)))</f>
        <v/>
      </c>
      <c r="F293" s="115" t="str">
        <f>IF($A293&gt;MAX(入力シート!$AH$6:$AH$505),"",INDEX(テーブル2[[学年]:[判定]],MATCH(体力優良証交付申請書!$A293,入力シート!$AH$6:$AH$505,0),MATCH(体力優良証交付申請書!F$14,テーブル2[[#Headers],[学年]:[得点]],0)))</f>
        <v/>
      </c>
      <c r="G293" s="115" t="str">
        <f>IF($A293&gt;MAX(入力シート!$AH$6:$AH$505),"",INDEX(テーブル2[[学年]:[判定]],MATCH(体力優良証交付申請書!$A293,入力シート!$AH$6:$AH$505,0),MATCH(体力優良証交付申請書!G$14,テーブル2[[#Headers],[学年]:[得点]],0)))</f>
        <v/>
      </c>
      <c r="H293" s="115" t="str">
        <f>IF($A293&gt;MAX(入力シート!$AH$6:$AH$505),"",INDEX(テーブル2[[学年]:[判定]],MATCH(体力優良証交付申請書!$A293,入力シート!$AH$6:$AH$505,0),MATCH(体力優良証交付申請書!H$14,テーブル2[[#Headers],[学年]:[得点]],0)))</f>
        <v/>
      </c>
      <c r="I293" s="115" t="str">
        <f>IF($A293&gt;MAX(入力シート!$AH$6:$AH$505),"",INDEX(テーブル2[[学年]:[判定]],MATCH(体力優良証交付申請書!$A293,入力シート!$AH$6:$AH$505,0),MATCH(体力優良証交付申請書!I$14,テーブル2[[#Headers],[学年]:[得点]],0)))</f>
        <v/>
      </c>
      <c r="J293" s="115" t="str">
        <f>IF($A293&gt;MAX(入力シート!$AH$6:$AH$505),"",INDEX(テーブル2[[学年]:[判定]],MATCH(体力優良証交付申請書!$A293,入力シート!$AH$6:$AH$505,0),MATCH(体力優良証交付申請書!J$14,テーブル2[[#Headers],[学年]:[得点]],0)))</f>
        <v/>
      </c>
      <c r="K293" s="129" t="str">
        <f>IF($A293&gt;MAX(入力シート!$AH$6:$AH$505),"",INDEX(テーブル2[[学年]:[判定]],MATCH(体力優良証交付申請書!$A293,入力シート!$AH$6:$AH$505,0),MATCH(体力優良証交付申請書!K$14,テーブル2[[#Headers],[学年]:[得点]],0)))</f>
        <v/>
      </c>
      <c r="L293" s="115" t="str">
        <f>IF($A293&gt;MAX(入力シート!$AH$6:$AH$505),"",INDEX(テーブル2[[学年]:[判定]],MATCH(体力優良証交付申請書!$A293,入力シート!$AH$6:$AH$505,0),MATCH(体力優良証交付申請書!L$14,テーブル2[[#Headers],[学年]:[得点]],0)))</f>
        <v/>
      </c>
      <c r="M293" s="115" t="str">
        <f>IF($A293&gt;MAX(入力シート!$AH$6:$AH$505),"",INDEX(テーブル2[[学年]:[判定]],MATCH(体力優良証交付申請書!$A293,入力シート!$AH$6:$AH$505,0),MATCH(体力優良証交付申請書!M$14,テーブル2[[#Headers],[学年]:[得点]],0)))</f>
        <v/>
      </c>
      <c r="N293" s="27" t="str">
        <f>IF($A293&gt;MAX(入力シート!$AH$6:$AH$505),"",INDEX(テーブル2[[学年]:[判定]],MATCH(体力優良証交付申請書!$A293,入力シート!$AH$6:$AH$505,0),MATCH(体力優良証交付申請書!N$14,テーブル2[[#Headers],[学年]:[得点]],0)))</f>
        <v/>
      </c>
    </row>
    <row r="294" spans="1:14" x14ac:dyDescent="0.15">
      <c r="A294" s="17">
        <v>280</v>
      </c>
      <c r="B294" s="115" t="str">
        <f>IF($A294&gt;MAX(入力シート!$AH$6:$AH$505),"",INDEX(テーブル2[[学年]:[判定]],MATCH(体力優良証交付申請書!$A294,入力シート!$AH$6:$AH$505,0),MATCH(体力優良証交付申請書!B$14,テーブル2[[#Headers],[学年]:[得点]],0)))</f>
        <v/>
      </c>
      <c r="C294" s="115" t="str">
        <f>IF($A294&gt;MAX(入力シート!$AH$6:$AH$505),"",INDEX(テーブル2[[学年]:[判定]],MATCH(体力優良証交付申請書!$A294,入力シート!$AH$6:$AH$505,0),MATCH(体力優良証交付申請書!C$14,テーブル2[[#Headers],[学年]:[得点]],0)))</f>
        <v/>
      </c>
      <c r="D294" s="115" t="str">
        <f>IF($A294&gt;MAX(入力シート!$AH$6:$AH$505),"",INDEX(テーブル2[[学年]:[判定]],MATCH(体力優良証交付申請書!$A294,入力シート!$AH$6:$AH$505,0),MATCH(体力優良証交付申請書!D$14,テーブル2[[#Headers],[学年]:[得点]],0)))</f>
        <v/>
      </c>
      <c r="E294" s="115" t="str">
        <f>IF($A294&gt;MAX(入力シート!$AH$6:$AH$505),"",INDEX(テーブル2[[学年]:[判定]],MATCH(体力優良証交付申請書!$A294,入力シート!$AH$6:$AH$505,0),MATCH(体力優良証交付申請書!E$14,テーブル2[[#Headers],[学年]:[得点]],0)))</f>
        <v/>
      </c>
      <c r="F294" s="115" t="str">
        <f>IF($A294&gt;MAX(入力シート!$AH$6:$AH$505),"",INDEX(テーブル2[[学年]:[判定]],MATCH(体力優良証交付申請書!$A294,入力シート!$AH$6:$AH$505,0),MATCH(体力優良証交付申請書!F$14,テーブル2[[#Headers],[学年]:[得点]],0)))</f>
        <v/>
      </c>
      <c r="G294" s="115" t="str">
        <f>IF($A294&gt;MAX(入力シート!$AH$6:$AH$505),"",INDEX(テーブル2[[学年]:[判定]],MATCH(体力優良証交付申請書!$A294,入力シート!$AH$6:$AH$505,0),MATCH(体力優良証交付申請書!G$14,テーブル2[[#Headers],[学年]:[得点]],0)))</f>
        <v/>
      </c>
      <c r="H294" s="115" t="str">
        <f>IF($A294&gt;MAX(入力シート!$AH$6:$AH$505),"",INDEX(テーブル2[[学年]:[判定]],MATCH(体力優良証交付申請書!$A294,入力シート!$AH$6:$AH$505,0),MATCH(体力優良証交付申請書!H$14,テーブル2[[#Headers],[学年]:[得点]],0)))</f>
        <v/>
      </c>
      <c r="I294" s="115" t="str">
        <f>IF($A294&gt;MAX(入力シート!$AH$6:$AH$505),"",INDEX(テーブル2[[学年]:[判定]],MATCH(体力優良証交付申請書!$A294,入力シート!$AH$6:$AH$505,0),MATCH(体力優良証交付申請書!I$14,テーブル2[[#Headers],[学年]:[得点]],0)))</f>
        <v/>
      </c>
      <c r="J294" s="115" t="str">
        <f>IF($A294&gt;MAX(入力シート!$AH$6:$AH$505),"",INDEX(テーブル2[[学年]:[判定]],MATCH(体力優良証交付申請書!$A294,入力シート!$AH$6:$AH$505,0),MATCH(体力優良証交付申請書!J$14,テーブル2[[#Headers],[学年]:[得点]],0)))</f>
        <v/>
      </c>
      <c r="K294" s="129" t="str">
        <f>IF($A294&gt;MAX(入力シート!$AH$6:$AH$505),"",INDEX(テーブル2[[学年]:[判定]],MATCH(体力優良証交付申請書!$A294,入力シート!$AH$6:$AH$505,0),MATCH(体力優良証交付申請書!K$14,テーブル2[[#Headers],[学年]:[得点]],0)))</f>
        <v/>
      </c>
      <c r="L294" s="115" t="str">
        <f>IF($A294&gt;MAX(入力シート!$AH$6:$AH$505),"",INDEX(テーブル2[[学年]:[判定]],MATCH(体力優良証交付申請書!$A294,入力シート!$AH$6:$AH$505,0),MATCH(体力優良証交付申請書!L$14,テーブル2[[#Headers],[学年]:[得点]],0)))</f>
        <v/>
      </c>
      <c r="M294" s="115" t="str">
        <f>IF($A294&gt;MAX(入力シート!$AH$6:$AH$505),"",INDEX(テーブル2[[学年]:[判定]],MATCH(体力優良証交付申請書!$A294,入力シート!$AH$6:$AH$505,0),MATCH(体力優良証交付申請書!M$14,テーブル2[[#Headers],[学年]:[得点]],0)))</f>
        <v/>
      </c>
      <c r="N294" s="27" t="str">
        <f>IF($A294&gt;MAX(入力シート!$AH$6:$AH$505),"",INDEX(テーブル2[[学年]:[判定]],MATCH(体力優良証交付申請書!$A294,入力シート!$AH$6:$AH$505,0),MATCH(体力優良証交付申請書!N$14,テーブル2[[#Headers],[学年]:[得点]],0)))</f>
        <v/>
      </c>
    </row>
    <row r="295" spans="1:14" x14ac:dyDescent="0.15">
      <c r="A295" s="17">
        <v>281</v>
      </c>
      <c r="B295" s="115" t="str">
        <f>IF($A295&gt;MAX(入力シート!$AH$6:$AH$505),"",INDEX(テーブル2[[学年]:[判定]],MATCH(体力優良証交付申請書!$A295,入力シート!$AH$6:$AH$505,0),MATCH(体力優良証交付申請書!B$14,テーブル2[[#Headers],[学年]:[得点]],0)))</f>
        <v/>
      </c>
      <c r="C295" s="115" t="str">
        <f>IF($A295&gt;MAX(入力シート!$AH$6:$AH$505),"",INDEX(テーブル2[[学年]:[判定]],MATCH(体力優良証交付申請書!$A295,入力シート!$AH$6:$AH$505,0),MATCH(体力優良証交付申請書!C$14,テーブル2[[#Headers],[学年]:[得点]],0)))</f>
        <v/>
      </c>
      <c r="D295" s="115" t="str">
        <f>IF($A295&gt;MAX(入力シート!$AH$6:$AH$505),"",INDEX(テーブル2[[学年]:[判定]],MATCH(体力優良証交付申請書!$A295,入力シート!$AH$6:$AH$505,0),MATCH(体力優良証交付申請書!D$14,テーブル2[[#Headers],[学年]:[得点]],0)))</f>
        <v/>
      </c>
      <c r="E295" s="115" t="str">
        <f>IF($A295&gt;MAX(入力シート!$AH$6:$AH$505),"",INDEX(テーブル2[[学年]:[判定]],MATCH(体力優良証交付申請書!$A295,入力シート!$AH$6:$AH$505,0),MATCH(体力優良証交付申請書!E$14,テーブル2[[#Headers],[学年]:[得点]],0)))</f>
        <v/>
      </c>
      <c r="F295" s="115" t="str">
        <f>IF($A295&gt;MAX(入力シート!$AH$6:$AH$505),"",INDEX(テーブル2[[学年]:[判定]],MATCH(体力優良証交付申請書!$A295,入力シート!$AH$6:$AH$505,0),MATCH(体力優良証交付申請書!F$14,テーブル2[[#Headers],[学年]:[得点]],0)))</f>
        <v/>
      </c>
      <c r="G295" s="115" t="str">
        <f>IF($A295&gt;MAX(入力シート!$AH$6:$AH$505),"",INDEX(テーブル2[[学年]:[判定]],MATCH(体力優良証交付申請書!$A295,入力シート!$AH$6:$AH$505,0),MATCH(体力優良証交付申請書!G$14,テーブル2[[#Headers],[学年]:[得点]],0)))</f>
        <v/>
      </c>
      <c r="H295" s="115" t="str">
        <f>IF($A295&gt;MAX(入力シート!$AH$6:$AH$505),"",INDEX(テーブル2[[学年]:[判定]],MATCH(体力優良証交付申請書!$A295,入力シート!$AH$6:$AH$505,0),MATCH(体力優良証交付申請書!H$14,テーブル2[[#Headers],[学年]:[得点]],0)))</f>
        <v/>
      </c>
      <c r="I295" s="115" t="str">
        <f>IF($A295&gt;MAX(入力シート!$AH$6:$AH$505),"",INDEX(テーブル2[[学年]:[判定]],MATCH(体力優良証交付申請書!$A295,入力シート!$AH$6:$AH$505,0),MATCH(体力優良証交付申請書!I$14,テーブル2[[#Headers],[学年]:[得点]],0)))</f>
        <v/>
      </c>
      <c r="J295" s="115" t="str">
        <f>IF($A295&gt;MAX(入力シート!$AH$6:$AH$505),"",INDEX(テーブル2[[学年]:[判定]],MATCH(体力優良証交付申請書!$A295,入力シート!$AH$6:$AH$505,0),MATCH(体力優良証交付申請書!J$14,テーブル2[[#Headers],[学年]:[得点]],0)))</f>
        <v/>
      </c>
      <c r="K295" s="129" t="str">
        <f>IF($A295&gt;MAX(入力シート!$AH$6:$AH$505),"",INDEX(テーブル2[[学年]:[判定]],MATCH(体力優良証交付申請書!$A295,入力シート!$AH$6:$AH$505,0),MATCH(体力優良証交付申請書!K$14,テーブル2[[#Headers],[学年]:[得点]],0)))</f>
        <v/>
      </c>
      <c r="L295" s="115" t="str">
        <f>IF($A295&gt;MAX(入力シート!$AH$6:$AH$505),"",INDEX(テーブル2[[学年]:[判定]],MATCH(体力優良証交付申請書!$A295,入力シート!$AH$6:$AH$505,0),MATCH(体力優良証交付申請書!L$14,テーブル2[[#Headers],[学年]:[得点]],0)))</f>
        <v/>
      </c>
      <c r="M295" s="115" t="str">
        <f>IF($A295&gt;MAX(入力シート!$AH$6:$AH$505),"",INDEX(テーブル2[[学年]:[判定]],MATCH(体力優良証交付申請書!$A295,入力シート!$AH$6:$AH$505,0),MATCH(体力優良証交付申請書!M$14,テーブル2[[#Headers],[学年]:[得点]],0)))</f>
        <v/>
      </c>
      <c r="N295" s="27" t="str">
        <f>IF($A295&gt;MAX(入力シート!$AH$6:$AH$505),"",INDEX(テーブル2[[学年]:[判定]],MATCH(体力優良証交付申請書!$A295,入力シート!$AH$6:$AH$505,0),MATCH(体力優良証交付申請書!N$14,テーブル2[[#Headers],[学年]:[得点]],0)))</f>
        <v/>
      </c>
    </row>
    <row r="296" spans="1:14" x14ac:dyDescent="0.15">
      <c r="A296" s="17">
        <v>282</v>
      </c>
      <c r="B296" s="115" t="str">
        <f>IF($A296&gt;MAX(入力シート!$AH$6:$AH$505),"",INDEX(テーブル2[[学年]:[判定]],MATCH(体力優良証交付申請書!$A296,入力シート!$AH$6:$AH$505,0),MATCH(体力優良証交付申請書!B$14,テーブル2[[#Headers],[学年]:[得点]],0)))</f>
        <v/>
      </c>
      <c r="C296" s="115" t="str">
        <f>IF($A296&gt;MAX(入力シート!$AH$6:$AH$505),"",INDEX(テーブル2[[学年]:[判定]],MATCH(体力優良証交付申請書!$A296,入力シート!$AH$6:$AH$505,0),MATCH(体力優良証交付申請書!C$14,テーブル2[[#Headers],[学年]:[得点]],0)))</f>
        <v/>
      </c>
      <c r="D296" s="115" t="str">
        <f>IF($A296&gt;MAX(入力シート!$AH$6:$AH$505),"",INDEX(テーブル2[[学年]:[判定]],MATCH(体力優良証交付申請書!$A296,入力シート!$AH$6:$AH$505,0),MATCH(体力優良証交付申請書!D$14,テーブル2[[#Headers],[学年]:[得点]],0)))</f>
        <v/>
      </c>
      <c r="E296" s="115" t="str">
        <f>IF($A296&gt;MAX(入力シート!$AH$6:$AH$505),"",INDEX(テーブル2[[学年]:[判定]],MATCH(体力優良証交付申請書!$A296,入力シート!$AH$6:$AH$505,0),MATCH(体力優良証交付申請書!E$14,テーブル2[[#Headers],[学年]:[得点]],0)))</f>
        <v/>
      </c>
      <c r="F296" s="115" t="str">
        <f>IF($A296&gt;MAX(入力シート!$AH$6:$AH$505),"",INDEX(テーブル2[[学年]:[判定]],MATCH(体力優良証交付申請書!$A296,入力シート!$AH$6:$AH$505,0),MATCH(体力優良証交付申請書!F$14,テーブル2[[#Headers],[学年]:[得点]],0)))</f>
        <v/>
      </c>
      <c r="G296" s="115" t="str">
        <f>IF($A296&gt;MAX(入力シート!$AH$6:$AH$505),"",INDEX(テーブル2[[学年]:[判定]],MATCH(体力優良証交付申請書!$A296,入力シート!$AH$6:$AH$505,0),MATCH(体力優良証交付申請書!G$14,テーブル2[[#Headers],[学年]:[得点]],0)))</f>
        <v/>
      </c>
      <c r="H296" s="115" t="str">
        <f>IF($A296&gt;MAX(入力シート!$AH$6:$AH$505),"",INDEX(テーブル2[[学年]:[判定]],MATCH(体力優良証交付申請書!$A296,入力シート!$AH$6:$AH$505,0),MATCH(体力優良証交付申請書!H$14,テーブル2[[#Headers],[学年]:[得点]],0)))</f>
        <v/>
      </c>
      <c r="I296" s="115" t="str">
        <f>IF($A296&gt;MAX(入力シート!$AH$6:$AH$505),"",INDEX(テーブル2[[学年]:[判定]],MATCH(体力優良証交付申請書!$A296,入力シート!$AH$6:$AH$505,0),MATCH(体力優良証交付申請書!I$14,テーブル2[[#Headers],[学年]:[得点]],0)))</f>
        <v/>
      </c>
      <c r="J296" s="115" t="str">
        <f>IF($A296&gt;MAX(入力シート!$AH$6:$AH$505),"",INDEX(テーブル2[[学年]:[判定]],MATCH(体力優良証交付申請書!$A296,入力シート!$AH$6:$AH$505,0),MATCH(体力優良証交付申請書!J$14,テーブル2[[#Headers],[学年]:[得点]],0)))</f>
        <v/>
      </c>
      <c r="K296" s="129" t="str">
        <f>IF($A296&gt;MAX(入力シート!$AH$6:$AH$505),"",INDEX(テーブル2[[学年]:[判定]],MATCH(体力優良証交付申請書!$A296,入力シート!$AH$6:$AH$505,0),MATCH(体力優良証交付申請書!K$14,テーブル2[[#Headers],[学年]:[得点]],0)))</f>
        <v/>
      </c>
      <c r="L296" s="115" t="str">
        <f>IF($A296&gt;MAX(入力シート!$AH$6:$AH$505),"",INDEX(テーブル2[[学年]:[判定]],MATCH(体力優良証交付申請書!$A296,入力シート!$AH$6:$AH$505,0),MATCH(体力優良証交付申請書!L$14,テーブル2[[#Headers],[学年]:[得点]],0)))</f>
        <v/>
      </c>
      <c r="M296" s="115" t="str">
        <f>IF($A296&gt;MAX(入力シート!$AH$6:$AH$505),"",INDEX(テーブル2[[学年]:[判定]],MATCH(体力優良証交付申請書!$A296,入力シート!$AH$6:$AH$505,0),MATCH(体力優良証交付申請書!M$14,テーブル2[[#Headers],[学年]:[得点]],0)))</f>
        <v/>
      </c>
      <c r="N296" s="27" t="str">
        <f>IF($A296&gt;MAX(入力シート!$AH$6:$AH$505),"",INDEX(テーブル2[[学年]:[判定]],MATCH(体力優良証交付申請書!$A296,入力シート!$AH$6:$AH$505,0),MATCH(体力優良証交付申請書!N$14,テーブル2[[#Headers],[学年]:[得点]],0)))</f>
        <v/>
      </c>
    </row>
    <row r="297" spans="1:14" x14ac:dyDescent="0.15">
      <c r="A297" s="17">
        <v>283</v>
      </c>
      <c r="B297" s="115" t="str">
        <f>IF($A297&gt;MAX(入力シート!$AH$6:$AH$505),"",INDEX(テーブル2[[学年]:[判定]],MATCH(体力優良証交付申請書!$A297,入力シート!$AH$6:$AH$505,0),MATCH(体力優良証交付申請書!B$14,テーブル2[[#Headers],[学年]:[得点]],0)))</f>
        <v/>
      </c>
      <c r="C297" s="115" t="str">
        <f>IF($A297&gt;MAX(入力シート!$AH$6:$AH$505),"",INDEX(テーブル2[[学年]:[判定]],MATCH(体力優良証交付申請書!$A297,入力シート!$AH$6:$AH$505,0),MATCH(体力優良証交付申請書!C$14,テーブル2[[#Headers],[学年]:[得点]],0)))</f>
        <v/>
      </c>
      <c r="D297" s="115" t="str">
        <f>IF($A297&gt;MAX(入力シート!$AH$6:$AH$505),"",INDEX(テーブル2[[学年]:[判定]],MATCH(体力優良証交付申請書!$A297,入力シート!$AH$6:$AH$505,0),MATCH(体力優良証交付申請書!D$14,テーブル2[[#Headers],[学年]:[得点]],0)))</f>
        <v/>
      </c>
      <c r="E297" s="115" t="str">
        <f>IF($A297&gt;MAX(入力シート!$AH$6:$AH$505),"",INDEX(テーブル2[[学年]:[判定]],MATCH(体力優良証交付申請書!$A297,入力シート!$AH$6:$AH$505,0),MATCH(体力優良証交付申請書!E$14,テーブル2[[#Headers],[学年]:[得点]],0)))</f>
        <v/>
      </c>
      <c r="F297" s="115" t="str">
        <f>IF($A297&gt;MAX(入力シート!$AH$6:$AH$505),"",INDEX(テーブル2[[学年]:[判定]],MATCH(体力優良証交付申請書!$A297,入力シート!$AH$6:$AH$505,0),MATCH(体力優良証交付申請書!F$14,テーブル2[[#Headers],[学年]:[得点]],0)))</f>
        <v/>
      </c>
      <c r="G297" s="115" t="str">
        <f>IF($A297&gt;MAX(入力シート!$AH$6:$AH$505),"",INDEX(テーブル2[[学年]:[判定]],MATCH(体力優良証交付申請書!$A297,入力シート!$AH$6:$AH$505,0),MATCH(体力優良証交付申請書!G$14,テーブル2[[#Headers],[学年]:[得点]],0)))</f>
        <v/>
      </c>
      <c r="H297" s="115" t="str">
        <f>IF($A297&gt;MAX(入力シート!$AH$6:$AH$505),"",INDEX(テーブル2[[学年]:[判定]],MATCH(体力優良証交付申請書!$A297,入力シート!$AH$6:$AH$505,0),MATCH(体力優良証交付申請書!H$14,テーブル2[[#Headers],[学年]:[得点]],0)))</f>
        <v/>
      </c>
      <c r="I297" s="115" t="str">
        <f>IF($A297&gt;MAX(入力シート!$AH$6:$AH$505),"",INDEX(テーブル2[[学年]:[判定]],MATCH(体力優良証交付申請書!$A297,入力シート!$AH$6:$AH$505,0),MATCH(体力優良証交付申請書!I$14,テーブル2[[#Headers],[学年]:[得点]],0)))</f>
        <v/>
      </c>
      <c r="J297" s="115" t="str">
        <f>IF($A297&gt;MAX(入力シート!$AH$6:$AH$505),"",INDEX(テーブル2[[学年]:[判定]],MATCH(体力優良証交付申請書!$A297,入力シート!$AH$6:$AH$505,0),MATCH(体力優良証交付申請書!J$14,テーブル2[[#Headers],[学年]:[得点]],0)))</f>
        <v/>
      </c>
      <c r="K297" s="129" t="str">
        <f>IF($A297&gt;MAX(入力シート!$AH$6:$AH$505),"",INDEX(テーブル2[[学年]:[判定]],MATCH(体力優良証交付申請書!$A297,入力シート!$AH$6:$AH$505,0),MATCH(体力優良証交付申請書!K$14,テーブル2[[#Headers],[学年]:[得点]],0)))</f>
        <v/>
      </c>
      <c r="L297" s="115" t="str">
        <f>IF($A297&gt;MAX(入力シート!$AH$6:$AH$505),"",INDEX(テーブル2[[学年]:[判定]],MATCH(体力優良証交付申請書!$A297,入力シート!$AH$6:$AH$505,0),MATCH(体力優良証交付申請書!L$14,テーブル2[[#Headers],[学年]:[得点]],0)))</f>
        <v/>
      </c>
      <c r="M297" s="115" t="str">
        <f>IF($A297&gt;MAX(入力シート!$AH$6:$AH$505),"",INDEX(テーブル2[[学年]:[判定]],MATCH(体力優良証交付申請書!$A297,入力シート!$AH$6:$AH$505,0),MATCH(体力優良証交付申請書!M$14,テーブル2[[#Headers],[学年]:[得点]],0)))</f>
        <v/>
      </c>
      <c r="N297" s="27" t="str">
        <f>IF($A297&gt;MAX(入力シート!$AH$6:$AH$505),"",INDEX(テーブル2[[学年]:[判定]],MATCH(体力優良証交付申請書!$A297,入力シート!$AH$6:$AH$505,0),MATCH(体力優良証交付申請書!N$14,テーブル2[[#Headers],[学年]:[得点]],0)))</f>
        <v/>
      </c>
    </row>
    <row r="298" spans="1:14" x14ac:dyDescent="0.15">
      <c r="A298" s="17">
        <v>284</v>
      </c>
      <c r="B298" s="115" t="str">
        <f>IF($A298&gt;MAX(入力シート!$AH$6:$AH$505),"",INDEX(テーブル2[[学年]:[判定]],MATCH(体力優良証交付申請書!$A298,入力シート!$AH$6:$AH$505,0),MATCH(体力優良証交付申請書!B$14,テーブル2[[#Headers],[学年]:[得点]],0)))</f>
        <v/>
      </c>
      <c r="C298" s="115" t="str">
        <f>IF($A298&gt;MAX(入力シート!$AH$6:$AH$505),"",INDEX(テーブル2[[学年]:[判定]],MATCH(体力優良証交付申請書!$A298,入力シート!$AH$6:$AH$505,0),MATCH(体力優良証交付申請書!C$14,テーブル2[[#Headers],[学年]:[得点]],0)))</f>
        <v/>
      </c>
      <c r="D298" s="115" t="str">
        <f>IF($A298&gt;MAX(入力シート!$AH$6:$AH$505),"",INDEX(テーブル2[[学年]:[判定]],MATCH(体力優良証交付申請書!$A298,入力シート!$AH$6:$AH$505,0),MATCH(体力優良証交付申請書!D$14,テーブル2[[#Headers],[学年]:[得点]],0)))</f>
        <v/>
      </c>
      <c r="E298" s="115" t="str">
        <f>IF($A298&gt;MAX(入力シート!$AH$6:$AH$505),"",INDEX(テーブル2[[学年]:[判定]],MATCH(体力優良証交付申請書!$A298,入力シート!$AH$6:$AH$505,0),MATCH(体力優良証交付申請書!E$14,テーブル2[[#Headers],[学年]:[得点]],0)))</f>
        <v/>
      </c>
      <c r="F298" s="115" t="str">
        <f>IF($A298&gt;MAX(入力シート!$AH$6:$AH$505),"",INDEX(テーブル2[[学年]:[判定]],MATCH(体力優良証交付申請書!$A298,入力シート!$AH$6:$AH$505,0),MATCH(体力優良証交付申請書!F$14,テーブル2[[#Headers],[学年]:[得点]],0)))</f>
        <v/>
      </c>
      <c r="G298" s="115" t="str">
        <f>IF($A298&gt;MAX(入力シート!$AH$6:$AH$505),"",INDEX(テーブル2[[学年]:[判定]],MATCH(体力優良証交付申請書!$A298,入力シート!$AH$6:$AH$505,0),MATCH(体力優良証交付申請書!G$14,テーブル2[[#Headers],[学年]:[得点]],0)))</f>
        <v/>
      </c>
      <c r="H298" s="115" t="str">
        <f>IF($A298&gt;MAX(入力シート!$AH$6:$AH$505),"",INDEX(テーブル2[[学年]:[判定]],MATCH(体力優良証交付申請書!$A298,入力シート!$AH$6:$AH$505,0),MATCH(体力優良証交付申請書!H$14,テーブル2[[#Headers],[学年]:[得点]],0)))</f>
        <v/>
      </c>
      <c r="I298" s="115" t="str">
        <f>IF($A298&gt;MAX(入力シート!$AH$6:$AH$505),"",INDEX(テーブル2[[学年]:[判定]],MATCH(体力優良証交付申請書!$A298,入力シート!$AH$6:$AH$505,0),MATCH(体力優良証交付申請書!I$14,テーブル2[[#Headers],[学年]:[得点]],0)))</f>
        <v/>
      </c>
      <c r="J298" s="115" t="str">
        <f>IF($A298&gt;MAX(入力シート!$AH$6:$AH$505),"",INDEX(テーブル2[[学年]:[判定]],MATCH(体力優良証交付申請書!$A298,入力シート!$AH$6:$AH$505,0),MATCH(体力優良証交付申請書!J$14,テーブル2[[#Headers],[学年]:[得点]],0)))</f>
        <v/>
      </c>
      <c r="K298" s="129" t="str">
        <f>IF($A298&gt;MAX(入力シート!$AH$6:$AH$505),"",INDEX(テーブル2[[学年]:[判定]],MATCH(体力優良証交付申請書!$A298,入力シート!$AH$6:$AH$505,0),MATCH(体力優良証交付申請書!K$14,テーブル2[[#Headers],[学年]:[得点]],0)))</f>
        <v/>
      </c>
      <c r="L298" s="115" t="str">
        <f>IF($A298&gt;MAX(入力シート!$AH$6:$AH$505),"",INDEX(テーブル2[[学年]:[判定]],MATCH(体力優良証交付申請書!$A298,入力シート!$AH$6:$AH$505,0),MATCH(体力優良証交付申請書!L$14,テーブル2[[#Headers],[学年]:[得点]],0)))</f>
        <v/>
      </c>
      <c r="M298" s="115" t="str">
        <f>IF($A298&gt;MAX(入力シート!$AH$6:$AH$505),"",INDEX(テーブル2[[学年]:[判定]],MATCH(体力優良証交付申請書!$A298,入力シート!$AH$6:$AH$505,0),MATCH(体力優良証交付申請書!M$14,テーブル2[[#Headers],[学年]:[得点]],0)))</f>
        <v/>
      </c>
      <c r="N298" s="27" t="str">
        <f>IF($A298&gt;MAX(入力シート!$AH$6:$AH$505),"",INDEX(テーブル2[[学年]:[判定]],MATCH(体力優良証交付申請書!$A298,入力シート!$AH$6:$AH$505,0),MATCH(体力優良証交付申請書!N$14,テーブル2[[#Headers],[学年]:[得点]],0)))</f>
        <v/>
      </c>
    </row>
    <row r="299" spans="1:14" x14ac:dyDescent="0.15">
      <c r="A299" s="17">
        <v>285</v>
      </c>
      <c r="B299" s="115" t="str">
        <f>IF($A299&gt;MAX(入力シート!$AH$6:$AH$505),"",INDEX(テーブル2[[学年]:[判定]],MATCH(体力優良証交付申請書!$A299,入力シート!$AH$6:$AH$505,0),MATCH(体力優良証交付申請書!B$14,テーブル2[[#Headers],[学年]:[得点]],0)))</f>
        <v/>
      </c>
      <c r="C299" s="115" t="str">
        <f>IF($A299&gt;MAX(入力シート!$AH$6:$AH$505),"",INDEX(テーブル2[[学年]:[判定]],MATCH(体力優良証交付申請書!$A299,入力シート!$AH$6:$AH$505,0),MATCH(体力優良証交付申請書!C$14,テーブル2[[#Headers],[学年]:[得点]],0)))</f>
        <v/>
      </c>
      <c r="D299" s="115" t="str">
        <f>IF($A299&gt;MAX(入力シート!$AH$6:$AH$505),"",INDEX(テーブル2[[学年]:[判定]],MATCH(体力優良証交付申請書!$A299,入力シート!$AH$6:$AH$505,0),MATCH(体力優良証交付申請書!D$14,テーブル2[[#Headers],[学年]:[得点]],0)))</f>
        <v/>
      </c>
      <c r="E299" s="115" t="str">
        <f>IF($A299&gt;MAX(入力シート!$AH$6:$AH$505),"",INDEX(テーブル2[[学年]:[判定]],MATCH(体力優良証交付申請書!$A299,入力シート!$AH$6:$AH$505,0),MATCH(体力優良証交付申請書!E$14,テーブル2[[#Headers],[学年]:[得点]],0)))</f>
        <v/>
      </c>
      <c r="F299" s="115" t="str">
        <f>IF($A299&gt;MAX(入力シート!$AH$6:$AH$505),"",INDEX(テーブル2[[学年]:[判定]],MATCH(体力優良証交付申請書!$A299,入力シート!$AH$6:$AH$505,0),MATCH(体力優良証交付申請書!F$14,テーブル2[[#Headers],[学年]:[得点]],0)))</f>
        <v/>
      </c>
      <c r="G299" s="115" t="str">
        <f>IF($A299&gt;MAX(入力シート!$AH$6:$AH$505),"",INDEX(テーブル2[[学年]:[判定]],MATCH(体力優良証交付申請書!$A299,入力シート!$AH$6:$AH$505,0),MATCH(体力優良証交付申請書!G$14,テーブル2[[#Headers],[学年]:[得点]],0)))</f>
        <v/>
      </c>
      <c r="H299" s="115" t="str">
        <f>IF($A299&gt;MAX(入力シート!$AH$6:$AH$505),"",INDEX(テーブル2[[学年]:[判定]],MATCH(体力優良証交付申請書!$A299,入力シート!$AH$6:$AH$505,0),MATCH(体力優良証交付申請書!H$14,テーブル2[[#Headers],[学年]:[得点]],0)))</f>
        <v/>
      </c>
      <c r="I299" s="115" t="str">
        <f>IF($A299&gt;MAX(入力シート!$AH$6:$AH$505),"",INDEX(テーブル2[[学年]:[判定]],MATCH(体力優良証交付申請書!$A299,入力シート!$AH$6:$AH$505,0),MATCH(体力優良証交付申請書!I$14,テーブル2[[#Headers],[学年]:[得点]],0)))</f>
        <v/>
      </c>
      <c r="J299" s="115" t="str">
        <f>IF($A299&gt;MAX(入力シート!$AH$6:$AH$505),"",INDEX(テーブル2[[学年]:[判定]],MATCH(体力優良証交付申請書!$A299,入力シート!$AH$6:$AH$505,0),MATCH(体力優良証交付申請書!J$14,テーブル2[[#Headers],[学年]:[得点]],0)))</f>
        <v/>
      </c>
      <c r="K299" s="129" t="str">
        <f>IF($A299&gt;MAX(入力シート!$AH$6:$AH$505),"",INDEX(テーブル2[[学年]:[判定]],MATCH(体力優良証交付申請書!$A299,入力シート!$AH$6:$AH$505,0),MATCH(体力優良証交付申請書!K$14,テーブル2[[#Headers],[学年]:[得点]],0)))</f>
        <v/>
      </c>
      <c r="L299" s="115" t="str">
        <f>IF($A299&gt;MAX(入力シート!$AH$6:$AH$505),"",INDEX(テーブル2[[学年]:[判定]],MATCH(体力優良証交付申請書!$A299,入力シート!$AH$6:$AH$505,0),MATCH(体力優良証交付申請書!L$14,テーブル2[[#Headers],[学年]:[得点]],0)))</f>
        <v/>
      </c>
      <c r="M299" s="115" t="str">
        <f>IF($A299&gt;MAX(入力シート!$AH$6:$AH$505),"",INDEX(テーブル2[[学年]:[判定]],MATCH(体力優良証交付申請書!$A299,入力シート!$AH$6:$AH$505,0),MATCH(体力優良証交付申請書!M$14,テーブル2[[#Headers],[学年]:[得点]],0)))</f>
        <v/>
      </c>
      <c r="N299" s="27" t="str">
        <f>IF($A299&gt;MAX(入力シート!$AH$6:$AH$505),"",INDEX(テーブル2[[学年]:[判定]],MATCH(体力優良証交付申請書!$A299,入力シート!$AH$6:$AH$505,0),MATCH(体力優良証交付申請書!N$14,テーブル2[[#Headers],[学年]:[得点]],0)))</f>
        <v/>
      </c>
    </row>
    <row r="300" spans="1:14" x14ac:dyDescent="0.15">
      <c r="A300" s="17">
        <v>286</v>
      </c>
      <c r="B300" s="115" t="str">
        <f>IF($A300&gt;MAX(入力シート!$AH$6:$AH$505),"",INDEX(テーブル2[[学年]:[判定]],MATCH(体力優良証交付申請書!$A300,入力シート!$AH$6:$AH$505,0),MATCH(体力優良証交付申請書!B$14,テーブル2[[#Headers],[学年]:[得点]],0)))</f>
        <v/>
      </c>
      <c r="C300" s="115" t="str">
        <f>IF($A300&gt;MAX(入力シート!$AH$6:$AH$505),"",INDEX(テーブル2[[学年]:[判定]],MATCH(体力優良証交付申請書!$A300,入力シート!$AH$6:$AH$505,0),MATCH(体力優良証交付申請書!C$14,テーブル2[[#Headers],[学年]:[得点]],0)))</f>
        <v/>
      </c>
      <c r="D300" s="115" t="str">
        <f>IF($A300&gt;MAX(入力シート!$AH$6:$AH$505),"",INDEX(テーブル2[[学年]:[判定]],MATCH(体力優良証交付申請書!$A300,入力シート!$AH$6:$AH$505,0),MATCH(体力優良証交付申請書!D$14,テーブル2[[#Headers],[学年]:[得点]],0)))</f>
        <v/>
      </c>
      <c r="E300" s="115" t="str">
        <f>IF($A300&gt;MAX(入力シート!$AH$6:$AH$505),"",INDEX(テーブル2[[学年]:[判定]],MATCH(体力優良証交付申請書!$A300,入力シート!$AH$6:$AH$505,0),MATCH(体力優良証交付申請書!E$14,テーブル2[[#Headers],[学年]:[得点]],0)))</f>
        <v/>
      </c>
      <c r="F300" s="115" t="str">
        <f>IF($A300&gt;MAX(入力シート!$AH$6:$AH$505),"",INDEX(テーブル2[[学年]:[判定]],MATCH(体力優良証交付申請書!$A300,入力シート!$AH$6:$AH$505,0),MATCH(体力優良証交付申請書!F$14,テーブル2[[#Headers],[学年]:[得点]],0)))</f>
        <v/>
      </c>
      <c r="G300" s="115" t="str">
        <f>IF($A300&gt;MAX(入力シート!$AH$6:$AH$505),"",INDEX(テーブル2[[学年]:[判定]],MATCH(体力優良証交付申請書!$A300,入力シート!$AH$6:$AH$505,0),MATCH(体力優良証交付申請書!G$14,テーブル2[[#Headers],[学年]:[得点]],0)))</f>
        <v/>
      </c>
      <c r="H300" s="115" t="str">
        <f>IF($A300&gt;MAX(入力シート!$AH$6:$AH$505),"",INDEX(テーブル2[[学年]:[判定]],MATCH(体力優良証交付申請書!$A300,入力シート!$AH$6:$AH$505,0),MATCH(体力優良証交付申請書!H$14,テーブル2[[#Headers],[学年]:[得点]],0)))</f>
        <v/>
      </c>
      <c r="I300" s="115" t="str">
        <f>IF($A300&gt;MAX(入力シート!$AH$6:$AH$505),"",INDEX(テーブル2[[学年]:[判定]],MATCH(体力優良証交付申請書!$A300,入力シート!$AH$6:$AH$505,0),MATCH(体力優良証交付申請書!I$14,テーブル2[[#Headers],[学年]:[得点]],0)))</f>
        <v/>
      </c>
      <c r="J300" s="115" t="str">
        <f>IF($A300&gt;MAX(入力シート!$AH$6:$AH$505),"",INDEX(テーブル2[[学年]:[判定]],MATCH(体力優良証交付申請書!$A300,入力シート!$AH$6:$AH$505,0),MATCH(体力優良証交付申請書!J$14,テーブル2[[#Headers],[学年]:[得点]],0)))</f>
        <v/>
      </c>
      <c r="K300" s="129" t="str">
        <f>IF($A300&gt;MAX(入力シート!$AH$6:$AH$505),"",INDEX(テーブル2[[学年]:[判定]],MATCH(体力優良証交付申請書!$A300,入力シート!$AH$6:$AH$505,0),MATCH(体力優良証交付申請書!K$14,テーブル2[[#Headers],[学年]:[得点]],0)))</f>
        <v/>
      </c>
      <c r="L300" s="115" t="str">
        <f>IF($A300&gt;MAX(入力シート!$AH$6:$AH$505),"",INDEX(テーブル2[[学年]:[判定]],MATCH(体力優良証交付申請書!$A300,入力シート!$AH$6:$AH$505,0),MATCH(体力優良証交付申請書!L$14,テーブル2[[#Headers],[学年]:[得点]],0)))</f>
        <v/>
      </c>
      <c r="M300" s="115" t="str">
        <f>IF($A300&gt;MAX(入力シート!$AH$6:$AH$505),"",INDEX(テーブル2[[学年]:[判定]],MATCH(体力優良証交付申請書!$A300,入力シート!$AH$6:$AH$505,0),MATCH(体力優良証交付申請書!M$14,テーブル2[[#Headers],[学年]:[得点]],0)))</f>
        <v/>
      </c>
      <c r="N300" s="27" t="str">
        <f>IF($A300&gt;MAX(入力シート!$AH$6:$AH$505),"",INDEX(テーブル2[[学年]:[判定]],MATCH(体力優良証交付申請書!$A300,入力シート!$AH$6:$AH$505,0),MATCH(体力優良証交付申請書!N$14,テーブル2[[#Headers],[学年]:[得点]],0)))</f>
        <v/>
      </c>
    </row>
    <row r="301" spans="1:14" x14ac:dyDescent="0.15">
      <c r="A301" s="17">
        <v>287</v>
      </c>
      <c r="B301" s="115" t="str">
        <f>IF($A301&gt;MAX(入力シート!$AH$6:$AH$505),"",INDEX(テーブル2[[学年]:[判定]],MATCH(体力優良証交付申請書!$A301,入力シート!$AH$6:$AH$505,0),MATCH(体力優良証交付申請書!B$14,テーブル2[[#Headers],[学年]:[得点]],0)))</f>
        <v/>
      </c>
      <c r="C301" s="115" t="str">
        <f>IF($A301&gt;MAX(入力シート!$AH$6:$AH$505),"",INDEX(テーブル2[[学年]:[判定]],MATCH(体力優良証交付申請書!$A301,入力シート!$AH$6:$AH$505,0),MATCH(体力優良証交付申請書!C$14,テーブル2[[#Headers],[学年]:[得点]],0)))</f>
        <v/>
      </c>
      <c r="D301" s="115" t="str">
        <f>IF($A301&gt;MAX(入力シート!$AH$6:$AH$505),"",INDEX(テーブル2[[学年]:[判定]],MATCH(体力優良証交付申請書!$A301,入力シート!$AH$6:$AH$505,0),MATCH(体力優良証交付申請書!D$14,テーブル2[[#Headers],[学年]:[得点]],0)))</f>
        <v/>
      </c>
      <c r="E301" s="115" t="str">
        <f>IF($A301&gt;MAX(入力シート!$AH$6:$AH$505),"",INDEX(テーブル2[[学年]:[判定]],MATCH(体力優良証交付申請書!$A301,入力シート!$AH$6:$AH$505,0),MATCH(体力優良証交付申請書!E$14,テーブル2[[#Headers],[学年]:[得点]],0)))</f>
        <v/>
      </c>
      <c r="F301" s="115" t="str">
        <f>IF($A301&gt;MAX(入力シート!$AH$6:$AH$505),"",INDEX(テーブル2[[学年]:[判定]],MATCH(体力優良証交付申請書!$A301,入力シート!$AH$6:$AH$505,0),MATCH(体力優良証交付申請書!F$14,テーブル2[[#Headers],[学年]:[得点]],0)))</f>
        <v/>
      </c>
      <c r="G301" s="115" t="str">
        <f>IF($A301&gt;MAX(入力シート!$AH$6:$AH$505),"",INDEX(テーブル2[[学年]:[判定]],MATCH(体力優良証交付申請書!$A301,入力シート!$AH$6:$AH$505,0),MATCH(体力優良証交付申請書!G$14,テーブル2[[#Headers],[学年]:[得点]],0)))</f>
        <v/>
      </c>
      <c r="H301" s="115" t="str">
        <f>IF($A301&gt;MAX(入力シート!$AH$6:$AH$505),"",INDEX(テーブル2[[学年]:[判定]],MATCH(体力優良証交付申請書!$A301,入力シート!$AH$6:$AH$505,0),MATCH(体力優良証交付申請書!H$14,テーブル2[[#Headers],[学年]:[得点]],0)))</f>
        <v/>
      </c>
      <c r="I301" s="115" t="str">
        <f>IF($A301&gt;MAX(入力シート!$AH$6:$AH$505),"",INDEX(テーブル2[[学年]:[判定]],MATCH(体力優良証交付申請書!$A301,入力シート!$AH$6:$AH$505,0),MATCH(体力優良証交付申請書!I$14,テーブル2[[#Headers],[学年]:[得点]],0)))</f>
        <v/>
      </c>
      <c r="J301" s="115" t="str">
        <f>IF($A301&gt;MAX(入力シート!$AH$6:$AH$505),"",INDEX(テーブル2[[学年]:[判定]],MATCH(体力優良証交付申請書!$A301,入力シート!$AH$6:$AH$505,0),MATCH(体力優良証交付申請書!J$14,テーブル2[[#Headers],[学年]:[得点]],0)))</f>
        <v/>
      </c>
      <c r="K301" s="129" t="str">
        <f>IF($A301&gt;MAX(入力シート!$AH$6:$AH$505),"",INDEX(テーブル2[[学年]:[判定]],MATCH(体力優良証交付申請書!$A301,入力シート!$AH$6:$AH$505,0),MATCH(体力優良証交付申請書!K$14,テーブル2[[#Headers],[学年]:[得点]],0)))</f>
        <v/>
      </c>
      <c r="L301" s="115" t="str">
        <f>IF($A301&gt;MAX(入力シート!$AH$6:$AH$505),"",INDEX(テーブル2[[学年]:[判定]],MATCH(体力優良証交付申請書!$A301,入力シート!$AH$6:$AH$505,0),MATCH(体力優良証交付申請書!L$14,テーブル2[[#Headers],[学年]:[得点]],0)))</f>
        <v/>
      </c>
      <c r="M301" s="115" t="str">
        <f>IF($A301&gt;MAX(入力シート!$AH$6:$AH$505),"",INDEX(テーブル2[[学年]:[判定]],MATCH(体力優良証交付申請書!$A301,入力シート!$AH$6:$AH$505,0),MATCH(体力優良証交付申請書!M$14,テーブル2[[#Headers],[学年]:[得点]],0)))</f>
        <v/>
      </c>
      <c r="N301" s="27" t="str">
        <f>IF($A301&gt;MAX(入力シート!$AH$6:$AH$505),"",INDEX(テーブル2[[学年]:[判定]],MATCH(体力優良証交付申請書!$A301,入力シート!$AH$6:$AH$505,0),MATCH(体力優良証交付申請書!N$14,テーブル2[[#Headers],[学年]:[得点]],0)))</f>
        <v/>
      </c>
    </row>
    <row r="302" spans="1:14" x14ac:dyDescent="0.15">
      <c r="A302" s="17">
        <v>288</v>
      </c>
      <c r="B302" s="115" t="str">
        <f>IF($A302&gt;MAX(入力シート!$AH$6:$AH$505),"",INDEX(テーブル2[[学年]:[判定]],MATCH(体力優良証交付申請書!$A302,入力シート!$AH$6:$AH$505,0),MATCH(体力優良証交付申請書!B$14,テーブル2[[#Headers],[学年]:[得点]],0)))</f>
        <v/>
      </c>
      <c r="C302" s="115" t="str">
        <f>IF($A302&gt;MAX(入力シート!$AH$6:$AH$505),"",INDEX(テーブル2[[学年]:[判定]],MATCH(体力優良証交付申請書!$A302,入力シート!$AH$6:$AH$505,0),MATCH(体力優良証交付申請書!C$14,テーブル2[[#Headers],[学年]:[得点]],0)))</f>
        <v/>
      </c>
      <c r="D302" s="115" t="str">
        <f>IF($A302&gt;MAX(入力シート!$AH$6:$AH$505),"",INDEX(テーブル2[[学年]:[判定]],MATCH(体力優良証交付申請書!$A302,入力シート!$AH$6:$AH$505,0),MATCH(体力優良証交付申請書!D$14,テーブル2[[#Headers],[学年]:[得点]],0)))</f>
        <v/>
      </c>
      <c r="E302" s="115" t="str">
        <f>IF($A302&gt;MAX(入力シート!$AH$6:$AH$505),"",INDEX(テーブル2[[学年]:[判定]],MATCH(体力優良証交付申請書!$A302,入力シート!$AH$6:$AH$505,0),MATCH(体力優良証交付申請書!E$14,テーブル2[[#Headers],[学年]:[得点]],0)))</f>
        <v/>
      </c>
      <c r="F302" s="115" t="str">
        <f>IF($A302&gt;MAX(入力シート!$AH$6:$AH$505),"",INDEX(テーブル2[[学年]:[判定]],MATCH(体力優良証交付申請書!$A302,入力シート!$AH$6:$AH$505,0),MATCH(体力優良証交付申請書!F$14,テーブル2[[#Headers],[学年]:[得点]],0)))</f>
        <v/>
      </c>
      <c r="G302" s="115" t="str">
        <f>IF($A302&gt;MAX(入力シート!$AH$6:$AH$505),"",INDEX(テーブル2[[学年]:[判定]],MATCH(体力優良証交付申請書!$A302,入力シート!$AH$6:$AH$505,0),MATCH(体力優良証交付申請書!G$14,テーブル2[[#Headers],[学年]:[得点]],0)))</f>
        <v/>
      </c>
      <c r="H302" s="115" t="str">
        <f>IF($A302&gt;MAX(入力シート!$AH$6:$AH$505),"",INDEX(テーブル2[[学年]:[判定]],MATCH(体力優良証交付申請書!$A302,入力シート!$AH$6:$AH$505,0),MATCH(体力優良証交付申請書!H$14,テーブル2[[#Headers],[学年]:[得点]],0)))</f>
        <v/>
      </c>
      <c r="I302" s="115" t="str">
        <f>IF($A302&gt;MAX(入力シート!$AH$6:$AH$505),"",INDEX(テーブル2[[学年]:[判定]],MATCH(体力優良証交付申請書!$A302,入力シート!$AH$6:$AH$505,0),MATCH(体力優良証交付申請書!I$14,テーブル2[[#Headers],[学年]:[得点]],0)))</f>
        <v/>
      </c>
      <c r="J302" s="115" t="str">
        <f>IF($A302&gt;MAX(入力シート!$AH$6:$AH$505),"",INDEX(テーブル2[[学年]:[判定]],MATCH(体力優良証交付申請書!$A302,入力シート!$AH$6:$AH$505,0),MATCH(体力優良証交付申請書!J$14,テーブル2[[#Headers],[学年]:[得点]],0)))</f>
        <v/>
      </c>
      <c r="K302" s="129" t="str">
        <f>IF($A302&gt;MAX(入力シート!$AH$6:$AH$505),"",INDEX(テーブル2[[学年]:[判定]],MATCH(体力優良証交付申請書!$A302,入力シート!$AH$6:$AH$505,0),MATCH(体力優良証交付申請書!K$14,テーブル2[[#Headers],[学年]:[得点]],0)))</f>
        <v/>
      </c>
      <c r="L302" s="115" t="str">
        <f>IF($A302&gt;MAX(入力シート!$AH$6:$AH$505),"",INDEX(テーブル2[[学年]:[判定]],MATCH(体力優良証交付申請書!$A302,入力シート!$AH$6:$AH$505,0),MATCH(体力優良証交付申請書!L$14,テーブル2[[#Headers],[学年]:[得点]],0)))</f>
        <v/>
      </c>
      <c r="M302" s="115" t="str">
        <f>IF($A302&gt;MAX(入力シート!$AH$6:$AH$505),"",INDEX(テーブル2[[学年]:[判定]],MATCH(体力優良証交付申請書!$A302,入力シート!$AH$6:$AH$505,0),MATCH(体力優良証交付申請書!M$14,テーブル2[[#Headers],[学年]:[得点]],0)))</f>
        <v/>
      </c>
      <c r="N302" s="27" t="str">
        <f>IF($A302&gt;MAX(入力シート!$AH$6:$AH$505),"",INDEX(テーブル2[[学年]:[判定]],MATCH(体力優良証交付申請書!$A302,入力シート!$AH$6:$AH$505,0),MATCH(体力優良証交付申請書!N$14,テーブル2[[#Headers],[学年]:[得点]],0)))</f>
        <v/>
      </c>
    </row>
    <row r="303" spans="1:14" x14ac:dyDescent="0.15">
      <c r="A303" s="17">
        <v>289</v>
      </c>
      <c r="B303" s="115" t="str">
        <f>IF($A303&gt;MAX(入力シート!$AH$6:$AH$505),"",INDEX(テーブル2[[学年]:[判定]],MATCH(体力優良証交付申請書!$A303,入力シート!$AH$6:$AH$505,0),MATCH(体力優良証交付申請書!B$14,テーブル2[[#Headers],[学年]:[得点]],0)))</f>
        <v/>
      </c>
      <c r="C303" s="115" t="str">
        <f>IF($A303&gt;MAX(入力シート!$AH$6:$AH$505),"",INDEX(テーブル2[[学年]:[判定]],MATCH(体力優良証交付申請書!$A303,入力シート!$AH$6:$AH$505,0),MATCH(体力優良証交付申請書!C$14,テーブル2[[#Headers],[学年]:[得点]],0)))</f>
        <v/>
      </c>
      <c r="D303" s="115" t="str">
        <f>IF($A303&gt;MAX(入力シート!$AH$6:$AH$505),"",INDEX(テーブル2[[学年]:[判定]],MATCH(体力優良証交付申請書!$A303,入力シート!$AH$6:$AH$505,0),MATCH(体力優良証交付申請書!D$14,テーブル2[[#Headers],[学年]:[得点]],0)))</f>
        <v/>
      </c>
      <c r="E303" s="115" t="str">
        <f>IF($A303&gt;MAX(入力シート!$AH$6:$AH$505),"",INDEX(テーブル2[[学年]:[判定]],MATCH(体力優良証交付申請書!$A303,入力シート!$AH$6:$AH$505,0),MATCH(体力優良証交付申請書!E$14,テーブル2[[#Headers],[学年]:[得点]],0)))</f>
        <v/>
      </c>
      <c r="F303" s="115" t="str">
        <f>IF($A303&gt;MAX(入力シート!$AH$6:$AH$505),"",INDEX(テーブル2[[学年]:[判定]],MATCH(体力優良証交付申請書!$A303,入力シート!$AH$6:$AH$505,0),MATCH(体力優良証交付申請書!F$14,テーブル2[[#Headers],[学年]:[得点]],0)))</f>
        <v/>
      </c>
      <c r="G303" s="115" t="str">
        <f>IF($A303&gt;MAX(入力シート!$AH$6:$AH$505),"",INDEX(テーブル2[[学年]:[判定]],MATCH(体力優良証交付申請書!$A303,入力シート!$AH$6:$AH$505,0),MATCH(体力優良証交付申請書!G$14,テーブル2[[#Headers],[学年]:[得点]],0)))</f>
        <v/>
      </c>
      <c r="H303" s="115" t="str">
        <f>IF($A303&gt;MAX(入力シート!$AH$6:$AH$505),"",INDEX(テーブル2[[学年]:[判定]],MATCH(体力優良証交付申請書!$A303,入力シート!$AH$6:$AH$505,0),MATCH(体力優良証交付申請書!H$14,テーブル2[[#Headers],[学年]:[得点]],0)))</f>
        <v/>
      </c>
      <c r="I303" s="115" t="str">
        <f>IF($A303&gt;MAX(入力シート!$AH$6:$AH$505),"",INDEX(テーブル2[[学年]:[判定]],MATCH(体力優良証交付申請書!$A303,入力シート!$AH$6:$AH$505,0),MATCH(体力優良証交付申請書!I$14,テーブル2[[#Headers],[学年]:[得点]],0)))</f>
        <v/>
      </c>
      <c r="J303" s="115" t="str">
        <f>IF($A303&gt;MAX(入力シート!$AH$6:$AH$505),"",INDEX(テーブル2[[学年]:[判定]],MATCH(体力優良証交付申請書!$A303,入力シート!$AH$6:$AH$505,0),MATCH(体力優良証交付申請書!J$14,テーブル2[[#Headers],[学年]:[得点]],0)))</f>
        <v/>
      </c>
      <c r="K303" s="129" t="str">
        <f>IF($A303&gt;MAX(入力シート!$AH$6:$AH$505),"",INDEX(テーブル2[[学年]:[判定]],MATCH(体力優良証交付申請書!$A303,入力シート!$AH$6:$AH$505,0),MATCH(体力優良証交付申請書!K$14,テーブル2[[#Headers],[学年]:[得点]],0)))</f>
        <v/>
      </c>
      <c r="L303" s="115" t="str">
        <f>IF($A303&gt;MAX(入力シート!$AH$6:$AH$505),"",INDEX(テーブル2[[学年]:[判定]],MATCH(体力優良証交付申請書!$A303,入力シート!$AH$6:$AH$505,0),MATCH(体力優良証交付申請書!L$14,テーブル2[[#Headers],[学年]:[得点]],0)))</f>
        <v/>
      </c>
      <c r="M303" s="115" t="str">
        <f>IF($A303&gt;MAX(入力シート!$AH$6:$AH$505),"",INDEX(テーブル2[[学年]:[判定]],MATCH(体力優良証交付申請書!$A303,入力シート!$AH$6:$AH$505,0),MATCH(体力優良証交付申請書!M$14,テーブル2[[#Headers],[学年]:[得点]],0)))</f>
        <v/>
      </c>
      <c r="N303" s="27" t="str">
        <f>IF($A303&gt;MAX(入力シート!$AH$6:$AH$505),"",INDEX(テーブル2[[学年]:[判定]],MATCH(体力優良証交付申請書!$A303,入力シート!$AH$6:$AH$505,0),MATCH(体力優良証交付申請書!N$14,テーブル2[[#Headers],[学年]:[得点]],0)))</f>
        <v/>
      </c>
    </row>
    <row r="304" spans="1:14" x14ac:dyDescent="0.15">
      <c r="A304" s="17">
        <v>290</v>
      </c>
      <c r="B304" s="115" t="str">
        <f>IF($A304&gt;MAX(入力シート!$AH$6:$AH$505),"",INDEX(テーブル2[[学年]:[判定]],MATCH(体力優良証交付申請書!$A304,入力シート!$AH$6:$AH$505,0),MATCH(体力優良証交付申請書!B$14,テーブル2[[#Headers],[学年]:[得点]],0)))</f>
        <v/>
      </c>
      <c r="C304" s="115" t="str">
        <f>IF($A304&gt;MAX(入力シート!$AH$6:$AH$505),"",INDEX(テーブル2[[学年]:[判定]],MATCH(体力優良証交付申請書!$A304,入力シート!$AH$6:$AH$505,0),MATCH(体力優良証交付申請書!C$14,テーブル2[[#Headers],[学年]:[得点]],0)))</f>
        <v/>
      </c>
      <c r="D304" s="115" t="str">
        <f>IF($A304&gt;MAX(入力シート!$AH$6:$AH$505),"",INDEX(テーブル2[[学年]:[判定]],MATCH(体力優良証交付申請書!$A304,入力シート!$AH$6:$AH$505,0),MATCH(体力優良証交付申請書!D$14,テーブル2[[#Headers],[学年]:[得点]],0)))</f>
        <v/>
      </c>
      <c r="E304" s="115" t="str">
        <f>IF($A304&gt;MAX(入力シート!$AH$6:$AH$505),"",INDEX(テーブル2[[学年]:[判定]],MATCH(体力優良証交付申請書!$A304,入力シート!$AH$6:$AH$505,0),MATCH(体力優良証交付申請書!E$14,テーブル2[[#Headers],[学年]:[得点]],0)))</f>
        <v/>
      </c>
      <c r="F304" s="115" t="str">
        <f>IF($A304&gt;MAX(入力シート!$AH$6:$AH$505),"",INDEX(テーブル2[[学年]:[判定]],MATCH(体力優良証交付申請書!$A304,入力シート!$AH$6:$AH$505,0),MATCH(体力優良証交付申請書!F$14,テーブル2[[#Headers],[学年]:[得点]],0)))</f>
        <v/>
      </c>
      <c r="G304" s="115" t="str">
        <f>IF($A304&gt;MAX(入力シート!$AH$6:$AH$505),"",INDEX(テーブル2[[学年]:[判定]],MATCH(体力優良証交付申請書!$A304,入力シート!$AH$6:$AH$505,0),MATCH(体力優良証交付申請書!G$14,テーブル2[[#Headers],[学年]:[得点]],0)))</f>
        <v/>
      </c>
      <c r="H304" s="115" t="str">
        <f>IF($A304&gt;MAX(入力シート!$AH$6:$AH$505),"",INDEX(テーブル2[[学年]:[判定]],MATCH(体力優良証交付申請書!$A304,入力シート!$AH$6:$AH$505,0),MATCH(体力優良証交付申請書!H$14,テーブル2[[#Headers],[学年]:[得点]],0)))</f>
        <v/>
      </c>
      <c r="I304" s="115" t="str">
        <f>IF($A304&gt;MAX(入力シート!$AH$6:$AH$505),"",INDEX(テーブル2[[学年]:[判定]],MATCH(体力優良証交付申請書!$A304,入力シート!$AH$6:$AH$505,0),MATCH(体力優良証交付申請書!I$14,テーブル2[[#Headers],[学年]:[得点]],0)))</f>
        <v/>
      </c>
      <c r="J304" s="115" t="str">
        <f>IF($A304&gt;MAX(入力シート!$AH$6:$AH$505),"",INDEX(テーブル2[[学年]:[判定]],MATCH(体力優良証交付申請書!$A304,入力シート!$AH$6:$AH$505,0),MATCH(体力優良証交付申請書!J$14,テーブル2[[#Headers],[学年]:[得点]],0)))</f>
        <v/>
      </c>
      <c r="K304" s="129" t="str">
        <f>IF($A304&gt;MAX(入力シート!$AH$6:$AH$505),"",INDEX(テーブル2[[学年]:[判定]],MATCH(体力優良証交付申請書!$A304,入力シート!$AH$6:$AH$505,0),MATCH(体力優良証交付申請書!K$14,テーブル2[[#Headers],[学年]:[得点]],0)))</f>
        <v/>
      </c>
      <c r="L304" s="115" t="str">
        <f>IF($A304&gt;MAX(入力シート!$AH$6:$AH$505),"",INDEX(テーブル2[[学年]:[判定]],MATCH(体力優良証交付申請書!$A304,入力シート!$AH$6:$AH$505,0),MATCH(体力優良証交付申請書!L$14,テーブル2[[#Headers],[学年]:[得点]],0)))</f>
        <v/>
      </c>
      <c r="M304" s="115" t="str">
        <f>IF($A304&gt;MAX(入力シート!$AH$6:$AH$505),"",INDEX(テーブル2[[学年]:[判定]],MATCH(体力優良証交付申請書!$A304,入力シート!$AH$6:$AH$505,0),MATCH(体力優良証交付申請書!M$14,テーブル2[[#Headers],[学年]:[得点]],0)))</f>
        <v/>
      </c>
      <c r="N304" s="27" t="str">
        <f>IF($A304&gt;MAX(入力シート!$AH$6:$AH$505),"",INDEX(テーブル2[[学年]:[判定]],MATCH(体力優良証交付申請書!$A304,入力シート!$AH$6:$AH$505,0),MATCH(体力優良証交付申請書!N$14,テーブル2[[#Headers],[学年]:[得点]],0)))</f>
        <v/>
      </c>
    </row>
    <row r="305" spans="1:14" x14ac:dyDescent="0.15">
      <c r="A305" s="17">
        <v>291</v>
      </c>
      <c r="B305" s="115" t="str">
        <f>IF($A305&gt;MAX(入力シート!$AH$6:$AH$505),"",INDEX(テーブル2[[学年]:[判定]],MATCH(体力優良証交付申請書!$A305,入力シート!$AH$6:$AH$505,0),MATCH(体力優良証交付申請書!B$14,テーブル2[[#Headers],[学年]:[得点]],0)))</f>
        <v/>
      </c>
      <c r="C305" s="115" t="str">
        <f>IF($A305&gt;MAX(入力シート!$AH$6:$AH$505),"",INDEX(テーブル2[[学年]:[判定]],MATCH(体力優良証交付申請書!$A305,入力シート!$AH$6:$AH$505,0),MATCH(体力優良証交付申請書!C$14,テーブル2[[#Headers],[学年]:[得点]],0)))</f>
        <v/>
      </c>
      <c r="D305" s="115" t="str">
        <f>IF($A305&gt;MAX(入力シート!$AH$6:$AH$505),"",INDEX(テーブル2[[学年]:[判定]],MATCH(体力優良証交付申請書!$A305,入力シート!$AH$6:$AH$505,0),MATCH(体力優良証交付申請書!D$14,テーブル2[[#Headers],[学年]:[得点]],0)))</f>
        <v/>
      </c>
      <c r="E305" s="115" t="str">
        <f>IF($A305&gt;MAX(入力シート!$AH$6:$AH$505),"",INDEX(テーブル2[[学年]:[判定]],MATCH(体力優良証交付申請書!$A305,入力シート!$AH$6:$AH$505,0),MATCH(体力優良証交付申請書!E$14,テーブル2[[#Headers],[学年]:[得点]],0)))</f>
        <v/>
      </c>
      <c r="F305" s="115" t="str">
        <f>IF($A305&gt;MAX(入力シート!$AH$6:$AH$505),"",INDEX(テーブル2[[学年]:[判定]],MATCH(体力優良証交付申請書!$A305,入力シート!$AH$6:$AH$505,0),MATCH(体力優良証交付申請書!F$14,テーブル2[[#Headers],[学年]:[得点]],0)))</f>
        <v/>
      </c>
      <c r="G305" s="115" t="str">
        <f>IF($A305&gt;MAX(入力シート!$AH$6:$AH$505),"",INDEX(テーブル2[[学年]:[判定]],MATCH(体力優良証交付申請書!$A305,入力シート!$AH$6:$AH$505,0),MATCH(体力優良証交付申請書!G$14,テーブル2[[#Headers],[学年]:[得点]],0)))</f>
        <v/>
      </c>
      <c r="H305" s="115" t="str">
        <f>IF($A305&gt;MAX(入力シート!$AH$6:$AH$505),"",INDEX(テーブル2[[学年]:[判定]],MATCH(体力優良証交付申請書!$A305,入力シート!$AH$6:$AH$505,0),MATCH(体力優良証交付申請書!H$14,テーブル2[[#Headers],[学年]:[得点]],0)))</f>
        <v/>
      </c>
      <c r="I305" s="115" t="str">
        <f>IF($A305&gt;MAX(入力シート!$AH$6:$AH$505),"",INDEX(テーブル2[[学年]:[判定]],MATCH(体力優良証交付申請書!$A305,入力シート!$AH$6:$AH$505,0),MATCH(体力優良証交付申請書!I$14,テーブル2[[#Headers],[学年]:[得点]],0)))</f>
        <v/>
      </c>
      <c r="J305" s="115" t="str">
        <f>IF($A305&gt;MAX(入力シート!$AH$6:$AH$505),"",INDEX(テーブル2[[学年]:[判定]],MATCH(体力優良証交付申請書!$A305,入力シート!$AH$6:$AH$505,0),MATCH(体力優良証交付申請書!J$14,テーブル2[[#Headers],[学年]:[得点]],0)))</f>
        <v/>
      </c>
      <c r="K305" s="129" t="str">
        <f>IF($A305&gt;MAX(入力シート!$AH$6:$AH$505),"",INDEX(テーブル2[[学年]:[判定]],MATCH(体力優良証交付申請書!$A305,入力シート!$AH$6:$AH$505,0),MATCH(体力優良証交付申請書!K$14,テーブル2[[#Headers],[学年]:[得点]],0)))</f>
        <v/>
      </c>
      <c r="L305" s="115" t="str">
        <f>IF($A305&gt;MAX(入力シート!$AH$6:$AH$505),"",INDEX(テーブル2[[学年]:[判定]],MATCH(体力優良証交付申請書!$A305,入力シート!$AH$6:$AH$505,0),MATCH(体力優良証交付申請書!L$14,テーブル2[[#Headers],[学年]:[得点]],0)))</f>
        <v/>
      </c>
      <c r="M305" s="115" t="str">
        <f>IF($A305&gt;MAX(入力シート!$AH$6:$AH$505),"",INDEX(テーブル2[[学年]:[判定]],MATCH(体力優良証交付申請書!$A305,入力シート!$AH$6:$AH$505,0),MATCH(体力優良証交付申請書!M$14,テーブル2[[#Headers],[学年]:[得点]],0)))</f>
        <v/>
      </c>
      <c r="N305" s="27" t="str">
        <f>IF($A305&gt;MAX(入力シート!$AH$6:$AH$505),"",INDEX(テーブル2[[学年]:[判定]],MATCH(体力優良証交付申請書!$A305,入力シート!$AH$6:$AH$505,0),MATCH(体力優良証交付申請書!N$14,テーブル2[[#Headers],[学年]:[得点]],0)))</f>
        <v/>
      </c>
    </row>
    <row r="306" spans="1:14" x14ac:dyDescent="0.15">
      <c r="A306" s="17">
        <v>292</v>
      </c>
      <c r="B306" s="115" t="str">
        <f>IF($A306&gt;MAX(入力シート!$AH$6:$AH$505),"",INDEX(テーブル2[[学年]:[判定]],MATCH(体力優良証交付申請書!$A306,入力シート!$AH$6:$AH$505,0),MATCH(体力優良証交付申請書!B$14,テーブル2[[#Headers],[学年]:[得点]],0)))</f>
        <v/>
      </c>
      <c r="C306" s="115" t="str">
        <f>IF($A306&gt;MAX(入力シート!$AH$6:$AH$505),"",INDEX(テーブル2[[学年]:[判定]],MATCH(体力優良証交付申請書!$A306,入力シート!$AH$6:$AH$505,0),MATCH(体力優良証交付申請書!C$14,テーブル2[[#Headers],[学年]:[得点]],0)))</f>
        <v/>
      </c>
      <c r="D306" s="115" t="str">
        <f>IF($A306&gt;MAX(入力シート!$AH$6:$AH$505),"",INDEX(テーブル2[[学年]:[判定]],MATCH(体力優良証交付申請書!$A306,入力シート!$AH$6:$AH$505,0),MATCH(体力優良証交付申請書!D$14,テーブル2[[#Headers],[学年]:[得点]],0)))</f>
        <v/>
      </c>
      <c r="E306" s="115" t="str">
        <f>IF($A306&gt;MAX(入力シート!$AH$6:$AH$505),"",INDEX(テーブル2[[学年]:[判定]],MATCH(体力優良証交付申請書!$A306,入力シート!$AH$6:$AH$505,0),MATCH(体力優良証交付申請書!E$14,テーブル2[[#Headers],[学年]:[得点]],0)))</f>
        <v/>
      </c>
      <c r="F306" s="115" t="str">
        <f>IF($A306&gt;MAX(入力シート!$AH$6:$AH$505),"",INDEX(テーブル2[[学年]:[判定]],MATCH(体力優良証交付申請書!$A306,入力シート!$AH$6:$AH$505,0),MATCH(体力優良証交付申請書!F$14,テーブル2[[#Headers],[学年]:[得点]],0)))</f>
        <v/>
      </c>
      <c r="G306" s="115" t="str">
        <f>IF($A306&gt;MAX(入力シート!$AH$6:$AH$505),"",INDEX(テーブル2[[学年]:[判定]],MATCH(体力優良証交付申請書!$A306,入力シート!$AH$6:$AH$505,0),MATCH(体力優良証交付申請書!G$14,テーブル2[[#Headers],[学年]:[得点]],0)))</f>
        <v/>
      </c>
      <c r="H306" s="115" t="str">
        <f>IF($A306&gt;MAX(入力シート!$AH$6:$AH$505),"",INDEX(テーブル2[[学年]:[判定]],MATCH(体力優良証交付申請書!$A306,入力シート!$AH$6:$AH$505,0),MATCH(体力優良証交付申請書!H$14,テーブル2[[#Headers],[学年]:[得点]],0)))</f>
        <v/>
      </c>
      <c r="I306" s="115" t="str">
        <f>IF($A306&gt;MAX(入力シート!$AH$6:$AH$505),"",INDEX(テーブル2[[学年]:[判定]],MATCH(体力優良証交付申請書!$A306,入力シート!$AH$6:$AH$505,0),MATCH(体力優良証交付申請書!I$14,テーブル2[[#Headers],[学年]:[得点]],0)))</f>
        <v/>
      </c>
      <c r="J306" s="115" t="str">
        <f>IF($A306&gt;MAX(入力シート!$AH$6:$AH$505),"",INDEX(テーブル2[[学年]:[判定]],MATCH(体力優良証交付申請書!$A306,入力シート!$AH$6:$AH$505,0),MATCH(体力優良証交付申請書!J$14,テーブル2[[#Headers],[学年]:[得点]],0)))</f>
        <v/>
      </c>
      <c r="K306" s="129" t="str">
        <f>IF($A306&gt;MAX(入力シート!$AH$6:$AH$505),"",INDEX(テーブル2[[学年]:[判定]],MATCH(体力優良証交付申請書!$A306,入力シート!$AH$6:$AH$505,0),MATCH(体力優良証交付申請書!K$14,テーブル2[[#Headers],[学年]:[得点]],0)))</f>
        <v/>
      </c>
      <c r="L306" s="115" t="str">
        <f>IF($A306&gt;MAX(入力シート!$AH$6:$AH$505),"",INDEX(テーブル2[[学年]:[判定]],MATCH(体力優良証交付申請書!$A306,入力シート!$AH$6:$AH$505,0),MATCH(体力優良証交付申請書!L$14,テーブル2[[#Headers],[学年]:[得点]],0)))</f>
        <v/>
      </c>
      <c r="M306" s="115" t="str">
        <f>IF($A306&gt;MAX(入力シート!$AH$6:$AH$505),"",INDEX(テーブル2[[学年]:[判定]],MATCH(体力優良証交付申請書!$A306,入力シート!$AH$6:$AH$505,0),MATCH(体力優良証交付申請書!M$14,テーブル2[[#Headers],[学年]:[得点]],0)))</f>
        <v/>
      </c>
      <c r="N306" s="27" t="str">
        <f>IF($A306&gt;MAX(入力シート!$AH$6:$AH$505),"",INDEX(テーブル2[[学年]:[判定]],MATCH(体力優良証交付申請書!$A306,入力シート!$AH$6:$AH$505,0),MATCH(体力優良証交付申請書!N$14,テーブル2[[#Headers],[学年]:[得点]],0)))</f>
        <v/>
      </c>
    </row>
    <row r="307" spans="1:14" x14ac:dyDescent="0.15">
      <c r="A307" s="17">
        <v>293</v>
      </c>
      <c r="B307" s="115" t="str">
        <f>IF($A307&gt;MAX(入力シート!$AH$6:$AH$505),"",INDEX(テーブル2[[学年]:[判定]],MATCH(体力優良証交付申請書!$A307,入力シート!$AH$6:$AH$505,0),MATCH(体力優良証交付申請書!B$14,テーブル2[[#Headers],[学年]:[得点]],0)))</f>
        <v/>
      </c>
      <c r="C307" s="115" t="str">
        <f>IF($A307&gt;MAX(入力シート!$AH$6:$AH$505),"",INDEX(テーブル2[[学年]:[判定]],MATCH(体力優良証交付申請書!$A307,入力シート!$AH$6:$AH$505,0),MATCH(体力優良証交付申請書!C$14,テーブル2[[#Headers],[学年]:[得点]],0)))</f>
        <v/>
      </c>
      <c r="D307" s="115" t="str">
        <f>IF($A307&gt;MAX(入力シート!$AH$6:$AH$505),"",INDEX(テーブル2[[学年]:[判定]],MATCH(体力優良証交付申請書!$A307,入力シート!$AH$6:$AH$505,0),MATCH(体力優良証交付申請書!D$14,テーブル2[[#Headers],[学年]:[得点]],0)))</f>
        <v/>
      </c>
      <c r="E307" s="115" t="str">
        <f>IF($A307&gt;MAX(入力シート!$AH$6:$AH$505),"",INDEX(テーブル2[[学年]:[判定]],MATCH(体力優良証交付申請書!$A307,入力シート!$AH$6:$AH$505,0),MATCH(体力優良証交付申請書!E$14,テーブル2[[#Headers],[学年]:[得点]],0)))</f>
        <v/>
      </c>
      <c r="F307" s="115" t="str">
        <f>IF($A307&gt;MAX(入力シート!$AH$6:$AH$505),"",INDEX(テーブル2[[学年]:[判定]],MATCH(体力優良証交付申請書!$A307,入力シート!$AH$6:$AH$505,0),MATCH(体力優良証交付申請書!F$14,テーブル2[[#Headers],[学年]:[得点]],0)))</f>
        <v/>
      </c>
      <c r="G307" s="115" t="str">
        <f>IF($A307&gt;MAX(入力シート!$AH$6:$AH$505),"",INDEX(テーブル2[[学年]:[判定]],MATCH(体力優良証交付申請書!$A307,入力シート!$AH$6:$AH$505,0),MATCH(体力優良証交付申請書!G$14,テーブル2[[#Headers],[学年]:[得点]],0)))</f>
        <v/>
      </c>
      <c r="H307" s="115" t="str">
        <f>IF($A307&gt;MAX(入力シート!$AH$6:$AH$505),"",INDEX(テーブル2[[学年]:[判定]],MATCH(体力優良証交付申請書!$A307,入力シート!$AH$6:$AH$505,0),MATCH(体力優良証交付申請書!H$14,テーブル2[[#Headers],[学年]:[得点]],0)))</f>
        <v/>
      </c>
      <c r="I307" s="115" t="str">
        <f>IF($A307&gt;MAX(入力シート!$AH$6:$AH$505),"",INDEX(テーブル2[[学年]:[判定]],MATCH(体力優良証交付申請書!$A307,入力シート!$AH$6:$AH$505,0),MATCH(体力優良証交付申請書!I$14,テーブル2[[#Headers],[学年]:[得点]],0)))</f>
        <v/>
      </c>
      <c r="J307" s="115" t="str">
        <f>IF($A307&gt;MAX(入力シート!$AH$6:$AH$505),"",INDEX(テーブル2[[学年]:[判定]],MATCH(体力優良証交付申請書!$A307,入力シート!$AH$6:$AH$505,0),MATCH(体力優良証交付申請書!J$14,テーブル2[[#Headers],[学年]:[得点]],0)))</f>
        <v/>
      </c>
      <c r="K307" s="129" t="str">
        <f>IF($A307&gt;MAX(入力シート!$AH$6:$AH$505),"",INDEX(テーブル2[[学年]:[判定]],MATCH(体力優良証交付申請書!$A307,入力シート!$AH$6:$AH$505,0),MATCH(体力優良証交付申請書!K$14,テーブル2[[#Headers],[学年]:[得点]],0)))</f>
        <v/>
      </c>
      <c r="L307" s="115" t="str">
        <f>IF($A307&gt;MAX(入力シート!$AH$6:$AH$505),"",INDEX(テーブル2[[学年]:[判定]],MATCH(体力優良証交付申請書!$A307,入力シート!$AH$6:$AH$505,0),MATCH(体力優良証交付申請書!L$14,テーブル2[[#Headers],[学年]:[得点]],0)))</f>
        <v/>
      </c>
      <c r="M307" s="115" t="str">
        <f>IF($A307&gt;MAX(入力シート!$AH$6:$AH$505),"",INDEX(テーブル2[[学年]:[判定]],MATCH(体力優良証交付申請書!$A307,入力シート!$AH$6:$AH$505,0),MATCH(体力優良証交付申請書!M$14,テーブル2[[#Headers],[学年]:[得点]],0)))</f>
        <v/>
      </c>
      <c r="N307" s="27" t="str">
        <f>IF($A307&gt;MAX(入力シート!$AH$6:$AH$505),"",INDEX(テーブル2[[学年]:[判定]],MATCH(体力優良証交付申請書!$A307,入力シート!$AH$6:$AH$505,0),MATCH(体力優良証交付申請書!N$14,テーブル2[[#Headers],[学年]:[得点]],0)))</f>
        <v/>
      </c>
    </row>
    <row r="308" spans="1:14" x14ac:dyDescent="0.15">
      <c r="A308" s="17">
        <v>294</v>
      </c>
      <c r="B308" s="115" t="str">
        <f>IF($A308&gt;MAX(入力シート!$AH$6:$AH$505),"",INDEX(テーブル2[[学年]:[判定]],MATCH(体力優良証交付申請書!$A308,入力シート!$AH$6:$AH$505,0),MATCH(体力優良証交付申請書!B$14,テーブル2[[#Headers],[学年]:[得点]],0)))</f>
        <v/>
      </c>
      <c r="C308" s="115" t="str">
        <f>IF($A308&gt;MAX(入力シート!$AH$6:$AH$505),"",INDEX(テーブル2[[学年]:[判定]],MATCH(体力優良証交付申請書!$A308,入力シート!$AH$6:$AH$505,0),MATCH(体力優良証交付申請書!C$14,テーブル2[[#Headers],[学年]:[得点]],0)))</f>
        <v/>
      </c>
      <c r="D308" s="115" t="str">
        <f>IF($A308&gt;MAX(入力シート!$AH$6:$AH$505),"",INDEX(テーブル2[[学年]:[判定]],MATCH(体力優良証交付申請書!$A308,入力シート!$AH$6:$AH$505,0),MATCH(体力優良証交付申請書!D$14,テーブル2[[#Headers],[学年]:[得点]],0)))</f>
        <v/>
      </c>
      <c r="E308" s="115" t="str">
        <f>IF($A308&gt;MAX(入力シート!$AH$6:$AH$505),"",INDEX(テーブル2[[学年]:[判定]],MATCH(体力優良証交付申請書!$A308,入力シート!$AH$6:$AH$505,0),MATCH(体力優良証交付申請書!E$14,テーブル2[[#Headers],[学年]:[得点]],0)))</f>
        <v/>
      </c>
      <c r="F308" s="115" t="str">
        <f>IF($A308&gt;MAX(入力シート!$AH$6:$AH$505),"",INDEX(テーブル2[[学年]:[判定]],MATCH(体力優良証交付申請書!$A308,入力シート!$AH$6:$AH$505,0),MATCH(体力優良証交付申請書!F$14,テーブル2[[#Headers],[学年]:[得点]],0)))</f>
        <v/>
      </c>
      <c r="G308" s="115" t="str">
        <f>IF($A308&gt;MAX(入力シート!$AH$6:$AH$505),"",INDEX(テーブル2[[学年]:[判定]],MATCH(体力優良証交付申請書!$A308,入力シート!$AH$6:$AH$505,0),MATCH(体力優良証交付申請書!G$14,テーブル2[[#Headers],[学年]:[得点]],0)))</f>
        <v/>
      </c>
      <c r="H308" s="115" t="str">
        <f>IF($A308&gt;MAX(入力シート!$AH$6:$AH$505),"",INDEX(テーブル2[[学年]:[判定]],MATCH(体力優良証交付申請書!$A308,入力シート!$AH$6:$AH$505,0),MATCH(体力優良証交付申請書!H$14,テーブル2[[#Headers],[学年]:[得点]],0)))</f>
        <v/>
      </c>
      <c r="I308" s="115" t="str">
        <f>IF($A308&gt;MAX(入力シート!$AH$6:$AH$505),"",INDEX(テーブル2[[学年]:[判定]],MATCH(体力優良証交付申請書!$A308,入力シート!$AH$6:$AH$505,0),MATCH(体力優良証交付申請書!I$14,テーブル2[[#Headers],[学年]:[得点]],0)))</f>
        <v/>
      </c>
      <c r="J308" s="115" t="str">
        <f>IF($A308&gt;MAX(入力シート!$AH$6:$AH$505),"",INDEX(テーブル2[[学年]:[判定]],MATCH(体力優良証交付申請書!$A308,入力シート!$AH$6:$AH$505,0),MATCH(体力優良証交付申請書!J$14,テーブル2[[#Headers],[学年]:[得点]],0)))</f>
        <v/>
      </c>
      <c r="K308" s="129" t="str">
        <f>IF($A308&gt;MAX(入力シート!$AH$6:$AH$505),"",INDEX(テーブル2[[学年]:[判定]],MATCH(体力優良証交付申請書!$A308,入力シート!$AH$6:$AH$505,0),MATCH(体力優良証交付申請書!K$14,テーブル2[[#Headers],[学年]:[得点]],0)))</f>
        <v/>
      </c>
      <c r="L308" s="115" t="str">
        <f>IF($A308&gt;MAX(入力シート!$AH$6:$AH$505),"",INDEX(テーブル2[[学年]:[判定]],MATCH(体力優良証交付申請書!$A308,入力シート!$AH$6:$AH$505,0),MATCH(体力優良証交付申請書!L$14,テーブル2[[#Headers],[学年]:[得点]],0)))</f>
        <v/>
      </c>
      <c r="M308" s="115" t="str">
        <f>IF($A308&gt;MAX(入力シート!$AH$6:$AH$505),"",INDEX(テーブル2[[学年]:[判定]],MATCH(体力優良証交付申請書!$A308,入力シート!$AH$6:$AH$505,0),MATCH(体力優良証交付申請書!M$14,テーブル2[[#Headers],[学年]:[得点]],0)))</f>
        <v/>
      </c>
      <c r="N308" s="27" t="str">
        <f>IF($A308&gt;MAX(入力シート!$AH$6:$AH$505),"",INDEX(テーブル2[[学年]:[判定]],MATCH(体力優良証交付申請書!$A308,入力シート!$AH$6:$AH$505,0),MATCH(体力優良証交付申請書!N$14,テーブル2[[#Headers],[学年]:[得点]],0)))</f>
        <v/>
      </c>
    </row>
    <row r="309" spans="1:14" x14ac:dyDescent="0.15">
      <c r="A309" s="17">
        <v>295</v>
      </c>
      <c r="B309" s="115" t="str">
        <f>IF($A309&gt;MAX(入力シート!$AH$6:$AH$505),"",INDEX(テーブル2[[学年]:[判定]],MATCH(体力優良証交付申請書!$A309,入力シート!$AH$6:$AH$505,0),MATCH(体力優良証交付申請書!B$14,テーブル2[[#Headers],[学年]:[得点]],0)))</f>
        <v/>
      </c>
      <c r="C309" s="115" t="str">
        <f>IF($A309&gt;MAX(入力シート!$AH$6:$AH$505),"",INDEX(テーブル2[[学年]:[判定]],MATCH(体力優良証交付申請書!$A309,入力シート!$AH$6:$AH$505,0),MATCH(体力優良証交付申請書!C$14,テーブル2[[#Headers],[学年]:[得点]],0)))</f>
        <v/>
      </c>
      <c r="D309" s="115" t="str">
        <f>IF($A309&gt;MAX(入力シート!$AH$6:$AH$505),"",INDEX(テーブル2[[学年]:[判定]],MATCH(体力優良証交付申請書!$A309,入力シート!$AH$6:$AH$505,0),MATCH(体力優良証交付申請書!D$14,テーブル2[[#Headers],[学年]:[得点]],0)))</f>
        <v/>
      </c>
      <c r="E309" s="115" t="str">
        <f>IF($A309&gt;MAX(入力シート!$AH$6:$AH$505),"",INDEX(テーブル2[[学年]:[判定]],MATCH(体力優良証交付申請書!$A309,入力シート!$AH$6:$AH$505,0),MATCH(体力優良証交付申請書!E$14,テーブル2[[#Headers],[学年]:[得点]],0)))</f>
        <v/>
      </c>
      <c r="F309" s="115" t="str">
        <f>IF($A309&gt;MAX(入力シート!$AH$6:$AH$505),"",INDEX(テーブル2[[学年]:[判定]],MATCH(体力優良証交付申請書!$A309,入力シート!$AH$6:$AH$505,0),MATCH(体力優良証交付申請書!F$14,テーブル2[[#Headers],[学年]:[得点]],0)))</f>
        <v/>
      </c>
      <c r="G309" s="115" t="str">
        <f>IF($A309&gt;MAX(入力シート!$AH$6:$AH$505),"",INDEX(テーブル2[[学年]:[判定]],MATCH(体力優良証交付申請書!$A309,入力シート!$AH$6:$AH$505,0),MATCH(体力優良証交付申請書!G$14,テーブル2[[#Headers],[学年]:[得点]],0)))</f>
        <v/>
      </c>
      <c r="H309" s="115" t="str">
        <f>IF($A309&gt;MAX(入力シート!$AH$6:$AH$505),"",INDEX(テーブル2[[学年]:[判定]],MATCH(体力優良証交付申請書!$A309,入力シート!$AH$6:$AH$505,0),MATCH(体力優良証交付申請書!H$14,テーブル2[[#Headers],[学年]:[得点]],0)))</f>
        <v/>
      </c>
      <c r="I309" s="115" t="str">
        <f>IF($A309&gt;MAX(入力シート!$AH$6:$AH$505),"",INDEX(テーブル2[[学年]:[判定]],MATCH(体力優良証交付申請書!$A309,入力シート!$AH$6:$AH$505,0),MATCH(体力優良証交付申請書!I$14,テーブル2[[#Headers],[学年]:[得点]],0)))</f>
        <v/>
      </c>
      <c r="J309" s="115" t="str">
        <f>IF($A309&gt;MAX(入力シート!$AH$6:$AH$505),"",INDEX(テーブル2[[学年]:[判定]],MATCH(体力優良証交付申請書!$A309,入力シート!$AH$6:$AH$505,0),MATCH(体力優良証交付申請書!J$14,テーブル2[[#Headers],[学年]:[得点]],0)))</f>
        <v/>
      </c>
      <c r="K309" s="129" t="str">
        <f>IF($A309&gt;MAX(入力シート!$AH$6:$AH$505),"",INDEX(テーブル2[[学年]:[判定]],MATCH(体力優良証交付申請書!$A309,入力シート!$AH$6:$AH$505,0),MATCH(体力優良証交付申請書!K$14,テーブル2[[#Headers],[学年]:[得点]],0)))</f>
        <v/>
      </c>
      <c r="L309" s="115" t="str">
        <f>IF($A309&gt;MAX(入力シート!$AH$6:$AH$505),"",INDEX(テーブル2[[学年]:[判定]],MATCH(体力優良証交付申請書!$A309,入力シート!$AH$6:$AH$505,0),MATCH(体力優良証交付申請書!L$14,テーブル2[[#Headers],[学年]:[得点]],0)))</f>
        <v/>
      </c>
      <c r="M309" s="115" t="str">
        <f>IF($A309&gt;MAX(入力シート!$AH$6:$AH$505),"",INDEX(テーブル2[[学年]:[判定]],MATCH(体力優良証交付申請書!$A309,入力シート!$AH$6:$AH$505,0),MATCH(体力優良証交付申請書!M$14,テーブル2[[#Headers],[学年]:[得点]],0)))</f>
        <v/>
      </c>
      <c r="N309" s="27" t="str">
        <f>IF($A309&gt;MAX(入力シート!$AH$6:$AH$505),"",INDEX(テーブル2[[学年]:[判定]],MATCH(体力優良証交付申請書!$A309,入力シート!$AH$6:$AH$505,0),MATCH(体力優良証交付申請書!N$14,テーブル2[[#Headers],[学年]:[得点]],0)))</f>
        <v/>
      </c>
    </row>
    <row r="310" spans="1:14" x14ac:dyDescent="0.15">
      <c r="A310" s="17">
        <v>296</v>
      </c>
      <c r="B310" s="115" t="str">
        <f>IF($A310&gt;MAX(入力シート!$AH$6:$AH$505),"",INDEX(テーブル2[[学年]:[判定]],MATCH(体力優良証交付申請書!$A310,入力シート!$AH$6:$AH$505,0),MATCH(体力優良証交付申請書!B$14,テーブル2[[#Headers],[学年]:[得点]],0)))</f>
        <v/>
      </c>
      <c r="C310" s="115" t="str">
        <f>IF($A310&gt;MAX(入力シート!$AH$6:$AH$505),"",INDEX(テーブル2[[学年]:[判定]],MATCH(体力優良証交付申請書!$A310,入力シート!$AH$6:$AH$505,0),MATCH(体力優良証交付申請書!C$14,テーブル2[[#Headers],[学年]:[得点]],0)))</f>
        <v/>
      </c>
      <c r="D310" s="115" t="str">
        <f>IF($A310&gt;MAX(入力シート!$AH$6:$AH$505),"",INDEX(テーブル2[[学年]:[判定]],MATCH(体力優良証交付申請書!$A310,入力シート!$AH$6:$AH$505,0),MATCH(体力優良証交付申請書!D$14,テーブル2[[#Headers],[学年]:[得点]],0)))</f>
        <v/>
      </c>
      <c r="E310" s="115" t="str">
        <f>IF($A310&gt;MAX(入力シート!$AH$6:$AH$505),"",INDEX(テーブル2[[学年]:[判定]],MATCH(体力優良証交付申請書!$A310,入力シート!$AH$6:$AH$505,0),MATCH(体力優良証交付申請書!E$14,テーブル2[[#Headers],[学年]:[得点]],0)))</f>
        <v/>
      </c>
      <c r="F310" s="115" t="str">
        <f>IF($A310&gt;MAX(入力シート!$AH$6:$AH$505),"",INDEX(テーブル2[[学年]:[判定]],MATCH(体力優良証交付申請書!$A310,入力シート!$AH$6:$AH$505,0),MATCH(体力優良証交付申請書!F$14,テーブル2[[#Headers],[学年]:[得点]],0)))</f>
        <v/>
      </c>
      <c r="G310" s="115" t="str">
        <f>IF($A310&gt;MAX(入力シート!$AH$6:$AH$505),"",INDEX(テーブル2[[学年]:[判定]],MATCH(体力優良証交付申請書!$A310,入力シート!$AH$6:$AH$505,0),MATCH(体力優良証交付申請書!G$14,テーブル2[[#Headers],[学年]:[得点]],0)))</f>
        <v/>
      </c>
      <c r="H310" s="115" t="str">
        <f>IF($A310&gt;MAX(入力シート!$AH$6:$AH$505),"",INDEX(テーブル2[[学年]:[判定]],MATCH(体力優良証交付申請書!$A310,入力シート!$AH$6:$AH$505,0),MATCH(体力優良証交付申請書!H$14,テーブル2[[#Headers],[学年]:[得点]],0)))</f>
        <v/>
      </c>
      <c r="I310" s="115" t="str">
        <f>IF($A310&gt;MAX(入力シート!$AH$6:$AH$505),"",INDEX(テーブル2[[学年]:[判定]],MATCH(体力優良証交付申請書!$A310,入力シート!$AH$6:$AH$505,0),MATCH(体力優良証交付申請書!I$14,テーブル2[[#Headers],[学年]:[得点]],0)))</f>
        <v/>
      </c>
      <c r="J310" s="115" t="str">
        <f>IF($A310&gt;MAX(入力シート!$AH$6:$AH$505),"",INDEX(テーブル2[[学年]:[判定]],MATCH(体力優良証交付申請書!$A310,入力シート!$AH$6:$AH$505,0),MATCH(体力優良証交付申請書!J$14,テーブル2[[#Headers],[学年]:[得点]],0)))</f>
        <v/>
      </c>
      <c r="K310" s="129" t="str">
        <f>IF($A310&gt;MAX(入力シート!$AH$6:$AH$505),"",INDEX(テーブル2[[学年]:[判定]],MATCH(体力優良証交付申請書!$A310,入力シート!$AH$6:$AH$505,0),MATCH(体力優良証交付申請書!K$14,テーブル2[[#Headers],[学年]:[得点]],0)))</f>
        <v/>
      </c>
      <c r="L310" s="115" t="str">
        <f>IF($A310&gt;MAX(入力シート!$AH$6:$AH$505),"",INDEX(テーブル2[[学年]:[判定]],MATCH(体力優良証交付申請書!$A310,入力シート!$AH$6:$AH$505,0),MATCH(体力優良証交付申請書!L$14,テーブル2[[#Headers],[学年]:[得点]],0)))</f>
        <v/>
      </c>
      <c r="M310" s="115" t="str">
        <f>IF($A310&gt;MAX(入力シート!$AH$6:$AH$505),"",INDEX(テーブル2[[学年]:[判定]],MATCH(体力優良証交付申請書!$A310,入力シート!$AH$6:$AH$505,0),MATCH(体力優良証交付申請書!M$14,テーブル2[[#Headers],[学年]:[得点]],0)))</f>
        <v/>
      </c>
      <c r="N310" s="27" t="str">
        <f>IF($A310&gt;MAX(入力シート!$AH$6:$AH$505),"",INDEX(テーブル2[[学年]:[判定]],MATCH(体力優良証交付申請書!$A310,入力シート!$AH$6:$AH$505,0),MATCH(体力優良証交付申請書!N$14,テーブル2[[#Headers],[学年]:[得点]],0)))</f>
        <v/>
      </c>
    </row>
    <row r="311" spans="1:14" x14ac:dyDescent="0.15">
      <c r="A311" s="17">
        <v>297</v>
      </c>
      <c r="B311" s="115" t="str">
        <f>IF($A311&gt;MAX(入力シート!$AH$6:$AH$505),"",INDEX(テーブル2[[学年]:[判定]],MATCH(体力優良証交付申請書!$A311,入力シート!$AH$6:$AH$505,0),MATCH(体力優良証交付申請書!B$14,テーブル2[[#Headers],[学年]:[得点]],0)))</f>
        <v/>
      </c>
      <c r="C311" s="115" t="str">
        <f>IF($A311&gt;MAX(入力シート!$AH$6:$AH$505),"",INDEX(テーブル2[[学年]:[判定]],MATCH(体力優良証交付申請書!$A311,入力シート!$AH$6:$AH$505,0),MATCH(体力優良証交付申請書!C$14,テーブル2[[#Headers],[学年]:[得点]],0)))</f>
        <v/>
      </c>
      <c r="D311" s="115" t="str">
        <f>IF($A311&gt;MAX(入力シート!$AH$6:$AH$505),"",INDEX(テーブル2[[学年]:[判定]],MATCH(体力優良証交付申請書!$A311,入力シート!$AH$6:$AH$505,0),MATCH(体力優良証交付申請書!D$14,テーブル2[[#Headers],[学年]:[得点]],0)))</f>
        <v/>
      </c>
      <c r="E311" s="115" t="str">
        <f>IF($A311&gt;MAX(入力シート!$AH$6:$AH$505),"",INDEX(テーブル2[[学年]:[判定]],MATCH(体力優良証交付申請書!$A311,入力シート!$AH$6:$AH$505,0),MATCH(体力優良証交付申請書!E$14,テーブル2[[#Headers],[学年]:[得点]],0)))</f>
        <v/>
      </c>
      <c r="F311" s="115" t="str">
        <f>IF($A311&gt;MAX(入力シート!$AH$6:$AH$505),"",INDEX(テーブル2[[学年]:[判定]],MATCH(体力優良証交付申請書!$A311,入力シート!$AH$6:$AH$505,0),MATCH(体力優良証交付申請書!F$14,テーブル2[[#Headers],[学年]:[得点]],0)))</f>
        <v/>
      </c>
      <c r="G311" s="115" t="str">
        <f>IF($A311&gt;MAX(入力シート!$AH$6:$AH$505),"",INDEX(テーブル2[[学年]:[判定]],MATCH(体力優良証交付申請書!$A311,入力シート!$AH$6:$AH$505,0),MATCH(体力優良証交付申請書!G$14,テーブル2[[#Headers],[学年]:[得点]],0)))</f>
        <v/>
      </c>
      <c r="H311" s="115" t="str">
        <f>IF($A311&gt;MAX(入力シート!$AH$6:$AH$505),"",INDEX(テーブル2[[学年]:[判定]],MATCH(体力優良証交付申請書!$A311,入力シート!$AH$6:$AH$505,0),MATCH(体力優良証交付申請書!H$14,テーブル2[[#Headers],[学年]:[得点]],0)))</f>
        <v/>
      </c>
      <c r="I311" s="115" t="str">
        <f>IF($A311&gt;MAX(入力シート!$AH$6:$AH$505),"",INDEX(テーブル2[[学年]:[判定]],MATCH(体力優良証交付申請書!$A311,入力シート!$AH$6:$AH$505,0),MATCH(体力優良証交付申請書!I$14,テーブル2[[#Headers],[学年]:[得点]],0)))</f>
        <v/>
      </c>
      <c r="J311" s="115" t="str">
        <f>IF($A311&gt;MAX(入力シート!$AH$6:$AH$505),"",INDEX(テーブル2[[学年]:[判定]],MATCH(体力優良証交付申請書!$A311,入力シート!$AH$6:$AH$505,0),MATCH(体力優良証交付申請書!J$14,テーブル2[[#Headers],[学年]:[得点]],0)))</f>
        <v/>
      </c>
      <c r="K311" s="129" t="str">
        <f>IF($A311&gt;MAX(入力シート!$AH$6:$AH$505),"",INDEX(テーブル2[[学年]:[判定]],MATCH(体力優良証交付申請書!$A311,入力シート!$AH$6:$AH$505,0),MATCH(体力優良証交付申請書!K$14,テーブル2[[#Headers],[学年]:[得点]],0)))</f>
        <v/>
      </c>
      <c r="L311" s="115" t="str">
        <f>IF($A311&gt;MAX(入力シート!$AH$6:$AH$505),"",INDEX(テーブル2[[学年]:[判定]],MATCH(体力優良証交付申請書!$A311,入力シート!$AH$6:$AH$505,0),MATCH(体力優良証交付申請書!L$14,テーブル2[[#Headers],[学年]:[得点]],0)))</f>
        <v/>
      </c>
      <c r="M311" s="115" t="str">
        <f>IF($A311&gt;MAX(入力シート!$AH$6:$AH$505),"",INDEX(テーブル2[[学年]:[判定]],MATCH(体力優良証交付申請書!$A311,入力シート!$AH$6:$AH$505,0),MATCH(体力優良証交付申請書!M$14,テーブル2[[#Headers],[学年]:[得点]],0)))</f>
        <v/>
      </c>
      <c r="N311" s="27" t="str">
        <f>IF($A311&gt;MAX(入力シート!$AH$6:$AH$505),"",INDEX(テーブル2[[学年]:[判定]],MATCH(体力優良証交付申請書!$A311,入力シート!$AH$6:$AH$505,0),MATCH(体力優良証交付申請書!N$14,テーブル2[[#Headers],[学年]:[得点]],0)))</f>
        <v/>
      </c>
    </row>
    <row r="312" spans="1:14" x14ac:dyDescent="0.15">
      <c r="A312" s="17">
        <v>298</v>
      </c>
      <c r="B312" s="115" t="str">
        <f>IF($A312&gt;MAX(入力シート!$AH$6:$AH$505),"",INDEX(テーブル2[[学年]:[判定]],MATCH(体力優良証交付申請書!$A312,入力シート!$AH$6:$AH$505,0),MATCH(体力優良証交付申請書!B$14,テーブル2[[#Headers],[学年]:[得点]],0)))</f>
        <v/>
      </c>
      <c r="C312" s="115" t="str">
        <f>IF($A312&gt;MAX(入力シート!$AH$6:$AH$505),"",INDEX(テーブル2[[学年]:[判定]],MATCH(体力優良証交付申請書!$A312,入力シート!$AH$6:$AH$505,0),MATCH(体力優良証交付申請書!C$14,テーブル2[[#Headers],[学年]:[得点]],0)))</f>
        <v/>
      </c>
      <c r="D312" s="115" t="str">
        <f>IF($A312&gt;MAX(入力シート!$AH$6:$AH$505),"",INDEX(テーブル2[[学年]:[判定]],MATCH(体力優良証交付申請書!$A312,入力シート!$AH$6:$AH$505,0),MATCH(体力優良証交付申請書!D$14,テーブル2[[#Headers],[学年]:[得点]],0)))</f>
        <v/>
      </c>
      <c r="E312" s="115" t="str">
        <f>IF($A312&gt;MAX(入力シート!$AH$6:$AH$505),"",INDEX(テーブル2[[学年]:[判定]],MATCH(体力優良証交付申請書!$A312,入力シート!$AH$6:$AH$505,0),MATCH(体力優良証交付申請書!E$14,テーブル2[[#Headers],[学年]:[得点]],0)))</f>
        <v/>
      </c>
      <c r="F312" s="115" t="str">
        <f>IF($A312&gt;MAX(入力シート!$AH$6:$AH$505),"",INDEX(テーブル2[[学年]:[判定]],MATCH(体力優良証交付申請書!$A312,入力シート!$AH$6:$AH$505,0),MATCH(体力優良証交付申請書!F$14,テーブル2[[#Headers],[学年]:[得点]],0)))</f>
        <v/>
      </c>
      <c r="G312" s="115" t="str">
        <f>IF($A312&gt;MAX(入力シート!$AH$6:$AH$505),"",INDEX(テーブル2[[学年]:[判定]],MATCH(体力優良証交付申請書!$A312,入力シート!$AH$6:$AH$505,0),MATCH(体力優良証交付申請書!G$14,テーブル2[[#Headers],[学年]:[得点]],0)))</f>
        <v/>
      </c>
      <c r="H312" s="115" t="str">
        <f>IF($A312&gt;MAX(入力シート!$AH$6:$AH$505),"",INDEX(テーブル2[[学年]:[判定]],MATCH(体力優良証交付申請書!$A312,入力シート!$AH$6:$AH$505,0),MATCH(体力優良証交付申請書!H$14,テーブル2[[#Headers],[学年]:[得点]],0)))</f>
        <v/>
      </c>
      <c r="I312" s="115" t="str">
        <f>IF($A312&gt;MAX(入力シート!$AH$6:$AH$505),"",INDEX(テーブル2[[学年]:[判定]],MATCH(体力優良証交付申請書!$A312,入力シート!$AH$6:$AH$505,0),MATCH(体力優良証交付申請書!I$14,テーブル2[[#Headers],[学年]:[得点]],0)))</f>
        <v/>
      </c>
      <c r="J312" s="115" t="str">
        <f>IF($A312&gt;MAX(入力シート!$AH$6:$AH$505),"",INDEX(テーブル2[[学年]:[判定]],MATCH(体力優良証交付申請書!$A312,入力シート!$AH$6:$AH$505,0),MATCH(体力優良証交付申請書!J$14,テーブル2[[#Headers],[学年]:[得点]],0)))</f>
        <v/>
      </c>
      <c r="K312" s="129" t="str">
        <f>IF($A312&gt;MAX(入力シート!$AH$6:$AH$505),"",INDEX(テーブル2[[学年]:[判定]],MATCH(体力優良証交付申請書!$A312,入力シート!$AH$6:$AH$505,0),MATCH(体力優良証交付申請書!K$14,テーブル2[[#Headers],[学年]:[得点]],0)))</f>
        <v/>
      </c>
      <c r="L312" s="115" t="str">
        <f>IF($A312&gt;MAX(入力シート!$AH$6:$AH$505),"",INDEX(テーブル2[[学年]:[判定]],MATCH(体力優良証交付申請書!$A312,入力シート!$AH$6:$AH$505,0),MATCH(体力優良証交付申請書!L$14,テーブル2[[#Headers],[学年]:[得点]],0)))</f>
        <v/>
      </c>
      <c r="M312" s="115" t="str">
        <f>IF($A312&gt;MAX(入力シート!$AH$6:$AH$505),"",INDEX(テーブル2[[学年]:[判定]],MATCH(体力優良証交付申請書!$A312,入力シート!$AH$6:$AH$505,0),MATCH(体力優良証交付申請書!M$14,テーブル2[[#Headers],[学年]:[得点]],0)))</f>
        <v/>
      </c>
      <c r="N312" s="27" t="str">
        <f>IF($A312&gt;MAX(入力シート!$AH$6:$AH$505),"",INDEX(テーブル2[[学年]:[判定]],MATCH(体力優良証交付申請書!$A312,入力シート!$AH$6:$AH$505,0),MATCH(体力優良証交付申請書!N$14,テーブル2[[#Headers],[学年]:[得点]],0)))</f>
        <v/>
      </c>
    </row>
    <row r="313" spans="1:14" x14ac:dyDescent="0.15">
      <c r="A313" s="17">
        <v>299</v>
      </c>
      <c r="B313" s="115" t="str">
        <f>IF($A313&gt;MAX(入力シート!$AH$6:$AH$505),"",INDEX(テーブル2[[学年]:[判定]],MATCH(体力優良証交付申請書!$A313,入力シート!$AH$6:$AH$505,0),MATCH(体力優良証交付申請書!B$14,テーブル2[[#Headers],[学年]:[得点]],0)))</f>
        <v/>
      </c>
      <c r="C313" s="115" t="str">
        <f>IF($A313&gt;MAX(入力シート!$AH$6:$AH$505),"",INDEX(テーブル2[[学年]:[判定]],MATCH(体力優良証交付申請書!$A313,入力シート!$AH$6:$AH$505,0),MATCH(体力優良証交付申請書!C$14,テーブル2[[#Headers],[学年]:[得点]],0)))</f>
        <v/>
      </c>
      <c r="D313" s="115" t="str">
        <f>IF($A313&gt;MAX(入力シート!$AH$6:$AH$505),"",INDEX(テーブル2[[学年]:[判定]],MATCH(体力優良証交付申請書!$A313,入力シート!$AH$6:$AH$505,0),MATCH(体力優良証交付申請書!D$14,テーブル2[[#Headers],[学年]:[得点]],0)))</f>
        <v/>
      </c>
      <c r="E313" s="115" t="str">
        <f>IF($A313&gt;MAX(入力シート!$AH$6:$AH$505),"",INDEX(テーブル2[[学年]:[判定]],MATCH(体力優良証交付申請書!$A313,入力シート!$AH$6:$AH$505,0),MATCH(体力優良証交付申請書!E$14,テーブル2[[#Headers],[学年]:[得点]],0)))</f>
        <v/>
      </c>
      <c r="F313" s="115" t="str">
        <f>IF($A313&gt;MAX(入力シート!$AH$6:$AH$505),"",INDEX(テーブル2[[学年]:[判定]],MATCH(体力優良証交付申請書!$A313,入力シート!$AH$6:$AH$505,0),MATCH(体力優良証交付申請書!F$14,テーブル2[[#Headers],[学年]:[得点]],0)))</f>
        <v/>
      </c>
      <c r="G313" s="115" t="str">
        <f>IF($A313&gt;MAX(入力シート!$AH$6:$AH$505),"",INDEX(テーブル2[[学年]:[判定]],MATCH(体力優良証交付申請書!$A313,入力シート!$AH$6:$AH$505,0),MATCH(体力優良証交付申請書!G$14,テーブル2[[#Headers],[学年]:[得点]],0)))</f>
        <v/>
      </c>
      <c r="H313" s="115" t="str">
        <f>IF($A313&gt;MAX(入力シート!$AH$6:$AH$505),"",INDEX(テーブル2[[学年]:[判定]],MATCH(体力優良証交付申請書!$A313,入力シート!$AH$6:$AH$505,0),MATCH(体力優良証交付申請書!H$14,テーブル2[[#Headers],[学年]:[得点]],0)))</f>
        <v/>
      </c>
      <c r="I313" s="115" t="str">
        <f>IF($A313&gt;MAX(入力シート!$AH$6:$AH$505),"",INDEX(テーブル2[[学年]:[判定]],MATCH(体力優良証交付申請書!$A313,入力シート!$AH$6:$AH$505,0),MATCH(体力優良証交付申請書!I$14,テーブル2[[#Headers],[学年]:[得点]],0)))</f>
        <v/>
      </c>
      <c r="J313" s="115" t="str">
        <f>IF($A313&gt;MAX(入力シート!$AH$6:$AH$505),"",INDEX(テーブル2[[学年]:[判定]],MATCH(体力優良証交付申請書!$A313,入力シート!$AH$6:$AH$505,0),MATCH(体力優良証交付申請書!J$14,テーブル2[[#Headers],[学年]:[得点]],0)))</f>
        <v/>
      </c>
      <c r="K313" s="129" t="str">
        <f>IF($A313&gt;MAX(入力シート!$AH$6:$AH$505),"",INDEX(テーブル2[[学年]:[判定]],MATCH(体力優良証交付申請書!$A313,入力シート!$AH$6:$AH$505,0),MATCH(体力優良証交付申請書!K$14,テーブル2[[#Headers],[学年]:[得点]],0)))</f>
        <v/>
      </c>
      <c r="L313" s="115" t="str">
        <f>IF($A313&gt;MAX(入力シート!$AH$6:$AH$505),"",INDEX(テーブル2[[学年]:[判定]],MATCH(体力優良証交付申請書!$A313,入力シート!$AH$6:$AH$505,0),MATCH(体力優良証交付申請書!L$14,テーブル2[[#Headers],[学年]:[得点]],0)))</f>
        <v/>
      </c>
      <c r="M313" s="115" t="str">
        <f>IF($A313&gt;MAX(入力シート!$AH$6:$AH$505),"",INDEX(テーブル2[[学年]:[判定]],MATCH(体力優良証交付申請書!$A313,入力シート!$AH$6:$AH$505,0),MATCH(体力優良証交付申請書!M$14,テーブル2[[#Headers],[学年]:[得点]],0)))</f>
        <v/>
      </c>
      <c r="N313" s="27" t="str">
        <f>IF($A313&gt;MAX(入力シート!$AH$6:$AH$505),"",INDEX(テーブル2[[学年]:[判定]],MATCH(体力優良証交付申請書!$A313,入力シート!$AH$6:$AH$505,0),MATCH(体力優良証交付申請書!N$14,テーブル2[[#Headers],[学年]:[得点]],0)))</f>
        <v/>
      </c>
    </row>
    <row r="314" spans="1:14" x14ac:dyDescent="0.15">
      <c r="A314" s="17">
        <v>300</v>
      </c>
      <c r="B314" s="115" t="str">
        <f>IF($A314&gt;MAX(入力シート!$AH$6:$AH$505),"",INDEX(テーブル2[[学年]:[判定]],MATCH(体力優良証交付申請書!$A314,入力シート!$AH$6:$AH$505,0),MATCH(体力優良証交付申請書!B$14,テーブル2[[#Headers],[学年]:[得点]],0)))</f>
        <v/>
      </c>
      <c r="C314" s="115" t="str">
        <f>IF($A314&gt;MAX(入力シート!$AH$6:$AH$505),"",INDEX(テーブル2[[学年]:[判定]],MATCH(体力優良証交付申請書!$A314,入力シート!$AH$6:$AH$505,0),MATCH(体力優良証交付申請書!C$14,テーブル2[[#Headers],[学年]:[得点]],0)))</f>
        <v/>
      </c>
      <c r="D314" s="115" t="str">
        <f>IF($A314&gt;MAX(入力シート!$AH$6:$AH$505),"",INDEX(テーブル2[[学年]:[判定]],MATCH(体力優良証交付申請書!$A314,入力シート!$AH$6:$AH$505,0),MATCH(体力優良証交付申請書!D$14,テーブル2[[#Headers],[学年]:[得点]],0)))</f>
        <v/>
      </c>
      <c r="E314" s="115" t="str">
        <f>IF($A314&gt;MAX(入力シート!$AH$6:$AH$505),"",INDEX(テーブル2[[学年]:[判定]],MATCH(体力優良証交付申請書!$A314,入力シート!$AH$6:$AH$505,0),MATCH(体力優良証交付申請書!E$14,テーブル2[[#Headers],[学年]:[得点]],0)))</f>
        <v/>
      </c>
      <c r="F314" s="115" t="str">
        <f>IF($A314&gt;MAX(入力シート!$AH$6:$AH$505),"",INDEX(テーブル2[[学年]:[判定]],MATCH(体力優良証交付申請書!$A314,入力シート!$AH$6:$AH$505,0),MATCH(体力優良証交付申請書!F$14,テーブル2[[#Headers],[学年]:[得点]],0)))</f>
        <v/>
      </c>
      <c r="G314" s="115" t="str">
        <f>IF($A314&gt;MAX(入力シート!$AH$6:$AH$505),"",INDEX(テーブル2[[学年]:[判定]],MATCH(体力優良証交付申請書!$A314,入力シート!$AH$6:$AH$505,0),MATCH(体力優良証交付申請書!G$14,テーブル2[[#Headers],[学年]:[得点]],0)))</f>
        <v/>
      </c>
      <c r="H314" s="115" t="str">
        <f>IF($A314&gt;MAX(入力シート!$AH$6:$AH$505),"",INDEX(テーブル2[[学年]:[判定]],MATCH(体力優良証交付申請書!$A314,入力シート!$AH$6:$AH$505,0),MATCH(体力優良証交付申請書!H$14,テーブル2[[#Headers],[学年]:[得点]],0)))</f>
        <v/>
      </c>
      <c r="I314" s="115" t="str">
        <f>IF($A314&gt;MAX(入力シート!$AH$6:$AH$505),"",INDEX(テーブル2[[学年]:[判定]],MATCH(体力優良証交付申請書!$A314,入力シート!$AH$6:$AH$505,0),MATCH(体力優良証交付申請書!I$14,テーブル2[[#Headers],[学年]:[得点]],0)))</f>
        <v/>
      </c>
      <c r="J314" s="115" t="str">
        <f>IF($A314&gt;MAX(入力シート!$AH$6:$AH$505),"",INDEX(テーブル2[[学年]:[判定]],MATCH(体力優良証交付申請書!$A314,入力シート!$AH$6:$AH$505,0),MATCH(体力優良証交付申請書!J$14,テーブル2[[#Headers],[学年]:[得点]],0)))</f>
        <v/>
      </c>
      <c r="K314" s="129" t="str">
        <f>IF($A314&gt;MAX(入力シート!$AH$6:$AH$505),"",INDEX(テーブル2[[学年]:[判定]],MATCH(体力優良証交付申請書!$A314,入力シート!$AH$6:$AH$505,0),MATCH(体力優良証交付申請書!K$14,テーブル2[[#Headers],[学年]:[得点]],0)))</f>
        <v/>
      </c>
      <c r="L314" s="115" t="str">
        <f>IF($A314&gt;MAX(入力シート!$AH$6:$AH$505),"",INDEX(テーブル2[[学年]:[判定]],MATCH(体力優良証交付申請書!$A314,入力シート!$AH$6:$AH$505,0),MATCH(体力優良証交付申請書!L$14,テーブル2[[#Headers],[学年]:[得点]],0)))</f>
        <v/>
      </c>
      <c r="M314" s="115" t="str">
        <f>IF($A314&gt;MAX(入力シート!$AH$6:$AH$505),"",INDEX(テーブル2[[学年]:[判定]],MATCH(体力優良証交付申請書!$A314,入力シート!$AH$6:$AH$505,0),MATCH(体力優良証交付申請書!M$14,テーブル2[[#Headers],[学年]:[得点]],0)))</f>
        <v/>
      </c>
      <c r="N314" s="27" t="str">
        <f>IF($A314&gt;MAX(入力シート!$AH$6:$AH$505),"",INDEX(テーブル2[[学年]:[判定]],MATCH(体力優良証交付申請書!$A314,入力シート!$AH$6:$AH$505,0),MATCH(体力優良証交付申請書!N$14,テーブル2[[#Headers],[学年]:[得点]],0)))</f>
        <v/>
      </c>
    </row>
  </sheetData>
  <sheetProtection algorithmName="SHA-512" hashValue="wZINqlXisH8oexgbo9fZ7hlyNMq5TlctpRSocmEjlUBRSC+a54ZwYiTyIVG4cnxNxlxwSpAekR2Y/x6Gr0lU/A==" saltValue="X0m3r9x0XcwyY9BTd231jA==" spinCount="100000" sheet="1" objects="1" scenarios="1"/>
  <protectedRanges>
    <protectedRange sqref="I4" name="範囲1"/>
  </protectedRanges>
  <mergeCells count="8">
    <mergeCell ref="E13:M13"/>
    <mergeCell ref="A6:C6"/>
    <mergeCell ref="A2:N2"/>
    <mergeCell ref="I8:N8"/>
    <mergeCell ref="I9:N9"/>
    <mergeCell ref="G8:H8"/>
    <mergeCell ref="G9:H9"/>
    <mergeCell ref="I4:J4"/>
  </mergeCells>
  <phoneticPr fontId="1"/>
  <dataValidations count="3">
    <dataValidation type="list" allowBlank="1" showInputMessage="1" showErrorMessage="1" sqref="K4">
      <formula1>"4,5,6,7,8,9,10,11,12"</formula1>
    </dataValidation>
    <dataValidation type="list" allowBlank="1" showInputMessage="1" showErrorMessage="1" sqref="M4">
      <formula1>"1,2,3,4,5,6,7,8,9,10,11,12,13,14,15,16,17,18,19,20,21,22,23,24,25,26,27,28,29,30,31"</formula1>
    </dataValidation>
    <dataValidation type="list" allowBlank="1" showInputMessage="1" showErrorMessage="1" sqref="I4:J4">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R10"/>
  <sheetViews>
    <sheetView zoomScaleNormal="100" workbookViewId="0">
      <selection activeCell="J15" sqref="J15"/>
    </sheetView>
  </sheetViews>
  <sheetFormatPr defaultRowHeight="13.5" x14ac:dyDescent="0.15"/>
  <cols>
    <col min="1" max="1" width="5.875" style="160" customWidth="1"/>
    <col min="2" max="3" width="6.375" style="160" customWidth="1"/>
    <col min="4" max="13" width="8.5" style="160" bestFit="1" customWidth="1"/>
    <col min="14" max="14" width="8.75" style="160" customWidth="1"/>
    <col min="15" max="15" width="9.375" style="160" customWidth="1"/>
    <col min="16" max="16" width="8.625" style="160" customWidth="1"/>
    <col min="17" max="19" width="3.75" style="160" customWidth="1"/>
    <col min="20" max="20" width="5.875" style="160" customWidth="1"/>
    <col min="21" max="256" width="9" style="160"/>
    <col min="257" max="257" width="3.5" style="160" bestFit="1" customWidth="1"/>
    <col min="258" max="258" width="13.125" style="160" customWidth="1"/>
    <col min="259" max="270" width="5.25" style="160" customWidth="1"/>
    <col min="271" max="271" width="3.75" style="160" customWidth="1"/>
    <col min="272" max="272" width="2.625" style="160" customWidth="1"/>
    <col min="273" max="275" width="3.75" style="160" customWidth="1"/>
    <col min="276" max="276" width="5.875" style="160" customWidth="1"/>
    <col min="277" max="512" width="9" style="160"/>
    <col min="513" max="513" width="3.5" style="160" bestFit="1" customWidth="1"/>
    <col min="514" max="514" width="13.125" style="160" customWidth="1"/>
    <col min="515" max="526" width="5.25" style="160" customWidth="1"/>
    <col min="527" max="527" width="3.75" style="160" customWidth="1"/>
    <col min="528" max="528" width="2.625" style="160" customWidth="1"/>
    <col min="529" max="531" width="3.75" style="160" customWidth="1"/>
    <col min="532" max="532" width="5.875" style="160" customWidth="1"/>
    <col min="533" max="768" width="9" style="160"/>
    <col min="769" max="769" width="3.5" style="160" bestFit="1" customWidth="1"/>
    <col min="770" max="770" width="13.125" style="160" customWidth="1"/>
    <col min="771" max="782" width="5.25" style="160" customWidth="1"/>
    <col min="783" max="783" width="3.75" style="160" customWidth="1"/>
    <col min="784" max="784" width="2.625" style="160" customWidth="1"/>
    <col min="785" max="787" width="3.75" style="160" customWidth="1"/>
    <col min="788" max="788" width="5.875" style="160" customWidth="1"/>
    <col min="789" max="1024" width="9" style="160"/>
    <col min="1025" max="1025" width="3.5" style="160" bestFit="1" customWidth="1"/>
    <col min="1026" max="1026" width="13.125" style="160" customWidth="1"/>
    <col min="1027" max="1038" width="5.25" style="160" customWidth="1"/>
    <col min="1039" max="1039" width="3.75" style="160" customWidth="1"/>
    <col min="1040" max="1040" width="2.625" style="160" customWidth="1"/>
    <col min="1041" max="1043" width="3.75" style="160" customWidth="1"/>
    <col min="1044" max="1044" width="5.875" style="160" customWidth="1"/>
    <col min="1045" max="1280" width="9" style="160"/>
    <col min="1281" max="1281" width="3.5" style="160" bestFit="1" customWidth="1"/>
    <col min="1282" max="1282" width="13.125" style="160" customWidth="1"/>
    <col min="1283" max="1294" width="5.25" style="160" customWidth="1"/>
    <col min="1295" max="1295" width="3.75" style="160" customWidth="1"/>
    <col min="1296" max="1296" width="2.625" style="160" customWidth="1"/>
    <col min="1297" max="1299" width="3.75" style="160" customWidth="1"/>
    <col min="1300" max="1300" width="5.875" style="160" customWidth="1"/>
    <col min="1301" max="1536" width="9" style="160"/>
    <col min="1537" max="1537" width="3.5" style="160" bestFit="1" customWidth="1"/>
    <col min="1538" max="1538" width="13.125" style="160" customWidth="1"/>
    <col min="1539" max="1550" width="5.25" style="160" customWidth="1"/>
    <col min="1551" max="1551" width="3.75" style="160" customWidth="1"/>
    <col min="1552" max="1552" width="2.625" style="160" customWidth="1"/>
    <col min="1553" max="1555" width="3.75" style="160" customWidth="1"/>
    <col min="1556" max="1556" width="5.875" style="160" customWidth="1"/>
    <col min="1557" max="1792" width="9" style="160"/>
    <col min="1793" max="1793" width="3.5" style="160" bestFit="1" customWidth="1"/>
    <col min="1794" max="1794" width="13.125" style="160" customWidth="1"/>
    <col min="1795" max="1806" width="5.25" style="160" customWidth="1"/>
    <col min="1807" max="1807" width="3.75" style="160" customWidth="1"/>
    <col min="1808" max="1808" width="2.625" style="160" customWidth="1"/>
    <col min="1809" max="1811" width="3.75" style="160" customWidth="1"/>
    <col min="1812" max="1812" width="5.875" style="160" customWidth="1"/>
    <col min="1813" max="2048" width="9" style="160"/>
    <col min="2049" max="2049" width="3.5" style="160" bestFit="1" customWidth="1"/>
    <col min="2050" max="2050" width="13.125" style="160" customWidth="1"/>
    <col min="2051" max="2062" width="5.25" style="160" customWidth="1"/>
    <col min="2063" max="2063" width="3.75" style="160" customWidth="1"/>
    <col min="2064" max="2064" width="2.625" style="160" customWidth="1"/>
    <col min="2065" max="2067" width="3.75" style="160" customWidth="1"/>
    <col min="2068" max="2068" width="5.875" style="160" customWidth="1"/>
    <col min="2069" max="2304" width="9" style="160"/>
    <col min="2305" max="2305" width="3.5" style="160" bestFit="1" customWidth="1"/>
    <col min="2306" max="2306" width="13.125" style="160" customWidth="1"/>
    <col min="2307" max="2318" width="5.25" style="160" customWidth="1"/>
    <col min="2319" max="2319" width="3.75" style="160" customWidth="1"/>
    <col min="2320" max="2320" width="2.625" style="160" customWidth="1"/>
    <col min="2321" max="2323" width="3.75" style="160" customWidth="1"/>
    <col min="2324" max="2324" width="5.875" style="160" customWidth="1"/>
    <col min="2325" max="2560" width="9" style="160"/>
    <col min="2561" max="2561" width="3.5" style="160" bestFit="1" customWidth="1"/>
    <col min="2562" max="2562" width="13.125" style="160" customWidth="1"/>
    <col min="2563" max="2574" width="5.25" style="160" customWidth="1"/>
    <col min="2575" max="2575" width="3.75" style="160" customWidth="1"/>
    <col min="2576" max="2576" width="2.625" style="160" customWidth="1"/>
    <col min="2577" max="2579" width="3.75" style="160" customWidth="1"/>
    <col min="2580" max="2580" width="5.875" style="160" customWidth="1"/>
    <col min="2581" max="2816" width="9" style="160"/>
    <col min="2817" max="2817" width="3.5" style="160" bestFit="1" customWidth="1"/>
    <col min="2818" max="2818" width="13.125" style="160" customWidth="1"/>
    <col min="2819" max="2830" width="5.25" style="160" customWidth="1"/>
    <col min="2831" max="2831" width="3.75" style="160" customWidth="1"/>
    <col min="2832" max="2832" width="2.625" style="160" customWidth="1"/>
    <col min="2833" max="2835" width="3.75" style="160" customWidth="1"/>
    <col min="2836" max="2836" width="5.875" style="160" customWidth="1"/>
    <col min="2837" max="3072" width="9" style="160"/>
    <col min="3073" max="3073" width="3.5" style="160" bestFit="1" customWidth="1"/>
    <col min="3074" max="3074" width="13.125" style="160" customWidth="1"/>
    <col min="3075" max="3086" width="5.25" style="160" customWidth="1"/>
    <col min="3087" max="3087" width="3.75" style="160" customWidth="1"/>
    <col min="3088" max="3088" width="2.625" style="160" customWidth="1"/>
    <col min="3089" max="3091" width="3.75" style="160" customWidth="1"/>
    <col min="3092" max="3092" width="5.875" style="160" customWidth="1"/>
    <col min="3093" max="3328" width="9" style="160"/>
    <col min="3329" max="3329" width="3.5" style="160" bestFit="1" customWidth="1"/>
    <col min="3330" max="3330" width="13.125" style="160" customWidth="1"/>
    <col min="3331" max="3342" width="5.25" style="160" customWidth="1"/>
    <col min="3343" max="3343" width="3.75" style="160" customWidth="1"/>
    <col min="3344" max="3344" width="2.625" style="160" customWidth="1"/>
    <col min="3345" max="3347" width="3.75" style="160" customWidth="1"/>
    <col min="3348" max="3348" width="5.875" style="160" customWidth="1"/>
    <col min="3349" max="3584" width="9" style="160"/>
    <col min="3585" max="3585" width="3.5" style="160" bestFit="1" customWidth="1"/>
    <col min="3586" max="3586" width="13.125" style="160" customWidth="1"/>
    <col min="3587" max="3598" width="5.25" style="160" customWidth="1"/>
    <col min="3599" max="3599" width="3.75" style="160" customWidth="1"/>
    <col min="3600" max="3600" width="2.625" style="160" customWidth="1"/>
    <col min="3601" max="3603" width="3.75" style="160" customWidth="1"/>
    <col min="3604" max="3604" width="5.875" style="160" customWidth="1"/>
    <col min="3605" max="3840" width="9" style="160"/>
    <col min="3841" max="3841" width="3.5" style="160" bestFit="1" customWidth="1"/>
    <col min="3842" max="3842" width="13.125" style="160" customWidth="1"/>
    <col min="3843" max="3854" width="5.25" style="160" customWidth="1"/>
    <col min="3855" max="3855" width="3.75" style="160" customWidth="1"/>
    <col min="3856" max="3856" width="2.625" style="160" customWidth="1"/>
    <col min="3857" max="3859" width="3.75" style="160" customWidth="1"/>
    <col min="3860" max="3860" width="5.875" style="160" customWidth="1"/>
    <col min="3861" max="4096" width="9" style="160"/>
    <col min="4097" max="4097" width="3.5" style="160" bestFit="1" customWidth="1"/>
    <col min="4098" max="4098" width="13.125" style="160" customWidth="1"/>
    <col min="4099" max="4110" width="5.25" style="160" customWidth="1"/>
    <col min="4111" max="4111" width="3.75" style="160" customWidth="1"/>
    <col min="4112" max="4112" width="2.625" style="160" customWidth="1"/>
    <col min="4113" max="4115" width="3.75" style="160" customWidth="1"/>
    <col min="4116" max="4116" width="5.875" style="160" customWidth="1"/>
    <col min="4117" max="4352" width="9" style="160"/>
    <col min="4353" max="4353" width="3.5" style="160" bestFit="1" customWidth="1"/>
    <col min="4354" max="4354" width="13.125" style="160" customWidth="1"/>
    <col min="4355" max="4366" width="5.25" style="160" customWidth="1"/>
    <col min="4367" max="4367" width="3.75" style="160" customWidth="1"/>
    <col min="4368" max="4368" width="2.625" style="160" customWidth="1"/>
    <col min="4369" max="4371" width="3.75" style="160" customWidth="1"/>
    <col min="4372" max="4372" width="5.875" style="160" customWidth="1"/>
    <col min="4373" max="4608" width="9" style="160"/>
    <col min="4609" max="4609" width="3.5" style="160" bestFit="1" customWidth="1"/>
    <col min="4610" max="4610" width="13.125" style="160" customWidth="1"/>
    <col min="4611" max="4622" width="5.25" style="160" customWidth="1"/>
    <col min="4623" max="4623" width="3.75" style="160" customWidth="1"/>
    <col min="4624" max="4624" width="2.625" style="160" customWidth="1"/>
    <col min="4625" max="4627" width="3.75" style="160" customWidth="1"/>
    <col min="4628" max="4628" width="5.875" style="160" customWidth="1"/>
    <col min="4629" max="4864" width="9" style="160"/>
    <col min="4865" max="4865" width="3.5" style="160" bestFit="1" customWidth="1"/>
    <col min="4866" max="4866" width="13.125" style="160" customWidth="1"/>
    <col min="4867" max="4878" width="5.25" style="160" customWidth="1"/>
    <col min="4879" max="4879" width="3.75" style="160" customWidth="1"/>
    <col min="4880" max="4880" width="2.625" style="160" customWidth="1"/>
    <col min="4881" max="4883" width="3.75" style="160" customWidth="1"/>
    <col min="4884" max="4884" width="5.875" style="160" customWidth="1"/>
    <col min="4885" max="5120" width="9" style="160"/>
    <col min="5121" max="5121" width="3.5" style="160" bestFit="1" customWidth="1"/>
    <col min="5122" max="5122" width="13.125" style="160" customWidth="1"/>
    <col min="5123" max="5134" width="5.25" style="160" customWidth="1"/>
    <col min="5135" max="5135" width="3.75" style="160" customWidth="1"/>
    <col min="5136" max="5136" width="2.625" style="160" customWidth="1"/>
    <col min="5137" max="5139" width="3.75" style="160" customWidth="1"/>
    <col min="5140" max="5140" width="5.875" style="160" customWidth="1"/>
    <col min="5141" max="5376" width="9" style="160"/>
    <col min="5377" max="5377" width="3.5" style="160" bestFit="1" customWidth="1"/>
    <col min="5378" max="5378" width="13.125" style="160" customWidth="1"/>
    <col min="5379" max="5390" width="5.25" style="160" customWidth="1"/>
    <col min="5391" max="5391" width="3.75" style="160" customWidth="1"/>
    <col min="5392" max="5392" width="2.625" style="160" customWidth="1"/>
    <col min="5393" max="5395" width="3.75" style="160" customWidth="1"/>
    <col min="5396" max="5396" width="5.875" style="160" customWidth="1"/>
    <col min="5397" max="5632" width="9" style="160"/>
    <col min="5633" max="5633" width="3.5" style="160" bestFit="1" customWidth="1"/>
    <col min="5634" max="5634" width="13.125" style="160" customWidth="1"/>
    <col min="5635" max="5646" width="5.25" style="160" customWidth="1"/>
    <col min="5647" max="5647" width="3.75" style="160" customWidth="1"/>
    <col min="5648" max="5648" width="2.625" style="160" customWidth="1"/>
    <col min="5649" max="5651" width="3.75" style="160" customWidth="1"/>
    <col min="5652" max="5652" width="5.875" style="160" customWidth="1"/>
    <col min="5653" max="5888" width="9" style="160"/>
    <col min="5889" max="5889" width="3.5" style="160" bestFit="1" customWidth="1"/>
    <col min="5890" max="5890" width="13.125" style="160" customWidth="1"/>
    <col min="5891" max="5902" width="5.25" style="160" customWidth="1"/>
    <col min="5903" max="5903" width="3.75" style="160" customWidth="1"/>
    <col min="5904" max="5904" width="2.625" style="160" customWidth="1"/>
    <col min="5905" max="5907" width="3.75" style="160" customWidth="1"/>
    <col min="5908" max="5908" width="5.875" style="160" customWidth="1"/>
    <col min="5909" max="6144" width="9" style="160"/>
    <col min="6145" max="6145" width="3.5" style="160" bestFit="1" customWidth="1"/>
    <col min="6146" max="6146" width="13.125" style="160" customWidth="1"/>
    <col min="6147" max="6158" width="5.25" style="160" customWidth="1"/>
    <col min="6159" max="6159" width="3.75" style="160" customWidth="1"/>
    <col min="6160" max="6160" width="2.625" style="160" customWidth="1"/>
    <col min="6161" max="6163" width="3.75" style="160" customWidth="1"/>
    <col min="6164" max="6164" width="5.875" style="160" customWidth="1"/>
    <col min="6165" max="6400" width="9" style="160"/>
    <col min="6401" max="6401" width="3.5" style="160" bestFit="1" customWidth="1"/>
    <col min="6402" max="6402" width="13.125" style="160" customWidth="1"/>
    <col min="6403" max="6414" width="5.25" style="160" customWidth="1"/>
    <col min="6415" max="6415" width="3.75" style="160" customWidth="1"/>
    <col min="6416" max="6416" width="2.625" style="160" customWidth="1"/>
    <col min="6417" max="6419" width="3.75" style="160" customWidth="1"/>
    <col min="6420" max="6420" width="5.875" style="160" customWidth="1"/>
    <col min="6421" max="6656" width="9" style="160"/>
    <col min="6657" max="6657" width="3.5" style="160" bestFit="1" customWidth="1"/>
    <col min="6658" max="6658" width="13.125" style="160" customWidth="1"/>
    <col min="6659" max="6670" width="5.25" style="160" customWidth="1"/>
    <col min="6671" max="6671" width="3.75" style="160" customWidth="1"/>
    <col min="6672" max="6672" width="2.625" style="160" customWidth="1"/>
    <col min="6673" max="6675" width="3.75" style="160" customWidth="1"/>
    <col min="6676" max="6676" width="5.875" style="160" customWidth="1"/>
    <col min="6677" max="6912" width="9" style="160"/>
    <col min="6913" max="6913" width="3.5" style="160" bestFit="1" customWidth="1"/>
    <col min="6914" max="6914" width="13.125" style="160" customWidth="1"/>
    <col min="6915" max="6926" width="5.25" style="160" customWidth="1"/>
    <col min="6927" max="6927" width="3.75" style="160" customWidth="1"/>
    <col min="6928" max="6928" width="2.625" style="160" customWidth="1"/>
    <col min="6929" max="6931" width="3.75" style="160" customWidth="1"/>
    <col min="6932" max="6932" width="5.875" style="160" customWidth="1"/>
    <col min="6933" max="7168" width="9" style="160"/>
    <col min="7169" max="7169" width="3.5" style="160" bestFit="1" customWidth="1"/>
    <col min="7170" max="7170" width="13.125" style="160" customWidth="1"/>
    <col min="7171" max="7182" width="5.25" style="160" customWidth="1"/>
    <col min="7183" max="7183" width="3.75" style="160" customWidth="1"/>
    <col min="7184" max="7184" width="2.625" style="160" customWidth="1"/>
    <col min="7185" max="7187" width="3.75" style="160" customWidth="1"/>
    <col min="7188" max="7188" width="5.875" style="160" customWidth="1"/>
    <col min="7189" max="7424" width="9" style="160"/>
    <col min="7425" max="7425" width="3.5" style="160" bestFit="1" customWidth="1"/>
    <col min="7426" max="7426" width="13.125" style="160" customWidth="1"/>
    <col min="7427" max="7438" width="5.25" style="160" customWidth="1"/>
    <col min="7439" max="7439" width="3.75" style="160" customWidth="1"/>
    <col min="7440" max="7440" width="2.625" style="160" customWidth="1"/>
    <col min="7441" max="7443" width="3.75" style="160" customWidth="1"/>
    <col min="7444" max="7444" width="5.875" style="160" customWidth="1"/>
    <col min="7445" max="7680" width="9" style="160"/>
    <col min="7681" max="7681" width="3.5" style="160" bestFit="1" customWidth="1"/>
    <col min="7682" max="7682" width="13.125" style="160" customWidth="1"/>
    <col min="7683" max="7694" width="5.25" style="160" customWidth="1"/>
    <col min="7695" max="7695" width="3.75" style="160" customWidth="1"/>
    <col min="7696" max="7696" width="2.625" style="160" customWidth="1"/>
    <col min="7697" max="7699" width="3.75" style="160" customWidth="1"/>
    <col min="7700" max="7700" width="5.875" style="160" customWidth="1"/>
    <col min="7701" max="7936" width="9" style="160"/>
    <col min="7937" max="7937" width="3.5" style="160" bestFit="1" customWidth="1"/>
    <col min="7938" max="7938" width="13.125" style="160" customWidth="1"/>
    <col min="7939" max="7950" width="5.25" style="160" customWidth="1"/>
    <col min="7951" max="7951" width="3.75" style="160" customWidth="1"/>
    <col min="7952" max="7952" width="2.625" style="160" customWidth="1"/>
    <col min="7953" max="7955" width="3.75" style="160" customWidth="1"/>
    <col min="7956" max="7956" width="5.875" style="160" customWidth="1"/>
    <col min="7957" max="8192" width="9" style="160"/>
    <col min="8193" max="8193" width="3.5" style="160" bestFit="1" customWidth="1"/>
    <col min="8194" max="8194" width="13.125" style="160" customWidth="1"/>
    <col min="8195" max="8206" width="5.25" style="160" customWidth="1"/>
    <col min="8207" max="8207" width="3.75" style="160" customWidth="1"/>
    <col min="8208" max="8208" width="2.625" style="160" customWidth="1"/>
    <col min="8209" max="8211" width="3.75" style="160" customWidth="1"/>
    <col min="8212" max="8212" width="5.875" style="160" customWidth="1"/>
    <col min="8213" max="8448" width="9" style="160"/>
    <col min="8449" max="8449" width="3.5" style="160" bestFit="1" customWidth="1"/>
    <col min="8450" max="8450" width="13.125" style="160" customWidth="1"/>
    <col min="8451" max="8462" width="5.25" style="160" customWidth="1"/>
    <col min="8463" max="8463" width="3.75" style="160" customWidth="1"/>
    <col min="8464" max="8464" width="2.625" style="160" customWidth="1"/>
    <col min="8465" max="8467" width="3.75" style="160" customWidth="1"/>
    <col min="8468" max="8468" width="5.875" style="160" customWidth="1"/>
    <col min="8469" max="8704" width="9" style="160"/>
    <col min="8705" max="8705" width="3.5" style="160" bestFit="1" customWidth="1"/>
    <col min="8706" max="8706" width="13.125" style="160" customWidth="1"/>
    <col min="8707" max="8718" width="5.25" style="160" customWidth="1"/>
    <col min="8719" max="8719" width="3.75" style="160" customWidth="1"/>
    <col min="8720" max="8720" width="2.625" style="160" customWidth="1"/>
    <col min="8721" max="8723" width="3.75" style="160" customWidth="1"/>
    <col min="8724" max="8724" width="5.875" style="160" customWidth="1"/>
    <col min="8725" max="8960" width="9" style="160"/>
    <col min="8961" max="8961" width="3.5" style="160" bestFit="1" customWidth="1"/>
    <col min="8962" max="8962" width="13.125" style="160" customWidth="1"/>
    <col min="8963" max="8974" width="5.25" style="160" customWidth="1"/>
    <col min="8975" max="8975" width="3.75" style="160" customWidth="1"/>
    <col min="8976" max="8976" width="2.625" style="160" customWidth="1"/>
    <col min="8977" max="8979" width="3.75" style="160" customWidth="1"/>
    <col min="8980" max="8980" width="5.875" style="160" customWidth="1"/>
    <col min="8981" max="9216" width="9" style="160"/>
    <col min="9217" max="9217" width="3.5" style="160" bestFit="1" customWidth="1"/>
    <col min="9218" max="9218" width="13.125" style="160" customWidth="1"/>
    <col min="9219" max="9230" width="5.25" style="160" customWidth="1"/>
    <col min="9231" max="9231" width="3.75" style="160" customWidth="1"/>
    <col min="9232" max="9232" width="2.625" style="160" customWidth="1"/>
    <col min="9233" max="9235" width="3.75" style="160" customWidth="1"/>
    <col min="9236" max="9236" width="5.875" style="160" customWidth="1"/>
    <col min="9237" max="9472" width="9" style="160"/>
    <col min="9473" max="9473" width="3.5" style="160" bestFit="1" customWidth="1"/>
    <col min="9474" max="9474" width="13.125" style="160" customWidth="1"/>
    <col min="9475" max="9486" width="5.25" style="160" customWidth="1"/>
    <col min="9487" max="9487" width="3.75" style="160" customWidth="1"/>
    <col min="9488" max="9488" width="2.625" style="160" customWidth="1"/>
    <col min="9489" max="9491" width="3.75" style="160" customWidth="1"/>
    <col min="9492" max="9492" width="5.875" style="160" customWidth="1"/>
    <col min="9493" max="9728" width="9" style="160"/>
    <col min="9729" max="9729" width="3.5" style="160" bestFit="1" customWidth="1"/>
    <col min="9730" max="9730" width="13.125" style="160" customWidth="1"/>
    <col min="9731" max="9742" width="5.25" style="160" customWidth="1"/>
    <col min="9743" max="9743" width="3.75" style="160" customWidth="1"/>
    <col min="9744" max="9744" width="2.625" style="160" customWidth="1"/>
    <col min="9745" max="9747" width="3.75" style="160" customWidth="1"/>
    <col min="9748" max="9748" width="5.875" style="160" customWidth="1"/>
    <col min="9749" max="9984" width="9" style="160"/>
    <col min="9985" max="9985" width="3.5" style="160" bestFit="1" customWidth="1"/>
    <col min="9986" max="9986" width="13.125" style="160" customWidth="1"/>
    <col min="9987" max="9998" width="5.25" style="160" customWidth="1"/>
    <col min="9999" max="9999" width="3.75" style="160" customWidth="1"/>
    <col min="10000" max="10000" width="2.625" style="160" customWidth="1"/>
    <col min="10001" max="10003" width="3.75" style="160" customWidth="1"/>
    <col min="10004" max="10004" width="5.875" style="160" customWidth="1"/>
    <col min="10005" max="10240" width="9" style="160"/>
    <col min="10241" max="10241" width="3.5" style="160" bestFit="1" customWidth="1"/>
    <col min="10242" max="10242" width="13.125" style="160" customWidth="1"/>
    <col min="10243" max="10254" width="5.25" style="160" customWidth="1"/>
    <col min="10255" max="10255" width="3.75" style="160" customWidth="1"/>
    <col min="10256" max="10256" width="2.625" style="160" customWidth="1"/>
    <col min="10257" max="10259" width="3.75" style="160" customWidth="1"/>
    <col min="10260" max="10260" width="5.875" style="160" customWidth="1"/>
    <col min="10261" max="10496" width="9" style="160"/>
    <col min="10497" max="10497" width="3.5" style="160" bestFit="1" customWidth="1"/>
    <col min="10498" max="10498" width="13.125" style="160" customWidth="1"/>
    <col min="10499" max="10510" width="5.25" style="160" customWidth="1"/>
    <col min="10511" max="10511" width="3.75" style="160" customWidth="1"/>
    <col min="10512" max="10512" width="2.625" style="160" customWidth="1"/>
    <col min="10513" max="10515" width="3.75" style="160" customWidth="1"/>
    <col min="10516" max="10516" width="5.875" style="160" customWidth="1"/>
    <col min="10517" max="10752" width="9" style="160"/>
    <col min="10753" max="10753" width="3.5" style="160" bestFit="1" customWidth="1"/>
    <col min="10754" max="10754" width="13.125" style="160" customWidth="1"/>
    <col min="10755" max="10766" width="5.25" style="160" customWidth="1"/>
    <col min="10767" max="10767" width="3.75" style="160" customWidth="1"/>
    <col min="10768" max="10768" width="2.625" style="160" customWidth="1"/>
    <col min="10769" max="10771" width="3.75" style="160" customWidth="1"/>
    <col min="10772" max="10772" width="5.875" style="160" customWidth="1"/>
    <col min="10773" max="11008" width="9" style="160"/>
    <col min="11009" max="11009" width="3.5" style="160" bestFit="1" customWidth="1"/>
    <col min="11010" max="11010" width="13.125" style="160" customWidth="1"/>
    <col min="11011" max="11022" width="5.25" style="160" customWidth="1"/>
    <col min="11023" max="11023" width="3.75" style="160" customWidth="1"/>
    <col min="11024" max="11024" width="2.625" style="160" customWidth="1"/>
    <col min="11025" max="11027" width="3.75" style="160" customWidth="1"/>
    <col min="11028" max="11028" width="5.875" style="160" customWidth="1"/>
    <col min="11029" max="11264" width="9" style="160"/>
    <col min="11265" max="11265" width="3.5" style="160" bestFit="1" customWidth="1"/>
    <col min="11266" max="11266" width="13.125" style="160" customWidth="1"/>
    <col min="11267" max="11278" width="5.25" style="160" customWidth="1"/>
    <col min="11279" max="11279" width="3.75" style="160" customWidth="1"/>
    <col min="11280" max="11280" width="2.625" style="160" customWidth="1"/>
    <col min="11281" max="11283" width="3.75" style="160" customWidth="1"/>
    <col min="11284" max="11284" width="5.875" style="160" customWidth="1"/>
    <col min="11285" max="11520" width="9" style="160"/>
    <col min="11521" max="11521" width="3.5" style="160" bestFit="1" customWidth="1"/>
    <col min="11522" max="11522" width="13.125" style="160" customWidth="1"/>
    <col min="11523" max="11534" width="5.25" style="160" customWidth="1"/>
    <col min="11535" max="11535" width="3.75" style="160" customWidth="1"/>
    <col min="11536" max="11536" width="2.625" style="160" customWidth="1"/>
    <col min="11537" max="11539" width="3.75" style="160" customWidth="1"/>
    <col min="11540" max="11540" width="5.875" style="160" customWidth="1"/>
    <col min="11541" max="11776" width="9" style="160"/>
    <col min="11777" max="11777" width="3.5" style="160" bestFit="1" customWidth="1"/>
    <col min="11778" max="11778" width="13.125" style="160" customWidth="1"/>
    <col min="11779" max="11790" width="5.25" style="160" customWidth="1"/>
    <col min="11791" max="11791" width="3.75" style="160" customWidth="1"/>
    <col min="11792" max="11792" width="2.625" style="160" customWidth="1"/>
    <col min="11793" max="11795" width="3.75" style="160" customWidth="1"/>
    <col min="11796" max="11796" width="5.875" style="160" customWidth="1"/>
    <col min="11797" max="12032" width="9" style="160"/>
    <col min="12033" max="12033" width="3.5" style="160" bestFit="1" customWidth="1"/>
    <col min="12034" max="12034" width="13.125" style="160" customWidth="1"/>
    <col min="12035" max="12046" width="5.25" style="160" customWidth="1"/>
    <col min="12047" max="12047" width="3.75" style="160" customWidth="1"/>
    <col min="12048" max="12048" width="2.625" style="160" customWidth="1"/>
    <col min="12049" max="12051" width="3.75" style="160" customWidth="1"/>
    <col min="12052" max="12052" width="5.875" style="160" customWidth="1"/>
    <col min="12053" max="12288" width="9" style="160"/>
    <col min="12289" max="12289" width="3.5" style="160" bestFit="1" customWidth="1"/>
    <col min="12290" max="12290" width="13.125" style="160" customWidth="1"/>
    <col min="12291" max="12302" width="5.25" style="160" customWidth="1"/>
    <col min="12303" max="12303" width="3.75" style="160" customWidth="1"/>
    <col min="12304" max="12304" width="2.625" style="160" customWidth="1"/>
    <col min="12305" max="12307" width="3.75" style="160" customWidth="1"/>
    <col min="12308" max="12308" width="5.875" style="160" customWidth="1"/>
    <col min="12309" max="12544" width="9" style="160"/>
    <col min="12545" max="12545" width="3.5" style="160" bestFit="1" customWidth="1"/>
    <col min="12546" max="12546" width="13.125" style="160" customWidth="1"/>
    <col min="12547" max="12558" width="5.25" style="160" customWidth="1"/>
    <col min="12559" max="12559" width="3.75" style="160" customWidth="1"/>
    <col min="12560" max="12560" width="2.625" style="160" customWidth="1"/>
    <col min="12561" max="12563" width="3.75" style="160" customWidth="1"/>
    <col min="12564" max="12564" width="5.875" style="160" customWidth="1"/>
    <col min="12565" max="12800" width="9" style="160"/>
    <col min="12801" max="12801" width="3.5" style="160" bestFit="1" customWidth="1"/>
    <col min="12802" max="12802" width="13.125" style="160" customWidth="1"/>
    <col min="12803" max="12814" width="5.25" style="160" customWidth="1"/>
    <col min="12815" max="12815" width="3.75" style="160" customWidth="1"/>
    <col min="12816" max="12816" width="2.625" style="160" customWidth="1"/>
    <col min="12817" max="12819" width="3.75" style="160" customWidth="1"/>
    <col min="12820" max="12820" width="5.875" style="160" customWidth="1"/>
    <col min="12821" max="13056" width="9" style="160"/>
    <col min="13057" max="13057" width="3.5" style="160" bestFit="1" customWidth="1"/>
    <col min="13058" max="13058" width="13.125" style="160" customWidth="1"/>
    <col min="13059" max="13070" width="5.25" style="160" customWidth="1"/>
    <col min="13071" max="13071" width="3.75" style="160" customWidth="1"/>
    <col min="13072" max="13072" width="2.625" style="160" customWidth="1"/>
    <col min="13073" max="13075" width="3.75" style="160" customWidth="1"/>
    <col min="13076" max="13076" width="5.875" style="160" customWidth="1"/>
    <col min="13077" max="13312" width="9" style="160"/>
    <col min="13313" max="13313" width="3.5" style="160" bestFit="1" customWidth="1"/>
    <col min="13314" max="13314" width="13.125" style="160" customWidth="1"/>
    <col min="13315" max="13326" width="5.25" style="160" customWidth="1"/>
    <col min="13327" max="13327" width="3.75" style="160" customWidth="1"/>
    <col min="13328" max="13328" width="2.625" style="160" customWidth="1"/>
    <col min="13329" max="13331" width="3.75" style="160" customWidth="1"/>
    <col min="13332" max="13332" width="5.875" style="160" customWidth="1"/>
    <col min="13333" max="13568" width="9" style="160"/>
    <col min="13569" max="13569" width="3.5" style="160" bestFit="1" customWidth="1"/>
    <col min="13570" max="13570" width="13.125" style="160" customWidth="1"/>
    <col min="13571" max="13582" width="5.25" style="160" customWidth="1"/>
    <col min="13583" max="13583" width="3.75" style="160" customWidth="1"/>
    <col min="13584" max="13584" width="2.625" style="160" customWidth="1"/>
    <col min="13585" max="13587" width="3.75" style="160" customWidth="1"/>
    <col min="13588" max="13588" width="5.875" style="160" customWidth="1"/>
    <col min="13589" max="13824" width="9" style="160"/>
    <col min="13825" max="13825" width="3.5" style="160" bestFit="1" customWidth="1"/>
    <col min="13826" max="13826" width="13.125" style="160" customWidth="1"/>
    <col min="13827" max="13838" width="5.25" style="160" customWidth="1"/>
    <col min="13839" max="13839" width="3.75" style="160" customWidth="1"/>
    <col min="13840" max="13840" width="2.625" style="160" customWidth="1"/>
    <col min="13841" max="13843" width="3.75" style="160" customWidth="1"/>
    <col min="13844" max="13844" width="5.875" style="160" customWidth="1"/>
    <col min="13845" max="14080" width="9" style="160"/>
    <col min="14081" max="14081" width="3.5" style="160" bestFit="1" customWidth="1"/>
    <col min="14082" max="14082" width="13.125" style="160" customWidth="1"/>
    <col min="14083" max="14094" width="5.25" style="160" customWidth="1"/>
    <col min="14095" max="14095" width="3.75" style="160" customWidth="1"/>
    <col min="14096" max="14096" width="2.625" style="160" customWidth="1"/>
    <col min="14097" max="14099" width="3.75" style="160" customWidth="1"/>
    <col min="14100" max="14100" width="5.875" style="160" customWidth="1"/>
    <col min="14101" max="14336" width="9" style="160"/>
    <col min="14337" max="14337" width="3.5" style="160" bestFit="1" customWidth="1"/>
    <col min="14338" max="14338" width="13.125" style="160" customWidth="1"/>
    <col min="14339" max="14350" width="5.25" style="160" customWidth="1"/>
    <col min="14351" max="14351" width="3.75" style="160" customWidth="1"/>
    <col min="14352" max="14352" width="2.625" style="160" customWidth="1"/>
    <col min="14353" max="14355" width="3.75" style="160" customWidth="1"/>
    <col min="14356" max="14356" width="5.875" style="160" customWidth="1"/>
    <col min="14357" max="14592" width="9" style="160"/>
    <col min="14593" max="14593" width="3.5" style="160" bestFit="1" customWidth="1"/>
    <col min="14594" max="14594" width="13.125" style="160" customWidth="1"/>
    <col min="14595" max="14606" width="5.25" style="160" customWidth="1"/>
    <col min="14607" max="14607" width="3.75" style="160" customWidth="1"/>
    <col min="14608" max="14608" width="2.625" style="160" customWidth="1"/>
    <col min="14609" max="14611" width="3.75" style="160" customWidth="1"/>
    <col min="14612" max="14612" width="5.875" style="160" customWidth="1"/>
    <col min="14613" max="14848" width="9" style="160"/>
    <col min="14849" max="14849" width="3.5" style="160" bestFit="1" customWidth="1"/>
    <col min="14850" max="14850" width="13.125" style="160" customWidth="1"/>
    <col min="14851" max="14862" width="5.25" style="160" customWidth="1"/>
    <col min="14863" max="14863" width="3.75" style="160" customWidth="1"/>
    <col min="14864" max="14864" width="2.625" style="160" customWidth="1"/>
    <col min="14865" max="14867" width="3.75" style="160" customWidth="1"/>
    <col min="14868" max="14868" width="5.875" style="160" customWidth="1"/>
    <col min="14869" max="15104" width="9" style="160"/>
    <col min="15105" max="15105" width="3.5" style="160" bestFit="1" customWidth="1"/>
    <col min="15106" max="15106" width="13.125" style="160" customWidth="1"/>
    <col min="15107" max="15118" width="5.25" style="160" customWidth="1"/>
    <col min="15119" max="15119" width="3.75" style="160" customWidth="1"/>
    <col min="15120" max="15120" width="2.625" style="160" customWidth="1"/>
    <col min="15121" max="15123" width="3.75" style="160" customWidth="1"/>
    <col min="15124" max="15124" width="5.875" style="160" customWidth="1"/>
    <col min="15125" max="15360" width="9" style="160"/>
    <col min="15361" max="15361" width="3.5" style="160" bestFit="1" customWidth="1"/>
    <col min="15362" max="15362" width="13.125" style="160" customWidth="1"/>
    <col min="15363" max="15374" width="5.25" style="160" customWidth="1"/>
    <col min="15375" max="15375" width="3.75" style="160" customWidth="1"/>
    <col min="15376" max="15376" width="2.625" style="160" customWidth="1"/>
    <col min="15377" max="15379" width="3.75" style="160" customWidth="1"/>
    <col min="15380" max="15380" width="5.875" style="160" customWidth="1"/>
    <col min="15381" max="15616" width="9" style="160"/>
    <col min="15617" max="15617" width="3.5" style="160" bestFit="1" customWidth="1"/>
    <col min="15618" max="15618" width="13.125" style="160" customWidth="1"/>
    <col min="15619" max="15630" width="5.25" style="160" customWidth="1"/>
    <col min="15631" max="15631" width="3.75" style="160" customWidth="1"/>
    <col min="15632" max="15632" width="2.625" style="160" customWidth="1"/>
    <col min="15633" max="15635" width="3.75" style="160" customWidth="1"/>
    <col min="15636" max="15636" width="5.875" style="160" customWidth="1"/>
    <col min="15637" max="15872" width="9" style="160"/>
    <col min="15873" max="15873" width="3.5" style="160" bestFit="1" customWidth="1"/>
    <col min="15874" max="15874" width="13.125" style="160" customWidth="1"/>
    <col min="15875" max="15886" width="5.25" style="160" customWidth="1"/>
    <col min="15887" max="15887" width="3.75" style="160" customWidth="1"/>
    <col min="15888" max="15888" width="2.625" style="160" customWidth="1"/>
    <col min="15889" max="15891" width="3.75" style="160" customWidth="1"/>
    <col min="15892" max="15892" width="5.875" style="160" customWidth="1"/>
    <col min="15893" max="16128" width="9" style="160"/>
    <col min="16129" max="16129" width="3.5" style="160" bestFit="1" customWidth="1"/>
    <col min="16130" max="16130" width="13.125" style="160" customWidth="1"/>
    <col min="16131" max="16142" width="5.25" style="160" customWidth="1"/>
    <col min="16143" max="16143" width="3.75" style="160" customWidth="1"/>
    <col min="16144" max="16144" width="2.625" style="160" customWidth="1"/>
    <col min="16145" max="16147" width="3.75" style="160" customWidth="1"/>
    <col min="16148" max="16148" width="5.875" style="160" customWidth="1"/>
    <col min="16149" max="16384" width="9" style="160"/>
  </cols>
  <sheetData>
    <row r="1" spans="1:18" ht="15" customHeight="1" x14ac:dyDescent="0.15"/>
    <row r="2" spans="1:18" ht="27" customHeight="1" thickBot="1" x14ac:dyDescent="0.2">
      <c r="A2" s="174" t="s">
        <v>1184</v>
      </c>
      <c r="B2" s="174"/>
      <c r="C2" s="175"/>
      <c r="D2" s="175"/>
      <c r="E2" s="175"/>
      <c r="F2" s="175"/>
      <c r="G2" s="175"/>
      <c r="H2" s="175"/>
      <c r="I2" s="175"/>
      <c r="J2" s="175"/>
      <c r="K2" s="175"/>
      <c r="L2" s="175"/>
      <c r="M2" s="175"/>
      <c r="N2" s="175"/>
      <c r="O2" s="176"/>
      <c r="P2" s="176"/>
      <c r="Q2" s="177"/>
    </row>
    <row r="3" spans="1:18" ht="27" customHeight="1" x14ac:dyDescent="0.15">
      <c r="A3" s="269" t="s">
        <v>90</v>
      </c>
      <c r="B3" s="178"/>
      <c r="C3" s="179" t="s">
        <v>91</v>
      </c>
      <c r="D3" s="180" t="s">
        <v>92</v>
      </c>
      <c r="E3" s="181" t="s">
        <v>93</v>
      </c>
      <c r="F3" s="181" t="s">
        <v>1181</v>
      </c>
      <c r="G3" s="182" t="s">
        <v>94</v>
      </c>
      <c r="H3" s="183" t="s">
        <v>95</v>
      </c>
      <c r="I3" s="183" t="s">
        <v>96</v>
      </c>
      <c r="J3" s="183" t="s">
        <v>97</v>
      </c>
      <c r="K3" s="182" t="s">
        <v>99</v>
      </c>
      <c r="L3" s="183" t="s">
        <v>98</v>
      </c>
      <c r="M3" s="182" t="s">
        <v>100</v>
      </c>
      <c r="N3" s="183" t="s">
        <v>101</v>
      </c>
      <c r="O3" s="182" t="s">
        <v>102</v>
      </c>
      <c r="P3" s="184" t="s">
        <v>103</v>
      </c>
      <c r="Q3" s="177"/>
    </row>
    <row r="4" spans="1:18" ht="27" customHeight="1" thickBot="1" x14ac:dyDescent="0.2">
      <c r="A4" s="270"/>
      <c r="B4" s="185" t="s">
        <v>104</v>
      </c>
      <c r="C4" s="186"/>
      <c r="D4" s="187" t="s">
        <v>105</v>
      </c>
      <c r="E4" s="188" t="s">
        <v>106</v>
      </c>
      <c r="F4" s="188" t="s">
        <v>119</v>
      </c>
      <c r="G4" s="189" t="s">
        <v>106</v>
      </c>
      <c r="H4" s="189" t="s">
        <v>107</v>
      </c>
      <c r="I4" s="189" t="s">
        <v>105</v>
      </c>
      <c r="J4" s="189" t="s">
        <v>108</v>
      </c>
      <c r="K4" s="189" t="s">
        <v>109</v>
      </c>
      <c r="L4" s="189" t="s">
        <v>107</v>
      </c>
      <c r="M4" s="189" t="s">
        <v>109</v>
      </c>
      <c r="N4" s="189" t="s">
        <v>105</v>
      </c>
      <c r="O4" s="189" t="s">
        <v>110</v>
      </c>
      <c r="P4" s="190" t="s">
        <v>108</v>
      </c>
      <c r="Q4" s="177"/>
    </row>
    <row r="5" spans="1:18" ht="39" customHeight="1" x14ac:dyDescent="0.15">
      <c r="A5" s="275" t="s">
        <v>111</v>
      </c>
      <c r="B5" s="273" t="s">
        <v>69</v>
      </c>
      <c r="C5" s="274"/>
      <c r="D5" s="161" t="str">
        <f>IFERROR(AVERAGEIFS(テーブル2[身長],テーブル2[学年],1,テーブル2[性別],"男")," ")</f>
        <v xml:space="preserve"> </v>
      </c>
      <c r="E5" s="162" t="str">
        <f>IFERROR(AVERAGEIFS(テーブル2[体重],テーブル2[学年],1,テーブル2[性別],"男")," ")</f>
        <v xml:space="preserve"> </v>
      </c>
      <c r="F5" s="163" t="str">
        <f>IFERROR(AVERAGEIFS(テーブル2[肥満度数値],テーブル2[学年],1,テーブル2[性別],"男")," ")</f>
        <v xml:space="preserve"> </v>
      </c>
      <c r="G5" s="162" t="str">
        <f>IFERROR(AVERAGEIFS(テーブル2[握力],テーブル2[学年],1,テーブル2[性別],"男")," ")</f>
        <v xml:space="preserve"> </v>
      </c>
      <c r="H5" s="162" t="str">
        <f>IFERROR(AVERAGEIFS(テーブル2[上体],テーブル2[学年],1,テーブル2[性別],"男")," ")</f>
        <v xml:space="preserve"> </v>
      </c>
      <c r="I5" s="162" t="str">
        <f>IFERROR(AVERAGEIFS(テーブル2[長座],テーブル2[学年],1,テーブル2[性別],"男")," ")</f>
        <v xml:space="preserve"> </v>
      </c>
      <c r="J5" s="162" t="str">
        <f>IFERROR(AVERAGEIFS(テーブル2[反復],テーブル2[学年],1,テーブル2[性別],"男")," ")</f>
        <v xml:space="preserve"> </v>
      </c>
      <c r="K5" s="220" t="str">
        <f>IFERROR(AVERAGEIFS(テーブル2[持久走],テーブル2[学年],1,テーブル2[性別],"男")," ")</f>
        <v xml:space="preserve"> </v>
      </c>
      <c r="L5" s="162" t="str">
        <f>IFERROR(AVERAGEIFS(テーブル2[ｼｬﾄﾙﾗﾝ],テーブル2[学年],1,テーブル2[性別],"男")," ")</f>
        <v xml:space="preserve"> </v>
      </c>
      <c r="M5" s="162" t="str">
        <f>IFERROR(AVERAGEIFS(テーブル2[50m走],テーブル2[学年],1,テーブル2[性別],"男")," ")</f>
        <v xml:space="preserve"> </v>
      </c>
      <c r="N5" s="162" t="str">
        <f>IFERROR(AVERAGEIFS(テーブル2[立幅とび],テーブル2[学年],1,テーブル2[性別],"男")," ")</f>
        <v xml:space="preserve"> </v>
      </c>
      <c r="O5" s="162" t="str">
        <f>IFERROR(AVERAGEIFS(テーブル2[ボール投げ],テーブル2[学年],1,テーブル2[性別],"男")," ")</f>
        <v xml:space="preserve"> </v>
      </c>
      <c r="P5" s="164" t="str">
        <f>IFERROR(AVERAGEIFS(テーブル2[得点],テーブル2[学年],1,テーブル2[性別],"男")," ")</f>
        <v xml:space="preserve"> </v>
      </c>
      <c r="Q5" s="177"/>
    </row>
    <row r="6" spans="1:18" ht="39" customHeight="1" x14ac:dyDescent="0.15">
      <c r="A6" s="276"/>
      <c r="B6" s="281" t="s">
        <v>70</v>
      </c>
      <c r="C6" s="282"/>
      <c r="D6" s="165" t="str">
        <f>IFERROR(AVERAGEIFS(テーブル2[身長],テーブル2[学年],2,テーブル2[性別],"男")," ")</f>
        <v xml:space="preserve"> </v>
      </c>
      <c r="E6" s="166" t="str">
        <f>IFERROR(AVERAGEIFS(テーブル2[体重],テーブル2[学年],2,テーブル2[性別],"男")," ")</f>
        <v xml:space="preserve"> </v>
      </c>
      <c r="F6" s="167" t="str">
        <f>IFERROR(AVERAGEIFS(テーブル2[肥満度数値],テーブル2[学年],2,テーブル2[性別],"男")," ")</f>
        <v xml:space="preserve"> </v>
      </c>
      <c r="G6" s="166" t="str">
        <f>IFERROR(AVERAGEIFS(テーブル2[握力],テーブル2[学年],2,テーブル2[性別],"男")," ")</f>
        <v xml:space="preserve"> </v>
      </c>
      <c r="H6" s="166" t="str">
        <f>IFERROR(AVERAGEIFS(テーブル2[上体],テーブル2[学年],2,テーブル2[性別],"男")," ")</f>
        <v xml:space="preserve"> </v>
      </c>
      <c r="I6" s="166" t="str">
        <f>IFERROR(AVERAGEIFS(テーブル2[長座],テーブル2[学年],2,テーブル2[性別],"男")," ")</f>
        <v xml:space="preserve"> </v>
      </c>
      <c r="J6" s="166" t="str">
        <f>IFERROR(AVERAGEIFS(テーブル2[反復],テーブル2[学年],2,テーブル2[性別],"男")," ")</f>
        <v xml:space="preserve"> </v>
      </c>
      <c r="K6" s="221" t="str">
        <f>IFERROR(AVERAGEIFS(テーブル2[持久走],テーブル2[学年],2,テーブル2[性別],"男")," ")</f>
        <v xml:space="preserve"> </v>
      </c>
      <c r="L6" s="166" t="str">
        <f>IFERROR(AVERAGEIFS(テーブル2[ｼｬﾄﾙﾗﾝ],テーブル2[学年],2,テーブル2[性別],"男")," ")</f>
        <v xml:space="preserve"> </v>
      </c>
      <c r="M6" s="166" t="str">
        <f>IFERROR(AVERAGEIFS(テーブル2[50m走],テーブル2[学年],2,テーブル2[性別],"男")," ")</f>
        <v xml:space="preserve"> </v>
      </c>
      <c r="N6" s="166" t="str">
        <f>IFERROR(AVERAGEIFS(テーブル2[立幅とび],テーブル2[学年],2,テーブル2[性別],"男")," ")</f>
        <v xml:space="preserve"> </v>
      </c>
      <c r="O6" s="166" t="str">
        <f>IFERROR(AVERAGEIFS(テーブル2[ボール投げ],テーブル2[学年],2,テーブル2[性別],"男")," ")</f>
        <v xml:space="preserve"> </v>
      </c>
      <c r="P6" s="168" t="str">
        <f>IFERROR(AVERAGEIFS(テーブル2[得点],テーブル2[学年],2,テーブル2[性別],"男")," ")</f>
        <v xml:space="preserve"> </v>
      </c>
      <c r="Q6" s="177"/>
    </row>
    <row r="7" spans="1:18" ht="39" customHeight="1" thickBot="1" x14ac:dyDescent="0.2">
      <c r="A7" s="277"/>
      <c r="B7" s="271" t="s">
        <v>71</v>
      </c>
      <c r="C7" s="272"/>
      <c r="D7" s="169" t="str">
        <f>IFERROR(AVERAGEIFS(テーブル2[身長],テーブル2[学年],3,テーブル2[性別],"男")," ")</f>
        <v xml:space="preserve"> </v>
      </c>
      <c r="E7" s="170" t="str">
        <f>IFERROR(AVERAGEIFS(テーブル2[体重],テーブル2[学年],3,テーブル2[性別],"男")," ")</f>
        <v xml:space="preserve"> </v>
      </c>
      <c r="F7" s="171" t="str">
        <f>IFERROR(AVERAGEIFS(テーブル2[肥満度数値],テーブル2[学年],3,テーブル2[性別],"男")," ")</f>
        <v xml:space="preserve"> </v>
      </c>
      <c r="G7" s="170" t="str">
        <f>IFERROR(AVERAGEIFS(テーブル2[握力],テーブル2[学年],3,テーブル2[性別],"男")," ")</f>
        <v xml:space="preserve"> </v>
      </c>
      <c r="H7" s="170" t="str">
        <f>IFERROR(AVERAGEIFS(テーブル2[上体],テーブル2[学年],3,テーブル2[性別],"男")," ")</f>
        <v xml:space="preserve"> </v>
      </c>
      <c r="I7" s="170" t="str">
        <f>IFERROR(AVERAGEIFS(テーブル2[長座],テーブル2[学年],3,テーブル2[性別],"男")," ")</f>
        <v xml:space="preserve"> </v>
      </c>
      <c r="J7" s="170" t="str">
        <f>IFERROR(AVERAGEIFS(テーブル2[反復],テーブル2[学年],3,テーブル2[性別],"男")," ")</f>
        <v xml:space="preserve"> </v>
      </c>
      <c r="K7" s="222" t="str">
        <f>IFERROR(AVERAGEIFS(テーブル2[持久走],テーブル2[学年],3,テーブル2[性別],"男")," ")</f>
        <v xml:space="preserve"> </v>
      </c>
      <c r="L7" s="170" t="str">
        <f>IFERROR(AVERAGEIFS(テーブル2[ｼｬﾄﾙﾗﾝ],テーブル2[学年],3,テーブル2[性別],"男")," ")</f>
        <v xml:space="preserve"> </v>
      </c>
      <c r="M7" s="170" t="str">
        <f>IFERROR(AVERAGEIFS(テーブル2[50m走],テーブル2[学年],3,テーブル2[性別],"男")," ")</f>
        <v xml:space="preserve"> </v>
      </c>
      <c r="N7" s="170" t="str">
        <f>IFERROR(AVERAGEIFS(テーブル2[立幅とび],テーブル2[学年],3,テーブル2[性別],"男")," ")</f>
        <v xml:space="preserve"> </v>
      </c>
      <c r="O7" s="170" t="str">
        <f>IFERROR(AVERAGEIFS(テーブル2[ボール投げ],テーブル2[学年],3,テーブル2[性別],"男")," ")</f>
        <v xml:space="preserve"> </v>
      </c>
      <c r="P7" s="172" t="str">
        <f>IFERROR(AVERAGEIFS(テーブル2[得点],テーブル2[学年],3,テーブル2[性別],"男")," ")</f>
        <v xml:space="preserve"> </v>
      </c>
      <c r="Q7" s="177"/>
      <c r="R7" s="191"/>
    </row>
    <row r="8" spans="1:18" ht="39" customHeight="1" x14ac:dyDescent="0.15">
      <c r="A8" s="278" t="s">
        <v>116</v>
      </c>
      <c r="B8" s="273" t="s">
        <v>69</v>
      </c>
      <c r="C8" s="274"/>
      <c r="D8" s="161" t="str">
        <f>IFERROR(AVERAGEIFS(テーブル2[身長],テーブル2[学年],1,テーブル2[性別],"女")," ")</f>
        <v xml:space="preserve"> </v>
      </c>
      <c r="E8" s="162" t="str">
        <f>IFERROR(AVERAGEIFS(テーブル2[体重],テーブル2[学年],1,テーブル2[性別],"女")," ")</f>
        <v xml:space="preserve"> </v>
      </c>
      <c r="F8" s="163" t="str">
        <f>IFERROR(AVERAGEIFS(テーブル2[肥満度数値],テーブル2[学年],1,テーブル2[性別],"女")," ")</f>
        <v xml:space="preserve"> </v>
      </c>
      <c r="G8" s="162" t="str">
        <f>IFERROR(AVERAGEIFS(テーブル2[握力],テーブル2[学年],1,テーブル2[性別],"女")," ")</f>
        <v xml:space="preserve"> </v>
      </c>
      <c r="H8" s="162" t="str">
        <f>IFERROR(AVERAGEIFS(テーブル2[上体],テーブル2[学年],1,テーブル2[性別],"女")," ")</f>
        <v xml:space="preserve"> </v>
      </c>
      <c r="I8" s="162" t="str">
        <f>IFERROR(AVERAGEIFS(テーブル2[長座],テーブル2[学年],1,テーブル2[性別],"女")," ")</f>
        <v xml:space="preserve"> </v>
      </c>
      <c r="J8" s="162" t="str">
        <f>IFERROR(AVERAGEIFS(テーブル2[反復],テーブル2[学年],1,テーブル2[性別],"女")," ")</f>
        <v xml:space="preserve"> </v>
      </c>
      <c r="K8" s="220" t="str">
        <f>IFERROR(AVERAGEIFS(テーブル2[持久走],テーブル2[学年],1,テーブル2[性別],"女")," ")</f>
        <v xml:space="preserve"> </v>
      </c>
      <c r="L8" s="162" t="str">
        <f>IFERROR(AVERAGEIFS(テーブル2[ｼｬﾄﾙﾗﾝ],テーブル2[学年],1,テーブル2[性別],"女")," ")</f>
        <v xml:space="preserve"> </v>
      </c>
      <c r="M8" s="162" t="str">
        <f>IFERROR(AVERAGEIFS(テーブル2[50m走],テーブル2[学年],1,テーブル2[性別],"女")," ")</f>
        <v xml:space="preserve"> </v>
      </c>
      <c r="N8" s="162" t="str">
        <f>IFERROR(AVERAGEIFS(テーブル2[立幅とび],テーブル2[学年],1,テーブル2[性別],"女")," ")</f>
        <v xml:space="preserve"> </v>
      </c>
      <c r="O8" s="162" t="str">
        <f>IFERROR(AVERAGEIFS(テーブル2[ボール投げ],テーブル2[学年],1,テーブル2[性別],"女")," ")</f>
        <v xml:space="preserve"> </v>
      </c>
      <c r="P8" s="164" t="str">
        <f>IFERROR(AVERAGEIFS(テーブル2[得点],テーブル2[学年],1,テーブル2[性別],"女")," ")</f>
        <v xml:space="preserve"> </v>
      </c>
      <c r="Q8" s="177"/>
    </row>
    <row r="9" spans="1:18" ht="39" customHeight="1" x14ac:dyDescent="0.15">
      <c r="A9" s="279"/>
      <c r="B9" s="281" t="s">
        <v>70</v>
      </c>
      <c r="C9" s="282"/>
      <c r="D9" s="165" t="str">
        <f>IFERROR(AVERAGEIFS(テーブル2[身長],テーブル2[学年],2,テーブル2[性別],"女")," ")</f>
        <v xml:space="preserve"> </v>
      </c>
      <c r="E9" s="166" t="str">
        <f>IFERROR(AVERAGEIFS(テーブル2[体重],テーブル2[学年],2,テーブル2[性別],"女")," ")</f>
        <v xml:space="preserve"> </v>
      </c>
      <c r="F9" s="167" t="str">
        <f>IFERROR(AVERAGEIFS(テーブル2[肥満度数値],テーブル2[学年],2,テーブル2[性別],"女")," ")</f>
        <v xml:space="preserve"> </v>
      </c>
      <c r="G9" s="166" t="str">
        <f>IFERROR(AVERAGEIFS(テーブル2[握力],テーブル2[学年],2,テーブル2[性別],"女")," ")</f>
        <v xml:space="preserve"> </v>
      </c>
      <c r="H9" s="166" t="str">
        <f>IFERROR(AVERAGEIFS(テーブル2[上体],テーブル2[学年],2,テーブル2[性別],"女")," ")</f>
        <v xml:space="preserve"> </v>
      </c>
      <c r="I9" s="166" t="str">
        <f>IFERROR(AVERAGEIFS(テーブル2[長座],テーブル2[学年],2,テーブル2[性別],"女")," ")</f>
        <v xml:space="preserve"> </v>
      </c>
      <c r="J9" s="166" t="str">
        <f>IFERROR(AVERAGEIFS(テーブル2[反復],テーブル2[学年],2,テーブル2[性別],"女")," ")</f>
        <v xml:space="preserve"> </v>
      </c>
      <c r="K9" s="221" t="str">
        <f>IFERROR(AVERAGEIFS(テーブル2[持久走],テーブル2[学年],2,テーブル2[性別],"女")," ")</f>
        <v xml:space="preserve"> </v>
      </c>
      <c r="L9" s="166" t="str">
        <f>IFERROR(AVERAGEIFS(テーブル2[ｼｬﾄﾙﾗﾝ],テーブル2[学年],2,テーブル2[性別],"女")," ")</f>
        <v xml:space="preserve"> </v>
      </c>
      <c r="M9" s="166" t="str">
        <f>IFERROR(AVERAGEIFS(テーブル2[50m走],テーブル2[学年],2,テーブル2[性別],"女")," ")</f>
        <v xml:space="preserve"> </v>
      </c>
      <c r="N9" s="166" t="str">
        <f>IFERROR(AVERAGEIFS(テーブル2[立幅とび],テーブル2[学年],2,テーブル2[性別],"女")," ")</f>
        <v xml:space="preserve"> </v>
      </c>
      <c r="O9" s="166" t="str">
        <f>IFERROR(AVERAGEIFS(テーブル2[ボール投げ],テーブル2[学年],2,テーブル2[性別],"女")," ")</f>
        <v xml:space="preserve"> </v>
      </c>
      <c r="P9" s="168" t="str">
        <f>IFERROR(AVERAGEIFS(テーブル2[得点],テーブル2[学年],2,テーブル2[性別],"女")," ")</f>
        <v xml:space="preserve"> </v>
      </c>
    </row>
    <row r="10" spans="1:18" ht="39" customHeight="1" thickBot="1" x14ac:dyDescent="0.2">
      <c r="A10" s="280"/>
      <c r="B10" s="271" t="s">
        <v>71</v>
      </c>
      <c r="C10" s="272"/>
      <c r="D10" s="173" t="str">
        <f>IFERROR(AVERAGEIFS(テーブル2[身長],テーブル2[学年],3,テーブル2[性別],"女")," ")</f>
        <v xml:space="preserve"> </v>
      </c>
      <c r="E10" s="170" t="str">
        <f>IFERROR(AVERAGEIFS(テーブル2[体重],テーブル2[学年],3,テーブル2[性別],"女")," ")</f>
        <v xml:space="preserve"> </v>
      </c>
      <c r="F10" s="171" t="str">
        <f>IFERROR(AVERAGEIFS(テーブル2[肥満度数値],テーブル2[学年],3,テーブル2[性別],"女")," ")</f>
        <v xml:space="preserve"> </v>
      </c>
      <c r="G10" s="170" t="str">
        <f>IFERROR(AVERAGEIFS(テーブル2[握力],テーブル2[学年],3,テーブル2[性別],"女")," ")</f>
        <v xml:space="preserve"> </v>
      </c>
      <c r="H10" s="170" t="str">
        <f>IFERROR(AVERAGEIFS(テーブル2[上体],テーブル2[学年],3,テーブル2[性別],"女")," ")</f>
        <v xml:space="preserve"> </v>
      </c>
      <c r="I10" s="170" t="str">
        <f>IFERROR(AVERAGEIFS(テーブル2[長座],テーブル2[学年],3,テーブル2[性別],"女")," ")</f>
        <v xml:space="preserve"> </v>
      </c>
      <c r="J10" s="170" t="str">
        <f>IFERROR(AVERAGEIFS(テーブル2[反復],テーブル2[学年],3,テーブル2[性別],"女")," ")</f>
        <v xml:space="preserve"> </v>
      </c>
      <c r="K10" s="222" t="str">
        <f>IFERROR(AVERAGEIFS(テーブル2[持久走],テーブル2[学年],3,テーブル2[性別],"女")," ")</f>
        <v xml:space="preserve"> </v>
      </c>
      <c r="L10" s="170" t="str">
        <f>IFERROR(AVERAGEIFS(テーブル2[ｼｬﾄﾙﾗﾝ],テーブル2[学年],3,テーブル2[性別],"女")," ")</f>
        <v xml:space="preserve"> </v>
      </c>
      <c r="M10" s="170" t="str">
        <f>IFERROR(AVERAGEIFS(テーブル2[50m走],テーブル2[学年],3,テーブル2[性別],"女")," ")</f>
        <v xml:space="preserve"> </v>
      </c>
      <c r="N10" s="170" t="str">
        <f>IFERROR(AVERAGEIFS(テーブル2[立幅とび],テーブル2[学年],3,テーブル2[性別],"女")," ")</f>
        <v xml:space="preserve"> </v>
      </c>
      <c r="O10" s="170" t="str">
        <f>IFERROR(AVERAGEIFS(テーブル2[ボール投げ],テーブル2[学年],3,テーブル2[性別],"女")," ")</f>
        <v xml:space="preserve"> </v>
      </c>
      <c r="P10" s="172" t="str">
        <f>IFERROR(AVERAGEIFS(テーブル2[得点],テーブル2[学年],3,テーブル2[性別],"女")," ")</f>
        <v xml:space="preserve"> </v>
      </c>
    </row>
  </sheetData>
  <mergeCells count="9">
    <mergeCell ref="A3:A4"/>
    <mergeCell ref="B7:C7"/>
    <mergeCell ref="B5:C5"/>
    <mergeCell ref="A5:A7"/>
    <mergeCell ref="A8:A10"/>
    <mergeCell ref="B8:C8"/>
    <mergeCell ref="B9:C9"/>
    <mergeCell ref="B6:C6"/>
    <mergeCell ref="B10:C10"/>
  </mergeCells>
  <phoneticPr fontId="1"/>
  <printOptions horizontalCentered="1" verticalCentered="1"/>
  <pageMargins left="0.59055118110236227" right="0.59055118110236227"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1"/>
  <sheetViews>
    <sheetView zoomScaleNormal="100" workbookViewId="0">
      <selection activeCell="E21" sqref="E21"/>
    </sheetView>
  </sheetViews>
  <sheetFormatPr defaultRowHeight="13.5" x14ac:dyDescent="0.15"/>
  <cols>
    <col min="1" max="1" width="5.875" style="28" customWidth="1"/>
    <col min="2" max="2" width="6.5" style="28" bestFit="1" customWidth="1"/>
    <col min="3" max="3" width="14.25" style="204" customWidth="1"/>
    <col min="4" max="21" width="7.25" style="28" customWidth="1"/>
    <col min="22" max="22" width="3.75" style="28" customWidth="1"/>
    <col min="23" max="23" width="2.625" style="28" customWidth="1"/>
    <col min="24" max="26" width="3.75" style="28" customWidth="1"/>
    <col min="27" max="27" width="5.875" style="28" customWidth="1"/>
    <col min="28" max="263" width="9" style="28"/>
    <col min="264" max="264" width="3.5" style="28" bestFit="1" customWidth="1"/>
    <col min="265" max="265" width="13.125" style="28" customWidth="1"/>
    <col min="266" max="277" width="5.25" style="28" customWidth="1"/>
    <col min="278" max="278" width="3.75" style="28" customWidth="1"/>
    <col min="279" max="279" width="2.625" style="28" customWidth="1"/>
    <col min="280" max="282" width="3.75" style="28" customWidth="1"/>
    <col min="283" max="283" width="5.875" style="28" customWidth="1"/>
    <col min="284" max="519" width="9" style="28"/>
    <col min="520" max="520" width="3.5" style="28" bestFit="1" customWidth="1"/>
    <col min="521" max="521" width="13.125" style="28" customWidth="1"/>
    <col min="522" max="533" width="5.25" style="28" customWidth="1"/>
    <col min="534" max="534" width="3.75" style="28" customWidth="1"/>
    <col min="535" max="535" width="2.625" style="28" customWidth="1"/>
    <col min="536" max="538" width="3.75" style="28" customWidth="1"/>
    <col min="539" max="539" width="5.875" style="28" customWidth="1"/>
    <col min="540" max="775" width="9" style="28"/>
    <col min="776" max="776" width="3.5" style="28" bestFit="1" customWidth="1"/>
    <col min="777" max="777" width="13.125" style="28" customWidth="1"/>
    <col min="778" max="789" width="5.25" style="28" customWidth="1"/>
    <col min="790" max="790" width="3.75" style="28" customWidth="1"/>
    <col min="791" max="791" width="2.625" style="28" customWidth="1"/>
    <col min="792" max="794" width="3.75" style="28" customWidth="1"/>
    <col min="795" max="795" width="5.875" style="28" customWidth="1"/>
    <col min="796" max="1031" width="9" style="28"/>
    <col min="1032" max="1032" width="3.5" style="28" bestFit="1" customWidth="1"/>
    <col min="1033" max="1033" width="13.125" style="28" customWidth="1"/>
    <col min="1034" max="1045" width="5.25" style="28" customWidth="1"/>
    <col min="1046" max="1046" width="3.75" style="28" customWidth="1"/>
    <col min="1047" max="1047" width="2.625" style="28" customWidth="1"/>
    <col min="1048" max="1050" width="3.75" style="28" customWidth="1"/>
    <col min="1051" max="1051" width="5.875" style="28" customWidth="1"/>
    <col min="1052" max="1287" width="9" style="28"/>
    <col min="1288" max="1288" width="3.5" style="28" bestFit="1" customWidth="1"/>
    <col min="1289" max="1289" width="13.125" style="28" customWidth="1"/>
    <col min="1290" max="1301" width="5.25" style="28" customWidth="1"/>
    <col min="1302" max="1302" width="3.75" style="28" customWidth="1"/>
    <col min="1303" max="1303" width="2.625" style="28" customWidth="1"/>
    <col min="1304" max="1306" width="3.75" style="28" customWidth="1"/>
    <col min="1307" max="1307" width="5.875" style="28" customWidth="1"/>
    <col min="1308" max="1543" width="9" style="28"/>
    <col min="1544" max="1544" width="3.5" style="28" bestFit="1" customWidth="1"/>
    <col min="1545" max="1545" width="13.125" style="28" customWidth="1"/>
    <col min="1546" max="1557" width="5.25" style="28" customWidth="1"/>
    <col min="1558" max="1558" width="3.75" style="28" customWidth="1"/>
    <col min="1559" max="1559" width="2.625" style="28" customWidth="1"/>
    <col min="1560" max="1562" width="3.75" style="28" customWidth="1"/>
    <col min="1563" max="1563" width="5.875" style="28" customWidth="1"/>
    <col min="1564" max="1799" width="9" style="28"/>
    <col min="1800" max="1800" width="3.5" style="28" bestFit="1" customWidth="1"/>
    <col min="1801" max="1801" width="13.125" style="28" customWidth="1"/>
    <col min="1802" max="1813" width="5.25" style="28" customWidth="1"/>
    <col min="1814" max="1814" width="3.75" style="28" customWidth="1"/>
    <col min="1815" max="1815" width="2.625" style="28" customWidth="1"/>
    <col min="1816" max="1818" width="3.75" style="28" customWidth="1"/>
    <col min="1819" max="1819" width="5.875" style="28" customWidth="1"/>
    <col min="1820" max="2055" width="9" style="28"/>
    <col min="2056" max="2056" width="3.5" style="28" bestFit="1" customWidth="1"/>
    <col min="2057" max="2057" width="13.125" style="28" customWidth="1"/>
    <col min="2058" max="2069" width="5.25" style="28" customWidth="1"/>
    <col min="2070" max="2070" width="3.75" style="28" customWidth="1"/>
    <col min="2071" max="2071" width="2.625" style="28" customWidth="1"/>
    <col min="2072" max="2074" width="3.75" style="28" customWidth="1"/>
    <col min="2075" max="2075" width="5.875" style="28" customWidth="1"/>
    <col min="2076" max="2311" width="9" style="28"/>
    <col min="2312" max="2312" width="3.5" style="28" bestFit="1" customWidth="1"/>
    <col min="2313" max="2313" width="13.125" style="28" customWidth="1"/>
    <col min="2314" max="2325" width="5.25" style="28" customWidth="1"/>
    <col min="2326" max="2326" width="3.75" style="28" customWidth="1"/>
    <col min="2327" max="2327" width="2.625" style="28" customWidth="1"/>
    <col min="2328" max="2330" width="3.75" style="28" customWidth="1"/>
    <col min="2331" max="2331" width="5.875" style="28" customWidth="1"/>
    <col min="2332" max="2567" width="9" style="28"/>
    <col min="2568" max="2568" width="3.5" style="28" bestFit="1" customWidth="1"/>
    <col min="2569" max="2569" width="13.125" style="28" customWidth="1"/>
    <col min="2570" max="2581" width="5.25" style="28" customWidth="1"/>
    <col min="2582" max="2582" width="3.75" style="28" customWidth="1"/>
    <col min="2583" max="2583" width="2.625" style="28" customWidth="1"/>
    <col min="2584" max="2586" width="3.75" style="28" customWidth="1"/>
    <col min="2587" max="2587" width="5.875" style="28" customWidth="1"/>
    <col min="2588" max="2823" width="9" style="28"/>
    <col min="2824" max="2824" width="3.5" style="28" bestFit="1" customWidth="1"/>
    <col min="2825" max="2825" width="13.125" style="28" customWidth="1"/>
    <col min="2826" max="2837" width="5.25" style="28" customWidth="1"/>
    <col min="2838" max="2838" width="3.75" style="28" customWidth="1"/>
    <col min="2839" max="2839" width="2.625" style="28" customWidth="1"/>
    <col min="2840" max="2842" width="3.75" style="28" customWidth="1"/>
    <col min="2843" max="2843" width="5.875" style="28" customWidth="1"/>
    <col min="2844" max="3079" width="9" style="28"/>
    <col min="3080" max="3080" width="3.5" style="28" bestFit="1" customWidth="1"/>
    <col min="3081" max="3081" width="13.125" style="28" customWidth="1"/>
    <col min="3082" max="3093" width="5.25" style="28" customWidth="1"/>
    <col min="3094" max="3094" width="3.75" style="28" customWidth="1"/>
    <col min="3095" max="3095" width="2.625" style="28" customWidth="1"/>
    <col min="3096" max="3098" width="3.75" style="28" customWidth="1"/>
    <col min="3099" max="3099" width="5.875" style="28" customWidth="1"/>
    <col min="3100" max="3335" width="9" style="28"/>
    <col min="3336" max="3336" width="3.5" style="28" bestFit="1" customWidth="1"/>
    <col min="3337" max="3337" width="13.125" style="28" customWidth="1"/>
    <col min="3338" max="3349" width="5.25" style="28" customWidth="1"/>
    <col min="3350" max="3350" width="3.75" style="28" customWidth="1"/>
    <col min="3351" max="3351" width="2.625" style="28" customWidth="1"/>
    <col min="3352" max="3354" width="3.75" style="28" customWidth="1"/>
    <col min="3355" max="3355" width="5.875" style="28" customWidth="1"/>
    <col min="3356" max="3591" width="9" style="28"/>
    <col min="3592" max="3592" width="3.5" style="28" bestFit="1" customWidth="1"/>
    <col min="3593" max="3593" width="13.125" style="28" customWidth="1"/>
    <col min="3594" max="3605" width="5.25" style="28" customWidth="1"/>
    <col min="3606" max="3606" width="3.75" style="28" customWidth="1"/>
    <col min="3607" max="3607" width="2.625" style="28" customWidth="1"/>
    <col min="3608" max="3610" width="3.75" style="28" customWidth="1"/>
    <col min="3611" max="3611" width="5.875" style="28" customWidth="1"/>
    <col min="3612" max="3847" width="9" style="28"/>
    <col min="3848" max="3848" width="3.5" style="28" bestFit="1" customWidth="1"/>
    <col min="3849" max="3849" width="13.125" style="28" customWidth="1"/>
    <col min="3850" max="3861" width="5.25" style="28" customWidth="1"/>
    <col min="3862" max="3862" width="3.75" style="28" customWidth="1"/>
    <col min="3863" max="3863" width="2.625" style="28" customWidth="1"/>
    <col min="3864" max="3866" width="3.75" style="28" customWidth="1"/>
    <col min="3867" max="3867" width="5.875" style="28" customWidth="1"/>
    <col min="3868" max="4103" width="9" style="28"/>
    <col min="4104" max="4104" width="3.5" style="28" bestFit="1" customWidth="1"/>
    <col min="4105" max="4105" width="13.125" style="28" customWidth="1"/>
    <col min="4106" max="4117" width="5.25" style="28" customWidth="1"/>
    <col min="4118" max="4118" width="3.75" style="28" customWidth="1"/>
    <col min="4119" max="4119" width="2.625" style="28" customWidth="1"/>
    <col min="4120" max="4122" width="3.75" style="28" customWidth="1"/>
    <col min="4123" max="4123" width="5.875" style="28" customWidth="1"/>
    <col min="4124" max="4359" width="9" style="28"/>
    <col min="4360" max="4360" width="3.5" style="28" bestFit="1" customWidth="1"/>
    <col min="4361" max="4361" width="13.125" style="28" customWidth="1"/>
    <col min="4362" max="4373" width="5.25" style="28" customWidth="1"/>
    <col min="4374" max="4374" width="3.75" style="28" customWidth="1"/>
    <col min="4375" max="4375" width="2.625" style="28" customWidth="1"/>
    <col min="4376" max="4378" width="3.75" style="28" customWidth="1"/>
    <col min="4379" max="4379" width="5.875" style="28" customWidth="1"/>
    <col min="4380" max="4615" width="9" style="28"/>
    <col min="4616" max="4616" width="3.5" style="28" bestFit="1" customWidth="1"/>
    <col min="4617" max="4617" width="13.125" style="28" customWidth="1"/>
    <col min="4618" max="4629" width="5.25" style="28" customWidth="1"/>
    <col min="4630" max="4630" width="3.75" style="28" customWidth="1"/>
    <col min="4631" max="4631" width="2.625" style="28" customWidth="1"/>
    <col min="4632" max="4634" width="3.75" style="28" customWidth="1"/>
    <col min="4635" max="4635" width="5.875" style="28" customWidth="1"/>
    <col min="4636" max="4871" width="9" style="28"/>
    <col min="4872" max="4872" width="3.5" style="28" bestFit="1" customWidth="1"/>
    <col min="4873" max="4873" width="13.125" style="28" customWidth="1"/>
    <col min="4874" max="4885" width="5.25" style="28" customWidth="1"/>
    <col min="4886" max="4886" width="3.75" style="28" customWidth="1"/>
    <col min="4887" max="4887" width="2.625" style="28" customWidth="1"/>
    <col min="4888" max="4890" width="3.75" style="28" customWidth="1"/>
    <col min="4891" max="4891" width="5.875" style="28" customWidth="1"/>
    <col min="4892" max="5127" width="9" style="28"/>
    <col min="5128" max="5128" width="3.5" style="28" bestFit="1" customWidth="1"/>
    <col min="5129" max="5129" width="13.125" style="28" customWidth="1"/>
    <col min="5130" max="5141" width="5.25" style="28" customWidth="1"/>
    <col min="5142" max="5142" width="3.75" style="28" customWidth="1"/>
    <col min="5143" max="5143" width="2.625" style="28" customWidth="1"/>
    <col min="5144" max="5146" width="3.75" style="28" customWidth="1"/>
    <col min="5147" max="5147" width="5.875" style="28" customWidth="1"/>
    <col min="5148" max="5383" width="9" style="28"/>
    <col min="5384" max="5384" width="3.5" style="28" bestFit="1" customWidth="1"/>
    <col min="5385" max="5385" width="13.125" style="28" customWidth="1"/>
    <col min="5386" max="5397" width="5.25" style="28" customWidth="1"/>
    <col min="5398" max="5398" width="3.75" style="28" customWidth="1"/>
    <col min="5399" max="5399" width="2.625" style="28" customWidth="1"/>
    <col min="5400" max="5402" width="3.75" style="28" customWidth="1"/>
    <col min="5403" max="5403" width="5.875" style="28" customWidth="1"/>
    <col min="5404" max="5639" width="9" style="28"/>
    <col min="5640" max="5640" width="3.5" style="28" bestFit="1" customWidth="1"/>
    <col min="5641" max="5641" width="13.125" style="28" customWidth="1"/>
    <col min="5642" max="5653" width="5.25" style="28" customWidth="1"/>
    <col min="5654" max="5654" width="3.75" style="28" customWidth="1"/>
    <col min="5655" max="5655" width="2.625" style="28" customWidth="1"/>
    <col min="5656" max="5658" width="3.75" style="28" customWidth="1"/>
    <col min="5659" max="5659" width="5.875" style="28" customWidth="1"/>
    <col min="5660" max="5895" width="9" style="28"/>
    <col min="5896" max="5896" width="3.5" style="28" bestFit="1" customWidth="1"/>
    <col min="5897" max="5897" width="13.125" style="28" customWidth="1"/>
    <col min="5898" max="5909" width="5.25" style="28" customWidth="1"/>
    <col min="5910" max="5910" width="3.75" style="28" customWidth="1"/>
    <col min="5911" max="5911" width="2.625" style="28" customWidth="1"/>
    <col min="5912" max="5914" width="3.75" style="28" customWidth="1"/>
    <col min="5915" max="5915" width="5.875" style="28" customWidth="1"/>
    <col min="5916" max="6151" width="9" style="28"/>
    <col min="6152" max="6152" width="3.5" style="28" bestFit="1" customWidth="1"/>
    <col min="6153" max="6153" width="13.125" style="28" customWidth="1"/>
    <col min="6154" max="6165" width="5.25" style="28" customWidth="1"/>
    <col min="6166" max="6166" width="3.75" style="28" customWidth="1"/>
    <col min="6167" max="6167" width="2.625" style="28" customWidth="1"/>
    <col min="6168" max="6170" width="3.75" style="28" customWidth="1"/>
    <col min="6171" max="6171" width="5.875" style="28" customWidth="1"/>
    <col min="6172" max="6407" width="9" style="28"/>
    <col min="6408" max="6408" width="3.5" style="28" bestFit="1" customWidth="1"/>
    <col min="6409" max="6409" width="13.125" style="28" customWidth="1"/>
    <col min="6410" max="6421" width="5.25" style="28" customWidth="1"/>
    <col min="6422" max="6422" width="3.75" style="28" customWidth="1"/>
    <col min="6423" max="6423" width="2.625" style="28" customWidth="1"/>
    <col min="6424" max="6426" width="3.75" style="28" customWidth="1"/>
    <col min="6427" max="6427" width="5.875" style="28" customWidth="1"/>
    <col min="6428" max="6663" width="9" style="28"/>
    <col min="6664" max="6664" width="3.5" style="28" bestFit="1" customWidth="1"/>
    <col min="6665" max="6665" width="13.125" style="28" customWidth="1"/>
    <col min="6666" max="6677" width="5.25" style="28" customWidth="1"/>
    <col min="6678" max="6678" width="3.75" style="28" customWidth="1"/>
    <col min="6679" max="6679" width="2.625" style="28" customWidth="1"/>
    <col min="6680" max="6682" width="3.75" style="28" customWidth="1"/>
    <col min="6683" max="6683" width="5.875" style="28" customWidth="1"/>
    <col min="6684" max="6919" width="9" style="28"/>
    <col min="6920" max="6920" width="3.5" style="28" bestFit="1" customWidth="1"/>
    <col min="6921" max="6921" width="13.125" style="28" customWidth="1"/>
    <col min="6922" max="6933" width="5.25" style="28" customWidth="1"/>
    <col min="6934" max="6934" width="3.75" style="28" customWidth="1"/>
    <col min="6935" max="6935" width="2.625" style="28" customWidth="1"/>
    <col min="6936" max="6938" width="3.75" style="28" customWidth="1"/>
    <col min="6939" max="6939" width="5.875" style="28" customWidth="1"/>
    <col min="6940" max="7175" width="9" style="28"/>
    <col min="7176" max="7176" width="3.5" style="28" bestFit="1" customWidth="1"/>
    <col min="7177" max="7177" width="13.125" style="28" customWidth="1"/>
    <col min="7178" max="7189" width="5.25" style="28" customWidth="1"/>
    <col min="7190" max="7190" width="3.75" style="28" customWidth="1"/>
    <col min="7191" max="7191" width="2.625" style="28" customWidth="1"/>
    <col min="7192" max="7194" width="3.75" style="28" customWidth="1"/>
    <col min="7195" max="7195" width="5.875" style="28" customWidth="1"/>
    <col min="7196" max="7431" width="9" style="28"/>
    <col min="7432" max="7432" width="3.5" style="28" bestFit="1" customWidth="1"/>
    <col min="7433" max="7433" width="13.125" style="28" customWidth="1"/>
    <col min="7434" max="7445" width="5.25" style="28" customWidth="1"/>
    <col min="7446" max="7446" width="3.75" style="28" customWidth="1"/>
    <col min="7447" max="7447" width="2.625" style="28" customWidth="1"/>
    <col min="7448" max="7450" width="3.75" style="28" customWidth="1"/>
    <col min="7451" max="7451" width="5.875" style="28" customWidth="1"/>
    <col min="7452" max="7687" width="9" style="28"/>
    <col min="7688" max="7688" width="3.5" style="28" bestFit="1" customWidth="1"/>
    <col min="7689" max="7689" width="13.125" style="28" customWidth="1"/>
    <col min="7690" max="7701" width="5.25" style="28" customWidth="1"/>
    <col min="7702" max="7702" width="3.75" style="28" customWidth="1"/>
    <col min="7703" max="7703" width="2.625" style="28" customWidth="1"/>
    <col min="7704" max="7706" width="3.75" style="28" customWidth="1"/>
    <col min="7707" max="7707" width="5.875" style="28" customWidth="1"/>
    <col min="7708" max="7943" width="9" style="28"/>
    <col min="7944" max="7944" width="3.5" style="28" bestFit="1" customWidth="1"/>
    <col min="7945" max="7945" width="13.125" style="28" customWidth="1"/>
    <col min="7946" max="7957" width="5.25" style="28" customWidth="1"/>
    <col min="7958" max="7958" width="3.75" style="28" customWidth="1"/>
    <col min="7959" max="7959" width="2.625" style="28" customWidth="1"/>
    <col min="7960" max="7962" width="3.75" style="28" customWidth="1"/>
    <col min="7963" max="7963" width="5.875" style="28" customWidth="1"/>
    <col min="7964" max="8199" width="9" style="28"/>
    <col min="8200" max="8200" width="3.5" style="28" bestFit="1" customWidth="1"/>
    <col min="8201" max="8201" width="13.125" style="28" customWidth="1"/>
    <col min="8202" max="8213" width="5.25" style="28" customWidth="1"/>
    <col min="8214" max="8214" width="3.75" style="28" customWidth="1"/>
    <col min="8215" max="8215" width="2.625" style="28" customWidth="1"/>
    <col min="8216" max="8218" width="3.75" style="28" customWidth="1"/>
    <col min="8219" max="8219" width="5.875" style="28" customWidth="1"/>
    <col min="8220" max="8455" width="9" style="28"/>
    <col min="8456" max="8456" width="3.5" style="28" bestFit="1" customWidth="1"/>
    <col min="8457" max="8457" width="13.125" style="28" customWidth="1"/>
    <col min="8458" max="8469" width="5.25" style="28" customWidth="1"/>
    <col min="8470" max="8470" width="3.75" style="28" customWidth="1"/>
    <col min="8471" max="8471" width="2.625" style="28" customWidth="1"/>
    <col min="8472" max="8474" width="3.75" style="28" customWidth="1"/>
    <col min="8475" max="8475" width="5.875" style="28" customWidth="1"/>
    <col min="8476" max="8711" width="9" style="28"/>
    <col min="8712" max="8712" width="3.5" style="28" bestFit="1" customWidth="1"/>
    <col min="8713" max="8713" width="13.125" style="28" customWidth="1"/>
    <col min="8714" max="8725" width="5.25" style="28" customWidth="1"/>
    <col min="8726" max="8726" width="3.75" style="28" customWidth="1"/>
    <col min="8727" max="8727" width="2.625" style="28" customWidth="1"/>
    <col min="8728" max="8730" width="3.75" style="28" customWidth="1"/>
    <col min="8731" max="8731" width="5.875" style="28" customWidth="1"/>
    <col min="8732" max="8967" width="9" style="28"/>
    <col min="8968" max="8968" width="3.5" style="28" bestFit="1" customWidth="1"/>
    <col min="8969" max="8969" width="13.125" style="28" customWidth="1"/>
    <col min="8970" max="8981" width="5.25" style="28" customWidth="1"/>
    <col min="8982" max="8982" width="3.75" style="28" customWidth="1"/>
    <col min="8983" max="8983" width="2.625" style="28" customWidth="1"/>
    <col min="8984" max="8986" width="3.75" style="28" customWidth="1"/>
    <col min="8987" max="8987" width="5.875" style="28" customWidth="1"/>
    <col min="8988" max="9223" width="9" style="28"/>
    <col min="9224" max="9224" width="3.5" style="28" bestFit="1" customWidth="1"/>
    <col min="9225" max="9225" width="13.125" style="28" customWidth="1"/>
    <col min="9226" max="9237" width="5.25" style="28" customWidth="1"/>
    <col min="9238" max="9238" width="3.75" style="28" customWidth="1"/>
    <col min="9239" max="9239" width="2.625" style="28" customWidth="1"/>
    <col min="9240" max="9242" width="3.75" style="28" customWidth="1"/>
    <col min="9243" max="9243" width="5.875" style="28" customWidth="1"/>
    <col min="9244" max="9479" width="9" style="28"/>
    <col min="9480" max="9480" width="3.5" style="28" bestFit="1" customWidth="1"/>
    <col min="9481" max="9481" width="13.125" style="28" customWidth="1"/>
    <col min="9482" max="9493" width="5.25" style="28" customWidth="1"/>
    <col min="9494" max="9494" width="3.75" style="28" customWidth="1"/>
    <col min="9495" max="9495" width="2.625" style="28" customWidth="1"/>
    <col min="9496" max="9498" width="3.75" style="28" customWidth="1"/>
    <col min="9499" max="9499" width="5.875" style="28" customWidth="1"/>
    <col min="9500" max="9735" width="9" style="28"/>
    <col min="9736" max="9736" width="3.5" style="28" bestFit="1" customWidth="1"/>
    <col min="9737" max="9737" width="13.125" style="28" customWidth="1"/>
    <col min="9738" max="9749" width="5.25" style="28" customWidth="1"/>
    <col min="9750" max="9750" width="3.75" style="28" customWidth="1"/>
    <col min="9751" max="9751" width="2.625" style="28" customWidth="1"/>
    <col min="9752" max="9754" width="3.75" style="28" customWidth="1"/>
    <col min="9755" max="9755" width="5.875" style="28" customWidth="1"/>
    <col min="9756" max="9991" width="9" style="28"/>
    <col min="9992" max="9992" width="3.5" style="28" bestFit="1" customWidth="1"/>
    <col min="9993" max="9993" width="13.125" style="28" customWidth="1"/>
    <col min="9994" max="10005" width="5.25" style="28" customWidth="1"/>
    <col min="10006" max="10006" width="3.75" style="28" customWidth="1"/>
    <col min="10007" max="10007" width="2.625" style="28" customWidth="1"/>
    <col min="10008" max="10010" width="3.75" style="28" customWidth="1"/>
    <col min="10011" max="10011" width="5.875" style="28" customWidth="1"/>
    <col min="10012" max="10247" width="9" style="28"/>
    <col min="10248" max="10248" width="3.5" style="28" bestFit="1" customWidth="1"/>
    <col min="10249" max="10249" width="13.125" style="28" customWidth="1"/>
    <col min="10250" max="10261" width="5.25" style="28" customWidth="1"/>
    <col min="10262" max="10262" width="3.75" style="28" customWidth="1"/>
    <col min="10263" max="10263" width="2.625" style="28" customWidth="1"/>
    <col min="10264" max="10266" width="3.75" style="28" customWidth="1"/>
    <col min="10267" max="10267" width="5.875" style="28" customWidth="1"/>
    <col min="10268" max="10503" width="9" style="28"/>
    <col min="10504" max="10504" width="3.5" style="28" bestFit="1" customWidth="1"/>
    <col min="10505" max="10505" width="13.125" style="28" customWidth="1"/>
    <col min="10506" max="10517" width="5.25" style="28" customWidth="1"/>
    <col min="10518" max="10518" width="3.75" style="28" customWidth="1"/>
    <col min="10519" max="10519" width="2.625" style="28" customWidth="1"/>
    <col min="10520" max="10522" width="3.75" style="28" customWidth="1"/>
    <col min="10523" max="10523" width="5.875" style="28" customWidth="1"/>
    <col min="10524" max="10759" width="9" style="28"/>
    <col min="10760" max="10760" width="3.5" style="28" bestFit="1" customWidth="1"/>
    <col min="10761" max="10761" width="13.125" style="28" customWidth="1"/>
    <col min="10762" max="10773" width="5.25" style="28" customWidth="1"/>
    <col min="10774" max="10774" width="3.75" style="28" customWidth="1"/>
    <col min="10775" max="10775" width="2.625" style="28" customWidth="1"/>
    <col min="10776" max="10778" width="3.75" style="28" customWidth="1"/>
    <col min="10779" max="10779" width="5.875" style="28" customWidth="1"/>
    <col min="10780" max="11015" width="9" style="28"/>
    <col min="11016" max="11016" width="3.5" style="28" bestFit="1" customWidth="1"/>
    <col min="11017" max="11017" width="13.125" style="28" customWidth="1"/>
    <col min="11018" max="11029" width="5.25" style="28" customWidth="1"/>
    <col min="11030" max="11030" width="3.75" style="28" customWidth="1"/>
    <col min="11031" max="11031" width="2.625" style="28" customWidth="1"/>
    <col min="11032" max="11034" width="3.75" style="28" customWidth="1"/>
    <col min="11035" max="11035" width="5.875" style="28" customWidth="1"/>
    <col min="11036" max="11271" width="9" style="28"/>
    <col min="11272" max="11272" width="3.5" style="28" bestFit="1" customWidth="1"/>
    <col min="11273" max="11273" width="13.125" style="28" customWidth="1"/>
    <col min="11274" max="11285" width="5.25" style="28" customWidth="1"/>
    <col min="11286" max="11286" width="3.75" style="28" customWidth="1"/>
    <col min="11287" max="11287" width="2.625" style="28" customWidth="1"/>
    <col min="11288" max="11290" width="3.75" style="28" customWidth="1"/>
    <col min="11291" max="11291" width="5.875" style="28" customWidth="1"/>
    <col min="11292" max="11527" width="9" style="28"/>
    <col min="11528" max="11528" width="3.5" style="28" bestFit="1" customWidth="1"/>
    <col min="11529" max="11529" width="13.125" style="28" customWidth="1"/>
    <col min="11530" max="11541" width="5.25" style="28" customWidth="1"/>
    <col min="11542" max="11542" width="3.75" style="28" customWidth="1"/>
    <col min="11543" max="11543" width="2.625" style="28" customWidth="1"/>
    <col min="11544" max="11546" width="3.75" style="28" customWidth="1"/>
    <col min="11547" max="11547" width="5.875" style="28" customWidth="1"/>
    <col min="11548" max="11783" width="9" style="28"/>
    <col min="11784" max="11784" width="3.5" style="28" bestFit="1" customWidth="1"/>
    <col min="11785" max="11785" width="13.125" style="28" customWidth="1"/>
    <col min="11786" max="11797" width="5.25" style="28" customWidth="1"/>
    <col min="11798" max="11798" width="3.75" style="28" customWidth="1"/>
    <col min="11799" max="11799" width="2.625" style="28" customWidth="1"/>
    <col min="11800" max="11802" width="3.75" style="28" customWidth="1"/>
    <col min="11803" max="11803" width="5.875" style="28" customWidth="1"/>
    <col min="11804" max="12039" width="9" style="28"/>
    <col min="12040" max="12040" width="3.5" style="28" bestFit="1" customWidth="1"/>
    <col min="12041" max="12041" width="13.125" style="28" customWidth="1"/>
    <col min="12042" max="12053" width="5.25" style="28" customWidth="1"/>
    <col min="12054" max="12054" width="3.75" style="28" customWidth="1"/>
    <col min="12055" max="12055" width="2.625" style="28" customWidth="1"/>
    <col min="12056" max="12058" width="3.75" style="28" customWidth="1"/>
    <col min="12059" max="12059" width="5.875" style="28" customWidth="1"/>
    <col min="12060" max="12295" width="9" style="28"/>
    <col min="12296" max="12296" width="3.5" style="28" bestFit="1" customWidth="1"/>
    <col min="12297" max="12297" width="13.125" style="28" customWidth="1"/>
    <col min="12298" max="12309" width="5.25" style="28" customWidth="1"/>
    <col min="12310" max="12310" width="3.75" style="28" customWidth="1"/>
    <col min="12311" max="12311" width="2.625" style="28" customWidth="1"/>
    <col min="12312" max="12314" width="3.75" style="28" customWidth="1"/>
    <col min="12315" max="12315" width="5.875" style="28" customWidth="1"/>
    <col min="12316" max="12551" width="9" style="28"/>
    <col min="12552" max="12552" width="3.5" style="28" bestFit="1" customWidth="1"/>
    <col min="12553" max="12553" width="13.125" style="28" customWidth="1"/>
    <col min="12554" max="12565" width="5.25" style="28" customWidth="1"/>
    <col min="12566" max="12566" width="3.75" style="28" customWidth="1"/>
    <col min="12567" max="12567" width="2.625" style="28" customWidth="1"/>
    <col min="12568" max="12570" width="3.75" style="28" customWidth="1"/>
    <col min="12571" max="12571" width="5.875" style="28" customWidth="1"/>
    <col min="12572" max="12807" width="9" style="28"/>
    <col min="12808" max="12808" width="3.5" style="28" bestFit="1" customWidth="1"/>
    <col min="12809" max="12809" width="13.125" style="28" customWidth="1"/>
    <col min="12810" max="12821" width="5.25" style="28" customWidth="1"/>
    <col min="12822" max="12822" width="3.75" style="28" customWidth="1"/>
    <col min="12823" max="12823" width="2.625" style="28" customWidth="1"/>
    <col min="12824" max="12826" width="3.75" style="28" customWidth="1"/>
    <col min="12827" max="12827" width="5.875" style="28" customWidth="1"/>
    <col min="12828" max="13063" width="9" style="28"/>
    <col min="13064" max="13064" width="3.5" style="28" bestFit="1" customWidth="1"/>
    <col min="13065" max="13065" width="13.125" style="28" customWidth="1"/>
    <col min="13066" max="13077" width="5.25" style="28" customWidth="1"/>
    <col min="13078" max="13078" width="3.75" style="28" customWidth="1"/>
    <col min="13079" max="13079" width="2.625" style="28" customWidth="1"/>
    <col min="13080" max="13082" width="3.75" style="28" customWidth="1"/>
    <col min="13083" max="13083" width="5.875" style="28" customWidth="1"/>
    <col min="13084" max="13319" width="9" style="28"/>
    <col min="13320" max="13320" width="3.5" style="28" bestFit="1" customWidth="1"/>
    <col min="13321" max="13321" width="13.125" style="28" customWidth="1"/>
    <col min="13322" max="13333" width="5.25" style="28" customWidth="1"/>
    <col min="13334" max="13334" width="3.75" style="28" customWidth="1"/>
    <col min="13335" max="13335" width="2.625" style="28" customWidth="1"/>
    <col min="13336" max="13338" width="3.75" style="28" customWidth="1"/>
    <col min="13339" max="13339" width="5.875" style="28" customWidth="1"/>
    <col min="13340" max="13575" width="9" style="28"/>
    <col min="13576" max="13576" width="3.5" style="28" bestFit="1" customWidth="1"/>
    <col min="13577" max="13577" width="13.125" style="28" customWidth="1"/>
    <col min="13578" max="13589" width="5.25" style="28" customWidth="1"/>
    <col min="13590" max="13590" width="3.75" style="28" customWidth="1"/>
    <col min="13591" max="13591" width="2.625" style="28" customWidth="1"/>
    <col min="13592" max="13594" width="3.75" style="28" customWidth="1"/>
    <col min="13595" max="13595" width="5.875" style="28" customWidth="1"/>
    <col min="13596" max="13831" width="9" style="28"/>
    <col min="13832" max="13832" width="3.5" style="28" bestFit="1" customWidth="1"/>
    <col min="13833" max="13833" width="13.125" style="28" customWidth="1"/>
    <col min="13834" max="13845" width="5.25" style="28" customWidth="1"/>
    <col min="13846" max="13846" width="3.75" style="28" customWidth="1"/>
    <col min="13847" max="13847" width="2.625" style="28" customWidth="1"/>
    <col min="13848" max="13850" width="3.75" style="28" customWidth="1"/>
    <col min="13851" max="13851" width="5.875" style="28" customWidth="1"/>
    <col min="13852" max="14087" width="9" style="28"/>
    <col min="14088" max="14088" width="3.5" style="28" bestFit="1" customWidth="1"/>
    <col min="14089" max="14089" width="13.125" style="28" customWidth="1"/>
    <col min="14090" max="14101" width="5.25" style="28" customWidth="1"/>
    <col min="14102" max="14102" width="3.75" style="28" customWidth="1"/>
    <col min="14103" max="14103" width="2.625" style="28" customWidth="1"/>
    <col min="14104" max="14106" width="3.75" style="28" customWidth="1"/>
    <col min="14107" max="14107" width="5.875" style="28" customWidth="1"/>
    <col min="14108" max="14343" width="9" style="28"/>
    <col min="14344" max="14344" width="3.5" style="28" bestFit="1" customWidth="1"/>
    <col min="14345" max="14345" width="13.125" style="28" customWidth="1"/>
    <col min="14346" max="14357" width="5.25" style="28" customWidth="1"/>
    <col min="14358" max="14358" width="3.75" style="28" customWidth="1"/>
    <col min="14359" max="14359" width="2.625" style="28" customWidth="1"/>
    <col min="14360" max="14362" width="3.75" style="28" customWidth="1"/>
    <col min="14363" max="14363" width="5.875" style="28" customWidth="1"/>
    <col min="14364" max="14599" width="9" style="28"/>
    <col min="14600" max="14600" width="3.5" style="28" bestFit="1" customWidth="1"/>
    <col min="14601" max="14601" width="13.125" style="28" customWidth="1"/>
    <col min="14602" max="14613" width="5.25" style="28" customWidth="1"/>
    <col min="14614" max="14614" width="3.75" style="28" customWidth="1"/>
    <col min="14615" max="14615" width="2.625" style="28" customWidth="1"/>
    <col min="14616" max="14618" width="3.75" style="28" customWidth="1"/>
    <col min="14619" max="14619" width="5.875" style="28" customWidth="1"/>
    <col min="14620" max="14855" width="9" style="28"/>
    <col min="14856" max="14856" width="3.5" style="28" bestFit="1" customWidth="1"/>
    <col min="14857" max="14857" width="13.125" style="28" customWidth="1"/>
    <col min="14858" max="14869" width="5.25" style="28" customWidth="1"/>
    <col min="14870" max="14870" width="3.75" style="28" customWidth="1"/>
    <col min="14871" max="14871" width="2.625" style="28" customWidth="1"/>
    <col min="14872" max="14874" width="3.75" style="28" customWidth="1"/>
    <col min="14875" max="14875" width="5.875" style="28" customWidth="1"/>
    <col min="14876" max="15111" width="9" style="28"/>
    <col min="15112" max="15112" width="3.5" style="28" bestFit="1" customWidth="1"/>
    <col min="15113" max="15113" width="13.125" style="28" customWidth="1"/>
    <col min="15114" max="15125" width="5.25" style="28" customWidth="1"/>
    <col min="15126" max="15126" width="3.75" style="28" customWidth="1"/>
    <col min="15127" max="15127" width="2.625" style="28" customWidth="1"/>
    <col min="15128" max="15130" width="3.75" style="28" customWidth="1"/>
    <col min="15131" max="15131" width="5.875" style="28" customWidth="1"/>
    <col min="15132" max="15367" width="9" style="28"/>
    <col min="15368" max="15368" width="3.5" style="28" bestFit="1" customWidth="1"/>
    <col min="15369" max="15369" width="13.125" style="28" customWidth="1"/>
    <col min="15370" max="15381" width="5.25" style="28" customWidth="1"/>
    <col min="15382" max="15382" width="3.75" style="28" customWidth="1"/>
    <col min="15383" max="15383" width="2.625" style="28" customWidth="1"/>
    <col min="15384" max="15386" width="3.75" style="28" customWidth="1"/>
    <col min="15387" max="15387" width="5.875" style="28" customWidth="1"/>
    <col min="15388" max="15623" width="9" style="28"/>
    <col min="15624" max="15624" width="3.5" style="28" bestFit="1" customWidth="1"/>
    <col min="15625" max="15625" width="13.125" style="28" customWidth="1"/>
    <col min="15626" max="15637" width="5.25" style="28" customWidth="1"/>
    <col min="15638" max="15638" width="3.75" style="28" customWidth="1"/>
    <col min="15639" max="15639" width="2.625" style="28" customWidth="1"/>
    <col min="15640" max="15642" width="3.75" style="28" customWidth="1"/>
    <col min="15643" max="15643" width="5.875" style="28" customWidth="1"/>
    <col min="15644" max="15879" width="9" style="28"/>
    <col min="15880" max="15880" width="3.5" style="28" bestFit="1" customWidth="1"/>
    <col min="15881" max="15881" width="13.125" style="28" customWidth="1"/>
    <col min="15882" max="15893" width="5.25" style="28" customWidth="1"/>
    <col min="15894" max="15894" width="3.75" style="28" customWidth="1"/>
    <col min="15895" max="15895" width="2.625" style="28" customWidth="1"/>
    <col min="15896" max="15898" width="3.75" style="28" customWidth="1"/>
    <col min="15899" max="15899" width="5.875" style="28" customWidth="1"/>
    <col min="15900" max="16135" width="9" style="28"/>
    <col min="16136" max="16136" width="3.5" style="28" bestFit="1" customWidth="1"/>
    <col min="16137" max="16137" width="13.125" style="28" customWidth="1"/>
    <col min="16138" max="16149" width="5.25" style="28" customWidth="1"/>
    <col min="16150" max="16150" width="3.75" style="28" customWidth="1"/>
    <col min="16151" max="16151" width="2.625" style="28" customWidth="1"/>
    <col min="16152" max="16154" width="3.75" style="28" customWidth="1"/>
    <col min="16155" max="16155" width="5.875" style="28" customWidth="1"/>
    <col min="16156" max="16384" width="9" style="28"/>
  </cols>
  <sheetData>
    <row r="1" spans="1:21" ht="15" customHeight="1" x14ac:dyDescent="0.15"/>
    <row r="2" spans="1:21" ht="39" customHeight="1" x14ac:dyDescent="0.15">
      <c r="A2" s="287" t="s">
        <v>1183</v>
      </c>
      <c r="B2" s="287"/>
      <c r="C2" s="288"/>
      <c r="D2" s="291" t="s">
        <v>60</v>
      </c>
      <c r="E2" s="292"/>
      <c r="F2" s="292"/>
      <c r="G2" s="292"/>
      <c r="H2" s="292"/>
      <c r="I2" s="292"/>
      <c r="J2" s="292"/>
      <c r="K2" s="292"/>
      <c r="L2" s="292"/>
      <c r="M2" s="292"/>
      <c r="N2" s="292"/>
      <c r="O2" s="292"/>
      <c r="P2" s="292"/>
      <c r="Q2" s="292"/>
      <c r="R2" s="293"/>
      <c r="S2" s="297" t="s">
        <v>61</v>
      </c>
      <c r="T2" s="297"/>
      <c r="U2" s="297"/>
    </row>
    <row r="3" spans="1:21" ht="24" customHeight="1" x14ac:dyDescent="0.15">
      <c r="A3" s="287"/>
      <c r="B3" s="287"/>
      <c r="C3" s="288"/>
      <c r="D3" s="291" t="s">
        <v>62</v>
      </c>
      <c r="E3" s="292"/>
      <c r="F3" s="293"/>
      <c r="G3" s="291" t="s">
        <v>63</v>
      </c>
      <c r="H3" s="292"/>
      <c r="I3" s="293"/>
      <c r="J3" s="291" t="s">
        <v>64</v>
      </c>
      <c r="K3" s="292"/>
      <c r="L3" s="293"/>
      <c r="M3" s="291" t="s">
        <v>65</v>
      </c>
      <c r="N3" s="292"/>
      <c r="O3" s="293"/>
      <c r="P3" s="291" t="s">
        <v>66</v>
      </c>
      <c r="Q3" s="292"/>
      <c r="R3" s="293"/>
      <c r="S3" s="297"/>
      <c r="T3" s="297"/>
      <c r="U3" s="297"/>
    </row>
    <row r="4" spans="1:21" ht="24" customHeight="1" x14ac:dyDescent="0.15">
      <c r="A4" s="289"/>
      <c r="B4" s="289"/>
      <c r="C4" s="290"/>
      <c r="D4" s="33" t="s">
        <v>67</v>
      </c>
      <c r="E4" s="41" t="s">
        <v>68</v>
      </c>
      <c r="F4" s="37" t="s">
        <v>81</v>
      </c>
      <c r="G4" s="33" t="s">
        <v>67</v>
      </c>
      <c r="H4" s="41" t="s">
        <v>68</v>
      </c>
      <c r="I4" s="37" t="s">
        <v>81</v>
      </c>
      <c r="J4" s="33" t="s">
        <v>67</v>
      </c>
      <c r="K4" s="41" t="s">
        <v>68</v>
      </c>
      <c r="L4" s="37" t="s">
        <v>81</v>
      </c>
      <c r="M4" s="33" t="s">
        <v>67</v>
      </c>
      <c r="N4" s="41" t="s">
        <v>68</v>
      </c>
      <c r="O4" s="37" t="s">
        <v>81</v>
      </c>
      <c r="P4" s="33" t="s">
        <v>67</v>
      </c>
      <c r="Q4" s="41" t="s">
        <v>68</v>
      </c>
      <c r="R4" s="37" t="s">
        <v>81</v>
      </c>
      <c r="S4" s="33" t="s">
        <v>67</v>
      </c>
      <c r="T4" s="34" t="s">
        <v>80</v>
      </c>
      <c r="U4" s="37" t="s">
        <v>61</v>
      </c>
    </row>
    <row r="5" spans="1:21" ht="24" customHeight="1" x14ac:dyDescent="0.15">
      <c r="A5" s="307" t="s">
        <v>55</v>
      </c>
      <c r="B5" s="304" t="s">
        <v>69</v>
      </c>
      <c r="C5" s="285" t="s">
        <v>1187</v>
      </c>
      <c r="D5" s="35">
        <f>COUNTIFS(テーブル2[学年],"1",テーブル2[性別],"男",テーブル2[判定],"A")</f>
        <v>0</v>
      </c>
      <c r="E5" s="42">
        <f>COUNTIFS(テーブル2[学年],"1",テーブル2[性別],"女",テーブル2[判定],"A")</f>
        <v>0</v>
      </c>
      <c r="F5" s="156">
        <f>SUM(D5:E5)</f>
        <v>0</v>
      </c>
      <c r="G5" s="35">
        <f>COUNTIFS(テーブル2[学年],"1",テーブル2[性別],"男",テーブル2[判定],"B")</f>
        <v>0</v>
      </c>
      <c r="H5" s="42">
        <f>COUNTIFS(テーブル2[学年],"1",テーブル2[性別],"女",テーブル2[判定],"B")</f>
        <v>0</v>
      </c>
      <c r="I5" s="156">
        <f>SUM(G5:H5)</f>
        <v>0</v>
      </c>
      <c r="J5" s="113">
        <f>COUNTIFS(テーブル2[学年],"1",テーブル2[性別],"男",テーブル2[判定],"C")</f>
        <v>0</v>
      </c>
      <c r="K5" s="114">
        <f>COUNTIFS(テーブル2[学年],"1",テーブル2[性別],"女",テーブル2[判定],"C")</f>
        <v>0</v>
      </c>
      <c r="L5" s="156">
        <f>SUM(J5:K5)</f>
        <v>0</v>
      </c>
      <c r="M5" s="35">
        <f>COUNTIFS(テーブル2[学年],"1",テーブル2[性別],"男",テーブル2[判定],"D")</f>
        <v>0</v>
      </c>
      <c r="N5" s="42">
        <f>COUNTIFS(テーブル2[学年],"1",テーブル2[性別],"女",テーブル2[判定],"D")</f>
        <v>0</v>
      </c>
      <c r="O5" s="156">
        <f>SUM(M5:N5)</f>
        <v>0</v>
      </c>
      <c r="P5" s="35">
        <f>COUNTIFS(テーブル2[学年],"1",テーブル2[性別],"男",テーブル2[判定],"E")</f>
        <v>0</v>
      </c>
      <c r="Q5" s="42">
        <f>COUNTIFS(テーブル2[学年],"1",テーブル2[性別],"女",テーブル2[判定],"E")</f>
        <v>0</v>
      </c>
      <c r="R5" s="156">
        <f>SUM(P5:Q5)</f>
        <v>0</v>
      </c>
      <c r="S5" s="36">
        <f>D5+G5+J5+M5+P5</f>
        <v>0</v>
      </c>
      <c r="T5" s="38">
        <f>E5+H5+K5+N5+Q5</f>
        <v>0</v>
      </c>
      <c r="U5" s="39">
        <f>F5+I5+L5+O5+R5</f>
        <v>0</v>
      </c>
    </row>
    <row r="6" spans="1:21" s="204" customFormat="1" ht="24" customHeight="1" x14ac:dyDescent="0.15">
      <c r="A6" s="308"/>
      <c r="B6" s="305"/>
      <c r="C6" s="286"/>
      <c r="D6" s="205">
        <f>IFERROR(D5/$S$5,0)</f>
        <v>0</v>
      </c>
      <c r="E6" s="206">
        <f>IFERROR(E5/$T$5,0)</f>
        <v>0</v>
      </c>
      <c r="F6" s="157">
        <f>IFERROR(F5/$U$5,0)</f>
        <v>0</v>
      </c>
      <c r="G6" s="205">
        <f>IFERROR(G5/$S$5,0)</f>
        <v>0</v>
      </c>
      <c r="H6" s="206">
        <f>IFERROR(H5/$T$5,0)</f>
        <v>0</v>
      </c>
      <c r="I6" s="157">
        <f>IFERROR(I5/$U$5,0)</f>
        <v>0</v>
      </c>
      <c r="J6" s="205">
        <f>IFERROR(J5/$S$5,0)</f>
        <v>0</v>
      </c>
      <c r="K6" s="206">
        <f>IFERROR(K5/$T$5,0)</f>
        <v>0</v>
      </c>
      <c r="L6" s="157">
        <f>IFERROR(L5/$U$5,0)</f>
        <v>0</v>
      </c>
      <c r="M6" s="205">
        <f>IFERROR(M5/$S$5,0)</f>
        <v>0</v>
      </c>
      <c r="N6" s="206">
        <f>IFERROR(N5/$T$5,0)</f>
        <v>0</v>
      </c>
      <c r="O6" s="157">
        <f>IFERROR(O5/$U$5,0)</f>
        <v>0</v>
      </c>
      <c r="P6" s="205">
        <f>IFERROR(P5/$S$5,0)</f>
        <v>0</v>
      </c>
      <c r="Q6" s="206">
        <f>IFERROR(Q5/$T$5,0)</f>
        <v>0</v>
      </c>
      <c r="R6" s="157">
        <f>IFERROR(R5/$U$5,0)</f>
        <v>0</v>
      </c>
      <c r="S6" s="294"/>
      <c r="T6" s="295"/>
      <c r="U6" s="296"/>
    </row>
    <row r="7" spans="1:21" s="204" customFormat="1" ht="24" customHeight="1" x14ac:dyDescent="0.15">
      <c r="A7" s="308"/>
      <c r="B7" s="305"/>
      <c r="C7" s="283" t="s">
        <v>1188</v>
      </c>
      <c r="D7" s="35">
        <f>COUNTIFS(テーブル2[学年],"1",テーブル2[性別],"男",テーブル2[判定],"A",テーブル2[実施種目数],"=8")</f>
        <v>0</v>
      </c>
      <c r="E7" s="42">
        <f>COUNTIFS(テーブル2[学年],"1",テーブル2[性別],"女",テーブル2[判定],"A",テーブル2[実施種目数],"=8")</f>
        <v>0</v>
      </c>
      <c r="F7" s="156">
        <f>SUM(D7:E7)</f>
        <v>0</v>
      </c>
      <c r="G7" s="35">
        <f>COUNTIFS(テーブル2[学年],"1",テーブル2[性別],"男",テーブル2[判定],"B",テーブル2[実施種目数],"=8")</f>
        <v>0</v>
      </c>
      <c r="H7" s="42">
        <f>COUNTIFS(テーブル2[学年],"1",テーブル2[性別],"女",テーブル2[判定],"B",テーブル2[実施種目数],"=8")</f>
        <v>0</v>
      </c>
      <c r="I7" s="156">
        <f>SUM(G7:H7)</f>
        <v>0</v>
      </c>
      <c r="J7" s="113">
        <f>COUNTIFS(テーブル2[学年],"1",テーブル2[性別],"男",テーブル2[判定],"C",テーブル2[実施種目数],"=8")</f>
        <v>0</v>
      </c>
      <c r="K7" s="114">
        <f>COUNTIFS(テーブル2[学年],"1",テーブル2[性別],"女",テーブル2[判定],"C",テーブル2[実施種目数],"=8")</f>
        <v>0</v>
      </c>
      <c r="L7" s="156">
        <f>SUM(J7:K7)</f>
        <v>0</v>
      </c>
      <c r="M7" s="35">
        <f>COUNTIFS(テーブル2[学年],"1",テーブル2[性別],"男",テーブル2[判定],"D",テーブル2[実施種目数],"=8")</f>
        <v>0</v>
      </c>
      <c r="N7" s="42">
        <f>COUNTIFS(テーブル2[学年],"1",テーブル2[性別],"女",テーブル2[判定],"D",テーブル2[実施種目数],"=8")</f>
        <v>0</v>
      </c>
      <c r="O7" s="156">
        <f>SUM(M7:N7)</f>
        <v>0</v>
      </c>
      <c r="P7" s="35">
        <f>COUNTIFS(テーブル2[学年],"1",テーブル2[性別],"男",テーブル2[判定],"E",テーブル2[実施種目数],"=8")</f>
        <v>0</v>
      </c>
      <c r="Q7" s="42">
        <f>COUNTIFS(テーブル2[学年],"1",テーブル2[性別],"女",テーブル2[判定],"E",テーブル2[実施種目数],"=8")</f>
        <v>0</v>
      </c>
      <c r="R7" s="156">
        <f>SUM(P7:Q7)</f>
        <v>0</v>
      </c>
      <c r="S7" s="36">
        <f>D7+G7+J7+M7+P7</f>
        <v>0</v>
      </c>
      <c r="T7" s="38">
        <f>E7+H7+K7+N7+Q7</f>
        <v>0</v>
      </c>
      <c r="U7" s="39">
        <f>F7+I7+L7+O7+R7</f>
        <v>0</v>
      </c>
    </row>
    <row r="8" spans="1:21" ht="24" customHeight="1" x14ac:dyDescent="0.15">
      <c r="A8" s="308"/>
      <c r="B8" s="306"/>
      <c r="C8" s="284"/>
      <c r="D8" s="211">
        <f>IFERROR(D7/$S$7,0)</f>
        <v>0</v>
      </c>
      <c r="E8" s="212">
        <f>IFERROR(E7/$T$7,0)</f>
        <v>0</v>
      </c>
      <c r="F8" s="217">
        <f>IFERROR(F7/$U$7,0)</f>
        <v>0</v>
      </c>
      <c r="G8" s="211">
        <f>IFERROR(G7/$S$7,0)</f>
        <v>0</v>
      </c>
      <c r="H8" s="212">
        <f>IFERROR(H7/$T$7,0)</f>
        <v>0</v>
      </c>
      <c r="I8" s="217">
        <f>IFERROR(I7/$U$7,0)</f>
        <v>0</v>
      </c>
      <c r="J8" s="211">
        <f>IFERROR(J7/$S$7,0)</f>
        <v>0</v>
      </c>
      <c r="K8" s="212">
        <f>IFERROR(K7/$T$7,0)</f>
        <v>0</v>
      </c>
      <c r="L8" s="217">
        <f>IFERROR(L7/$U$7,0)</f>
        <v>0</v>
      </c>
      <c r="M8" s="211">
        <f>IFERROR(M7/$S$7,0)</f>
        <v>0</v>
      </c>
      <c r="N8" s="212">
        <f>IFERROR(N7/$T$7,0)</f>
        <v>0</v>
      </c>
      <c r="O8" s="217">
        <f>IFERROR(O7/$U$7,0)</f>
        <v>0</v>
      </c>
      <c r="P8" s="211">
        <f>IFERROR(P7/$S$7,0)</f>
        <v>0</v>
      </c>
      <c r="Q8" s="212">
        <f>IFERROR(Q7/$T$7,0)</f>
        <v>0</v>
      </c>
      <c r="R8" s="217">
        <f>IFERROR(R7/$U$7,0)</f>
        <v>0</v>
      </c>
      <c r="S8" s="294"/>
      <c r="T8" s="295"/>
      <c r="U8" s="296"/>
    </row>
    <row r="9" spans="1:21" ht="24" customHeight="1" x14ac:dyDescent="0.15">
      <c r="A9" s="308"/>
      <c r="B9" s="304" t="s">
        <v>70</v>
      </c>
      <c r="C9" s="285" t="s">
        <v>1187</v>
      </c>
      <c r="D9" s="35">
        <f>COUNTIFS(テーブル2[学年],"2",テーブル2[性別],"男",テーブル2[判定],"A")</f>
        <v>0</v>
      </c>
      <c r="E9" s="42">
        <f>COUNTIFS(テーブル2[学年],"2",テーブル2[性別],"女",テーブル2[判定],"A")</f>
        <v>0</v>
      </c>
      <c r="F9" s="156">
        <f>SUM(D9:E9)</f>
        <v>0</v>
      </c>
      <c r="G9" s="35">
        <f>COUNTIFS(テーブル2[学年],"2",テーブル2[性別],"男",テーブル2[判定],"B")</f>
        <v>0</v>
      </c>
      <c r="H9" s="42">
        <f>COUNTIFS(テーブル2[学年],"2",テーブル2[性別],"女",テーブル2[判定],"B")</f>
        <v>0</v>
      </c>
      <c r="I9" s="156">
        <f>SUM(G9:H9)</f>
        <v>0</v>
      </c>
      <c r="J9" s="35">
        <f>COUNTIFS(テーブル2[学年],"2",テーブル2[性別],"男",テーブル2[判定],"C")</f>
        <v>0</v>
      </c>
      <c r="K9" s="42">
        <f>COUNTIFS(テーブル2[学年],"2",テーブル2[性別],"女",テーブル2[判定],"C")</f>
        <v>0</v>
      </c>
      <c r="L9" s="156">
        <f>SUM(J9:K9)</f>
        <v>0</v>
      </c>
      <c r="M9" s="35">
        <f>COUNTIFS(テーブル2[学年],"2",テーブル2[性別],"男",テーブル2[判定],"D")</f>
        <v>0</v>
      </c>
      <c r="N9" s="42">
        <f>COUNTIFS(テーブル2[学年],"2",テーブル2[性別],"女",テーブル2[判定],"D")</f>
        <v>0</v>
      </c>
      <c r="O9" s="156">
        <f>SUM(M9:N9)</f>
        <v>0</v>
      </c>
      <c r="P9" s="35">
        <f>COUNTIFS(テーブル2[学年],"2",テーブル2[性別],"男",テーブル2[判定],"E")</f>
        <v>0</v>
      </c>
      <c r="Q9" s="42">
        <f>COUNTIFS(テーブル2[学年],"2",テーブル2[性別],"女",テーブル2[判定],"E")</f>
        <v>0</v>
      </c>
      <c r="R9" s="156">
        <f>SUM(P9:Q9)</f>
        <v>0</v>
      </c>
      <c r="S9" s="36">
        <f>D9+G9+J9+M9+P9</f>
        <v>0</v>
      </c>
      <c r="T9" s="38">
        <f>E9+H9+K9+N9+Q9</f>
        <v>0</v>
      </c>
      <c r="U9" s="39">
        <f>F9+I9+L9+O9+R9</f>
        <v>0</v>
      </c>
    </row>
    <row r="10" spans="1:21" s="204" customFormat="1" ht="24" customHeight="1" x14ac:dyDescent="0.15">
      <c r="A10" s="308"/>
      <c r="B10" s="305"/>
      <c r="C10" s="286"/>
      <c r="D10" s="205">
        <f>IFERROR(D9/$S$9,0)</f>
        <v>0</v>
      </c>
      <c r="E10" s="206">
        <f>IFERROR(E9/$T$9,0)</f>
        <v>0</v>
      </c>
      <c r="F10" s="157">
        <f>IFERROR(F9/$U$9,0)</f>
        <v>0</v>
      </c>
      <c r="G10" s="205">
        <f>IFERROR(G9/$S$9,0)</f>
        <v>0</v>
      </c>
      <c r="H10" s="206">
        <f>IFERROR(H9/$T$9,0)</f>
        <v>0</v>
      </c>
      <c r="I10" s="157">
        <f>IFERROR(I9/$U$9,0)</f>
        <v>0</v>
      </c>
      <c r="J10" s="205">
        <f>IFERROR(J9/$S$9,0)</f>
        <v>0</v>
      </c>
      <c r="K10" s="206">
        <f>IFERROR(K9/$T$9,0)</f>
        <v>0</v>
      </c>
      <c r="L10" s="157">
        <f>IFERROR(L9/$U$9,0)</f>
        <v>0</v>
      </c>
      <c r="M10" s="205">
        <f>IFERROR(M9/$S$9,0)</f>
        <v>0</v>
      </c>
      <c r="N10" s="206">
        <f>IFERROR(N9/$T$9,0)</f>
        <v>0</v>
      </c>
      <c r="O10" s="157">
        <f>IFERROR(O9/$U$9,0)</f>
        <v>0</v>
      </c>
      <c r="P10" s="205">
        <f>IFERROR(P9/$S$9,0)</f>
        <v>0</v>
      </c>
      <c r="Q10" s="206">
        <f>IFERROR(Q9/$T$9,0)</f>
        <v>0</v>
      </c>
      <c r="R10" s="157">
        <f>IFERROR(R9/$U$9,0)</f>
        <v>0</v>
      </c>
      <c r="S10" s="294"/>
      <c r="T10" s="295"/>
      <c r="U10" s="296"/>
    </row>
    <row r="11" spans="1:21" s="204" customFormat="1" ht="24" customHeight="1" x14ac:dyDescent="0.15">
      <c r="A11" s="308"/>
      <c r="B11" s="305"/>
      <c r="C11" s="283" t="s">
        <v>1188</v>
      </c>
      <c r="D11" s="35">
        <f>COUNTIFS(テーブル2[学年],"2",テーブル2[性別],"男",テーブル2[判定],"A",テーブル2[実施種目数],"=8")</f>
        <v>0</v>
      </c>
      <c r="E11" s="42">
        <f>COUNTIFS(テーブル2[学年],"2",テーブル2[性別],"女",テーブル2[判定],"A",テーブル2[実施種目数],"=8")</f>
        <v>0</v>
      </c>
      <c r="F11" s="156">
        <f>SUM(D11:E11)</f>
        <v>0</v>
      </c>
      <c r="G11" s="35">
        <f>COUNTIFS(テーブル2[学年],"2",テーブル2[性別],"男",テーブル2[判定],"B",入力シート!AF6:AF505,"=8")</f>
        <v>0</v>
      </c>
      <c r="H11" s="42">
        <f>COUNTIFS(テーブル2[学年],"2",テーブル2[性別],"女",テーブル2[判定],"B",入力シート!AF6:AF505,"=8")</f>
        <v>0</v>
      </c>
      <c r="I11" s="156">
        <f>SUM(G11:H11)</f>
        <v>0</v>
      </c>
      <c r="J11" s="35">
        <f>COUNTIFS(テーブル2[学年],"2",テーブル2[性別],"男",テーブル2[判定],"C",入力シート!AF6:AF505,"=8")</f>
        <v>0</v>
      </c>
      <c r="K11" s="42">
        <f>COUNTIFS(テーブル2[学年],"2",テーブル2[性別],"女",テーブル2[判定],"C",入力シート!AF6:AF505,"=8")</f>
        <v>0</v>
      </c>
      <c r="L11" s="156">
        <f>SUM(J11:K11)</f>
        <v>0</v>
      </c>
      <c r="M11" s="35">
        <f>COUNTIFS(テーブル2[学年],"2",テーブル2[性別],"男",テーブル2[判定],"D",入力シート!AF6:AF505,"=8")</f>
        <v>0</v>
      </c>
      <c r="N11" s="42">
        <f>COUNTIFS(テーブル2[学年],"2",テーブル2[性別],"女",テーブル2[判定],"D",入力シート!AF6:AF505,"=8")</f>
        <v>0</v>
      </c>
      <c r="O11" s="156">
        <f>SUM(M11:N11)</f>
        <v>0</v>
      </c>
      <c r="P11" s="35">
        <f>COUNTIFS(テーブル2[学年],"2",テーブル2[性別],"男",テーブル2[判定],"E",入力シート!AF6:AF505,"=8")</f>
        <v>0</v>
      </c>
      <c r="Q11" s="42">
        <f>COUNTIFS(テーブル2[学年],"2",テーブル2[性別],"女",テーブル2[判定],"E",入力シート!AF6:AF505,"=8")</f>
        <v>0</v>
      </c>
      <c r="R11" s="156">
        <f>SUM(P11:Q11)</f>
        <v>0</v>
      </c>
      <c r="S11" s="36">
        <f>D11+G11+J11+M11+P11</f>
        <v>0</v>
      </c>
      <c r="T11" s="38">
        <f>E11+H11+K11+N11+Q11</f>
        <v>0</v>
      </c>
      <c r="U11" s="39">
        <f>F11+I11+L11+O11+R11</f>
        <v>0</v>
      </c>
    </row>
    <row r="12" spans="1:21" ht="24" customHeight="1" x14ac:dyDescent="0.15">
      <c r="A12" s="308"/>
      <c r="B12" s="306"/>
      <c r="C12" s="284"/>
      <c r="D12" s="211">
        <f>IFERROR(D11/$S$11,0)</f>
        <v>0</v>
      </c>
      <c r="E12" s="212">
        <f>IFERROR(E11/$T$11,0)</f>
        <v>0</v>
      </c>
      <c r="F12" s="217">
        <f>IFERROR(F11/$U$11,0)</f>
        <v>0</v>
      </c>
      <c r="G12" s="211">
        <f>IFERROR(G11/$S$11,0)</f>
        <v>0</v>
      </c>
      <c r="H12" s="212">
        <f>IFERROR(H11/$T$11,0)</f>
        <v>0</v>
      </c>
      <c r="I12" s="217">
        <f>IFERROR(I11/$U$11,0)</f>
        <v>0</v>
      </c>
      <c r="J12" s="211">
        <f>IFERROR(J11/$S$11,0)</f>
        <v>0</v>
      </c>
      <c r="K12" s="212">
        <f>IFERROR(K11/$T$11,0)</f>
        <v>0</v>
      </c>
      <c r="L12" s="217">
        <f>IFERROR(L11/$U$11,0)</f>
        <v>0</v>
      </c>
      <c r="M12" s="211">
        <f>IFERROR(M11/$S$11,0)</f>
        <v>0</v>
      </c>
      <c r="N12" s="212">
        <f>IFERROR(N11/$T$11,0)</f>
        <v>0</v>
      </c>
      <c r="O12" s="217">
        <f>IFERROR(O11/$U$11,0)</f>
        <v>0</v>
      </c>
      <c r="P12" s="211">
        <f>IFERROR(P11/$S$11,0)</f>
        <v>0</v>
      </c>
      <c r="Q12" s="212">
        <f>IFERROR(Q11/$T$11,0)</f>
        <v>0</v>
      </c>
      <c r="R12" s="217">
        <f>IFERROR(R11/$U$11,0)</f>
        <v>0</v>
      </c>
      <c r="S12" s="294"/>
      <c r="T12" s="295"/>
      <c r="U12" s="296"/>
    </row>
    <row r="13" spans="1:21" ht="24" customHeight="1" x14ac:dyDescent="0.15">
      <c r="A13" s="308"/>
      <c r="B13" s="304" t="s">
        <v>71</v>
      </c>
      <c r="C13" s="285" t="s">
        <v>1187</v>
      </c>
      <c r="D13" s="35">
        <f>COUNTIFS(テーブル2[学年],"3",テーブル2[性別],"男",テーブル2[判定],"A")</f>
        <v>0</v>
      </c>
      <c r="E13" s="42">
        <f>COUNTIFS(テーブル2[学年],"3",テーブル2[性別],"女",テーブル2[判定],"A")</f>
        <v>0</v>
      </c>
      <c r="F13" s="156">
        <f>SUM(D13:E13)</f>
        <v>0</v>
      </c>
      <c r="G13" s="35">
        <f>COUNTIFS(テーブル2[学年],"3",テーブル2[性別],"男",テーブル2[判定],"B")</f>
        <v>0</v>
      </c>
      <c r="H13" s="42">
        <f>COUNTIFS(テーブル2[学年],"3",テーブル2[性別],"女",テーブル2[判定],"B")</f>
        <v>0</v>
      </c>
      <c r="I13" s="156">
        <f>SUM(G13:H13)</f>
        <v>0</v>
      </c>
      <c r="J13" s="35">
        <f>COUNTIFS(テーブル2[学年],"3",テーブル2[性別],"男",テーブル2[判定],"C")</f>
        <v>0</v>
      </c>
      <c r="K13" s="42">
        <f>COUNTIFS(テーブル2[学年],"3",テーブル2[性別],"女",テーブル2[判定],"C")</f>
        <v>0</v>
      </c>
      <c r="L13" s="156">
        <f>SUM(J13:K13)</f>
        <v>0</v>
      </c>
      <c r="M13" s="35">
        <f>COUNTIFS(テーブル2[学年],"3",テーブル2[性別],"男",テーブル2[判定],"D")</f>
        <v>0</v>
      </c>
      <c r="N13" s="42">
        <f>COUNTIFS(テーブル2[学年],"3",テーブル2[性別],"女",テーブル2[判定],"D")</f>
        <v>0</v>
      </c>
      <c r="O13" s="156">
        <f>SUM(M13:N13)</f>
        <v>0</v>
      </c>
      <c r="P13" s="35">
        <f>COUNTIFS(テーブル2[学年],"3",テーブル2[性別],"男",テーブル2[判定],"E")</f>
        <v>0</v>
      </c>
      <c r="Q13" s="42">
        <f>COUNTIFS(テーブル2[学年],"3",テーブル2[性別],"女",テーブル2[判定],"E")</f>
        <v>0</v>
      </c>
      <c r="R13" s="156">
        <f>SUM(P13:Q13)</f>
        <v>0</v>
      </c>
      <c r="S13" s="36">
        <f>D13+G13+J13+M13+P13</f>
        <v>0</v>
      </c>
      <c r="T13" s="38">
        <f>E13+H13+K13+N13+Q13</f>
        <v>0</v>
      </c>
      <c r="U13" s="39">
        <f>F13+I13+L13+O13+R13</f>
        <v>0</v>
      </c>
    </row>
    <row r="14" spans="1:21" s="204" customFormat="1" ht="24" customHeight="1" x14ac:dyDescent="0.15">
      <c r="A14" s="308"/>
      <c r="B14" s="305"/>
      <c r="C14" s="286"/>
      <c r="D14" s="207">
        <f>IFERROR(D13/$S$13,0)</f>
        <v>0</v>
      </c>
      <c r="E14" s="208">
        <f>IFERROR(E13/$T$13,0)</f>
        <v>0</v>
      </c>
      <c r="F14" s="158">
        <f>IFERROR(F13/$U$13,0)</f>
        <v>0</v>
      </c>
      <c r="G14" s="207">
        <f>IFERROR(G13/$S$13,0)</f>
        <v>0</v>
      </c>
      <c r="H14" s="208">
        <f>IFERROR(H13/$T$13,0)</f>
        <v>0</v>
      </c>
      <c r="I14" s="158">
        <f>IFERROR(I13/$U$13,0)</f>
        <v>0</v>
      </c>
      <c r="J14" s="207">
        <f>IFERROR(J13/$S$13,0)</f>
        <v>0</v>
      </c>
      <c r="K14" s="208">
        <f>IFERROR(K13/$T$13,0)</f>
        <v>0</v>
      </c>
      <c r="L14" s="158">
        <f>IFERROR(L13/$U$13,0)</f>
        <v>0</v>
      </c>
      <c r="M14" s="207">
        <f>IFERROR(M13/$S$13,0)</f>
        <v>0</v>
      </c>
      <c r="N14" s="208">
        <f>IFERROR(N13/$T$13,0)</f>
        <v>0</v>
      </c>
      <c r="O14" s="158">
        <f>IFERROR(O13/$U$13,0)</f>
        <v>0</v>
      </c>
      <c r="P14" s="207">
        <f>IFERROR(P13/$S$13,0)</f>
        <v>0</v>
      </c>
      <c r="Q14" s="208">
        <f>IFERROR(Q13/$T$13,0)</f>
        <v>0</v>
      </c>
      <c r="R14" s="158">
        <f>IFERROR(R13/$U$13,0)</f>
        <v>0</v>
      </c>
      <c r="S14" s="294"/>
      <c r="T14" s="295"/>
      <c r="U14" s="296"/>
    </row>
    <row r="15" spans="1:21" s="204" customFormat="1" ht="24" customHeight="1" x14ac:dyDescent="0.15">
      <c r="A15" s="308"/>
      <c r="B15" s="305"/>
      <c r="C15" s="283" t="s">
        <v>1188</v>
      </c>
      <c r="D15" s="35">
        <f>COUNTIFS(テーブル2[学年],"3",テーブル2[性別],"男",テーブル2[判定],"A",入力シート!AF6:AF505,"=8")</f>
        <v>0</v>
      </c>
      <c r="E15" s="42">
        <f>COUNTIFS(テーブル2[学年],"3",テーブル2[性別],"女",テーブル2[判定],"A",入力シート!AF6:AF505,"=8")</f>
        <v>0</v>
      </c>
      <c r="F15" s="156">
        <f>SUM(D15:E15)</f>
        <v>0</v>
      </c>
      <c r="G15" s="35">
        <f>COUNTIFS(テーブル2[学年],"3",テーブル2[性別],"男",テーブル2[判定],"B",テーブル2[実施種目数],"=8")</f>
        <v>0</v>
      </c>
      <c r="H15" s="42">
        <f>COUNTIFS(テーブル2[学年],"3",テーブル2[性別],"女",テーブル2[判定],"B",テーブル2[実施種目数],"=8")</f>
        <v>0</v>
      </c>
      <c r="I15" s="156">
        <f>SUM(G15:H15)</f>
        <v>0</v>
      </c>
      <c r="J15" s="35">
        <f>COUNTIFS(テーブル2[学年],"3",テーブル2[性別],"男",テーブル2[判定],"C",テーブル2[実施種目数],"=8")</f>
        <v>0</v>
      </c>
      <c r="K15" s="42">
        <f>COUNTIFS(テーブル2[学年],"3",テーブル2[性別],"女",テーブル2[判定],"C",テーブル2[実施種目数],"=8")</f>
        <v>0</v>
      </c>
      <c r="L15" s="156">
        <f>SUM(J15:K15)</f>
        <v>0</v>
      </c>
      <c r="M15" s="35">
        <f>COUNTIFS(テーブル2[学年],"3",テーブル2[性別],"男",テーブル2[判定],"D",テーブル2[実施種目数],"=8")</f>
        <v>0</v>
      </c>
      <c r="N15" s="42">
        <f>COUNTIFS(テーブル2[学年],"3",テーブル2[性別],"女",テーブル2[判定],"D",テーブル2[実施種目数],"=8")</f>
        <v>0</v>
      </c>
      <c r="O15" s="156">
        <f>SUM(M15:N15)</f>
        <v>0</v>
      </c>
      <c r="P15" s="35">
        <f>COUNTIFS(テーブル2[学年],"3",テーブル2[性別],"男",テーブル2[判定],"E",テーブル2[実施種目数],"=8")</f>
        <v>0</v>
      </c>
      <c r="Q15" s="42">
        <f>COUNTIFS(テーブル2[学年],"3",テーブル2[性別],"女",テーブル2[判定],"E",テーブル2[実施種目数],"=8")</f>
        <v>0</v>
      </c>
      <c r="R15" s="156">
        <f>SUM(P15:Q15)</f>
        <v>0</v>
      </c>
      <c r="S15" s="36">
        <f>D15+G15+J15+M15+P15</f>
        <v>0</v>
      </c>
      <c r="T15" s="38">
        <f>E15+H15+K15+N15+Q15</f>
        <v>0</v>
      </c>
      <c r="U15" s="39">
        <f>F15+I15+L15+O15+R15</f>
        <v>0</v>
      </c>
    </row>
    <row r="16" spans="1:21" ht="24" customHeight="1" x14ac:dyDescent="0.15">
      <c r="A16" s="308"/>
      <c r="B16" s="306"/>
      <c r="C16" s="284"/>
      <c r="D16" s="213">
        <f>IFERROR(D15/$S$15,0)</f>
        <v>0</v>
      </c>
      <c r="E16" s="214">
        <f>IFERROR(E15/$T$15,0)</f>
        <v>0</v>
      </c>
      <c r="F16" s="218">
        <f>IFERROR(F15/$U$15,0)</f>
        <v>0</v>
      </c>
      <c r="G16" s="213">
        <f>IFERROR(G15/$S$15,0)</f>
        <v>0</v>
      </c>
      <c r="H16" s="214">
        <f>IFERROR(H15/$T$15,0)</f>
        <v>0</v>
      </c>
      <c r="I16" s="218">
        <f>IFERROR(I15/$U$15,0)</f>
        <v>0</v>
      </c>
      <c r="J16" s="213">
        <f>IFERROR(J15/$S$15,0)</f>
        <v>0</v>
      </c>
      <c r="K16" s="214">
        <f>IFERROR(K15/$T$15,0)</f>
        <v>0</v>
      </c>
      <c r="L16" s="218">
        <f>IFERROR(L15/$U$15,0)</f>
        <v>0</v>
      </c>
      <c r="M16" s="213">
        <f>IFERROR(M15/$S$15,0)</f>
        <v>0</v>
      </c>
      <c r="N16" s="214">
        <f>IFERROR(N15/$T$15,0)</f>
        <v>0</v>
      </c>
      <c r="O16" s="218">
        <f>IFERROR(O15/$U$15,0)</f>
        <v>0</v>
      </c>
      <c r="P16" s="213">
        <f>IFERROR(P15/$S$15,0)</f>
        <v>0</v>
      </c>
      <c r="Q16" s="214">
        <f>IFERROR(Q15/$T$15,0)</f>
        <v>0</v>
      </c>
      <c r="R16" s="218">
        <f>IFERROR(R15/$U$15,0)</f>
        <v>0</v>
      </c>
      <c r="S16" s="294"/>
      <c r="T16" s="295"/>
      <c r="U16" s="296"/>
    </row>
    <row r="17" spans="1:21" ht="24" customHeight="1" x14ac:dyDescent="0.15">
      <c r="A17" s="298" t="s">
        <v>72</v>
      </c>
      <c r="B17" s="299"/>
      <c r="C17" s="285" t="s">
        <v>1189</v>
      </c>
      <c r="D17" s="36">
        <f>D5+D9+D13</f>
        <v>0</v>
      </c>
      <c r="E17" s="40">
        <f>E5+E9+E13</f>
        <v>0</v>
      </c>
      <c r="F17" s="156">
        <f>SUM(D17:E17)</f>
        <v>0</v>
      </c>
      <c r="G17" s="36">
        <f>G5+G9+G13</f>
        <v>0</v>
      </c>
      <c r="H17" s="40">
        <f>H5+H9+H13</f>
        <v>0</v>
      </c>
      <c r="I17" s="156">
        <f>SUM(G17:H17)</f>
        <v>0</v>
      </c>
      <c r="J17" s="36">
        <f>J5+J9+J13</f>
        <v>0</v>
      </c>
      <c r="K17" s="40">
        <f>K5+K9+K13</f>
        <v>0</v>
      </c>
      <c r="L17" s="156">
        <f>SUM(J17:K17)</f>
        <v>0</v>
      </c>
      <c r="M17" s="36">
        <f>M5+M9+M13</f>
        <v>0</v>
      </c>
      <c r="N17" s="40">
        <f>N5+N9+N13</f>
        <v>0</v>
      </c>
      <c r="O17" s="156">
        <f>SUM(M17:N17)</f>
        <v>0</v>
      </c>
      <c r="P17" s="36">
        <f>P5+P9+P13</f>
        <v>0</v>
      </c>
      <c r="Q17" s="40">
        <f>Q5+Q9+Q13</f>
        <v>0</v>
      </c>
      <c r="R17" s="156">
        <f>SUM(P17:Q17)</f>
        <v>0</v>
      </c>
      <c r="S17" s="38">
        <f>D17+G17+J17+M17+P17</f>
        <v>0</v>
      </c>
      <c r="T17" s="83">
        <f>E17+H17+K17+N17+Q17</f>
        <v>0</v>
      </c>
      <c r="U17" s="39">
        <f>F17+I17+L17+O17+R17</f>
        <v>0</v>
      </c>
    </row>
    <row r="18" spans="1:21" s="204" customFormat="1" ht="24" customHeight="1" x14ac:dyDescent="0.15">
      <c r="A18" s="300"/>
      <c r="B18" s="301"/>
      <c r="C18" s="286"/>
      <c r="D18" s="209">
        <f>IFERROR(D17/$S$17,0)</f>
        <v>0</v>
      </c>
      <c r="E18" s="210">
        <f>IFERROR(E17/$T$17,0)</f>
        <v>0</v>
      </c>
      <c r="F18" s="159">
        <f>IFERROR(F17/$U$17,0)</f>
        <v>0</v>
      </c>
      <c r="G18" s="209">
        <f>IFERROR(G17/$S$17,0)</f>
        <v>0</v>
      </c>
      <c r="H18" s="210">
        <f>IFERROR(H17/$T$17,0)</f>
        <v>0</v>
      </c>
      <c r="I18" s="159">
        <f>IFERROR(I17/$U$17,0)</f>
        <v>0</v>
      </c>
      <c r="J18" s="209">
        <f>IFERROR(J17/$S$17,0)</f>
        <v>0</v>
      </c>
      <c r="K18" s="210">
        <f>IFERROR(K17/$T$17,0)</f>
        <v>0</v>
      </c>
      <c r="L18" s="159">
        <f>IFERROR(L17/$U$17,0)</f>
        <v>0</v>
      </c>
      <c r="M18" s="209">
        <f>IFERROR(M17/$S$17,0)</f>
        <v>0</v>
      </c>
      <c r="N18" s="210">
        <f>IFERROR(N17/$T$17,0)</f>
        <v>0</v>
      </c>
      <c r="O18" s="159">
        <f>IFERROR(O17/$U$17,0)</f>
        <v>0</v>
      </c>
      <c r="P18" s="209">
        <f>IFERROR(P17/$S$17,0)</f>
        <v>0</v>
      </c>
      <c r="Q18" s="210">
        <f>IFERROR(Q17/$T$17,0)</f>
        <v>0</v>
      </c>
      <c r="R18" s="159">
        <f>IFERROR(R17/$U$17,0)</f>
        <v>0</v>
      </c>
      <c r="S18" s="294"/>
      <c r="T18" s="295"/>
      <c r="U18" s="296"/>
    </row>
    <row r="19" spans="1:21" s="204" customFormat="1" ht="24" customHeight="1" x14ac:dyDescent="0.15">
      <c r="A19" s="300"/>
      <c r="B19" s="301"/>
      <c r="C19" s="283" t="s">
        <v>1188</v>
      </c>
      <c r="D19" s="36">
        <f>D7+D11+D15</f>
        <v>0</v>
      </c>
      <c r="E19" s="40">
        <f>E7+E11+E15</f>
        <v>0</v>
      </c>
      <c r="F19" s="156">
        <f>SUM(D19:E19)</f>
        <v>0</v>
      </c>
      <c r="G19" s="36">
        <f>G7+G11+G15</f>
        <v>0</v>
      </c>
      <c r="H19" s="40">
        <f>H7+H11+H15</f>
        <v>0</v>
      </c>
      <c r="I19" s="156">
        <f>SUM(G19:H19)</f>
        <v>0</v>
      </c>
      <c r="J19" s="36">
        <f>J7+J11+J15</f>
        <v>0</v>
      </c>
      <c r="K19" s="40">
        <f>K7+K11+K15</f>
        <v>0</v>
      </c>
      <c r="L19" s="156">
        <f>SUM(J19:K19)</f>
        <v>0</v>
      </c>
      <c r="M19" s="36">
        <f>M7+M11+M15</f>
        <v>0</v>
      </c>
      <c r="N19" s="40">
        <f>N7+N11+N15</f>
        <v>0</v>
      </c>
      <c r="O19" s="156">
        <f>SUM(M19:N19)</f>
        <v>0</v>
      </c>
      <c r="P19" s="36">
        <f>P7+P11+P15</f>
        <v>0</v>
      </c>
      <c r="Q19" s="40">
        <f>Q7+Q11+Q15</f>
        <v>0</v>
      </c>
      <c r="R19" s="156">
        <f>SUM(P19:Q19)</f>
        <v>0</v>
      </c>
      <c r="S19" s="38">
        <f>D19+G19+J19+M19+P19</f>
        <v>0</v>
      </c>
      <c r="T19" s="83">
        <f>E19+H19+K19+N19+Q19</f>
        <v>0</v>
      </c>
      <c r="U19" s="39">
        <f>F19+I19+L19+O19+R19</f>
        <v>0</v>
      </c>
    </row>
    <row r="20" spans="1:21" ht="24" customHeight="1" x14ac:dyDescent="0.15">
      <c r="A20" s="302"/>
      <c r="B20" s="303"/>
      <c r="C20" s="284"/>
      <c r="D20" s="215">
        <f>IFERROR(D19/$S$19,0)</f>
        <v>0</v>
      </c>
      <c r="E20" s="216">
        <f>IFERROR(E19/$T$19,0)</f>
        <v>0</v>
      </c>
      <c r="F20" s="219">
        <f>IFERROR(F19/$U$19,0)</f>
        <v>0</v>
      </c>
      <c r="G20" s="215">
        <f>IFERROR(G19/$S$19,0)</f>
        <v>0</v>
      </c>
      <c r="H20" s="216">
        <f>IFERROR(H19/$T$19,0)</f>
        <v>0</v>
      </c>
      <c r="I20" s="219">
        <f>IFERROR(I19/$U$19,0)</f>
        <v>0</v>
      </c>
      <c r="J20" s="215">
        <f>IFERROR(J19/$S$19,0)</f>
        <v>0</v>
      </c>
      <c r="K20" s="216">
        <f>IFERROR(K19/$T$19,0)</f>
        <v>0</v>
      </c>
      <c r="L20" s="219">
        <f>IFERROR(L19/$U$19,0)</f>
        <v>0</v>
      </c>
      <c r="M20" s="215">
        <f>IFERROR(M19/$S$19,0)</f>
        <v>0</v>
      </c>
      <c r="N20" s="216">
        <f>IFERROR(N19/$T$19,0)</f>
        <v>0</v>
      </c>
      <c r="O20" s="219">
        <f>IFERROR(O19/$U$19,0)</f>
        <v>0</v>
      </c>
      <c r="P20" s="215">
        <f>IFERROR(P19/$S$19,0)</f>
        <v>0</v>
      </c>
      <c r="Q20" s="216">
        <f>IFERROR(Q19/$T$19,0)</f>
        <v>0</v>
      </c>
      <c r="R20" s="219">
        <f>IFERROR(R19/$U$19,0)</f>
        <v>0</v>
      </c>
      <c r="S20" s="294"/>
      <c r="T20" s="295"/>
      <c r="U20" s="296"/>
    </row>
    <row r="21" spans="1:21" ht="27.75" customHeight="1" x14ac:dyDescent="0.15"/>
  </sheetData>
  <mergeCells count="29">
    <mergeCell ref="S16:U16"/>
    <mergeCell ref="S20:U20"/>
    <mergeCell ref="J3:L3"/>
    <mergeCell ref="M3:O3"/>
    <mergeCell ref="P3:R3"/>
    <mergeCell ref="S2:U3"/>
    <mergeCell ref="S14:U14"/>
    <mergeCell ref="S18:U18"/>
    <mergeCell ref="D3:F3"/>
    <mergeCell ref="G3:I3"/>
    <mergeCell ref="S8:U8"/>
    <mergeCell ref="S12:U12"/>
    <mergeCell ref="D2:R2"/>
    <mergeCell ref="S6:U6"/>
    <mergeCell ref="S10:U10"/>
    <mergeCell ref="C15:C16"/>
    <mergeCell ref="C17:C18"/>
    <mergeCell ref="C19:C20"/>
    <mergeCell ref="A2:C4"/>
    <mergeCell ref="C5:C6"/>
    <mergeCell ref="C7:C8"/>
    <mergeCell ref="C9:C10"/>
    <mergeCell ref="C11:C12"/>
    <mergeCell ref="C13:C14"/>
    <mergeCell ref="A17:B20"/>
    <mergeCell ref="B5:B8"/>
    <mergeCell ref="B9:B12"/>
    <mergeCell ref="B13:B16"/>
    <mergeCell ref="A5:A16"/>
  </mergeCells>
  <phoneticPr fontId="1"/>
  <printOptions horizontalCentered="1" verticalCentered="1"/>
  <pageMargins left="0.59055118110236227" right="0.59055118110236227"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21"/>
  <sheetViews>
    <sheetView workbookViewId="0">
      <selection activeCell="A2" sqref="A2:C2"/>
    </sheetView>
  </sheetViews>
  <sheetFormatPr defaultRowHeight="13.5" x14ac:dyDescent="0.15"/>
  <cols>
    <col min="1" max="23" width="3.625" customWidth="1"/>
  </cols>
  <sheetData>
    <row r="1" spans="1:23" ht="43.5" customHeight="1" thickBot="1" x14ac:dyDescent="0.2">
      <c r="A1" s="309" t="s">
        <v>73</v>
      </c>
      <c r="B1" s="309"/>
      <c r="C1" s="309"/>
      <c r="D1" s="309"/>
      <c r="E1" s="309"/>
      <c r="F1" s="309"/>
      <c r="G1" s="309"/>
      <c r="H1" s="309"/>
      <c r="I1" s="309"/>
      <c r="J1" s="309"/>
      <c r="K1" s="309"/>
      <c r="L1" s="309"/>
      <c r="M1" s="309"/>
      <c r="N1" s="309"/>
      <c r="O1" s="309"/>
      <c r="P1" s="309"/>
      <c r="Q1" s="309"/>
      <c r="R1" s="309"/>
      <c r="S1" s="309"/>
      <c r="T1" s="309"/>
      <c r="U1" s="309"/>
      <c r="V1" s="309"/>
      <c r="W1" s="309"/>
    </row>
    <row r="2" spans="1:23" ht="47.25" customHeight="1" x14ac:dyDescent="0.15">
      <c r="A2" s="355" t="s">
        <v>0</v>
      </c>
      <c r="B2" s="356"/>
      <c r="C2" s="357"/>
      <c r="D2" s="358" t="s">
        <v>1</v>
      </c>
      <c r="E2" s="359"/>
      <c r="F2" s="360"/>
      <c r="G2" s="356"/>
      <c r="H2" s="356"/>
      <c r="I2" s="356"/>
      <c r="J2" s="356"/>
      <c r="K2" s="356"/>
      <c r="L2" s="356"/>
      <c r="M2" s="356"/>
      <c r="N2" s="356"/>
      <c r="O2" s="356"/>
      <c r="P2" s="357"/>
      <c r="Q2" s="333" t="s">
        <v>2</v>
      </c>
      <c r="R2" s="331"/>
      <c r="S2" s="332"/>
      <c r="T2" s="333" t="s">
        <v>3</v>
      </c>
      <c r="U2" s="331"/>
      <c r="V2" s="331"/>
      <c r="W2" s="334"/>
    </row>
    <row r="3" spans="1:23" ht="47.25" customHeight="1" thickBot="1" x14ac:dyDescent="0.2">
      <c r="A3" s="349" t="s">
        <v>4</v>
      </c>
      <c r="B3" s="350"/>
      <c r="C3" s="350"/>
      <c r="D3" s="350"/>
      <c r="E3" s="351"/>
      <c r="F3" s="352" t="s">
        <v>5</v>
      </c>
      <c r="G3" s="350"/>
      <c r="H3" s="351"/>
      <c r="I3" s="353"/>
      <c r="J3" s="353"/>
      <c r="K3" s="353"/>
      <c r="L3" s="353"/>
      <c r="M3" s="353"/>
      <c r="N3" s="353"/>
      <c r="O3" s="353"/>
      <c r="P3" s="353"/>
      <c r="Q3" s="353"/>
      <c r="R3" s="353"/>
      <c r="S3" s="353"/>
      <c r="T3" s="353"/>
      <c r="U3" s="353"/>
      <c r="V3" s="353"/>
      <c r="W3" s="354"/>
    </row>
    <row r="4" spans="1:23" ht="32.25" customHeight="1" thickBot="1" x14ac:dyDescent="0.2">
      <c r="A4" s="2"/>
      <c r="B4" s="2"/>
      <c r="C4" s="2"/>
      <c r="D4" s="2"/>
      <c r="E4" s="2"/>
      <c r="F4" s="2"/>
      <c r="G4" s="2"/>
      <c r="H4" s="2"/>
      <c r="I4" s="2"/>
      <c r="J4" s="2"/>
      <c r="K4" s="2"/>
      <c r="L4" s="2"/>
      <c r="M4" s="2"/>
      <c r="N4" s="2"/>
      <c r="O4" s="2"/>
      <c r="P4" s="2"/>
      <c r="Q4" s="2"/>
      <c r="R4" s="2"/>
      <c r="S4" s="2"/>
      <c r="T4" s="2"/>
      <c r="U4" s="2"/>
      <c r="V4" s="2"/>
      <c r="W4" s="2"/>
    </row>
    <row r="5" spans="1:23" ht="41.25" customHeight="1" thickBot="1" x14ac:dyDescent="0.2">
      <c r="A5" s="344" t="s">
        <v>6</v>
      </c>
      <c r="B5" s="345"/>
      <c r="C5" s="346"/>
      <c r="D5" s="347" t="s">
        <v>7</v>
      </c>
      <c r="E5" s="347"/>
      <c r="F5" s="347"/>
      <c r="G5" s="347"/>
      <c r="H5" s="347"/>
      <c r="I5" s="347" t="s">
        <v>8</v>
      </c>
      <c r="J5" s="347"/>
      <c r="K5" s="347" t="s">
        <v>9</v>
      </c>
      <c r="L5" s="347"/>
      <c r="M5" s="347"/>
      <c r="N5" s="347"/>
      <c r="O5" s="347"/>
      <c r="P5" s="347" t="s">
        <v>10</v>
      </c>
      <c r="Q5" s="348"/>
      <c r="R5" s="3"/>
      <c r="S5" s="3"/>
      <c r="T5" s="3"/>
      <c r="U5" s="3"/>
      <c r="V5" s="3"/>
      <c r="W5" s="3"/>
    </row>
    <row r="6" spans="1:23" ht="32.25" customHeight="1" thickBot="1" x14ac:dyDescent="0.2">
      <c r="A6" s="2"/>
      <c r="B6" s="2"/>
      <c r="C6" s="2"/>
      <c r="D6" s="2"/>
      <c r="E6" s="2"/>
      <c r="F6" s="2"/>
      <c r="G6" s="2"/>
      <c r="H6" s="2"/>
      <c r="I6" s="2"/>
      <c r="J6" s="2"/>
      <c r="K6" s="2"/>
      <c r="L6" s="2"/>
      <c r="M6" s="2"/>
      <c r="N6" s="2"/>
      <c r="O6" s="2"/>
      <c r="P6" s="2"/>
      <c r="Q6" s="2"/>
      <c r="R6" s="2"/>
      <c r="S6" s="2"/>
      <c r="T6" s="2"/>
      <c r="U6" s="2"/>
      <c r="V6" s="2"/>
      <c r="W6" s="2"/>
    </row>
    <row r="7" spans="1:23" ht="45" customHeight="1" x14ac:dyDescent="0.15">
      <c r="A7" s="330" t="s">
        <v>11</v>
      </c>
      <c r="B7" s="331"/>
      <c r="C7" s="331"/>
      <c r="D7" s="331"/>
      <c r="E7" s="331"/>
      <c r="F7" s="331"/>
      <c r="G7" s="331"/>
      <c r="H7" s="332"/>
      <c r="I7" s="333" t="s">
        <v>12</v>
      </c>
      <c r="J7" s="331"/>
      <c r="K7" s="331"/>
      <c r="L7" s="331"/>
      <c r="M7" s="331"/>
      <c r="N7" s="331"/>
      <c r="O7" s="331"/>
      <c r="P7" s="331"/>
      <c r="Q7" s="331"/>
      <c r="R7" s="331"/>
      <c r="S7" s="331"/>
      <c r="T7" s="332"/>
      <c r="U7" s="331" t="s">
        <v>13</v>
      </c>
      <c r="V7" s="331"/>
      <c r="W7" s="334"/>
    </row>
    <row r="8" spans="1:23" ht="45" customHeight="1" x14ac:dyDescent="0.15">
      <c r="A8" s="335" t="s">
        <v>14</v>
      </c>
      <c r="B8" s="312"/>
      <c r="C8" s="312"/>
      <c r="D8" s="312"/>
      <c r="E8" s="312"/>
      <c r="F8" s="313"/>
      <c r="G8" s="340" t="s">
        <v>15</v>
      </c>
      <c r="H8" s="340"/>
      <c r="I8" s="341" t="s">
        <v>16</v>
      </c>
      <c r="J8" s="321"/>
      <c r="K8" s="321"/>
      <c r="L8" s="321"/>
      <c r="M8" s="323" t="s">
        <v>17</v>
      </c>
      <c r="N8" s="324"/>
      <c r="O8" s="321" t="s">
        <v>18</v>
      </c>
      <c r="P8" s="321"/>
      <c r="Q8" s="321"/>
      <c r="R8" s="321"/>
      <c r="S8" s="323" t="s">
        <v>17</v>
      </c>
      <c r="T8" s="324"/>
      <c r="U8" s="312"/>
      <c r="V8" s="312"/>
      <c r="W8" s="342"/>
    </row>
    <row r="9" spans="1:23" ht="45" customHeight="1" x14ac:dyDescent="0.15">
      <c r="A9" s="336"/>
      <c r="B9" s="314"/>
      <c r="C9" s="314"/>
      <c r="D9" s="314"/>
      <c r="E9" s="314"/>
      <c r="F9" s="337"/>
      <c r="G9" s="340" t="s">
        <v>19</v>
      </c>
      <c r="H9" s="340"/>
      <c r="I9" s="341" t="s">
        <v>16</v>
      </c>
      <c r="J9" s="321"/>
      <c r="K9" s="321"/>
      <c r="L9" s="321"/>
      <c r="M9" s="323" t="s">
        <v>20</v>
      </c>
      <c r="N9" s="324"/>
      <c r="O9" s="321" t="s">
        <v>18</v>
      </c>
      <c r="P9" s="321"/>
      <c r="Q9" s="321"/>
      <c r="R9" s="321"/>
      <c r="S9" s="323" t="s">
        <v>20</v>
      </c>
      <c r="T9" s="324"/>
      <c r="U9" s="314"/>
      <c r="V9" s="314"/>
      <c r="W9" s="315"/>
    </row>
    <row r="10" spans="1:23" ht="45" customHeight="1" x14ac:dyDescent="0.15">
      <c r="A10" s="338"/>
      <c r="B10" s="327"/>
      <c r="C10" s="327"/>
      <c r="D10" s="327"/>
      <c r="E10" s="327"/>
      <c r="F10" s="339"/>
      <c r="G10" s="340" t="s">
        <v>21</v>
      </c>
      <c r="H10" s="340"/>
      <c r="I10" s="327"/>
      <c r="J10" s="327"/>
      <c r="K10" s="327"/>
      <c r="L10" s="327"/>
      <c r="M10" s="327"/>
      <c r="N10" s="327"/>
      <c r="O10" s="327"/>
      <c r="P10" s="327"/>
      <c r="Q10" s="327"/>
      <c r="R10" s="327"/>
      <c r="S10" s="328" t="s">
        <v>10</v>
      </c>
      <c r="T10" s="329"/>
      <c r="U10" s="327"/>
      <c r="V10" s="327"/>
      <c r="W10" s="343"/>
    </row>
    <row r="11" spans="1:23" ht="45" customHeight="1" x14ac:dyDescent="0.15">
      <c r="A11" s="320" t="s">
        <v>22</v>
      </c>
      <c r="B11" s="321"/>
      <c r="C11" s="321"/>
      <c r="D11" s="321"/>
      <c r="E11" s="321"/>
      <c r="F11" s="321"/>
      <c r="G11" s="321"/>
      <c r="H11" s="322"/>
      <c r="I11" s="321"/>
      <c r="J11" s="321"/>
      <c r="K11" s="321"/>
      <c r="L11" s="321"/>
      <c r="M11" s="321"/>
      <c r="N11" s="321"/>
      <c r="O11" s="321"/>
      <c r="P11" s="321"/>
      <c r="Q11" s="321"/>
      <c r="R11" s="321"/>
      <c r="S11" s="323" t="s">
        <v>23</v>
      </c>
      <c r="T11" s="324"/>
      <c r="U11" s="321"/>
      <c r="V11" s="321"/>
      <c r="W11" s="325"/>
    </row>
    <row r="12" spans="1:23" ht="45" customHeight="1" x14ac:dyDescent="0.15">
      <c r="A12" s="320" t="s">
        <v>24</v>
      </c>
      <c r="B12" s="321"/>
      <c r="C12" s="321"/>
      <c r="D12" s="321"/>
      <c r="E12" s="321"/>
      <c r="F12" s="321"/>
      <c r="G12" s="321"/>
      <c r="H12" s="322"/>
      <c r="I12" s="321" t="s">
        <v>16</v>
      </c>
      <c r="J12" s="321"/>
      <c r="K12" s="321"/>
      <c r="L12" s="321"/>
      <c r="M12" s="323" t="s">
        <v>25</v>
      </c>
      <c r="N12" s="324"/>
      <c r="O12" s="321" t="s">
        <v>18</v>
      </c>
      <c r="P12" s="321"/>
      <c r="Q12" s="321"/>
      <c r="R12" s="321"/>
      <c r="S12" s="323" t="s">
        <v>25</v>
      </c>
      <c r="T12" s="324"/>
      <c r="U12" s="321"/>
      <c r="V12" s="321"/>
      <c r="W12" s="325"/>
    </row>
    <row r="13" spans="1:23" ht="45" customHeight="1" x14ac:dyDescent="0.15">
      <c r="A13" s="320" t="s">
        <v>26</v>
      </c>
      <c r="B13" s="321"/>
      <c r="C13" s="321"/>
      <c r="D13" s="321"/>
      <c r="E13" s="321"/>
      <c r="F13" s="321"/>
      <c r="G13" s="321"/>
      <c r="H13" s="322"/>
      <c r="I13" s="321" t="s">
        <v>16</v>
      </c>
      <c r="J13" s="321"/>
      <c r="K13" s="321"/>
      <c r="L13" s="321"/>
      <c r="M13" s="323" t="s">
        <v>27</v>
      </c>
      <c r="N13" s="324"/>
      <c r="O13" s="321" t="s">
        <v>18</v>
      </c>
      <c r="P13" s="321"/>
      <c r="Q13" s="321"/>
      <c r="R13" s="321"/>
      <c r="S13" s="323" t="s">
        <v>27</v>
      </c>
      <c r="T13" s="324"/>
      <c r="U13" s="321"/>
      <c r="V13" s="321"/>
      <c r="W13" s="325"/>
    </row>
    <row r="14" spans="1:23" ht="45" customHeight="1" x14ac:dyDescent="0.15">
      <c r="A14" s="320" t="s">
        <v>28</v>
      </c>
      <c r="B14" s="321"/>
      <c r="C14" s="321"/>
      <c r="D14" s="321"/>
      <c r="E14" s="321"/>
      <c r="F14" s="321"/>
      <c r="G14" s="321"/>
      <c r="H14" s="322"/>
      <c r="I14" s="326" t="s">
        <v>29</v>
      </c>
      <c r="J14" s="323"/>
      <c r="K14" s="323"/>
      <c r="L14" s="323"/>
      <c r="M14" s="323"/>
      <c r="N14" s="323"/>
      <c r="O14" s="323"/>
      <c r="P14" s="323" t="s">
        <v>30</v>
      </c>
      <c r="Q14" s="323"/>
      <c r="R14" s="323"/>
      <c r="S14" s="323"/>
      <c r="T14" s="324"/>
      <c r="U14" s="321"/>
      <c r="V14" s="321"/>
      <c r="W14" s="325"/>
    </row>
    <row r="15" spans="1:23" ht="45" customHeight="1" x14ac:dyDescent="0.15">
      <c r="A15" s="320" t="s">
        <v>31</v>
      </c>
      <c r="B15" s="321"/>
      <c r="C15" s="321"/>
      <c r="D15" s="321"/>
      <c r="E15" s="321"/>
      <c r="F15" s="321"/>
      <c r="G15" s="321"/>
      <c r="H15" s="322"/>
      <c r="I15" s="321" t="s">
        <v>32</v>
      </c>
      <c r="J15" s="321"/>
      <c r="K15" s="321"/>
      <c r="L15" s="321"/>
      <c r="M15" s="321"/>
      <c r="N15" s="321"/>
      <c r="O15" s="321"/>
      <c r="P15" s="321"/>
      <c r="Q15" s="321"/>
      <c r="R15" s="321"/>
      <c r="S15" s="323" t="s">
        <v>23</v>
      </c>
      <c r="T15" s="324"/>
      <c r="U15" s="321"/>
      <c r="V15" s="321"/>
      <c r="W15" s="325"/>
    </row>
    <row r="16" spans="1:23" ht="45" customHeight="1" x14ac:dyDescent="0.15">
      <c r="A16" s="320" t="s">
        <v>33</v>
      </c>
      <c r="B16" s="321"/>
      <c r="C16" s="321"/>
      <c r="D16" s="321"/>
      <c r="E16" s="321"/>
      <c r="F16" s="321"/>
      <c r="G16" s="321"/>
      <c r="H16" s="322"/>
      <c r="I16" s="321"/>
      <c r="J16" s="321"/>
      <c r="K16" s="321"/>
      <c r="L16" s="321"/>
      <c r="M16" s="321"/>
      <c r="N16" s="321"/>
      <c r="O16" s="321"/>
      <c r="P16" s="321"/>
      <c r="Q16" s="321"/>
      <c r="R16" s="321"/>
      <c r="S16" s="323" t="s">
        <v>30</v>
      </c>
      <c r="T16" s="324"/>
      <c r="U16" s="321"/>
      <c r="V16" s="321"/>
      <c r="W16" s="325"/>
    </row>
    <row r="17" spans="1:23" ht="45" customHeight="1" x14ac:dyDescent="0.15">
      <c r="A17" s="320" t="s">
        <v>34</v>
      </c>
      <c r="B17" s="321"/>
      <c r="C17" s="321"/>
      <c r="D17" s="321"/>
      <c r="E17" s="321"/>
      <c r="F17" s="321"/>
      <c r="G17" s="321"/>
      <c r="H17" s="322"/>
      <c r="I17" s="321" t="s">
        <v>16</v>
      </c>
      <c r="J17" s="321"/>
      <c r="K17" s="321"/>
      <c r="L17" s="321"/>
      <c r="M17" s="323" t="s">
        <v>35</v>
      </c>
      <c r="N17" s="324"/>
      <c r="O17" s="321" t="s">
        <v>18</v>
      </c>
      <c r="P17" s="321"/>
      <c r="Q17" s="321"/>
      <c r="R17" s="321"/>
      <c r="S17" s="323" t="s">
        <v>35</v>
      </c>
      <c r="T17" s="324"/>
      <c r="U17" s="321"/>
      <c r="V17" s="321"/>
      <c r="W17" s="325"/>
    </row>
    <row r="18" spans="1:23" ht="45" customHeight="1" x14ac:dyDescent="0.15">
      <c r="A18" s="320" t="s">
        <v>36</v>
      </c>
      <c r="B18" s="321"/>
      <c r="C18" s="321"/>
      <c r="D18" s="321"/>
      <c r="E18" s="321"/>
      <c r="F18" s="321"/>
      <c r="G18" s="321"/>
      <c r="H18" s="322"/>
      <c r="I18" s="321" t="s">
        <v>16</v>
      </c>
      <c r="J18" s="321"/>
      <c r="K18" s="321"/>
      <c r="L18" s="321"/>
      <c r="M18" s="323" t="s">
        <v>37</v>
      </c>
      <c r="N18" s="324"/>
      <c r="O18" s="321" t="s">
        <v>18</v>
      </c>
      <c r="P18" s="321"/>
      <c r="Q18" s="321"/>
      <c r="R18" s="321"/>
      <c r="S18" s="323" t="s">
        <v>37</v>
      </c>
      <c r="T18" s="324"/>
      <c r="U18" s="321"/>
      <c r="V18" s="321"/>
      <c r="W18" s="325"/>
    </row>
    <row r="19" spans="1:23" ht="45" customHeight="1" thickBot="1" x14ac:dyDescent="0.2">
      <c r="A19" s="310" t="s">
        <v>38</v>
      </c>
      <c r="B19" s="311"/>
      <c r="C19" s="311"/>
      <c r="D19" s="311"/>
      <c r="E19" s="311"/>
      <c r="F19" s="311"/>
      <c r="G19" s="311"/>
      <c r="H19" s="311"/>
      <c r="I19" s="312"/>
      <c r="J19" s="312"/>
      <c r="K19" s="312"/>
      <c r="L19" s="312"/>
      <c r="M19" s="312"/>
      <c r="N19" s="312"/>
      <c r="O19" s="312"/>
      <c r="P19" s="312"/>
      <c r="Q19" s="312"/>
      <c r="R19" s="312"/>
      <c r="S19" s="312"/>
      <c r="T19" s="313"/>
      <c r="U19" s="314"/>
      <c r="V19" s="314"/>
      <c r="W19" s="315"/>
    </row>
    <row r="20" spans="1:23" ht="45" customHeight="1" thickTop="1" thickBot="1" x14ac:dyDescent="0.2">
      <c r="A20" s="316" t="s">
        <v>39</v>
      </c>
      <c r="B20" s="317"/>
      <c r="C20" s="317"/>
      <c r="D20" s="317"/>
      <c r="E20" s="317"/>
      <c r="F20" s="317"/>
      <c r="G20" s="317"/>
      <c r="H20" s="317"/>
      <c r="I20" s="318" t="s">
        <v>40</v>
      </c>
      <c r="J20" s="318"/>
      <c r="K20" s="318"/>
      <c r="L20" s="318" t="s">
        <v>41</v>
      </c>
      <c r="M20" s="318"/>
      <c r="N20" s="318"/>
      <c r="O20" s="318" t="s">
        <v>42</v>
      </c>
      <c r="P20" s="318"/>
      <c r="Q20" s="318"/>
      <c r="R20" s="318" t="s">
        <v>43</v>
      </c>
      <c r="S20" s="318"/>
      <c r="T20" s="318"/>
      <c r="U20" s="318" t="s">
        <v>44</v>
      </c>
      <c r="V20" s="318"/>
      <c r="W20" s="319"/>
    </row>
    <row r="21" spans="1:23" ht="32.25" customHeight="1" x14ac:dyDescent="0.15"/>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workbookViewId="0">
      <selection activeCell="I42" sqref="I42"/>
    </sheetView>
  </sheetViews>
  <sheetFormatPr defaultRowHeight="13.5" x14ac:dyDescent="0.15"/>
  <cols>
    <col min="1" max="1" width="8.25" style="91" bestFit="1" customWidth="1"/>
    <col min="2" max="2" width="3.375" customWidth="1"/>
    <col min="3" max="3" width="7.125" style="87" bestFit="1" customWidth="1"/>
    <col min="4" max="4" width="8.25" style="91" bestFit="1" customWidth="1"/>
    <col min="5" max="5" width="3.375" customWidth="1"/>
    <col min="6" max="6" width="7.125" style="87" bestFit="1" customWidth="1"/>
    <col min="7" max="7" width="8.25" style="91" bestFit="1" customWidth="1"/>
    <col min="8" max="8" width="3.375" customWidth="1"/>
    <col min="9" max="9" width="7.125" style="87" bestFit="1" customWidth="1"/>
    <col min="10" max="10" width="8.25" style="91" bestFit="1" customWidth="1"/>
    <col min="11" max="11" width="3.375" customWidth="1"/>
    <col min="12" max="12" width="7.125" style="87" bestFit="1" customWidth="1"/>
    <col min="13" max="13" width="8.25" style="91" bestFit="1" customWidth="1"/>
    <col min="14" max="14" width="3.375" customWidth="1"/>
    <col min="15" max="15" width="7.125" style="87" bestFit="1" customWidth="1"/>
    <col min="16" max="16" width="8.25" style="91" bestFit="1" customWidth="1"/>
    <col min="17" max="17" width="3.375" customWidth="1"/>
    <col min="18" max="18" width="7.125" style="87" bestFit="1" customWidth="1"/>
    <col min="19" max="19" width="8.25" style="91" bestFit="1" customWidth="1"/>
    <col min="20" max="20" width="3.375" customWidth="1"/>
    <col min="21" max="21" width="7.125" style="87" bestFit="1" customWidth="1"/>
    <col min="22" max="22" width="9.25" style="91" bestFit="1" customWidth="1"/>
    <col min="23" max="23" width="3.375" customWidth="1"/>
    <col min="24" max="24" width="7.125" style="87" bestFit="1" customWidth="1"/>
    <col min="25" max="25" width="9.25" style="91" bestFit="1" customWidth="1"/>
    <col min="26" max="26" width="3.375" customWidth="1"/>
    <col min="27" max="27" width="7.125" style="87" bestFit="1" customWidth="1"/>
    <col min="28" max="28" width="9.25" style="91" bestFit="1" customWidth="1"/>
    <col min="29" max="29" width="3.375" customWidth="1"/>
    <col min="30" max="30" width="7.125" style="87" bestFit="1" customWidth="1"/>
    <col min="31" max="31" width="9.25" style="91" bestFit="1" customWidth="1"/>
    <col min="32" max="32" width="3.375" customWidth="1"/>
    <col min="33" max="33" width="7.125" style="87" bestFit="1" customWidth="1"/>
    <col min="34" max="34" width="9.25" style="91" bestFit="1" customWidth="1"/>
    <col min="35" max="35" width="3.375" customWidth="1"/>
    <col min="36" max="36" width="7.125" style="87" bestFit="1" customWidth="1"/>
    <col min="37" max="37" width="9.25" style="91" bestFit="1" customWidth="1"/>
    <col min="38" max="38" width="3.375" customWidth="1"/>
    <col min="39" max="39" width="7.125" style="87" bestFit="1" customWidth="1"/>
    <col min="40" max="40" width="9.25" style="91" bestFit="1" customWidth="1"/>
    <col min="41" max="41" width="3.375" customWidth="1"/>
    <col min="42" max="42" width="7.125" style="87" bestFit="1" customWidth="1"/>
    <col min="43" max="43" width="9.25" style="91" bestFit="1" customWidth="1"/>
    <col min="44" max="44" width="3.375" customWidth="1"/>
    <col min="45" max="45" width="7.125" style="87" bestFit="1" customWidth="1"/>
  </cols>
  <sheetData>
    <row r="1" spans="1:45" ht="18" thickTop="1" x14ac:dyDescent="0.15">
      <c r="A1" s="361" t="s">
        <v>137</v>
      </c>
      <c r="B1" s="362"/>
      <c r="C1" s="362"/>
      <c r="D1" s="361" t="s">
        <v>138</v>
      </c>
      <c r="E1" s="362"/>
      <c r="F1" s="363"/>
      <c r="G1" s="361" t="s">
        <v>139</v>
      </c>
      <c r="H1" s="362"/>
      <c r="I1" s="363"/>
      <c r="J1" s="361" t="s">
        <v>140</v>
      </c>
      <c r="K1" s="362"/>
      <c r="L1" s="363"/>
      <c r="M1" s="361" t="s">
        <v>141</v>
      </c>
      <c r="N1" s="362"/>
      <c r="O1" s="363"/>
      <c r="P1" s="361" t="s">
        <v>142</v>
      </c>
      <c r="Q1" s="362"/>
      <c r="R1" s="363"/>
      <c r="S1" s="361" t="s">
        <v>203</v>
      </c>
      <c r="T1" s="362"/>
      <c r="U1" s="363"/>
      <c r="V1" s="361" t="s">
        <v>564</v>
      </c>
      <c r="W1" s="362"/>
      <c r="X1" s="363"/>
      <c r="Y1" s="361" t="s">
        <v>626</v>
      </c>
      <c r="Z1" s="362"/>
      <c r="AA1" s="363"/>
      <c r="AB1" s="361" t="s">
        <v>686</v>
      </c>
      <c r="AC1" s="362"/>
      <c r="AD1" s="363"/>
      <c r="AE1" s="361" t="s">
        <v>687</v>
      </c>
      <c r="AF1" s="362"/>
      <c r="AG1" s="363"/>
      <c r="AH1" s="361" t="s">
        <v>688</v>
      </c>
      <c r="AI1" s="362"/>
      <c r="AJ1" s="363"/>
      <c r="AK1" s="361" t="s">
        <v>869</v>
      </c>
      <c r="AL1" s="362"/>
      <c r="AM1" s="363"/>
      <c r="AN1" s="361" t="s">
        <v>870</v>
      </c>
      <c r="AO1" s="362"/>
      <c r="AP1" s="363"/>
      <c r="AQ1" s="361" t="s">
        <v>871</v>
      </c>
      <c r="AR1" s="362"/>
      <c r="AS1" s="363"/>
    </row>
    <row r="2" spans="1:45" ht="14.25" thickBot="1" x14ac:dyDescent="0.2">
      <c r="A2" s="103" t="s">
        <v>135</v>
      </c>
      <c r="B2" s="101" t="s">
        <v>136</v>
      </c>
      <c r="C2" s="102" t="s">
        <v>134</v>
      </c>
      <c r="D2" s="103" t="s">
        <v>135</v>
      </c>
      <c r="E2" s="101" t="s">
        <v>136</v>
      </c>
      <c r="F2" s="104" t="s">
        <v>134</v>
      </c>
      <c r="G2" s="103" t="s">
        <v>135</v>
      </c>
      <c r="H2" s="101" t="s">
        <v>136</v>
      </c>
      <c r="I2" s="104" t="s">
        <v>134</v>
      </c>
      <c r="J2" s="103" t="s">
        <v>135</v>
      </c>
      <c r="K2" s="101" t="s">
        <v>136</v>
      </c>
      <c r="L2" s="104" t="s">
        <v>134</v>
      </c>
      <c r="M2" s="103" t="s">
        <v>135</v>
      </c>
      <c r="N2" s="101" t="s">
        <v>136</v>
      </c>
      <c r="O2" s="104" t="s">
        <v>134</v>
      </c>
      <c r="P2" s="103" t="s">
        <v>135</v>
      </c>
      <c r="Q2" s="101" t="s">
        <v>136</v>
      </c>
      <c r="R2" s="104" t="s">
        <v>134</v>
      </c>
      <c r="S2" s="103" t="s">
        <v>135</v>
      </c>
      <c r="T2" s="101" t="s">
        <v>136</v>
      </c>
      <c r="U2" s="104" t="s">
        <v>134</v>
      </c>
      <c r="V2" s="103" t="s">
        <v>135</v>
      </c>
      <c r="W2" s="101" t="s">
        <v>136</v>
      </c>
      <c r="X2" s="104" t="s">
        <v>134</v>
      </c>
      <c r="Y2" s="103" t="s">
        <v>135</v>
      </c>
      <c r="Z2" s="101" t="s">
        <v>136</v>
      </c>
      <c r="AA2" s="104" t="s">
        <v>134</v>
      </c>
      <c r="AB2" s="103" t="s">
        <v>135</v>
      </c>
      <c r="AC2" s="101" t="s">
        <v>136</v>
      </c>
      <c r="AD2" s="104" t="s">
        <v>134</v>
      </c>
      <c r="AE2" s="103" t="s">
        <v>135</v>
      </c>
      <c r="AF2" s="101" t="s">
        <v>136</v>
      </c>
      <c r="AG2" s="104" t="s">
        <v>134</v>
      </c>
      <c r="AH2" s="103" t="s">
        <v>135</v>
      </c>
      <c r="AI2" s="101" t="s">
        <v>136</v>
      </c>
      <c r="AJ2" s="104" t="s">
        <v>134</v>
      </c>
      <c r="AK2" s="103" t="s">
        <v>135</v>
      </c>
      <c r="AL2" s="101" t="s">
        <v>136</v>
      </c>
      <c r="AM2" s="104" t="s">
        <v>134</v>
      </c>
      <c r="AN2" s="103" t="s">
        <v>135</v>
      </c>
      <c r="AO2" s="101" t="s">
        <v>136</v>
      </c>
      <c r="AP2" s="104" t="s">
        <v>134</v>
      </c>
      <c r="AQ2" s="103" t="s">
        <v>135</v>
      </c>
      <c r="AR2" s="101" t="s">
        <v>136</v>
      </c>
      <c r="AS2" s="104" t="s">
        <v>134</v>
      </c>
    </row>
    <row r="3" spans="1:45" x14ac:dyDescent="0.15">
      <c r="A3" s="98" t="s">
        <v>143</v>
      </c>
      <c r="B3" s="99" t="s">
        <v>136</v>
      </c>
      <c r="C3" s="90">
        <v>180</v>
      </c>
      <c r="D3" s="98" t="s">
        <v>204</v>
      </c>
      <c r="E3" s="99" t="s">
        <v>136</v>
      </c>
      <c r="F3" s="100">
        <v>240</v>
      </c>
      <c r="G3" s="98" t="s">
        <v>264</v>
      </c>
      <c r="H3" s="99" t="s">
        <v>136</v>
      </c>
      <c r="I3" s="100">
        <v>300</v>
      </c>
      <c r="J3" s="98" t="s">
        <v>324</v>
      </c>
      <c r="K3" s="99" t="s">
        <v>136</v>
      </c>
      <c r="L3" s="100">
        <v>360</v>
      </c>
      <c r="M3" s="98" t="s">
        <v>384</v>
      </c>
      <c r="N3" s="99" t="s">
        <v>136</v>
      </c>
      <c r="O3" s="100">
        <v>420</v>
      </c>
      <c r="P3" s="98" t="s">
        <v>444</v>
      </c>
      <c r="Q3" s="99" t="s">
        <v>136</v>
      </c>
      <c r="R3" s="100">
        <v>480</v>
      </c>
      <c r="S3" s="98" t="s">
        <v>504</v>
      </c>
      <c r="T3" s="99" t="s">
        <v>136</v>
      </c>
      <c r="U3" s="100">
        <v>540</v>
      </c>
      <c r="V3" s="98" t="s">
        <v>565</v>
      </c>
      <c r="W3" s="99" t="s">
        <v>136</v>
      </c>
      <c r="X3" s="100">
        <v>600</v>
      </c>
      <c r="Y3" s="98" t="s">
        <v>625</v>
      </c>
      <c r="Z3" s="99" t="s">
        <v>136</v>
      </c>
      <c r="AA3" s="100">
        <v>660</v>
      </c>
      <c r="AB3" s="98" t="s">
        <v>689</v>
      </c>
      <c r="AC3" s="99" t="s">
        <v>136</v>
      </c>
      <c r="AD3" s="100">
        <v>720</v>
      </c>
      <c r="AE3" s="98" t="s">
        <v>749</v>
      </c>
      <c r="AF3" s="99" t="s">
        <v>136</v>
      </c>
      <c r="AG3" s="100">
        <v>780</v>
      </c>
      <c r="AH3" s="98" t="s">
        <v>809</v>
      </c>
      <c r="AI3" s="99" t="s">
        <v>136</v>
      </c>
      <c r="AJ3" s="100">
        <v>840</v>
      </c>
      <c r="AK3" s="98" t="s">
        <v>872</v>
      </c>
      <c r="AL3" s="99" t="s">
        <v>136</v>
      </c>
      <c r="AM3" s="100">
        <v>900</v>
      </c>
      <c r="AN3" s="98" t="s">
        <v>932</v>
      </c>
      <c r="AO3" s="99" t="s">
        <v>136</v>
      </c>
      <c r="AP3" s="100">
        <v>960</v>
      </c>
      <c r="AQ3" s="98" t="s">
        <v>992</v>
      </c>
      <c r="AR3" s="99" t="s">
        <v>136</v>
      </c>
      <c r="AS3" s="100">
        <v>1020</v>
      </c>
    </row>
    <row r="4" spans="1:45" x14ac:dyDescent="0.15">
      <c r="A4" s="92" t="s">
        <v>144</v>
      </c>
      <c r="B4" s="89" t="s">
        <v>136</v>
      </c>
      <c r="C4" s="88">
        <v>181</v>
      </c>
      <c r="D4" s="92" t="s">
        <v>205</v>
      </c>
      <c r="E4" s="89" t="s">
        <v>136</v>
      </c>
      <c r="F4" s="93">
        <v>241</v>
      </c>
      <c r="G4" s="92" t="s">
        <v>265</v>
      </c>
      <c r="H4" s="89" t="s">
        <v>136</v>
      </c>
      <c r="I4" s="93">
        <v>301</v>
      </c>
      <c r="J4" s="92" t="s">
        <v>325</v>
      </c>
      <c r="K4" s="89" t="s">
        <v>136</v>
      </c>
      <c r="L4" s="93">
        <v>361</v>
      </c>
      <c r="M4" s="92" t="s">
        <v>385</v>
      </c>
      <c r="N4" s="89" t="s">
        <v>136</v>
      </c>
      <c r="O4" s="93">
        <v>421</v>
      </c>
      <c r="P4" s="92" t="s">
        <v>445</v>
      </c>
      <c r="Q4" s="89" t="s">
        <v>136</v>
      </c>
      <c r="R4" s="93">
        <v>481</v>
      </c>
      <c r="S4" s="92" t="s">
        <v>505</v>
      </c>
      <c r="T4" s="89" t="s">
        <v>136</v>
      </c>
      <c r="U4" s="93">
        <v>541</v>
      </c>
      <c r="V4" s="92" t="s">
        <v>566</v>
      </c>
      <c r="W4" s="89" t="s">
        <v>136</v>
      </c>
      <c r="X4" s="93">
        <v>601</v>
      </c>
      <c r="Y4" s="92" t="s">
        <v>627</v>
      </c>
      <c r="Z4" s="89" t="s">
        <v>136</v>
      </c>
      <c r="AA4" s="93">
        <v>661</v>
      </c>
      <c r="AB4" s="92" t="s">
        <v>690</v>
      </c>
      <c r="AC4" s="89" t="s">
        <v>136</v>
      </c>
      <c r="AD4" s="93">
        <v>721</v>
      </c>
      <c r="AE4" s="92" t="s">
        <v>750</v>
      </c>
      <c r="AF4" s="89" t="s">
        <v>136</v>
      </c>
      <c r="AG4" s="93">
        <v>781</v>
      </c>
      <c r="AH4" s="92" t="s">
        <v>810</v>
      </c>
      <c r="AI4" s="89" t="s">
        <v>136</v>
      </c>
      <c r="AJ4" s="93">
        <v>841</v>
      </c>
      <c r="AK4" s="92" t="s">
        <v>873</v>
      </c>
      <c r="AL4" s="89" t="s">
        <v>136</v>
      </c>
      <c r="AM4" s="93">
        <v>901</v>
      </c>
      <c r="AN4" s="92" t="s">
        <v>933</v>
      </c>
      <c r="AO4" s="89" t="s">
        <v>136</v>
      </c>
      <c r="AP4" s="93">
        <v>961</v>
      </c>
      <c r="AQ4" s="92" t="s">
        <v>993</v>
      </c>
      <c r="AR4" s="89" t="s">
        <v>136</v>
      </c>
      <c r="AS4" s="93">
        <v>1021</v>
      </c>
    </row>
    <row r="5" spans="1:45" x14ac:dyDescent="0.15">
      <c r="A5" s="92" t="s">
        <v>145</v>
      </c>
      <c r="B5" s="89" t="s">
        <v>136</v>
      </c>
      <c r="C5" s="88">
        <v>182</v>
      </c>
      <c r="D5" s="92" t="s">
        <v>206</v>
      </c>
      <c r="E5" s="89" t="s">
        <v>136</v>
      </c>
      <c r="F5" s="93">
        <v>242</v>
      </c>
      <c r="G5" s="92" t="s">
        <v>266</v>
      </c>
      <c r="H5" s="89" t="s">
        <v>136</v>
      </c>
      <c r="I5" s="93">
        <v>302</v>
      </c>
      <c r="J5" s="92" t="s">
        <v>326</v>
      </c>
      <c r="K5" s="89" t="s">
        <v>136</v>
      </c>
      <c r="L5" s="93">
        <v>362</v>
      </c>
      <c r="M5" s="92" t="s">
        <v>386</v>
      </c>
      <c r="N5" s="89" t="s">
        <v>136</v>
      </c>
      <c r="O5" s="93">
        <v>422</v>
      </c>
      <c r="P5" s="92" t="s">
        <v>446</v>
      </c>
      <c r="Q5" s="89" t="s">
        <v>136</v>
      </c>
      <c r="R5" s="93">
        <v>482</v>
      </c>
      <c r="S5" s="92" t="s">
        <v>506</v>
      </c>
      <c r="T5" s="89" t="s">
        <v>136</v>
      </c>
      <c r="U5" s="93">
        <v>542</v>
      </c>
      <c r="V5" s="92" t="s">
        <v>567</v>
      </c>
      <c r="W5" s="89" t="s">
        <v>136</v>
      </c>
      <c r="X5" s="93">
        <v>602</v>
      </c>
      <c r="Y5" s="92" t="s">
        <v>628</v>
      </c>
      <c r="Z5" s="89" t="s">
        <v>136</v>
      </c>
      <c r="AA5" s="93">
        <v>662</v>
      </c>
      <c r="AB5" s="92" t="s">
        <v>691</v>
      </c>
      <c r="AC5" s="89" t="s">
        <v>136</v>
      </c>
      <c r="AD5" s="93">
        <v>722</v>
      </c>
      <c r="AE5" s="92" t="s">
        <v>751</v>
      </c>
      <c r="AF5" s="89" t="s">
        <v>136</v>
      </c>
      <c r="AG5" s="93">
        <v>782</v>
      </c>
      <c r="AH5" s="92" t="s">
        <v>811</v>
      </c>
      <c r="AI5" s="89" t="s">
        <v>136</v>
      </c>
      <c r="AJ5" s="93">
        <v>842</v>
      </c>
      <c r="AK5" s="92" t="s">
        <v>874</v>
      </c>
      <c r="AL5" s="89" t="s">
        <v>136</v>
      </c>
      <c r="AM5" s="93">
        <v>902</v>
      </c>
      <c r="AN5" s="92" t="s">
        <v>934</v>
      </c>
      <c r="AO5" s="89" t="s">
        <v>136</v>
      </c>
      <c r="AP5" s="93">
        <v>962</v>
      </c>
      <c r="AQ5" s="92" t="s">
        <v>994</v>
      </c>
      <c r="AR5" s="89" t="s">
        <v>136</v>
      </c>
      <c r="AS5" s="93">
        <v>1022</v>
      </c>
    </row>
    <row r="6" spans="1:45" x14ac:dyDescent="0.15">
      <c r="A6" s="92" t="s">
        <v>146</v>
      </c>
      <c r="B6" s="89" t="s">
        <v>136</v>
      </c>
      <c r="C6" s="88">
        <v>183</v>
      </c>
      <c r="D6" s="92" t="s">
        <v>207</v>
      </c>
      <c r="E6" s="89" t="s">
        <v>136</v>
      </c>
      <c r="F6" s="93">
        <v>243</v>
      </c>
      <c r="G6" s="92" t="s">
        <v>267</v>
      </c>
      <c r="H6" s="89" t="s">
        <v>136</v>
      </c>
      <c r="I6" s="93">
        <v>303</v>
      </c>
      <c r="J6" s="92" t="s">
        <v>327</v>
      </c>
      <c r="K6" s="89" t="s">
        <v>136</v>
      </c>
      <c r="L6" s="93">
        <v>363</v>
      </c>
      <c r="M6" s="92" t="s">
        <v>387</v>
      </c>
      <c r="N6" s="89" t="s">
        <v>136</v>
      </c>
      <c r="O6" s="93">
        <v>423</v>
      </c>
      <c r="P6" s="92" t="s">
        <v>447</v>
      </c>
      <c r="Q6" s="89" t="s">
        <v>136</v>
      </c>
      <c r="R6" s="93">
        <v>483</v>
      </c>
      <c r="S6" s="92" t="s">
        <v>507</v>
      </c>
      <c r="T6" s="89" t="s">
        <v>136</v>
      </c>
      <c r="U6" s="93">
        <v>543</v>
      </c>
      <c r="V6" s="92" t="s">
        <v>568</v>
      </c>
      <c r="W6" s="89" t="s">
        <v>136</v>
      </c>
      <c r="X6" s="93">
        <v>603</v>
      </c>
      <c r="Y6" s="92" t="s">
        <v>629</v>
      </c>
      <c r="Z6" s="89" t="s">
        <v>136</v>
      </c>
      <c r="AA6" s="93">
        <v>663</v>
      </c>
      <c r="AB6" s="92" t="s">
        <v>692</v>
      </c>
      <c r="AC6" s="89" t="s">
        <v>136</v>
      </c>
      <c r="AD6" s="93">
        <v>723</v>
      </c>
      <c r="AE6" s="92" t="s">
        <v>752</v>
      </c>
      <c r="AF6" s="89" t="s">
        <v>136</v>
      </c>
      <c r="AG6" s="93">
        <v>783</v>
      </c>
      <c r="AH6" s="92" t="s">
        <v>812</v>
      </c>
      <c r="AI6" s="89" t="s">
        <v>136</v>
      </c>
      <c r="AJ6" s="93">
        <v>843</v>
      </c>
      <c r="AK6" s="92" t="s">
        <v>875</v>
      </c>
      <c r="AL6" s="89" t="s">
        <v>136</v>
      </c>
      <c r="AM6" s="93">
        <v>903</v>
      </c>
      <c r="AN6" s="92" t="s">
        <v>935</v>
      </c>
      <c r="AO6" s="89" t="s">
        <v>136</v>
      </c>
      <c r="AP6" s="93">
        <v>963</v>
      </c>
      <c r="AQ6" s="92" t="s">
        <v>995</v>
      </c>
      <c r="AR6" s="89" t="s">
        <v>136</v>
      </c>
      <c r="AS6" s="93">
        <v>1023</v>
      </c>
    </row>
    <row r="7" spans="1:45" x14ac:dyDescent="0.15">
      <c r="A7" s="92" t="s">
        <v>147</v>
      </c>
      <c r="B7" s="89" t="s">
        <v>136</v>
      </c>
      <c r="C7" s="88">
        <v>184</v>
      </c>
      <c r="D7" s="92" t="s">
        <v>208</v>
      </c>
      <c r="E7" s="89" t="s">
        <v>136</v>
      </c>
      <c r="F7" s="93">
        <v>244</v>
      </c>
      <c r="G7" s="92" t="s">
        <v>268</v>
      </c>
      <c r="H7" s="89" t="s">
        <v>136</v>
      </c>
      <c r="I7" s="93">
        <v>304</v>
      </c>
      <c r="J7" s="92" t="s">
        <v>328</v>
      </c>
      <c r="K7" s="89" t="s">
        <v>136</v>
      </c>
      <c r="L7" s="93">
        <v>364</v>
      </c>
      <c r="M7" s="92" t="s">
        <v>388</v>
      </c>
      <c r="N7" s="89" t="s">
        <v>136</v>
      </c>
      <c r="O7" s="93">
        <v>424</v>
      </c>
      <c r="P7" s="92" t="s">
        <v>448</v>
      </c>
      <c r="Q7" s="89" t="s">
        <v>136</v>
      </c>
      <c r="R7" s="93">
        <v>484</v>
      </c>
      <c r="S7" s="92" t="s">
        <v>508</v>
      </c>
      <c r="T7" s="89" t="s">
        <v>136</v>
      </c>
      <c r="U7" s="93">
        <v>544</v>
      </c>
      <c r="V7" s="92" t="s">
        <v>569</v>
      </c>
      <c r="W7" s="89" t="s">
        <v>136</v>
      </c>
      <c r="X7" s="93">
        <v>604</v>
      </c>
      <c r="Y7" s="92" t="s">
        <v>630</v>
      </c>
      <c r="Z7" s="89" t="s">
        <v>136</v>
      </c>
      <c r="AA7" s="93">
        <v>664</v>
      </c>
      <c r="AB7" s="92" t="s">
        <v>693</v>
      </c>
      <c r="AC7" s="89" t="s">
        <v>136</v>
      </c>
      <c r="AD7" s="93">
        <v>724</v>
      </c>
      <c r="AE7" s="92" t="s">
        <v>753</v>
      </c>
      <c r="AF7" s="89" t="s">
        <v>136</v>
      </c>
      <c r="AG7" s="93">
        <v>784</v>
      </c>
      <c r="AH7" s="92" t="s">
        <v>813</v>
      </c>
      <c r="AI7" s="89" t="s">
        <v>136</v>
      </c>
      <c r="AJ7" s="93">
        <v>844</v>
      </c>
      <c r="AK7" s="92" t="s">
        <v>876</v>
      </c>
      <c r="AL7" s="89" t="s">
        <v>136</v>
      </c>
      <c r="AM7" s="93">
        <v>904</v>
      </c>
      <c r="AN7" s="92" t="s">
        <v>936</v>
      </c>
      <c r="AO7" s="89" t="s">
        <v>136</v>
      </c>
      <c r="AP7" s="93">
        <v>964</v>
      </c>
      <c r="AQ7" s="92" t="s">
        <v>996</v>
      </c>
      <c r="AR7" s="89" t="s">
        <v>136</v>
      </c>
      <c r="AS7" s="93">
        <v>1024</v>
      </c>
    </row>
    <row r="8" spans="1:45" x14ac:dyDescent="0.15">
      <c r="A8" s="92" t="s">
        <v>148</v>
      </c>
      <c r="B8" s="89" t="s">
        <v>136</v>
      </c>
      <c r="C8" s="88">
        <v>185</v>
      </c>
      <c r="D8" s="92" t="s">
        <v>209</v>
      </c>
      <c r="E8" s="89" t="s">
        <v>136</v>
      </c>
      <c r="F8" s="93">
        <v>245</v>
      </c>
      <c r="G8" s="92" t="s">
        <v>269</v>
      </c>
      <c r="H8" s="89" t="s">
        <v>136</v>
      </c>
      <c r="I8" s="93">
        <v>305</v>
      </c>
      <c r="J8" s="92" t="s">
        <v>329</v>
      </c>
      <c r="K8" s="89" t="s">
        <v>136</v>
      </c>
      <c r="L8" s="93">
        <v>365</v>
      </c>
      <c r="M8" s="92" t="s">
        <v>389</v>
      </c>
      <c r="N8" s="89" t="s">
        <v>136</v>
      </c>
      <c r="O8" s="93">
        <v>425</v>
      </c>
      <c r="P8" s="92" t="s">
        <v>449</v>
      </c>
      <c r="Q8" s="89" t="s">
        <v>136</v>
      </c>
      <c r="R8" s="93">
        <v>485</v>
      </c>
      <c r="S8" s="92" t="s">
        <v>509</v>
      </c>
      <c r="T8" s="89" t="s">
        <v>136</v>
      </c>
      <c r="U8" s="93">
        <v>545</v>
      </c>
      <c r="V8" s="92" t="s">
        <v>570</v>
      </c>
      <c r="W8" s="89" t="s">
        <v>136</v>
      </c>
      <c r="X8" s="93">
        <v>605</v>
      </c>
      <c r="Y8" s="92" t="s">
        <v>631</v>
      </c>
      <c r="Z8" s="89" t="s">
        <v>136</v>
      </c>
      <c r="AA8" s="93">
        <v>665</v>
      </c>
      <c r="AB8" s="92" t="s">
        <v>694</v>
      </c>
      <c r="AC8" s="89" t="s">
        <v>136</v>
      </c>
      <c r="AD8" s="93">
        <v>725</v>
      </c>
      <c r="AE8" s="92" t="s">
        <v>754</v>
      </c>
      <c r="AF8" s="89" t="s">
        <v>136</v>
      </c>
      <c r="AG8" s="93">
        <v>785</v>
      </c>
      <c r="AH8" s="92" t="s">
        <v>814</v>
      </c>
      <c r="AI8" s="89" t="s">
        <v>136</v>
      </c>
      <c r="AJ8" s="93">
        <v>845</v>
      </c>
      <c r="AK8" s="92" t="s">
        <v>877</v>
      </c>
      <c r="AL8" s="89" t="s">
        <v>136</v>
      </c>
      <c r="AM8" s="93">
        <v>905</v>
      </c>
      <c r="AN8" s="92" t="s">
        <v>937</v>
      </c>
      <c r="AO8" s="89" t="s">
        <v>136</v>
      </c>
      <c r="AP8" s="93">
        <v>965</v>
      </c>
      <c r="AQ8" s="92" t="s">
        <v>997</v>
      </c>
      <c r="AR8" s="89" t="s">
        <v>136</v>
      </c>
      <c r="AS8" s="93">
        <v>1025</v>
      </c>
    </row>
    <row r="9" spans="1:45" x14ac:dyDescent="0.15">
      <c r="A9" s="92" t="s">
        <v>149</v>
      </c>
      <c r="B9" s="89" t="s">
        <v>136</v>
      </c>
      <c r="C9" s="88">
        <v>186</v>
      </c>
      <c r="D9" s="92" t="s">
        <v>210</v>
      </c>
      <c r="E9" s="89" t="s">
        <v>136</v>
      </c>
      <c r="F9" s="93">
        <v>246</v>
      </c>
      <c r="G9" s="92" t="s">
        <v>270</v>
      </c>
      <c r="H9" s="89" t="s">
        <v>136</v>
      </c>
      <c r="I9" s="93">
        <v>306</v>
      </c>
      <c r="J9" s="92" t="s">
        <v>330</v>
      </c>
      <c r="K9" s="89" t="s">
        <v>136</v>
      </c>
      <c r="L9" s="93">
        <v>366</v>
      </c>
      <c r="M9" s="92" t="s">
        <v>390</v>
      </c>
      <c r="N9" s="89" t="s">
        <v>136</v>
      </c>
      <c r="O9" s="93">
        <v>426</v>
      </c>
      <c r="P9" s="92" t="s">
        <v>450</v>
      </c>
      <c r="Q9" s="89" t="s">
        <v>136</v>
      </c>
      <c r="R9" s="93">
        <v>486</v>
      </c>
      <c r="S9" s="92" t="s">
        <v>510</v>
      </c>
      <c r="T9" s="89" t="s">
        <v>136</v>
      </c>
      <c r="U9" s="93">
        <v>546</v>
      </c>
      <c r="V9" s="92" t="s">
        <v>571</v>
      </c>
      <c r="W9" s="89" t="s">
        <v>136</v>
      </c>
      <c r="X9" s="93">
        <v>606</v>
      </c>
      <c r="Y9" s="92" t="s">
        <v>632</v>
      </c>
      <c r="Z9" s="89" t="s">
        <v>136</v>
      </c>
      <c r="AA9" s="93">
        <v>666</v>
      </c>
      <c r="AB9" s="92" t="s">
        <v>695</v>
      </c>
      <c r="AC9" s="89" t="s">
        <v>136</v>
      </c>
      <c r="AD9" s="93">
        <v>726</v>
      </c>
      <c r="AE9" s="92" t="s">
        <v>755</v>
      </c>
      <c r="AF9" s="89" t="s">
        <v>136</v>
      </c>
      <c r="AG9" s="93">
        <v>786</v>
      </c>
      <c r="AH9" s="92" t="s">
        <v>815</v>
      </c>
      <c r="AI9" s="89" t="s">
        <v>136</v>
      </c>
      <c r="AJ9" s="93">
        <v>846</v>
      </c>
      <c r="AK9" s="92" t="s">
        <v>878</v>
      </c>
      <c r="AL9" s="89" t="s">
        <v>136</v>
      </c>
      <c r="AM9" s="93">
        <v>906</v>
      </c>
      <c r="AN9" s="92" t="s">
        <v>938</v>
      </c>
      <c r="AO9" s="89" t="s">
        <v>136</v>
      </c>
      <c r="AP9" s="93">
        <v>966</v>
      </c>
      <c r="AQ9" s="92" t="s">
        <v>998</v>
      </c>
      <c r="AR9" s="89" t="s">
        <v>136</v>
      </c>
      <c r="AS9" s="93">
        <v>1026</v>
      </c>
    </row>
    <row r="10" spans="1:45" x14ac:dyDescent="0.15">
      <c r="A10" s="92" t="s">
        <v>150</v>
      </c>
      <c r="B10" s="89" t="s">
        <v>136</v>
      </c>
      <c r="C10" s="88">
        <v>187</v>
      </c>
      <c r="D10" s="92" t="s">
        <v>211</v>
      </c>
      <c r="E10" s="89" t="s">
        <v>136</v>
      </c>
      <c r="F10" s="93">
        <v>247</v>
      </c>
      <c r="G10" s="92" t="s">
        <v>271</v>
      </c>
      <c r="H10" s="89" t="s">
        <v>136</v>
      </c>
      <c r="I10" s="93">
        <v>307</v>
      </c>
      <c r="J10" s="92" t="s">
        <v>331</v>
      </c>
      <c r="K10" s="89" t="s">
        <v>136</v>
      </c>
      <c r="L10" s="93">
        <v>367</v>
      </c>
      <c r="M10" s="92" t="s">
        <v>391</v>
      </c>
      <c r="N10" s="89" t="s">
        <v>136</v>
      </c>
      <c r="O10" s="93">
        <v>427</v>
      </c>
      <c r="P10" s="92" t="s">
        <v>451</v>
      </c>
      <c r="Q10" s="89" t="s">
        <v>136</v>
      </c>
      <c r="R10" s="93">
        <v>487</v>
      </c>
      <c r="S10" s="92" t="s">
        <v>511</v>
      </c>
      <c r="T10" s="89" t="s">
        <v>136</v>
      </c>
      <c r="U10" s="93">
        <v>547</v>
      </c>
      <c r="V10" s="92" t="s">
        <v>572</v>
      </c>
      <c r="W10" s="89" t="s">
        <v>136</v>
      </c>
      <c r="X10" s="93">
        <v>607</v>
      </c>
      <c r="Y10" s="92" t="s">
        <v>633</v>
      </c>
      <c r="Z10" s="89" t="s">
        <v>136</v>
      </c>
      <c r="AA10" s="93">
        <v>667</v>
      </c>
      <c r="AB10" s="92" t="s">
        <v>696</v>
      </c>
      <c r="AC10" s="89" t="s">
        <v>136</v>
      </c>
      <c r="AD10" s="93">
        <v>727</v>
      </c>
      <c r="AE10" s="92" t="s">
        <v>756</v>
      </c>
      <c r="AF10" s="89" t="s">
        <v>136</v>
      </c>
      <c r="AG10" s="93">
        <v>787</v>
      </c>
      <c r="AH10" s="92" t="s">
        <v>816</v>
      </c>
      <c r="AI10" s="89" t="s">
        <v>136</v>
      </c>
      <c r="AJ10" s="93">
        <v>847</v>
      </c>
      <c r="AK10" s="92" t="s">
        <v>879</v>
      </c>
      <c r="AL10" s="89" t="s">
        <v>136</v>
      </c>
      <c r="AM10" s="93">
        <v>907</v>
      </c>
      <c r="AN10" s="92" t="s">
        <v>939</v>
      </c>
      <c r="AO10" s="89" t="s">
        <v>136</v>
      </c>
      <c r="AP10" s="93">
        <v>967</v>
      </c>
      <c r="AQ10" s="92" t="s">
        <v>999</v>
      </c>
      <c r="AR10" s="89" t="s">
        <v>136</v>
      </c>
      <c r="AS10" s="93">
        <v>1027</v>
      </c>
    </row>
    <row r="11" spans="1:45" x14ac:dyDescent="0.15">
      <c r="A11" s="92" t="s">
        <v>151</v>
      </c>
      <c r="B11" s="89" t="s">
        <v>136</v>
      </c>
      <c r="C11" s="88">
        <v>188</v>
      </c>
      <c r="D11" s="92" t="s">
        <v>212</v>
      </c>
      <c r="E11" s="89" t="s">
        <v>136</v>
      </c>
      <c r="F11" s="93">
        <v>248</v>
      </c>
      <c r="G11" s="92" t="s">
        <v>272</v>
      </c>
      <c r="H11" s="89" t="s">
        <v>136</v>
      </c>
      <c r="I11" s="93">
        <v>308</v>
      </c>
      <c r="J11" s="92" t="s">
        <v>332</v>
      </c>
      <c r="K11" s="89" t="s">
        <v>136</v>
      </c>
      <c r="L11" s="93">
        <v>368</v>
      </c>
      <c r="M11" s="92" t="s">
        <v>392</v>
      </c>
      <c r="N11" s="89" t="s">
        <v>136</v>
      </c>
      <c r="O11" s="93">
        <v>428</v>
      </c>
      <c r="P11" s="92" t="s">
        <v>452</v>
      </c>
      <c r="Q11" s="89" t="s">
        <v>136</v>
      </c>
      <c r="R11" s="93">
        <v>488</v>
      </c>
      <c r="S11" s="92" t="s">
        <v>512</v>
      </c>
      <c r="T11" s="89" t="s">
        <v>136</v>
      </c>
      <c r="U11" s="93">
        <v>548</v>
      </c>
      <c r="V11" s="92" t="s">
        <v>573</v>
      </c>
      <c r="W11" s="89" t="s">
        <v>136</v>
      </c>
      <c r="X11" s="93">
        <v>608</v>
      </c>
      <c r="Y11" s="92" t="s">
        <v>634</v>
      </c>
      <c r="Z11" s="89" t="s">
        <v>136</v>
      </c>
      <c r="AA11" s="93">
        <v>668</v>
      </c>
      <c r="AB11" s="92" t="s">
        <v>697</v>
      </c>
      <c r="AC11" s="89" t="s">
        <v>136</v>
      </c>
      <c r="AD11" s="93">
        <v>728</v>
      </c>
      <c r="AE11" s="92" t="s">
        <v>757</v>
      </c>
      <c r="AF11" s="89" t="s">
        <v>136</v>
      </c>
      <c r="AG11" s="93">
        <v>788</v>
      </c>
      <c r="AH11" s="92" t="s">
        <v>817</v>
      </c>
      <c r="AI11" s="89" t="s">
        <v>136</v>
      </c>
      <c r="AJ11" s="93">
        <v>848</v>
      </c>
      <c r="AK11" s="92" t="s">
        <v>880</v>
      </c>
      <c r="AL11" s="89" t="s">
        <v>136</v>
      </c>
      <c r="AM11" s="93">
        <v>908</v>
      </c>
      <c r="AN11" s="92" t="s">
        <v>940</v>
      </c>
      <c r="AO11" s="89" t="s">
        <v>136</v>
      </c>
      <c r="AP11" s="93">
        <v>968</v>
      </c>
      <c r="AQ11" s="92" t="s">
        <v>1000</v>
      </c>
      <c r="AR11" s="89" t="s">
        <v>136</v>
      </c>
      <c r="AS11" s="93">
        <v>1028</v>
      </c>
    </row>
    <row r="12" spans="1:45" ht="14.25" thickBot="1" x14ac:dyDescent="0.2">
      <c r="A12" s="103" t="s">
        <v>152</v>
      </c>
      <c r="B12" s="101" t="s">
        <v>136</v>
      </c>
      <c r="C12" s="102">
        <v>189</v>
      </c>
      <c r="D12" s="103" t="s">
        <v>213</v>
      </c>
      <c r="E12" s="101" t="s">
        <v>136</v>
      </c>
      <c r="F12" s="104">
        <v>249</v>
      </c>
      <c r="G12" s="103" t="s">
        <v>273</v>
      </c>
      <c r="H12" s="101" t="s">
        <v>136</v>
      </c>
      <c r="I12" s="104">
        <v>309</v>
      </c>
      <c r="J12" s="103" t="s">
        <v>333</v>
      </c>
      <c r="K12" s="101" t="s">
        <v>136</v>
      </c>
      <c r="L12" s="104">
        <v>369</v>
      </c>
      <c r="M12" s="103" t="s">
        <v>393</v>
      </c>
      <c r="N12" s="101" t="s">
        <v>136</v>
      </c>
      <c r="O12" s="104">
        <v>429</v>
      </c>
      <c r="P12" s="103" t="s">
        <v>453</v>
      </c>
      <c r="Q12" s="101" t="s">
        <v>136</v>
      </c>
      <c r="R12" s="104">
        <v>489</v>
      </c>
      <c r="S12" s="103" t="s">
        <v>513</v>
      </c>
      <c r="T12" s="101" t="s">
        <v>136</v>
      </c>
      <c r="U12" s="104">
        <v>549</v>
      </c>
      <c r="V12" s="103" t="s">
        <v>574</v>
      </c>
      <c r="W12" s="101" t="s">
        <v>136</v>
      </c>
      <c r="X12" s="104">
        <v>609</v>
      </c>
      <c r="Y12" s="103" t="s">
        <v>635</v>
      </c>
      <c r="Z12" s="101" t="s">
        <v>136</v>
      </c>
      <c r="AA12" s="104">
        <v>669</v>
      </c>
      <c r="AB12" s="103" t="s">
        <v>698</v>
      </c>
      <c r="AC12" s="101" t="s">
        <v>136</v>
      </c>
      <c r="AD12" s="104">
        <v>729</v>
      </c>
      <c r="AE12" s="103" t="s">
        <v>758</v>
      </c>
      <c r="AF12" s="101" t="s">
        <v>136</v>
      </c>
      <c r="AG12" s="104">
        <v>789</v>
      </c>
      <c r="AH12" s="103" t="s">
        <v>818</v>
      </c>
      <c r="AI12" s="101" t="s">
        <v>136</v>
      </c>
      <c r="AJ12" s="104">
        <v>849</v>
      </c>
      <c r="AK12" s="103" t="s">
        <v>881</v>
      </c>
      <c r="AL12" s="101" t="s">
        <v>136</v>
      </c>
      <c r="AM12" s="104">
        <v>909</v>
      </c>
      <c r="AN12" s="103" t="s">
        <v>941</v>
      </c>
      <c r="AO12" s="101" t="s">
        <v>136</v>
      </c>
      <c r="AP12" s="104">
        <v>969</v>
      </c>
      <c r="AQ12" s="103" t="s">
        <v>1001</v>
      </c>
      <c r="AR12" s="101" t="s">
        <v>136</v>
      </c>
      <c r="AS12" s="104">
        <v>1029</v>
      </c>
    </row>
    <row r="13" spans="1:45" x14ac:dyDescent="0.15">
      <c r="A13" s="98" t="s">
        <v>153</v>
      </c>
      <c r="B13" s="99" t="s">
        <v>136</v>
      </c>
      <c r="C13" s="90">
        <v>190</v>
      </c>
      <c r="D13" s="98" t="s">
        <v>214</v>
      </c>
      <c r="E13" s="99" t="s">
        <v>136</v>
      </c>
      <c r="F13" s="100">
        <v>250</v>
      </c>
      <c r="G13" s="98" t="s">
        <v>274</v>
      </c>
      <c r="H13" s="99" t="s">
        <v>136</v>
      </c>
      <c r="I13" s="100">
        <v>310</v>
      </c>
      <c r="J13" s="98" t="s">
        <v>334</v>
      </c>
      <c r="K13" s="99" t="s">
        <v>136</v>
      </c>
      <c r="L13" s="100">
        <v>370</v>
      </c>
      <c r="M13" s="98" t="s">
        <v>394</v>
      </c>
      <c r="N13" s="99" t="s">
        <v>136</v>
      </c>
      <c r="O13" s="100">
        <v>430</v>
      </c>
      <c r="P13" s="98" t="s">
        <v>454</v>
      </c>
      <c r="Q13" s="99" t="s">
        <v>136</v>
      </c>
      <c r="R13" s="100">
        <v>490</v>
      </c>
      <c r="S13" s="98" t="s">
        <v>514</v>
      </c>
      <c r="T13" s="99" t="s">
        <v>136</v>
      </c>
      <c r="U13" s="100">
        <v>550</v>
      </c>
      <c r="V13" s="98" t="s">
        <v>575</v>
      </c>
      <c r="W13" s="99" t="s">
        <v>136</v>
      </c>
      <c r="X13" s="100">
        <v>610</v>
      </c>
      <c r="Y13" s="98" t="s">
        <v>636</v>
      </c>
      <c r="Z13" s="99" t="s">
        <v>136</v>
      </c>
      <c r="AA13" s="100">
        <v>670</v>
      </c>
      <c r="AB13" s="98" t="s">
        <v>699</v>
      </c>
      <c r="AC13" s="99" t="s">
        <v>136</v>
      </c>
      <c r="AD13" s="100">
        <v>730</v>
      </c>
      <c r="AE13" s="98" t="s">
        <v>759</v>
      </c>
      <c r="AF13" s="99" t="s">
        <v>136</v>
      </c>
      <c r="AG13" s="100">
        <v>790</v>
      </c>
      <c r="AH13" s="98" t="s">
        <v>819</v>
      </c>
      <c r="AI13" s="99" t="s">
        <v>136</v>
      </c>
      <c r="AJ13" s="100">
        <v>850</v>
      </c>
      <c r="AK13" s="98" t="s">
        <v>882</v>
      </c>
      <c r="AL13" s="99" t="s">
        <v>136</v>
      </c>
      <c r="AM13" s="100">
        <v>910</v>
      </c>
      <c r="AN13" s="98" t="s">
        <v>942</v>
      </c>
      <c r="AO13" s="99" t="s">
        <v>136</v>
      </c>
      <c r="AP13" s="100">
        <v>970</v>
      </c>
      <c r="AQ13" s="98" t="s">
        <v>1002</v>
      </c>
      <c r="AR13" s="99" t="s">
        <v>136</v>
      </c>
      <c r="AS13" s="100">
        <v>1030</v>
      </c>
    </row>
    <row r="14" spans="1:45" x14ac:dyDescent="0.15">
      <c r="A14" s="92" t="s">
        <v>154</v>
      </c>
      <c r="B14" s="89" t="s">
        <v>136</v>
      </c>
      <c r="C14" s="88">
        <v>191</v>
      </c>
      <c r="D14" s="92" t="s">
        <v>215</v>
      </c>
      <c r="E14" s="89" t="s">
        <v>136</v>
      </c>
      <c r="F14" s="93">
        <v>251</v>
      </c>
      <c r="G14" s="92" t="s">
        <v>275</v>
      </c>
      <c r="H14" s="89" t="s">
        <v>136</v>
      </c>
      <c r="I14" s="93">
        <v>311</v>
      </c>
      <c r="J14" s="92" t="s">
        <v>335</v>
      </c>
      <c r="K14" s="89" t="s">
        <v>136</v>
      </c>
      <c r="L14" s="93">
        <v>371</v>
      </c>
      <c r="M14" s="92" t="s">
        <v>395</v>
      </c>
      <c r="N14" s="89" t="s">
        <v>136</v>
      </c>
      <c r="O14" s="93">
        <v>431</v>
      </c>
      <c r="P14" s="92" t="s">
        <v>455</v>
      </c>
      <c r="Q14" s="89" t="s">
        <v>136</v>
      </c>
      <c r="R14" s="93">
        <v>491</v>
      </c>
      <c r="S14" s="92" t="s">
        <v>515</v>
      </c>
      <c r="T14" s="89" t="s">
        <v>136</v>
      </c>
      <c r="U14" s="93">
        <v>551</v>
      </c>
      <c r="V14" s="92" t="s">
        <v>576</v>
      </c>
      <c r="W14" s="89" t="s">
        <v>136</v>
      </c>
      <c r="X14" s="93">
        <v>611</v>
      </c>
      <c r="Y14" s="92" t="s">
        <v>637</v>
      </c>
      <c r="Z14" s="89" t="s">
        <v>136</v>
      </c>
      <c r="AA14" s="93">
        <v>671</v>
      </c>
      <c r="AB14" s="92" t="s">
        <v>700</v>
      </c>
      <c r="AC14" s="89" t="s">
        <v>136</v>
      </c>
      <c r="AD14" s="93">
        <v>731</v>
      </c>
      <c r="AE14" s="92" t="s">
        <v>760</v>
      </c>
      <c r="AF14" s="89" t="s">
        <v>136</v>
      </c>
      <c r="AG14" s="93">
        <v>791</v>
      </c>
      <c r="AH14" s="92" t="s">
        <v>820</v>
      </c>
      <c r="AI14" s="89" t="s">
        <v>136</v>
      </c>
      <c r="AJ14" s="93">
        <v>851</v>
      </c>
      <c r="AK14" s="92" t="s">
        <v>883</v>
      </c>
      <c r="AL14" s="89" t="s">
        <v>136</v>
      </c>
      <c r="AM14" s="93">
        <v>911</v>
      </c>
      <c r="AN14" s="92" t="s">
        <v>943</v>
      </c>
      <c r="AO14" s="89" t="s">
        <v>136</v>
      </c>
      <c r="AP14" s="93">
        <v>971</v>
      </c>
      <c r="AQ14" s="92" t="s">
        <v>1003</v>
      </c>
      <c r="AR14" s="89" t="s">
        <v>136</v>
      </c>
      <c r="AS14" s="93">
        <v>1031</v>
      </c>
    </row>
    <row r="15" spans="1:45" x14ac:dyDescent="0.15">
      <c r="A15" s="92" t="s">
        <v>155</v>
      </c>
      <c r="B15" s="89" t="s">
        <v>136</v>
      </c>
      <c r="C15" s="88">
        <v>192</v>
      </c>
      <c r="D15" s="92" t="s">
        <v>216</v>
      </c>
      <c r="E15" s="89" t="s">
        <v>136</v>
      </c>
      <c r="F15" s="93">
        <v>252</v>
      </c>
      <c r="G15" s="92" t="s">
        <v>276</v>
      </c>
      <c r="H15" s="89" t="s">
        <v>136</v>
      </c>
      <c r="I15" s="93">
        <v>312</v>
      </c>
      <c r="J15" s="92" t="s">
        <v>336</v>
      </c>
      <c r="K15" s="89" t="s">
        <v>136</v>
      </c>
      <c r="L15" s="93">
        <v>372</v>
      </c>
      <c r="M15" s="92" t="s">
        <v>396</v>
      </c>
      <c r="N15" s="89" t="s">
        <v>136</v>
      </c>
      <c r="O15" s="93">
        <v>432</v>
      </c>
      <c r="P15" s="92" t="s">
        <v>456</v>
      </c>
      <c r="Q15" s="89" t="s">
        <v>136</v>
      </c>
      <c r="R15" s="93">
        <v>492</v>
      </c>
      <c r="S15" s="92" t="s">
        <v>516</v>
      </c>
      <c r="T15" s="89" t="s">
        <v>136</v>
      </c>
      <c r="U15" s="93">
        <v>552</v>
      </c>
      <c r="V15" s="92" t="s">
        <v>577</v>
      </c>
      <c r="W15" s="89" t="s">
        <v>136</v>
      </c>
      <c r="X15" s="93">
        <v>612</v>
      </c>
      <c r="Y15" s="92" t="s">
        <v>638</v>
      </c>
      <c r="Z15" s="89" t="s">
        <v>136</v>
      </c>
      <c r="AA15" s="93">
        <v>672</v>
      </c>
      <c r="AB15" s="92" t="s">
        <v>701</v>
      </c>
      <c r="AC15" s="89" t="s">
        <v>136</v>
      </c>
      <c r="AD15" s="93">
        <v>732</v>
      </c>
      <c r="AE15" s="92" t="s">
        <v>761</v>
      </c>
      <c r="AF15" s="89" t="s">
        <v>136</v>
      </c>
      <c r="AG15" s="93">
        <v>792</v>
      </c>
      <c r="AH15" s="92" t="s">
        <v>821</v>
      </c>
      <c r="AI15" s="89" t="s">
        <v>136</v>
      </c>
      <c r="AJ15" s="93">
        <v>852</v>
      </c>
      <c r="AK15" s="92" t="s">
        <v>884</v>
      </c>
      <c r="AL15" s="89" t="s">
        <v>136</v>
      </c>
      <c r="AM15" s="93">
        <v>912</v>
      </c>
      <c r="AN15" s="92" t="s">
        <v>944</v>
      </c>
      <c r="AO15" s="89" t="s">
        <v>136</v>
      </c>
      <c r="AP15" s="93">
        <v>972</v>
      </c>
      <c r="AQ15" s="92" t="s">
        <v>1004</v>
      </c>
      <c r="AR15" s="89" t="s">
        <v>136</v>
      </c>
      <c r="AS15" s="93">
        <v>1032</v>
      </c>
    </row>
    <row r="16" spans="1:45" x14ac:dyDescent="0.15">
      <c r="A16" s="92" t="s">
        <v>156</v>
      </c>
      <c r="B16" s="89" t="s">
        <v>136</v>
      </c>
      <c r="C16" s="88">
        <v>193</v>
      </c>
      <c r="D16" s="92" t="s">
        <v>217</v>
      </c>
      <c r="E16" s="89" t="s">
        <v>136</v>
      </c>
      <c r="F16" s="93">
        <v>253</v>
      </c>
      <c r="G16" s="92" t="s">
        <v>277</v>
      </c>
      <c r="H16" s="89" t="s">
        <v>136</v>
      </c>
      <c r="I16" s="93">
        <v>313</v>
      </c>
      <c r="J16" s="92" t="s">
        <v>337</v>
      </c>
      <c r="K16" s="89" t="s">
        <v>136</v>
      </c>
      <c r="L16" s="93">
        <v>373</v>
      </c>
      <c r="M16" s="92" t="s">
        <v>397</v>
      </c>
      <c r="N16" s="89" t="s">
        <v>136</v>
      </c>
      <c r="O16" s="93">
        <v>433</v>
      </c>
      <c r="P16" s="92" t="s">
        <v>457</v>
      </c>
      <c r="Q16" s="89" t="s">
        <v>136</v>
      </c>
      <c r="R16" s="93">
        <v>493</v>
      </c>
      <c r="S16" s="92" t="s">
        <v>517</v>
      </c>
      <c r="T16" s="89" t="s">
        <v>136</v>
      </c>
      <c r="U16" s="93">
        <v>553</v>
      </c>
      <c r="V16" s="92" t="s">
        <v>578</v>
      </c>
      <c r="W16" s="89" t="s">
        <v>136</v>
      </c>
      <c r="X16" s="93">
        <v>613</v>
      </c>
      <c r="Y16" s="92" t="s">
        <v>639</v>
      </c>
      <c r="Z16" s="89" t="s">
        <v>136</v>
      </c>
      <c r="AA16" s="93">
        <v>673</v>
      </c>
      <c r="AB16" s="92" t="s">
        <v>702</v>
      </c>
      <c r="AC16" s="89" t="s">
        <v>136</v>
      </c>
      <c r="AD16" s="93">
        <v>733</v>
      </c>
      <c r="AE16" s="92" t="s">
        <v>762</v>
      </c>
      <c r="AF16" s="89" t="s">
        <v>136</v>
      </c>
      <c r="AG16" s="93">
        <v>793</v>
      </c>
      <c r="AH16" s="92" t="s">
        <v>822</v>
      </c>
      <c r="AI16" s="89" t="s">
        <v>136</v>
      </c>
      <c r="AJ16" s="93">
        <v>853</v>
      </c>
      <c r="AK16" s="92" t="s">
        <v>885</v>
      </c>
      <c r="AL16" s="89" t="s">
        <v>136</v>
      </c>
      <c r="AM16" s="93">
        <v>913</v>
      </c>
      <c r="AN16" s="92" t="s">
        <v>945</v>
      </c>
      <c r="AO16" s="89" t="s">
        <v>136</v>
      </c>
      <c r="AP16" s="93">
        <v>973</v>
      </c>
      <c r="AQ16" s="92" t="s">
        <v>1005</v>
      </c>
      <c r="AR16" s="89" t="s">
        <v>136</v>
      </c>
      <c r="AS16" s="93">
        <v>1033</v>
      </c>
    </row>
    <row r="17" spans="1:45" x14ac:dyDescent="0.15">
      <c r="A17" s="92" t="s">
        <v>157</v>
      </c>
      <c r="B17" s="89" t="s">
        <v>136</v>
      </c>
      <c r="C17" s="88">
        <v>194</v>
      </c>
      <c r="D17" s="92" t="s">
        <v>218</v>
      </c>
      <c r="E17" s="89" t="s">
        <v>136</v>
      </c>
      <c r="F17" s="93">
        <v>254</v>
      </c>
      <c r="G17" s="92" t="s">
        <v>278</v>
      </c>
      <c r="H17" s="89" t="s">
        <v>136</v>
      </c>
      <c r="I17" s="93">
        <v>314</v>
      </c>
      <c r="J17" s="92" t="s">
        <v>338</v>
      </c>
      <c r="K17" s="89" t="s">
        <v>136</v>
      </c>
      <c r="L17" s="93">
        <v>374</v>
      </c>
      <c r="M17" s="92" t="s">
        <v>398</v>
      </c>
      <c r="N17" s="89" t="s">
        <v>136</v>
      </c>
      <c r="O17" s="93">
        <v>434</v>
      </c>
      <c r="P17" s="92" t="s">
        <v>458</v>
      </c>
      <c r="Q17" s="89" t="s">
        <v>136</v>
      </c>
      <c r="R17" s="93">
        <v>494</v>
      </c>
      <c r="S17" s="92" t="s">
        <v>518</v>
      </c>
      <c r="T17" s="89" t="s">
        <v>136</v>
      </c>
      <c r="U17" s="93">
        <v>554</v>
      </c>
      <c r="V17" s="92" t="s">
        <v>579</v>
      </c>
      <c r="W17" s="89" t="s">
        <v>136</v>
      </c>
      <c r="X17" s="93">
        <v>614</v>
      </c>
      <c r="Y17" s="92" t="s">
        <v>640</v>
      </c>
      <c r="Z17" s="89" t="s">
        <v>136</v>
      </c>
      <c r="AA17" s="93">
        <v>674</v>
      </c>
      <c r="AB17" s="92" t="s">
        <v>703</v>
      </c>
      <c r="AC17" s="89" t="s">
        <v>136</v>
      </c>
      <c r="AD17" s="93">
        <v>734</v>
      </c>
      <c r="AE17" s="92" t="s">
        <v>763</v>
      </c>
      <c r="AF17" s="89" t="s">
        <v>136</v>
      </c>
      <c r="AG17" s="93">
        <v>794</v>
      </c>
      <c r="AH17" s="92" t="s">
        <v>823</v>
      </c>
      <c r="AI17" s="89" t="s">
        <v>136</v>
      </c>
      <c r="AJ17" s="93">
        <v>854</v>
      </c>
      <c r="AK17" s="92" t="s">
        <v>886</v>
      </c>
      <c r="AL17" s="89" t="s">
        <v>136</v>
      </c>
      <c r="AM17" s="93">
        <v>914</v>
      </c>
      <c r="AN17" s="92" t="s">
        <v>946</v>
      </c>
      <c r="AO17" s="89" t="s">
        <v>136</v>
      </c>
      <c r="AP17" s="93">
        <v>974</v>
      </c>
      <c r="AQ17" s="92" t="s">
        <v>1006</v>
      </c>
      <c r="AR17" s="89" t="s">
        <v>136</v>
      </c>
      <c r="AS17" s="93">
        <v>1034</v>
      </c>
    </row>
    <row r="18" spans="1:45" x14ac:dyDescent="0.15">
      <c r="A18" s="92" t="s">
        <v>158</v>
      </c>
      <c r="B18" s="89" t="s">
        <v>136</v>
      </c>
      <c r="C18" s="88">
        <v>195</v>
      </c>
      <c r="D18" s="92" t="s">
        <v>219</v>
      </c>
      <c r="E18" s="89" t="s">
        <v>136</v>
      </c>
      <c r="F18" s="93">
        <v>255</v>
      </c>
      <c r="G18" s="92" t="s">
        <v>279</v>
      </c>
      <c r="H18" s="89" t="s">
        <v>136</v>
      </c>
      <c r="I18" s="93">
        <v>315</v>
      </c>
      <c r="J18" s="92" t="s">
        <v>339</v>
      </c>
      <c r="K18" s="89" t="s">
        <v>136</v>
      </c>
      <c r="L18" s="93">
        <v>375</v>
      </c>
      <c r="M18" s="92" t="s">
        <v>399</v>
      </c>
      <c r="N18" s="89" t="s">
        <v>136</v>
      </c>
      <c r="O18" s="93">
        <v>435</v>
      </c>
      <c r="P18" s="92" t="s">
        <v>459</v>
      </c>
      <c r="Q18" s="89" t="s">
        <v>136</v>
      </c>
      <c r="R18" s="93">
        <v>495</v>
      </c>
      <c r="S18" s="92" t="s">
        <v>519</v>
      </c>
      <c r="T18" s="89" t="s">
        <v>136</v>
      </c>
      <c r="U18" s="93">
        <v>555</v>
      </c>
      <c r="V18" s="92" t="s">
        <v>580</v>
      </c>
      <c r="W18" s="89" t="s">
        <v>136</v>
      </c>
      <c r="X18" s="93">
        <v>615</v>
      </c>
      <c r="Y18" s="92" t="s">
        <v>641</v>
      </c>
      <c r="Z18" s="89" t="s">
        <v>136</v>
      </c>
      <c r="AA18" s="93">
        <v>675</v>
      </c>
      <c r="AB18" s="92" t="s">
        <v>704</v>
      </c>
      <c r="AC18" s="89" t="s">
        <v>136</v>
      </c>
      <c r="AD18" s="93">
        <v>735</v>
      </c>
      <c r="AE18" s="92" t="s">
        <v>764</v>
      </c>
      <c r="AF18" s="89" t="s">
        <v>136</v>
      </c>
      <c r="AG18" s="93">
        <v>795</v>
      </c>
      <c r="AH18" s="92" t="s">
        <v>824</v>
      </c>
      <c r="AI18" s="89" t="s">
        <v>136</v>
      </c>
      <c r="AJ18" s="93">
        <v>855</v>
      </c>
      <c r="AK18" s="92" t="s">
        <v>887</v>
      </c>
      <c r="AL18" s="89" t="s">
        <v>136</v>
      </c>
      <c r="AM18" s="93">
        <v>915</v>
      </c>
      <c r="AN18" s="92" t="s">
        <v>947</v>
      </c>
      <c r="AO18" s="89" t="s">
        <v>136</v>
      </c>
      <c r="AP18" s="93">
        <v>975</v>
      </c>
      <c r="AQ18" s="92" t="s">
        <v>1007</v>
      </c>
      <c r="AR18" s="89" t="s">
        <v>136</v>
      </c>
      <c r="AS18" s="93">
        <v>1035</v>
      </c>
    </row>
    <row r="19" spans="1:45" x14ac:dyDescent="0.15">
      <c r="A19" s="92" t="s">
        <v>159</v>
      </c>
      <c r="B19" s="89" t="s">
        <v>136</v>
      </c>
      <c r="C19" s="88">
        <v>196</v>
      </c>
      <c r="D19" s="92" t="s">
        <v>220</v>
      </c>
      <c r="E19" s="89" t="s">
        <v>136</v>
      </c>
      <c r="F19" s="93">
        <v>256</v>
      </c>
      <c r="G19" s="92" t="s">
        <v>280</v>
      </c>
      <c r="H19" s="89" t="s">
        <v>136</v>
      </c>
      <c r="I19" s="93">
        <v>316</v>
      </c>
      <c r="J19" s="92" t="s">
        <v>340</v>
      </c>
      <c r="K19" s="89" t="s">
        <v>136</v>
      </c>
      <c r="L19" s="93">
        <v>376</v>
      </c>
      <c r="M19" s="92" t="s">
        <v>400</v>
      </c>
      <c r="N19" s="89" t="s">
        <v>136</v>
      </c>
      <c r="O19" s="93">
        <v>436</v>
      </c>
      <c r="P19" s="92" t="s">
        <v>460</v>
      </c>
      <c r="Q19" s="89" t="s">
        <v>136</v>
      </c>
      <c r="R19" s="93">
        <v>496</v>
      </c>
      <c r="S19" s="92" t="s">
        <v>520</v>
      </c>
      <c r="T19" s="89" t="s">
        <v>136</v>
      </c>
      <c r="U19" s="93">
        <v>556</v>
      </c>
      <c r="V19" s="92" t="s">
        <v>581</v>
      </c>
      <c r="W19" s="89" t="s">
        <v>136</v>
      </c>
      <c r="X19" s="93">
        <v>616</v>
      </c>
      <c r="Y19" s="92" t="s">
        <v>642</v>
      </c>
      <c r="Z19" s="89" t="s">
        <v>136</v>
      </c>
      <c r="AA19" s="93">
        <v>676</v>
      </c>
      <c r="AB19" s="92" t="s">
        <v>705</v>
      </c>
      <c r="AC19" s="89" t="s">
        <v>136</v>
      </c>
      <c r="AD19" s="93">
        <v>736</v>
      </c>
      <c r="AE19" s="92" t="s">
        <v>765</v>
      </c>
      <c r="AF19" s="89" t="s">
        <v>136</v>
      </c>
      <c r="AG19" s="93">
        <v>796</v>
      </c>
      <c r="AH19" s="92" t="s">
        <v>825</v>
      </c>
      <c r="AI19" s="89" t="s">
        <v>136</v>
      </c>
      <c r="AJ19" s="93">
        <v>856</v>
      </c>
      <c r="AK19" s="92" t="s">
        <v>888</v>
      </c>
      <c r="AL19" s="89" t="s">
        <v>136</v>
      </c>
      <c r="AM19" s="93">
        <v>916</v>
      </c>
      <c r="AN19" s="92" t="s">
        <v>948</v>
      </c>
      <c r="AO19" s="89" t="s">
        <v>136</v>
      </c>
      <c r="AP19" s="93">
        <v>976</v>
      </c>
      <c r="AQ19" s="92" t="s">
        <v>1008</v>
      </c>
      <c r="AR19" s="89" t="s">
        <v>136</v>
      </c>
      <c r="AS19" s="93">
        <v>1036</v>
      </c>
    </row>
    <row r="20" spans="1:45" x14ac:dyDescent="0.15">
      <c r="A20" s="92" t="s">
        <v>160</v>
      </c>
      <c r="B20" s="89" t="s">
        <v>136</v>
      </c>
      <c r="C20" s="88">
        <v>197</v>
      </c>
      <c r="D20" s="92" t="s">
        <v>221</v>
      </c>
      <c r="E20" s="89" t="s">
        <v>136</v>
      </c>
      <c r="F20" s="93">
        <v>257</v>
      </c>
      <c r="G20" s="92" t="s">
        <v>281</v>
      </c>
      <c r="H20" s="89" t="s">
        <v>136</v>
      </c>
      <c r="I20" s="93">
        <v>317</v>
      </c>
      <c r="J20" s="92" t="s">
        <v>341</v>
      </c>
      <c r="K20" s="89" t="s">
        <v>136</v>
      </c>
      <c r="L20" s="93">
        <v>377</v>
      </c>
      <c r="M20" s="92" t="s">
        <v>401</v>
      </c>
      <c r="N20" s="89" t="s">
        <v>136</v>
      </c>
      <c r="O20" s="93">
        <v>437</v>
      </c>
      <c r="P20" s="92" t="s">
        <v>461</v>
      </c>
      <c r="Q20" s="89" t="s">
        <v>136</v>
      </c>
      <c r="R20" s="93">
        <v>497</v>
      </c>
      <c r="S20" s="92" t="s">
        <v>521</v>
      </c>
      <c r="T20" s="89" t="s">
        <v>136</v>
      </c>
      <c r="U20" s="93">
        <v>557</v>
      </c>
      <c r="V20" s="92" t="s">
        <v>582</v>
      </c>
      <c r="W20" s="89" t="s">
        <v>136</v>
      </c>
      <c r="X20" s="93">
        <v>617</v>
      </c>
      <c r="Y20" s="92" t="s">
        <v>643</v>
      </c>
      <c r="Z20" s="89" t="s">
        <v>136</v>
      </c>
      <c r="AA20" s="93">
        <v>677</v>
      </c>
      <c r="AB20" s="92" t="s">
        <v>706</v>
      </c>
      <c r="AC20" s="89" t="s">
        <v>136</v>
      </c>
      <c r="AD20" s="93">
        <v>737</v>
      </c>
      <c r="AE20" s="92" t="s">
        <v>766</v>
      </c>
      <c r="AF20" s="89" t="s">
        <v>136</v>
      </c>
      <c r="AG20" s="93">
        <v>797</v>
      </c>
      <c r="AH20" s="92" t="s">
        <v>826</v>
      </c>
      <c r="AI20" s="89" t="s">
        <v>136</v>
      </c>
      <c r="AJ20" s="93">
        <v>857</v>
      </c>
      <c r="AK20" s="92" t="s">
        <v>889</v>
      </c>
      <c r="AL20" s="89" t="s">
        <v>136</v>
      </c>
      <c r="AM20" s="93">
        <v>917</v>
      </c>
      <c r="AN20" s="92" t="s">
        <v>949</v>
      </c>
      <c r="AO20" s="89" t="s">
        <v>136</v>
      </c>
      <c r="AP20" s="93">
        <v>977</v>
      </c>
      <c r="AQ20" s="92" t="s">
        <v>1009</v>
      </c>
      <c r="AR20" s="89" t="s">
        <v>136</v>
      </c>
      <c r="AS20" s="93">
        <v>1037</v>
      </c>
    </row>
    <row r="21" spans="1:45" x14ac:dyDescent="0.15">
      <c r="A21" s="92" t="s">
        <v>161</v>
      </c>
      <c r="B21" s="89" t="s">
        <v>136</v>
      </c>
      <c r="C21" s="88">
        <v>198</v>
      </c>
      <c r="D21" s="92" t="s">
        <v>222</v>
      </c>
      <c r="E21" s="89" t="s">
        <v>136</v>
      </c>
      <c r="F21" s="93">
        <v>258</v>
      </c>
      <c r="G21" s="92" t="s">
        <v>282</v>
      </c>
      <c r="H21" s="89" t="s">
        <v>136</v>
      </c>
      <c r="I21" s="93">
        <v>318</v>
      </c>
      <c r="J21" s="92" t="s">
        <v>342</v>
      </c>
      <c r="K21" s="89" t="s">
        <v>136</v>
      </c>
      <c r="L21" s="93">
        <v>378</v>
      </c>
      <c r="M21" s="92" t="s">
        <v>402</v>
      </c>
      <c r="N21" s="89" t="s">
        <v>136</v>
      </c>
      <c r="O21" s="93">
        <v>438</v>
      </c>
      <c r="P21" s="92" t="s">
        <v>462</v>
      </c>
      <c r="Q21" s="89" t="s">
        <v>136</v>
      </c>
      <c r="R21" s="93">
        <v>498</v>
      </c>
      <c r="S21" s="92" t="s">
        <v>522</v>
      </c>
      <c r="T21" s="89" t="s">
        <v>136</v>
      </c>
      <c r="U21" s="93">
        <v>558</v>
      </c>
      <c r="V21" s="92" t="s">
        <v>583</v>
      </c>
      <c r="W21" s="89" t="s">
        <v>136</v>
      </c>
      <c r="X21" s="93">
        <v>618</v>
      </c>
      <c r="Y21" s="92" t="s">
        <v>644</v>
      </c>
      <c r="Z21" s="89" t="s">
        <v>136</v>
      </c>
      <c r="AA21" s="93">
        <v>678</v>
      </c>
      <c r="AB21" s="92" t="s">
        <v>707</v>
      </c>
      <c r="AC21" s="89" t="s">
        <v>136</v>
      </c>
      <c r="AD21" s="93">
        <v>738</v>
      </c>
      <c r="AE21" s="92" t="s">
        <v>767</v>
      </c>
      <c r="AF21" s="89" t="s">
        <v>136</v>
      </c>
      <c r="AG21" s="93">
        <v>798</v>
      </c>
      <c r="AH21" s="92" t="s">
        <v>827</v>
      </c>
      <c r="AI21" s="89" t="s">
        <v>136</v>
      </c>
      <c r="AJ21" s="93">
        <v>858</v>
      </c>
      <c r="AK21" s="92" t="s">
        <v>890</v>
      </c>
      <c r="AL21" s="89" t="s">
        <v>136</v>
      </c>
      <c r="AM21" s="93">
        <v>918</v>
      </c>
      <c r="AN21" s="92" t="s">
        <v>950</v>
      </c>
      <c r="AO21" s="89" t="s">
        <v>136</v>
      </c>
      <c r="AP21" s="93">
        <v>978</v>
      </c>
      <c r="AQ21" s="92" t="s">
        <v>1010</v>
      </c>
      <c r="AR21" s="89" t="s">
        <v>136</v>
      </c>
      <c r="AS21" s="93">
        <v>1038</v>
      </c>
    </row>
    <row r="22" spans="1:45" ht="14.25" thickBot="1" x14ac:dyDescent="0.2">
      <c r="A22" s="105" t="s">
        <v>162</v>
      </c>
      <c r="B22" s="106" t="s">
        <v>136</v>
      </c>
      <c r="C22" s="107">
        <v>199</v>
      </c>
      <c r="D22" s="105" t="s">
        <v>223</v>
      </c>
      <c r="E22" s="106" t="s">
        <v>136</v>
      </c>
      <c r="F22" s="108">
        <v>259</v>
      </c>
      <c r="G22" s="105" t="s">
        <v>283</v>
      </c>
      <c r="H22" s="106" t="s">
        <v>136</v>
      </c>
      <c r="I22" s="108">
        <v>319</v>
      </c>
      <c r="J22" s="105" t="s">
        <v>343</v>
      </c>
      <c r="K22" s="106" t="s">
        <v>136</v>
      </c>
      <c r="L22" s="108">
        <v>379</v>
      </c>
      <c r="M22" s="105" t="s">
        <v>403</v>
      </c>
      <c r="N22" s="106" t="s">
        <v>136</v>
      </c>
      <c r="O22" s="108">
        <v>439</v>
      </c>
      <c r="P22" s="105" t="s">
        <v>463</v>
      </c>
      <c r="Q22" s="106" t="s">
        <v>136</v>
      </c>
      <c r="R22" s="108">
        <v>499</v>
      </c>
      <c r="S22" s="105" t="s">
        <v>523</v>
      </c>
      <c r="T22" s="106" t="s">
        <v>136</v>
      </c>
      <c r="U22" s="108">
        <v>559</v>
      </c>
      <c r="V22" s="105" t="s">
        <v>584</v>
      </c>
      <c r="W22" s="106" t="s">
        <v>136</v>
      </c>
      <c r="X22" s="108">
        <v>619</v>
      </c>
      <c r="Y22" s="105" t="s">
        <v>645</v>
      </c>
      <c r="Z22" s="106" t="s">
        <v>136</v>
      </c>
      <c r="AA22" s="108">
        <v>679</v>
      </c>
      <c r="AB22" s="105" t="s">
        <v>708</v>
      </c>
      <c r="AC22" s="106" t="s">
        <v>136</v>
      </c>
      <c r="AD22" s="108">
        <v>739</v>
      </c>
      <c r="AE22" s="105" t="s">
        <v>768</v>
      </c>
      <c r="AF22" s="106" t="s">
        <v>136</v>
      </c>
      <c r="AG22" s="108">
        <v>799</v>
      </c>
      <c r="AH22" s="105" t="s">
        <v>828</v>
      </c>
      <c r="AI22" s="106" t="s">
        <v>136</v>
      </c>
      <c r="AJ22" s="108">
        <v>859</v>
      </c>
      <c r="AK22" s="105" t="s">
        <v>891</v>
      </c>
      <c r="AL22" s="106" t="s">
        <v>136</v>
      </c>
      <c r="AM22" s="108">
        <v>919</v>
      </c>
      <c r="AN22" s="105" t="s">
        <v>951</v>
      </c>
      <c r="AO22" s="106" t="s">
        <v>136</v>
      </c>
      <c r="AP22" s="108">
        <v>979</v>
      </c>
      <c r="AQ22" s="105" t="s">
        <v>1011</v>
      </c>
      <c r="AR22" s="106" t="s">
        <v>136</v>
      </c>
      <c r="AS22" s="108">
        <v>1039</v>
      </c>
    </row>
    <row r="23" spans="1:45" x14ac:dyDescent="0.15">
      <c r="A23" s="109" t="s">
        <v>163</v>
      </c>
      <c r="B23" s="110" t="s">
        <v>136</v>
      </c>
      <c r="C23" s="111">
        <v>200</v>
      </c>
      <c r="D23" s="109" t="s">
        <v>224</v>
      </c>
      <c r="E23" s="110" t="s">
        <v>136</v>
      </c>
      <c r="F23" s="112">
        <v>260</v>
      </c>
      <c r="G23" s="109" t="s">
        <v>284</v>
      </c>
      <c r="H23" s="110" t="s">
        <v>136</v>
      </c>
      <c r="I23" s="112">
        <v>320</v>
      </c>
      <c r="J23" s="109" t="s">
        <v>344</v>
      </c>
      <c r="K23" s="110" t="s">
        <v>136</v>
      </c>
      <c r="L23" s="112">
        <v>380</v>
      </c>
      <c r="M23" s="109" t="s">
        <v>404</v>
      </c>
      <c r="N23" s="110" t="s">
        <v>136</v>
      </c>
      <c r="O23" s="112">
        <v>440</v>
      </c>
      <c r="P23" s="109" t="s">
        <v>464</v>
      </c>
      <c r="Q23" s="110" t="s">
        <v>136</v>
      </c>
      <c r="R23" s="112">
        <v>500</v>
      </c>
      <c r="S23" s="109" t="s">
        <v>524</v>
      </c>
      <c r="T23" s="110" t="s">
        <v>136</v>
      </c>
      <c r="U23" s="112">
        <v>560</v>
      </c>
      <c r="V23" s="109" t="s">
        <v>585</v>
      </c>
      <c r="W23" s="110" t="s">
        <v>136</v>
      </c>
      <c r="X23" s="112">
        <v>620</v>
      </c>
      <c r="Y23" s="109" t="s">
        <v>646</v>
      </c>
      <c r="Z23" s="110" t="s">
        <v>136</v>
      </c>
      <c r="AA23" s="112">
        <v>680</v>
      </c>
      <c r="AB23" s="109" t="s">
        <v>709</v>
      </c>
      <c r="AC23" s="110" t="s">
        <v>136</v>
      </c>
      <c r="AD23" s="112">
        <v>740</v>
      </c>
      <c r="AE23" s="109" t="s">
        <v>769</v>
      </c>
      <c r="AF23" s="110" t="s">
        <v>136</v>
      </c>
      <c r="AG23" s="112">
        <v>800</v>
      </c>
      <c r="AH23" s="109" t="s">
        <v>829</v>
      </c>
      <c r="AI23" s="110" t="s">
        <v>136</v>
      </c>
      <c r="AJ23" s="112">
        <v>860</v>
      </c>
      <c r="AK23" s="109" t="s">
        <v>892</v>
      </c>
      <c r="AL23" s="110" t="s">
        <v>136</v>
      </c>
      <c r="AM23" s="112">
        <v>920</v>
      </c>
      <c r="AN23" s="109" t="s">
        <v>952</v>
      </c>
      <c r="AO23" s="110" t="s">
        <v>136</v>
      </c>
      <c r="AP23" s="112">
        <v>980</v>
      </c>
      <c r="AQ23" s="109" t="s">
        <v>1012</v>
      </c>
      <c r="AR23" s="110" t="s">
        <v>136</v>
      </c>
      <c r="AS23" s="112">
        <v>1040</v>
      </c>
    </row>
    <row r="24" spans="1:45" x14ac:dyDescent="0.15">
      <c r="A24" s="92" t="s">
        <v>164</v>
      </c>
      <c r="B24" s="89" t="s">
        <v>136</v>
      </c>
      <c r="C24" s="88">
        <v>201</v>
      </c>
      <c r="D24" s="92" t="s">
        <v>225</v>
      </c>
      <c r="E24" s="89" t="s">
        <v>136</v>
      </c>
      <c r="F24" s="93">
        <v>261</v>
      </c>
      <c r="G24" s="92" t="s">
        <v>285</v>
      </c>
      <c r="H24" s="89" t="s">
        <v>136</v>
      </c>
      <c r="I24" s="93">
        <v>321</v>
      </c>
      <c r="J24" s="92" t="s">
        <v>345</v>
      </c>
      <c r="K24" s="89" t="s">
        <v>136</v>
      </c>
      <c r="L24" s="93">
        <v>381</v>
      </c>
      <c r="M24" s="92" t="s">
        <v>405</v>
      </c>
      <c r="N24" s="89" t="s">
        <v>136</v>
      </c>
      <c r="O24" s="93">
        <v>441</v>
      </c>
      <c r="P24" s="92" t="s">
        <v>465</v>
      </c>
      <c r="Q24" s="89" t="s">
        <v>136</v>
      </c>
      <c r="R24" s="93">
        <v>501</v>
      </c>
      <c r="S24" s="92" t="s">
        <v>525</v>
      </c>
      <c r="T24" s="89" t="s">
        <v>136</v>
      </c>
      <c r="U24" s="93">
        <v>561</v>
      </c>
      <c r="V24" s="92" t="s">
        <v>586</v>
      </c>
      <c r="W24" s="89" t="s">
        <v>136</v>
      </c>
      <c r="X24" s="93">
        <v>621</v>
      </c>
      <c r="Y24" s="92" t="s">
        <v>647</v>
      </c>
      <c r="Z24" s="89" t="s">
        <v>136</v>
      </c>
      <c r="AA24" s="93">
        <v>681</v>
      </c>
      <c r="AB24" s="92" t="s">
        <v>710</v>
      </c>
      <c r="AC24" s="89" t="s">
        <v>136</v>
      </c>
      <c r="AD24" s="93">
        <v>741</v>
      </c>
      <c r="AE24" s="92" t="s">
        <v>770</v>
      </c>
      <c r="AF24" s="89" t="s">
        <v>136</v>
      </c>
      <c r="AG24" s="93">
        <v>801</v>
      </c>
      <c r="AH24" s="92" t="s">
        <v>830</v>
      </c>
      <c r="AI24" s="89" t="s">
        <v>136</v>
      </c>
      <c r="AJ24" s="93">
        <v>861</v>
      </c>
      <c r="AK24" s="92" t="s">
        <v>893</v>
      </c>
      <c r="AL24" s="89" t="s">
        <v>136</v>
      </c>
      <c r="AM24" s="93">
        <v>921</v>
      </c>
      <c r="AN24" s="92" t="s">
        <v>953</v>
      </c>
      <c r="AO24" s="89" t="s">
        <v>136</v>
      </c>
      <c r="AP24" s="93">
        <v>981</v>
      </c>
      <c r="AQ24" s="92" t="s">
        <v>1013</v>
      </c>
      <c r="AR24" s="89" t="s">
        <v>136</v>
      </c>
      <c r="AS24" s="93">
        <v>1041</v>
      </c>
    </row>
    <row r="25" spans="1:45" x14ac:dyDescent="0.15">
      <c r="A25" s="92" t="s">
        <v>165</v>
      </c>
      <c r="B25" s="89" t="s">
        <v>136</v>
      </c>
      <c r="C25" s="88">
        <v>202</v>
      </c>
      <c r="D25" s="92" t="s">
        <v>226</v>
      </c>
      <c r="E25" s="89" t="s">
        <v>136</v>
      </c>
      <c r="F25" s="93">
        <v>262</v>
      </c>
      <c r="G25" s="92" t="s">
        <v>286</v>
      </c>
      <c r="H25" s="89" t="s">
        <v>136</v>
      </c>
      <c r="I25" s="93">
        <v>322</v>
      </c>
      <c r="J25" s="92" t="s">
        <v>346</v>
      </c>
      <c r="K25" s="89" t="s">
        <v>136</v>
      </c>
      <c r="L25" s="93">
        <v>382</v>
      </c>
      <c r="M25" s="92" t="s">
        <v>406</v>
      </c>
      <c r="N25" s="89" t="s">
        <v>136</v>
      </c>
      <c r="O25" s="93">
        <v>442</v>
      </c>
      <c r="P25" s="92" t="s">
        <v>466</v>
      </c>
      <c r="Q25" s="89" t="s">
        <v>136</v>
      </c>
      <c r="R25" s="93">
        <v>502</v>
      </c>
      <c r="S25" s="92" t="s">
        <v>526</v>
      </c>
      <c r="T25" s="89" t="s">
        <v>136</v>
      </c>
      <c r="U25" s="93">
        <v>562</v>
      </c>
      <c r="V25" s="92" t="s">
        <v>587</v>
      </c>
      <c r="W25" s="89" t="s">
        <v>136</v>
      </c>
      <c r="X25" s="93">
        <v>622</v>
      </c>
      <c r="Y25" s="92" t="s">
        <v>648</v>
      </c>
      <c r="Z25" s="89" t="s">
        <v>136</v>
      </c>
      <c r="AA25" s="93">
        <v>682</v>
      </c>
      <c r="AB25" s="92" t="s">
        <v>711</v>
      </c>
      <c r="AC25" s="89" t="s">
        <v>136</v>
      </c>
      <c r="AD25" s="93">
        <v>742</v>
      </c>
      <c r="AE25" s="92" t="s">
        <v>771</v>
      </c>
      <c r="AF25" s="89" t="s">
        <v>136</v>
      </c>
      <c r="AG25" s="93">
        <v>802</v>
      </c>
      <c r="AH25" s="92" t="s">
        <v>831</v>
      </c>
      <c r="AI25" s="89" t="s">
        <v>136</v>
      </c>
      <c r="AJ25" s="93">
        <v>862</v>
      </c>
      <c r="AK25" s="92" t="s">
        <v>894</v>
      </c>
      <c r="AL25" s="89" t="s">
        <v>136</v>
      </c>
      <c r="AM25" s="93">
        <v>922</v>
      </c>
      <c r="AN25" s="92" t="s">
        <v>954</v>
      </c>
      <c r="AO25" s="89" t="s">
        <v>136</v>
      </c>
      <c r="AP25" s="93">
        <v>982</v>
      </c>
      <c r="AQ25" s="92" t="s">
        <v>1014</v>
      </c>
      <c r="AR25" s="89" t="s">
        <v>136</v>
      </c>
      <c r="AS25" s="93">
        <v>1042</v>
      </c>
    </row>
    <row r="26" spans="1:45" x14ac:dyDescent="0.15">
      <c r="A26" s="92" t="s">
        <v>166</v>
      </c>
      <c r="B26" s="89" t="s">
        <v>136</v>
      </c>
      <c r="C26" s="88">
        <v>203</v>
      </c>
      <c r="D26" s="92" t="s">
        <v>227</v>
      </c>
      <c r="E26" s="89" t="s">
        <v>136</v>
      </c>
      <c r="F26" s="93">
        <v>263</v>
      </c>
      <c r="G26" s="92" t="s">
        <v>287</v>
      </c>
      <c r="H26" s="89" t="s">
        <v>136</v>
      </c>
      <c r="I26" s="93">
        <v>323</v>
      </c>
      <c r="J26" s="92" t="s">
        <v>347</v>
      </c>
      <c r="K26" s="89" t="s">
        <v>136</v>
      </c>
      <c r="L26" s="93">
        <v>383</v>
      </c>
      <c r="M26" s="92" t="s">
        <v>407</v>
      </c>
      <c r="N26" s="89" t="s">
        <v>136</v>
      </c>
      <c r="O26" s="93">
        <v>443</v>
      </c>
      <c r="P26" s="92" t="s">
        <v>467</v>
      </c>
      <c r="Q26" s="89" t="s">
        <v>136</v>
      </c>
      <c r="R26" s="93">
        <v>503</v>
      </c>
      <c r="S26" s="92" t="s">
        <v>527</v>
      </c>
      <c r="T26" s="89" t="s">
        <v>136</v>
      </c>
      <c r="U26" s="93">
        <v>563</v>
      </c>
      <c r="V26" s="92" t="s">
        <v>588</v>
      </c>
      <c r="W26" s="89" t="s">
        <v>136</v>
      </c>
      <c r="X26" s="93">
        <v>623</v>
      </c>
      <c r="Y26" s="92" t="s">
        <v>649</v>
      </c>
      <c r="Z26" s="89" t="s">
        <v>136</v>
      </c>
      <c r="AA26" s="93">
        <v>683</v>
      </c>
      <c r="AB26" s="92" t="s">
        <v>712</v>
      </c>
      <c r="AC26" s="89" t="s">
        <v>136</v>
      </c>
      <c r="AD26" s="93">
        <v>743</v>
      </c>
      <c r="AE26" s="92" t="s">
        <v>772</v>
      </c>
      <c r="AF26" s="89" t="s">
        <v>136</v>
      </c>
      <c r="AG26" s="93">
        <v>803</v>
      </c>
      <c r="AH26" s="92" t="s">
        <v>832</v>
      </c>
      <c r="AI26" s="89" t="s">
        <v>136</v>
      </c>
      <c r="AJ26" s="93">
        <v>863</v>
      </c>
      <c r="AK26" s="92" t="s">
        <v>895</v>
      </c>
      <c r="AL26" s="89" t="s">
        <v>136</v>
      </c>
      <c r="AM26" s="93">
        <v>923</v>
      </c>
      <c r="AN26" s="92" t="s">
        <v>955</v>
      </c>
      <c r="AO26" s="89" t="s">
        <v>136</v>
      </c>
      <c r="AP26" s="93">
        <v>983</v>
      </c>
      <c r="AQ26" s="92" t="s">
        <v>1015</v>
      </c>
      <c r="AR26" s="89" t="s">
        <v>136</v>
      </c>
      <c r="AS26" s="93">
        <v>1043</v>
      </c>
    </row>
    <row r="27" spans="1:45" x14ac:dyDescent="0.15">
      <c r="A27" s="92" t="s">
        <v>167</v>
      </c>
      <c r="B27" s="89" t="s">
        <v>136</v>
      </c>
      <c r="C27" s="88">
        <v>204</v>
      </c>
      <c r="D27" s="92" t="s">
        <v>228</v>
      </c>
      <c r="E27" s="89" t="s">
        <v>136</v>
      </c>
      <c r="F27" s="93">
        <v>264</v>
      </c>
      <c r="G27" s="92" t="s">
        <v>288</v>
      </c>
      <c r="H27" s="89" t="s">
        <v>136</v>
      </c>
      <c r="I27" s="93">
        <v>324</v>
      </c>
      <c r="J27" s="92" t="s">
        <v>348</v>
      </c>
      <c r="K27" s="89" t="s">
        <v>136</v>
      </c>
      <c r="L27" s="93">
        <v>384</v>
      </c>
      <c r="M27" s="92" t="s">
        <v>408</v>
      </c>
      <c r="N27" s="89" t="s">
        <v>136</v>
      </c>
      <c r="O27" s="93">
        <v>444</v>
      </c>
      <c r="P27" s="92" t="s">
        <v>468</v>
      </c>
      <c r="Q27" s="89" t="s">
        <v>136</v>
      </c>
      <c r="R27" s="93">
        <v>504</v>
      </c>
      <c r="S27" s="92" t="s">
        <v>528</v>
      </c>
      <c r="T27" s="89" t="s">
        <v>136</v>
      </c>
      <c r="U27" s="93">
        <v>564</v>
      </c>
      <c r="V27" s="92" t="s">
        <v>589</v>
      </c>
      <c r="W27" s="89" t="s">
        <v>136</v>
      </c>
      <c r="X27" s="93">
        <v>624</v>
      </c>
      <c r="Y27" s="92" t="s">
        <v>650</v>
      </c>
      <c r="Z27" s="89" t="s">
        <v>136</v>
      </c>
      <c r="AA27" s="93">
        <v>684</v>
      </c>
      <c r="AB27" s="92" t="s">
        <v>713</v>
      </c>
      <c r="AC27" s="89" t="s">
        <v>136</v>
      </c>
      <c r="AD27" s="93">
        <v>744</v>
      </c>
      <c r="AE27" s="92" t="s">
        <v>773</v>
      </c>
      <c r="AF27" s="89" t="s">
        <v>136</v>
      </c>
      <c r="AG27" s="93">
        <v>804</v>
      </c>
      <c r="AH27" s="92" t="s">
        <v>833</v>
      </c>
      <c r="AI27" s="89" t="s">
        <v>136</v>
      </c>
      <c r="AJ27" s="93">
        <v>864</v>
      </c>
      <c r="AK27" s="92" t="s">
        <v>896</v>
      </c>
      <c r="AL27" s="89" t="s">
        <v>136</v>
      </c>
      <c r="AM27" s="93">
        <v>924</v>
      </c>
      <c r="AN27" s="92" t="s">
        <v>956</v>
      </c>
      <c r="AO27" s="89" t="s">
        <v>136</v>
      </c>
      <c r="AP27" s="93">
        <v>984</v>
      </c>
      <c r="AQ27" s="92" t="s">
        <v>1016</v>
      </c>
      <c r="AR27" s="89" t="s">
        <v>136</v>
      </c>
      <c r="AS27" s="93">
        <v>1044</v>
      </c>
    </row>
    <row r="28" spans="1:45" x14ac:dyDescent="0.15">
      <c r="A28" s="92" t="s">
        <v>168</v>
      </c>
      <c r="B28" s="89" t="s">
        <v>136</v>
      </c>
      <c r="C28" s="88">
        <v>205</v>
      </c>
      <c r="D28" s="92" t="s">
        <v>229</v>
      </c>
      <c r="E28" s="89" t="s">
        <v>136</v>
      </c>
      <c r="F28" s="93">
        <v>265</v>
      </c>
      <c r="G28" s="92" t="s">
        <v>289</v>
      </c>
      <c r="H28" s="89" t="s">
        <v>136</v>
      </c>
      <c r="I28" s="93">
        <v>325</v>
      </c>
      <c r="J28" s="92" t="s">
        <v>349</v>
      </c>
      <c r="K28" s="89" t="s">
        <v>136</v>
      </c>
      <c r="L28" s="93">
        <v>385</v>
      </c>
      <c r="M28" s="92" t="s">
        <v>409</v>
      </c>
      <c r="N28" s="89" t="s">
        <v>136</v>
      </c>
      <c r="O28" s="93">
        <v>445</v>
      </c>
      <c r="P28" s="92" t="s">
        <v>469</v>
      </c>
      <c r="Q28" s="89" t="s">
        <v>136</v>
      </c>
      <c r="R28" s="93">
        <v>505</v>
      </c>
      <c r="S28" s="92" t="s">
        <v>529</v>
      </c>
      <c r="T28" s="89" t="s">
        <v>136</v>
      </c>
      <c r="U28" s="93">
        <v>565</v>
      </c>
      <c r="V28" s="92" t="s">
        <v>590</v>
      </c>
      <c r="W28" s="89" t="s">
        <v>136</v>
      </c>
      <c r="X28" s="93">
        <v>625</v>
      </c>
      <c r="Y28" s="92" t="s">
        <v>651</v>
      </c>
      <c r="Z28" s="89" t="s">
        <v>136</v>
      </c>
      <c r="AA28" s="93">
        <v>685</v>
      </c>
      <c r="AB28" s="92" t="s">
        <v>714</v>
      </c>
      <c r="AC28" s="89" t="s">
        <v>136</v>
      </c>
      <c r="AD28" s="93">
        <v>745</v>
      </c>
      <c r="AE28" s="92" t="s">
        <v>774</v>
      </c>
      <c r="AF28" s="89" t="s">
        <v>136</v>
      </c>
      <c r="AG28" s="93">
        <v>805</v>
      </c>
      <c r="AH28" s="92" t="s">
        <v>834</v>
      </c>
      <c r="AI28" s="89" t="s">
        <v>136</v>
      </c>
      <c r="AJ28" s="93">
        <v>865</v>
      </c>
      <c r="AK28" s="92" t="s">
        <v>897</v>
      </c>
      <c r="AL28" s="89" t="s">
        <v>136</v>
      </c>
      <c r="AM28" s="93">
        <v>925</v>
      </c>
      <c r="AN28" s="92" t="s">
        <v>957</v>
      </c>
      <c r="AO28" s="89" t="s">
        <v>136</v>
      </c>
      <c r="AP28" s="93">
        <v>985</v>
      </c>
      <c r="AQ28" s="92" t="s">
        <v>1017</v>
      </c>
      <c r="AR28" s="89" t="s">
        <v>136</v>
      </c>
      <c r="AS28" s="93">
        <v>1045</v>
      </c>
    </row>
    <row r="29" spans="1:45" x14ac:dyDescent="0.15">
      <c r="A29" s="92" t="s">
        <v>169</v>
      </c>
      <c r="B29" s="89" t="s">
        <v>136</v>
      </c>
      <c r="C29" s="88">
        <v>206</v>
      </c>
      <c r="D29" s="92" t="s">
        <v>230</v>
      </c>
      <c r="E29" s="89" t="s">
        <v>136</v>
      </c>
      <c r="F29" s="93">
        <v>266</v>
      </c>
      <c r="G29" s="92" t="s">
        <v>290</v>
      </c>
      <c r="H29" s="89" t="s">
        <v>136</v>
      </c>
      <c r="I29" s="93">
        <v>326</v>
      </c>
      <c r="J29" s="92" t="s">
        <v>350</v>
      </c>
      <c r="K29" s="89" t="s">
        <v>136</v>
      </c>
      <c r="L29" s="93">
        <v>386</v>
      </c>
      <c r="M29" s="92" t="s">
        <v>410</v>
      </c>
      <c r="N29" s="89" t="s">
        <v>136</v>
      </c>
      <c r="O29" s="93">
        <v>446</v>
      </c>
      <c r="P29" s="92" t="s">
        <v>470</v>
      </c>
      <c r="Q29" s="89" t="s">
        <v>136</v>
      </c>
      <c r="R29" s="93">
        <v>506</v>
      </c>
      <c r="S29" s="92" t="s">
        <v>530</v>
      </c>
      <c r="T29" s="89" t="s">
        <v>136</v>
      </c>
      <c r="U29" s="93">
        <v>566</v>
      </c>
      <c r="V29" s="92" t="s">
        <v>591</v>
      </c>
      <c r="W29" s="89" t="s">
        <v>136</v>
      </c>
      <c r="X29" s="93">
        <v>626</v>
      </c>
      <c r="Y29" s="92" t="s">
        <v>652</v>
      </c>
      <c r="Z29" s="89" t="s">
        <v>136</v>
      </c>
      <c r="AA29" s="93">
        <v>686</v>
      </c>
      <c r="AB29" s="92" t="s">
        <v>715</v>
      </c>
      <c r="AC29" s="89" t="s">
        <v>136</v>
      </c>
      <c r="AD29" s="93">
        <v>746</v>
      </c>
      <c r="AE29" s="92" t="s">
        <v>775</v>
      </c>
      <c r="AF29" s="89" t="s">
        <v>136</v>
      </c>
      <c r="AG29" s="93">
        <v>806</v>
      </c>
      <c r="AH29" s="92" t="s">
        <v>835</v>
      </c>
      <c r="AI29" s="89" t="s">
        <v>136</v>
      </c>
      <c r="AJ29" s="93">
        <v>866</v>
      </c>
      <c r="AK29" s="92" t="s">
        <v>898</v>
      </c>
      <c r="AL29" s="89" t="s">
        <v>136</v>
      </c>
      <c r="AM29" s="93">
        <v>926</v>
      </c>
      <c r="AN29" s="92" t="s">
        <v>958</v>
      </c>
      <c r="AO29" s="89" t="s">
        <v>136</v>
      </c>
      <c r="AP29" s="93">
        <v>986</v>
      </c>
      <c r="AQ29" s="92" t="s">
        <v>1018</v>
      </c>
      <c r="AR29" s="89" t="s">
        <v>136</v>
      </c>
      <c r="AS29" s="93">
        <v>1046</v>
      </c>
    </row>
    <row r="30" spans="1:45" x14ac:dyDescent="0.15">
      <c r="A30" s="92" t="s">
        <v>170</v>
      </c>
      <c r="B30" s="89" t="s">
        <v>136</v>
      </c>
      <c r="C30" s="88">
        <v>207</v>
      </c>
      <c r="D30" s="92" t="s">
        <v>231</v>
      </c>
      <c r="E30" s="89" t="s">
        <v>136</v>
      </c>
      <c r="F30" s="93">
        <v>267</v>
      </c>
      <c r="G30" s="92" t="s">
        <v>291</v>
      </c>
      <c r="H30" s="89" t="s">
        <v>136</v>
      </c>
      <c r="I30" s="93">
        <v>327</v>
      </c>
      <c r="J30" s="92" t="s">
        <v>351</v>
      </c>
      <c r="K30" s="89" t="s">
        <v>136</v>
      </c>
      <c r="L30" s="93">
        <v>387</v>
      </c>
      <c r="M30" s="92" t="s">
        <v>411</v>
      </c>
      <c r="N30" s="89" t="s">
        <v>136</v>
      </c>
      <c r="O30" s="93">
        <v>447</v>
      </c>
      <c r="P30" s="92" t="s">
        <v>471</v>
      </c>
      <c r="Q30" s="89" t="s">
        <v>136</v>
      </c>
      <c r="R30" s="93">
        <v>507</v>
      </c>
      <c r="S30" s="92" t="s">
        <v>531</v>
      </c>
      <c r="T30" s="89" t="s">
        <v>136</v>
      </c>
      <c r="U30" s="93">
        <v>567</v>
      </c>
      <c r="V30" s="92" t="s">
        <v>592</v>
      </c>
      <c r="W30" s="89" t="s">
        <v>136</v>
      </c>
      <c r="X30" s="93">
        <v>627</v>
      </c>
      <c r="Y30" s="92" t="s">
        <v>653</v>
      </c>
      <c r="Z30" s="89" t="s">
        <v>136</v>
      </c>
      <c r="AA30" s="93">
        <v>687</v>
      </c>
      <c r="AB30" s="92" t="s">
        <v>716</v>
      </c>
      <c r="AC30" s="89" t="s">
        <v>136</v>
      </c>
      <c r="AD30" s="93">
        <v>747</v>
      </c>
      <c r="AE30" s="92" t="s">
        <v>776</v>
      </c>
      <c r="AF30" s="89" t="s">
        <v>136</v>
      </c>
      <c r="AG30" s="93">
        <v>807</v>
      </c>
      <c r="AH30" s="92" t="s">
        <v>836</v>
      </c>
      <c r="AI30" s="89" t="s">
        <v>136</v>
      </c>
      <c r="AJ30" s="93">
        <v>867</v>
      </c>
      <c r="AK30" s="92" t="s">
        <v>899</v>
      </c>
      <c r="AL30" s="89" t="s">
        <v>136</v>
      </c>
      <c r="AM30" s="93">
        <v>927</v>
      </c>
      <c r="AN30" s="92" t="s">
        <v>959</v>
      </c>
      <c r="AO30" s="89" t="s">
        <v>136</v>
      </c>
      <c r="AP30" s="93">
        <v>987</v>
      </c>
      <c r="AQ30" s="92" t="s">
        <v>1019</v>
      </c>
      <c r="AR30" s="89" t="s">
        <v>136</v>
      </c>
      <c r="AS30" s="93">
        <v>1047</v>
      </c>
    </row>
    <row r="31" spans="1:45" x14ac:dyDescent="0.15">
      <c r="A31" s="92" t="s">
        <v>171</v>
      </c>
      <c r="B31" s="89" t="s">
        <v>136</v>
      </c>
      <c r="C31" s="88">
        <v>208</v>
      </c>
      <c r="D31" s="92" t="s">
        <v>232</v>
      </c>
      <c r="E31" s="89" t="s">
        <v>136</v>
      </c>
      <c r="F31" s="93">
        <v>268</v>
      </c>
      <c r="G31" s="92" t="s">
        <v>292</v>
      </c>
      <c r="H31" s="89" t="s">
        <v>136</v>
      </c>
      <c r="I31" s="93">
        <v>328</v>
      </c>
      <c r="J31" s="92" t="s">
        <v>352</v>
      </c>
      <c r="K31" s="89" t="s">
        <v>136</v>
      </c>
      <c r="L31" s="93">
        <v>388</v>
      </c>
      <c r="M31" s="92" t="s">
        <v>412</v>
      </c>
      <c r="N31" s="89" t="s">
        <v>136</v>
      </c>
      <c r="O31" s="93">
        <v>448</v>
      </c>
      <c r="P31" s="92" t="s">
        <v>472</v>
      </c>
      <c r="Q31" s="89" t="s">
        <v>136</v>
      </c>
      <c r="R31" s="93">
        <v>508</v>
      </c>
      <c r="S31" s="92" t="s">
        <v>532</v>
      </c>
      <c r="T31" s="89" t="s">
        <v>136</v>
      </c>
      <c r="U31" s="93">
        <v>568</v>
      </c>
      <c r="V31" s="92" t="s">
        <v>593</v>
      </c>
      <c r="W31" s="89" t="s">
        <v>136</v>
      </c>
      <c r="X31" s="93">
        <v>628</v>
      </c>
      <c r="Y31" s="92" t="s">
        <v>654</v>
      </c>
      <c r="Z31" s="89" t="s">
        <v>136</v>
      </c>
      <c r="AA31" s="93">
        <v>688</v>
      </c>
      <c r="AB31" s="92" t="s">
        <v>717</v>
      </c>
      <c r="AC31" s="89" t="s">
        <v>136</v>
      </c>
      <c r="AD31" s="93">
        <v>748</v>
      </c>
      <c r="AE31" s="92" t="s">
        <v>777</v>
      </c>
      <c r="AF31" s="89" t="s">
        <v>136</v>
      </c>
      <c r="AG31" s="93">
        <v>808</v>
      </c>
      <c r="AH31" s="92" t="s">
        <v>837</v>
      </c>
      <c r="AI31" s="89" t="s">
        <v>136</v>
      </c>
      <c r="AJ31" s="93">
        <v>868</v>
      </c>
      <c r="AK31" s="92" t="s">
        <v>900</v>
      </c>
      <c r="AL31" s="89" t="s">
        <v>136</v>
      </c>
      <c r="AM31" s="93">
        <v>928</v>
      </c>
      <c r="AN31" s="92" t="s">
        <v>960</v>
      </c>
      <c r="AO31" s="89" t="s">
        <v>136</v>
      </c>
      <c r="AP31" s="93">
        <v>988</v>
      </c>
      <c r="AQ31" s="92" t="s">
        <v>1020</v>
      </c>
      <c r="AR31" s="89" t="s">
        <v>136</v>
      </c>
      <c r="AS31" s="93">
        <v>1048</v>
      </c>
    </row>
    <row r="32" spans="1:45" ht="14.25" thickBot="1" x14ac:dyDescent="0.2">
      <c r="A32" s="103" t="s">
        <v>172</v>
      </c>
      <c r="B32" s="101" t="s">
        <v>136</v>
      </c>
      <c r="C32" s="102">
        <v>209</v>
      </c>
      <c r="D32" s="103" t="s">
        <v>233</v>
      </c>
      <c r="E32" s="101" t="s">
        <v>136</v>
      </c>
      <c r="F32" s="104">
        <v>269</v>
      </c>
      <c r="G32" s="103" t="s">
        <v>293</v>
      </c>
      <c r="H32" s="101" t="s">
        <v>136</v>
      </c>
      <c r="I32" s="104">
        <v>329</v>
      </c>
      <c r="J32" s="103" t="s">
        <v>353</v>
      </c>
      <c r="K32" s="101" t="s">
        <v>136</v>
      </c>
      <c r="L32" s="104">
        <v>389</v>
      </c>
      <c r="M32" s="103" t="s">
        <v>413</v>
      </c>
      <c r="N32" s="101" t="s">
        <v>136</v>
      </c>
      <c r="O32" s="104">
        <v>449</v>
      </c>
      <c r="P32" s="103" t="s">
        <v>473</v>
      </c>
      <c r="Q32" s="101" t="s">
        <v>136</v>
      </c>
      <c r="R32" s="104">
        <v>509</v>
      </c>
      <c r="S32" s="103" t="s">
        <v>533</v>
      </c>
      <c r="T32" s="101" t="s">
        <v>136</v>
      </c>
      <c r="U32" s="104">
        <v>569</v>
      </c>
      <c r="V32" s="103" t="s">
        <v>594</v>
      </c>
      <c r="W32" s="101" t="s">
        <v>136</v>
      </c>
      <c r="X32" s="104">
        <v>629</v>
      </c>
      <c r="Y32" s="103" t="s">
        <v>655</v>
      </c>
      <c r="Z32" s="101" t="s">
        <v>136</v>
      </c>
      <c r="AA32" s="104">
        <v>689</v>
      </c>
      <c r="AB32" s="103" t="s">
        <v>718</v>
      </c>
      <c r="AC32" s="101" t="s">
        <v>136</v>
      </c>
      <c r="AD32" s="104">
        <v>749</v>
      </c>
      <c r="AE32" s="103" t="s">
        <v>778</v>
      </c>
      <c r="AF32" s="101" t="s">
        <v>136</v>
      </c>
      <c r="AG32" s="104">
        <v>809</v>
      </c>
      <c r="AH32" s="103" t="s">
        <v>838</v>
      </c>
      <c r="AI32" s="101" t="s">
        <v>136</v>
      </c>
      <c r="AJ32" s="104">
        <v>869</v>
      </c>
      <c r="AK32" s="103" t="s">
        <v>901</v>
      </c>
      <c r="AL32" s="101" t="s">
        <v>136</v>
      </c>
      <c r="AM32" s="104">
        <v>929</v>
      </c>
      <c r="AN32" s="103" t="s">
        <v>961</v>
      </c>
      <c r="AO32" s="101" t="s">
        <v>136</v>
      </c>
      <c r="AP32" s="104">
        <v>989</v>
      </c>
      <c r="AQ32" s="103" t="s">
        <v>1021</v>
      </c>
      <c r="AR32" s="101" t="s">
        <v>136</v>
      </c>
      <c r="AS32" s="104">
        <v>1049</v>
      </c>
    </row>
    <row r="33" spans="1:45" x14ac:dyDescent="0.15">
      <c r="A33" s="98" t="s">
        <v>173</v>
      </c>
      <c r="B33" s="99" t="s">
        <v>136</v>
      </c>
      <c r="C33" s="90">
        <v>210</v>
      </c>
      <c r="D33" s="98" t="s">
        <v>234</v>
      </c>
      <c r="E33" s="99" t="s">
        <v>136</v>
      </c>
      <c r="F33" s="100">
        <v>270</v>
      </c>
      <c r="G33" s="98" t="s">
        <v>294</v>
      </c>
      <c r="H33" s="99" t="s">
        <v>136</v>
      </c>
      <c r="I33" s="100">
        <v>330</v>
      </c>
      <c r="J33" s="98" t="s">
        <v>354</v>
      </c>
      <c r="K33" s="99" t="s">
        <v>136</v>
      </c>
      <c r="L33" s="100">
        <v>390</v>
      </c>
      <c r="M33" s="98" t="s">
        <v>414</v>
      </c>
      <c r="N33" s="99" t="s">
        <v>136</v>
      </c>
      <c r="O33" s="100">
        <v>450</v>
      </c>
      <c r="P33" s="98" t="s">
        <v>474</v>
      </c>
      <c r="Q33" s="99" t="s">
        <v>136</v>
      </c>
      <c r="R33" s="100">
        <v>510</v>
      </c>
      <c r="S33" s="98" t="s">
        <v>534</v>
      </c>
      <c r="T33" s="99" t="s">
        <v>136</v>
      </c>
      <c r="U33" s="100">
        <v>570</v>
      </c>
      <c r="V33" s="98" t="s">
        <v>595</v>
      </c>
      <c r="W33" s="99" t="s">
        <v>136</v>
      </c>
      <c r="X33" s="100">
        <v>630</v>
      </c>
      <c r="Y33" s="98" t="s">
        <v>656</v>
      </c>
      <c r="Z33" s="99" t="s">
        <v>136</v>
      </c>
      <c r="AA33" s="100">
        <v>690</v>
      </c>
      <c r="AB33" s="98" t="s">
        <v>719</v>
      </c>
      <c r="AC33" s="99" t="s">
        <v>136</v>
      </c>
      <c r="AD33" s="100">
        <v>750</v>
      </c>
      <c r="AE33" s="98" t="s">
        <v>779</v>
      </c>
      <c r="AF33" s="99" t="s">
        <v>136</v>
      </c>
      <c r="AG33" s="100">
        <v>810</v>
      </c>
      <c r="AH33" s="98" t="s">
        <v>839</v>
      </c>
      <c r="AI33" s="99" t="s">
        <v>136</v>
      </c>
      <c r="AJ33" s="100">
        <v>870</v>
      </c>
      <c r="AK33" s="98" t="s">
        <v>902</v>
      </c>
      <c r="AL33" s="99" t="s">
        <v>136</v>
      </c>
      <c r="AM33" s="100">
        <v>930</v>
      </c>
      <c r="AN33" s="98" t="s">
        <v>962</v>
      </c>
      <c r="AO33" s="99" t="s">
        <v>136</v>
      </c>
      <c r="AP33" s="100">
        <v>990</v>
      </c>
      <c r="AQ33" s="98" t="s">
        <v>1022</v>
      </c>
      <c r="AR33" s="99" t="s">
        <v>136</v>
      </c>
      <c r="AS33" s="100">
        <v>1050</v>
      </c>
    </row>
    <row r="34" spans="1:45" x14ac:dyDescent="0.15">
      <c r="A34" s="92" t="s">
        <v>174</v>
      </c>
      <c r="B34" s="89" t="s">
        <v>136</v>
      </c>
      <c r="C34" s="88">
        <v>211</v>
      </c>
      <c r="D34" s="92" t="s">
        <v>235</v>
      </c>
      <c r="E34" s="89" t="s">
        <v>136</v>
      </c>
      <c r="F34" s="93">
        <v>271</v>
      </c>
      <c r="G34" s="92" t="s">
        <v>295</v>
      </c>
      <c r="H34" s="89" t="s">
        <v>136</v>
      </c>
      <c r="I34" s="93">
        <v>331</v>
      </c>
      <c r="J34" s="92" t="s">
        <v>355</v>
      </c>
      <c r="K34" s="89" t="s">
        <v>136</v>
      </c>
      <c r="L34" s="93">
        <v>391</v>
      </c>
      <c r="M34" s="92" t="s">
        <v>415</v>
      </c>
      <c r="N34" s="89" t="s">
        <v>136</v>
      </c>
      <c r="O34" s="93">
        <v>451</v>
      </c>
      <c r="P34" s="92" t="s">
        <v>475</v>
      </c>
      <c r="Q34" s="89" t="s">
        <v>136</v>
      </c>
      <c r="R34" s="93">
        <v>511</v>
      </c>
      <c r="S34" s="92" t="s">
        <v>535</v>
      </c>
      <c r="T34" s="89" t="s">
        <v>136</v>
      </c>
      <c r="U34" s="93">
        <v>571</v>
      </c>
      <c r="V34" s="92" t="s">
        <v>596</v>
      </c>
      <c r="W34" s="89" t="s">
        <v>136</v>
      </c>
      <c r="X34" s="93">
        <v>631</v>
      </c>
      <c r="Y34" s="92" t="s">
        <v>657</v>
      </c>
      <c r="Z34" s="89" t="s">
        <v>136</v>
      </c>
      <c r="AA34" s="93">
        <v>691</v>
      </c>
      <c r="AB34" s="92" t="s">
        <v>720</v>
      </c>
      <c r="AC34" s="89" t="s">
        <v>136</v>
      </c>
      <c r="AD34" s="93">
        <v>751</v>
      </c>
      <c r="AE34" s="92" t="s">
        <v>780</v>
      </c>
      <c r="AF34" s="89" t="s">
        <v>136</v>
      </c>
      <c r="AG34" s="93">
        <v>811</v>
      </c>
      <c r="AH34" s="92" t="s">
        <v>840</v>
      </c>
      <c r="AI34" s="89" t="s">
        <v>136</v>
      </c>
      <c r="AJ34" s="93">
        <v>871</v>
      </c>
      <c r="AK34" s="92" t="s">
        <v>903</v>
      </c>
      <c r="AL34" s="89" t="s">
        <v>136</v>
      </c>
      <c r="AM34" s="93">
        <v>931</v>
      </c>
      <c r="AN34" s="92" t="s">
        <v>963</v>
      </c>
      <c r="AO34" s="89" t="s">
        <v>136</v>
      </c>
      <c r="AP34" s="93">
        <v>991</v>
      </c>
      <c r="AQ34" s="92" t="s">
        <v>1023</v>
      </c>
      <c r="AR34" s="89" t="s">
        <v>136</v>
      </c>
      <c r="AS34" s="93">
        <v>1051</v>
      </c>
    </row>
    <row r="35" spans="1:45" x14ac:dyDescent="0.15">
      <c r="A35" s="92" t="s">
        <v>175</v>
      </c>
      <c r="B35" s="89" t="s">
        <v>136</v>
      </c>
      <c r="C35" s="88">
        <v>212</v>
      </c>
      <c r="D35" s="92" t="s">
        <v>236</v>
      </c>
      <c r="E35" s="89" t="s">
        <v>136</v>
      </c>
      <c r="F35" s="93">
        <v>272</v>
      </c>
      <c r="G35" s="92" t="s">
        <v>296</v>
      </c>
      <c r="H35" s="89" t="s">
        <v>136</v>
      </c>
      <c r="I35" s="93">
        <v>332</v>
      </c>
      <c r="J35" s="92" t="s">
        <v>356</v>
      </c>
      <c r="K35" s="89" t="s">
        <v>136</v>
      </c>
      <c r="L35" s="93">
        <v>392</v>
      </c>
      <c r="M35" s="92" t="s">
        <v>416</v>
      </c>
      <c r="N35" s="89" t="s">
        <v>136</v>
      </c>
      <c r="O35" s="93">
        <v>452</v>
      </c>
      <c r="P35" s="92" t="s">
        <v>476</v>
      </c>
      <c r="Q35" s="89" t="s">
        <v>136</v>
      </c>
      <c r="R35" s="93">
        <v>512</v>
      </c>
      <c r="S35" s="92" t="s">
        <v>536</v>
      </c>
      <c r="T35" s="89" t="s">
        <v>136</v>
      </c>
      <c r="U35" s="93">
        <v>572</v>
      </c>
      <c r="V35" s="92" t="s">
        <v>597</v>
      </c>
      <c r="W35" s="89" t="s">
        <v>136</v>
      </c>
      <c r="X35" s="93">
        <v>632</v>
      </c>
      <c r="Y35" s="92" t="s">
        <v>658</v>
      </c>
      <c r="Z35" s="89" t="s">
        <v>136</v>
      </c>
      <c r="AA35" s="93">
        <v>692</v>
      </c>
      <c r="AB35" s="92" t="s">
        <v>721</v>
      </c>
      <c r="AC35" s="89" t="s">
        <v>136</v>
      </c>
      <c r="AD35" s="93">
        <v>752</v>
      </c>
      <c r="AE35" s="92" t="s">
        <v>781</v>
      </c>
      <c r="AF35" s="89" t="s">
        <v>136</v>
      </c>
      <c r="AG35" s="93">
        <v>812</v>
      </c>
      <c r="AH35" s="92" t="s">
        <v>841</v>
      </c>
      <c r="AI35" s="89" t="s">
        <v>136</v>
      </c>
      <c r="AJ35" s="93">
        <v>872</v>
      </c>
      <c r="AK35" s="92" t="s">
        <v>904</v>
      </c>
      <c r="AL35" s="89" t="s">
        <v>136</v>
      </c>
      <c r="AM35" s="93">
        <v>932</v>
      </c>
      <c r="AN35" s="92" t="s">
        <v>964</v>
      </c>
      <c r="AO35" s="89" t="s">
        <v>136</v>
      </c>
      <c r="AP35" s="93">
        <v>992</v>
      </c>
      <c r="AQ35" s="92" t="s">
        <v>1024</v>
      </c>
      <c r="AR35" s="89" t="s">
        <v>136</v>
      </c>
      <c r="AS35" s="93">
        <v>1052</v>
      </c>
    </row>
    <row r="36" spans="1:45" x14ac:dyDescent="0.15">
      <c r="A36" s="92" t="s">
        <v>176</v>
      </c>
      <c r="B36" s="89" t="s">
        <v>136</v>
      </c>
      <c r="C36" s="88">
        <v>213</v>
      </c>
      <c r="D36" s="92" t="s">
        <v>237</v>
      </c>
      <c r="E36" s="89" t="s">
        <v>136</v>
      </c>
      <c r="F36" s="93">
        <v>273</v>
      </c>
      <c r="G36" s="92" t="s">
        <v>297</v>
      </c>
      <c r="H36" s="89" t="s">
        <v>136</v>
      </c>
      <c r="I36" s="93">
        <v>333</v>
      </c>
      <c r="J36" s="92" t="s">
        <v>357</v>
      </c>
      <c r="K36" s="89" t="s">
        <v>136</v>
      </c>
      <c r="L36" s="93">
        <v>393</v>
      </c>
      <c r="M36" s="92" t="s">
        <v>417</v>
      </c>
      <c r="N36" s="89" t="s">
        <v>136</v>
      </c>
      <c r="O36" s="93">
        <v>453</v>
      </c>
      <c r="P36" s="92" t="s">
        <v>477</v>
      </c>
      <c r="Q36" s="89" t="s">
        <v>136</v>
      </c>
      <c r="R36" s="93">
        <v>513</v>
      </c>
      <c r="S36" s="92" t="s">
        <v>537</v>
      </c>
      <c r="T36" s="89" t="s">
        <v>136</v>
      </c>
      <c r="U36" s="93">
        <v>573</v>
      </c>
      <c r="V36" s="92" t="s">
        <v>598</v>
      </c>
      <c r="W36" s="89" t="s">
        <v>136</v>
      </c>
      <c r="X36" s="93">
        <v>633</v>
      </c>
      <c r="Y36" s="92" t="s">
        <v>659</v>
      </c>
      <c r="Z36" s="89" t="s">
        <v>136</v>
      </c>
      <c r="AA36" s="93">
        <v>693</v>
      </c>
      <c r="AB36" s="92" t="s">
        <v>722</v>
      </c>
      <c r="AC36" s="89" t="s">
        <v>136</v>
      </c>
      <c r="AD36" s="93">
        <v>753</v>
      </c>
      <c r="AE36" s="92" t="s">
        <v>782</v>
      </c>
      <c r="AF36" s="89" t="s">
        <v>136</v>
      </c>
      <c r="AG36" s="93">
        <v>813</v>
      </c>
      <c r="AH36" s="92" t="s">
        <v>842</v>
      </c>
      <c r="AI36" s="89" t="s">
        <v>136</v>
      </c>
      <c r="AJ36" s="93">
        <v>873</v>
      </c>
      <c r="AK36" s="92" t="s">
        <v>905</v>
      </c>
      <c r="AL36" s="89" t="s">
        <v>136</v>
      </c>
      <c r="AM36" s="93">
        <v>933</v>
      </c>
      <c r="AN36" s="92" t="s">
        <v>965</v>
      </c>
      <c r="AO36" s="89" t="s">
        <v>136</v>
      </c>
      <c r="AP36" s="93">
        <v>993</v>
      </c>
      <c r="AQ36" s="92" t="s">
        <v>1025</v>
      </c>
      <c r="AR36" s="89" t="s">
        <v>136</v>
      </c>
      <c r="AS36" s="93">
        <v>1053</v>
      </c>
    </row>
    <row r="37" spans="1:45" x14ac:dyDescent="0.15">
      <c r="A37" s="92" t="s">
        <v>177</v>
      </c>
      <c r="B37" s="89" t="s">
        <v>136</v>
      </c>
      <c r="C37" s="88">
        <v>214</v>
      </c>
      <c r="D37" s="92" t="s">
        <v>238</v>
      </c>
      <c r="E37" s="89" t="s">
        <v>136</v>
      </c>
      <c r="F37" s="93">
        <v>274</v>
      </c>
      <c r="G37" s="92" t="s">
        <v>298</v>
      </c>
      <c r="H37" s="89" t="s">
        <v>136</v>
      </c>
      <c r="I37" s="93">
        <v>334</v>
      </c>
      <c r="J37" s="92" t="s">
        <v>358</v>
      </c>
      <c r="K37" s="89" t="s">
        <v>136</v>
      </c>
      <c r="L37" s="93">
        <v>394</v>
      </c>
      <c r="M37" s="92" t="s">
        <v>418</v>
      </c>
      <c r="N37" s="89" t="s">
        <v>136</v>
      </c>
      <c r="O37" s="93">
        <v>454</v>
      </c>
      <c r="P37" s="92" t="s">
        <v>478</v>
      </c>
      <c r="Q37" s="89" t="s">
        <v>136</v>
      </c>
      <c r="R37" s="93">
        <v>514</v>
      </c>
      <c r="S37" s="92" t="s">
        <v>538</v>
      </c>
      <c r="T37" s="89" t="s">
        <v>136</v>
      </c>
      <c r="U37" s="93">
        <v>574</v>
      </c>
      <c r="V37" s="92" t="s">
        <v>599</v>
      </c>
      <c r="W37" s="89" t="s">
        <v>136</v>
      </c>
      <c r="X37" s="93">
        <v>634</v>
      </c>
      <c r="Y37" s="92" t="s">
        <v>660</v>
      </c>
      <c r="Z37" s="89" t="s">
        <v>136</v>
      </c>
      <c r="AA37" s="93">
        <v>694</v>
      </c>
      <c r="AB37" s="92" t="s">
        <v>723</v>
      </c>
      <c r="AC37" s="89" t="s">
        <v>136</v>
      </c>
      <c r="AD37" s="93">
        <v>754</v>
      </c>
      <c r="AE37" s="92" t="s">
        <v>783</v>
      </c>
      <c r="AF37" s="89" t="s">
        <v>136</v>
      </c>
      <c r="AG37" s="93">
        <v>814</v>
      </c>
      <c r="AH37" s="92" t="s">
        <v>843</v>
      </c>
      <c r="AI37" s="89" t="s">
        <v>136</v>
      </c>
      <c r="AJ37" s="93">
        <v>874</v>
      </c>
      <c r="AK37" s="92" t="s">
        <v>906</v>
      </c>
      <c r="AL37" s="89" t="s">
        <v>136</v>
      </c>
      <c r="AM37" s="93">
        <v>934</v>
      </c>
      <c r="AN37" s="92" t="s">
        <v>966</v>
      </c>
      <c r="AO37" s="89" t="s">
        <v>136</v>
      </c>
      <c r="AP37" s="93">
        <v>994</v>
      </c>
      <c r="AQ37" s="92" t="s">
        <v>1026</v>
      </c>
      <c r="AR37" s="89" t="s">
        <v>136</v>
      </c>
      <c r="AS37" s="93">
        <v>1054</v>
      </c>
    </row>
    <row r="38" spans="1:45" x14ac:dyDescent="0.15">
      <c r="A38" s="92" t="s">
        <v>178</v>
      </c>
      <c r="B38" s="89" t="s">
        <v>136</v>
      </c>
      <c r="C38" s="88">
        <v>215</v>
      </c>
      <c r="D38" s="92" t="s">
        <v>239</v>
      </c>
      <c r="E38" s="89" t="s">
        <v>136</v>
      </c>
      <c r="F38" s="93">
        <v>275</v>
      </c>
      <c r="G38" s="92" t="s">
        <v>299</v>
      </c>
      <c r="H38" s="89" t="s">
        <v>136</v>
      </c>
      <c r="I38" s="93">
        <v>335</v>
      </c>
      <c r="J38" s="92" t="s">
        <v>359</v>
      </c>
      <c r="K38" s="89" t="s">
        <v>136</v>
      </c>
      <c r="L38" s="93">
        <v>395</v>
      </c>
      <c r="M38" s="92" t="s">
        <v>419</v>
      </c>
      <c r="N38" s="89" t="s">
        <v>136</v>
      </c>
      <c r="O38" s="93">
        <v>455</v>
      </c>
      <c r="P38" s="92" t="s">
        <v>479</v>
      </c>
      <c r="Q38" s="89" t="s">
        <v>136</v>
      </c>
      <c r="R38" s="93">
        <v>515</v>
      </c>
      <c r="S38" s="92" t="s">
        <v>539</v>
      </c>
      <c r="T38" s="89" t="s">
        <v>136</v>
      </c>
      <c r="U38" s="93">
        <v>575</v>
      </c>
      <c r="V38" s="92" t="s">
        <v>600</v>
      </c>
      <c r="W38" s="89" t="s">
        <v>136</v>
      </c>
      <c r="X38" s="93">
        <v>635</v>
      </c>
      <c r="Y38" s="92" t="s">
        <v>661</v>
      </c>
      <c r="Z38" s="89" t="s">
        <v>136</v>
      </c>
      <c r="AA38" s="93">
        <v>695</v>
      </c>
      <c r="AB38" s="92" t="s">
        <v>724</v>
      </c>
      <c r="AC38" s="89" t="s">
        <v>136</v>
      </c>
      <c r="AD38" s="93">
        <v>755</v>
      </c>
      <c r="AE38" s="92" t="s">
        <v>784</v>
      </c>
      <c r="AF38" s="89" t="s">
        <v>136</v>
      </c>
      <c r="AG38" s="93">
        <v>815</v>
      </c>
      <c r="AH38" s="92" t="s">
        <v>844</v>
      </c>
      <c r="AI38" s="89" t="s">
        <v>136</v>
      </c>
      <c r="AJ38" s="93">
        <v>875</v>
      </c>
      <c r="AK38" s="92" t="s">
        <v>907</v>
      </c>
      <c r="AL38" s="89" t="s">
        <v>136</v>
      </c>
      <c r="AM38" s="93">
        <v>935</v>
      </c>
      <c r="AN38" s="92" t="s">
        <v>967</v>
      </c>
      <c r="AO38" s="89" t="s">
        <v>136</v>
      </c>
      <c r="AP38" s="93">
        <v>995</v>
      </c>
      <c r="AQ38" s="92" t="s">
        <v>1027</v>
      </c>
      <c r="AR38" s="89" t="s">
        <v>136</v>
      </c>
      <c r="AS38" s="93">
        <v>1055</v>
      </c>
    </row>
    <row r="39" spans="1:45" x14ac:dyDescent="0.15">
      <c r="A39" s="92" t="s">
        <v>179</v>
      </c>
      <c r="B39" s="89" t="s">
        <v>136</v>
      </c>
      <c r="C39" s="88">
        <v>216</v>
      </c>
      <c r="D39" s="92" t="s">
        <v>240</v>
      </c>
      <c r="E39" s="89" t="s">
        <v>136</v>
      </c>
      <c r="F39" s="93">
        <v>276</v>
      </c>
      <c r="G39" s="92" t="s">
        <v>300</v>
      </c>
      <c r="H39" s="89" t="s">
        <v>136</v>
      </c>
      <c r="I39" s="93">
        <v>336</v>
      </c>
      <c r="J39" s="92" t="s">
        <v>360</v>
      </c>
      <c r="K39" s="89" t="s">
        <v>136</v>
      </c>
      <c r="L39" s="93">
        <v>396</v>
      </c>
      <c r="M39" s="92" t="s">
        <v>420</v>
      </c>
      <c r="N39" s="89" t="s">
        <v>136</v>
      </c>
      <c r="O39" s="93">
        <v>456</v>
      </c>
      <c r="P39" s="92" t="s">
        <v>480</v>
      </c>
      <c r="Q39" s="89" t="s">
        <v>136</v>
      </c>
      <c r="R39" s="93">
        <v>516</v>
      </c>
      <c r="S39" s="92" t="s">
        <v>540</v>
      </c>
      <c r="T39" s="89" t="s">
        <v>136</v>
      </c>
      <c r="U39" s="93">
        <v>576</v>
      </c>
      <c r="V39" s="92" t="s">
        <v>601</v>
      </c>
      <c r="W39" s="89" t="s">
        <v>136</v>
      </c>
      <c r="X39" s="93">
        <v>636</v>
      </c>
      <c r="Y39" s="92" t="s">
        <v>662</v>
      </c>
      <c r="Z39" s="89" t="s">
        <v>136</v>
      </c>
      <c r="AA39" s="93">
        <v>696</v>
      </c>
      <c r="AB39" s="92" t="s">
        <v>725</v>
      </c>
      <c r="AC39" s="89" t="s">
        <v>136</v>
      </c>
      <c r="AD39" s="93">
        <v>756</v>
      </c>
      <c r="AE39" s="92" t="s">
        <v>785</v>
      </c>
      <c r="AF39" s="89" t="s">
        <v>136</v>
      </c>
      <c r="AG39" s="93">
        <v>816</v>
      </c>
      <c r="AH39" s="92" t="s">
        <v>845</v>
      </c>
      <c r="AI39" s="89" t="s">
        <v>136</v>
      </c>
      <c r="AJ39" s="93">
        <v>876</v>
      </c>
      <c r="AK39" s="92" t="s">
        <v>908</v>
      </c>
      <c r="AL39" s="89" t="s">
        <v>136</v>
      </c>
      <c r="AM39" s="93">
        <v>936</v>
      </c>
      <c r="AN39" s="92" t="s">
        <v>968</v>
      </c>
      <c r="AO39" s="89" t="s">
        <v>136</v>
      </c>
      <c r="AP39" s="93">
        <v>996</v>
      </c>
      <c r="AQ39" s="92" t="s">
        <v>1028</v>
      </c>
      <c r="AR39" s="89" t="s">
        <v>136</v>
      </c>
      <c r="AS39" s="93">
        <v>1056</v>
      </c>
    </row>
    <row r="40" spans="1:45" x14ac:dyDescent="0.15">
      <c r="A40" s="92" t="s">
        <v>180</v>
      </c>
      <c r="B40" s="89" t="s">
        <v>136</v>
      </c>
      <c r="C40" s="88">
        <v>217</v>
      </c>
      <c r="D40" s="92" t="s">
        <v>241</v>
      </c>
      <c r="E40" s="89" t="s">
        <v>136</v>
      </c>
      <c r="F40" s="93">
        <v>277</v>
      </c>
      <c r="G40" s="92" t="s">
        <v>301</v>
      </c>
      <c r="H40" s="89" t="s">
        <v>136</v>
      </c>
      <c r="I40" s="93">
        <v>337</v>
      </c>
      <c r="J40" s="92" t="s">
        <v>361</v>
      </c>
      <c r="K40" s="89" t="s">
        <v>136</v>
      </c>
      <c r="L40" s="93">
        <v>397</v>
      </c>
      <c r="M40" s="92" t="s">
        <v>421</v>
      </c>
      <c r="N40" s="89" t="s">
        <v>136</v>
      </c>
      <c r="O40" s="93">
        <v>457</v>
      </c>
      <c r="P40" s="92" t="s">
        <v>481</v>
      </c>
      <c r="Q40" s="89" t="s">
        <v>136</v>
      </c>
      <c r="R40" s="93">
        <v>517</v>
      </c>
      <c r="S40" s="92" t="s">
        <v>541</v>
      </c>
      <c r="T40" s="89" t="s">
        <v>136</v>
      </c>
      <c r="U40" s="93">
        <v>577</v>
      </c>
      <c r="V40" s="92" t="s">
        <v>602</v>
      </c>
      <c r="W40" s="89" t="s">
        <v>136</v>
      </c>
      <c r="X40" s="93">
        <v>637</v>
      </c>
      <c r="Y40" s="92" t="s">
        <v>663</v>
      </c>
      <c r="Z40" s="89" t="s">
        <v>136</v>
      </c>
      <c r="AA40" s="93">
        <v>697</v>
      </c>
      <c r="AB40" s="92" t="s">
        <v>726</v>
      </c>
      <c r="AC40" s="89" t="s">
        <v>136</v>
      </c>
      <c r="AD40" s="93">
        <v>757</v>
      </c>
      <c r="AE40" s="92" t="s">
        <v>786</v>
      </c>
      <c r="AF40" s="89" t="s">
        <v>136</v>
      </c>
      <c r="AG40" s="93">
        <v>817</v>
      </c>
      <c r="AH40" s="92" t="s">
        <v>846</v>
      </c>
      <c r="AI40" s="89" t="s">
        <v>136</v>
      </c>
      <c r="AJ40" s="93">
        <v>877</v>
      </c>
      <c r="AK40" s="92" t="s">
        <v>909</v>
      </c>
      <c r="AL40" s="89" t="s">
        <v>136</v>
      </c>
      <c r="AM40" s="93">
        <v>937</v>
      </c>
      <c r="AN40" s="92" t="s">
        <v>969</v>
      </c>
      <c r="AO40" s="89" t="s">
        <v>136</v>
      </c>
      <c r="AP40" s="93">
        <v>997</v>
      </c>
      <c r="AQ40" s="92" t="s">
        <v>1029</v>
      </c>
      <c r="AR40" s="89" t="s">
        <v>136</v>
      </c>
      <c r="AS40" s="93">
        <v>1057</v>
      </c>
    </row>
    <row r="41" spans="1:45" x14ac:dyDescent="0.15">
      <c r="A41" s="92" t="s">
        <v>181</v>
      </c>
      <c r="B41" s="89" t="s">
        <v>136</v>
      </c>
      <c r="C41" s="88">
        <v>218</v>
      </c>
      <c r="D41" s="92" t="s">
        <v>242</v>
      </c>
      <c r="E41" s="89" t="s">
        <v>136</v>
      </c>
      <c r="F41" s="93">
        <v>278</v>
      </c>
      <c r="G41" s="92" t="s">
        <v>302</v>
      </c>
      <c r="H41" s="89" t="s">
        <v>136</v>
      </c>
      <c r="I41" s="93">
        <v>338</v>
      </c>
      <c r="J41" s="92" t="s">
        <v>362</v>
      </c>
      <c r="K41" s="89" t="s">
        <v>136</v>
      </c>
      <c r="L41" s="93">
        <v>398</v>
      </c>
      <c r="M41" s="92" t="s">
        <v>422</v>
      </c>
      <c r="N41" s="89" t="s">
        <v>136</v>
      </c>
      <c r="O41" s="93">
        <v>458</v>
      </c>
      <c r="P41" s="92" t="s">
        <v>482</v>
      </c>
      <c r="Q41" s="89" t="s">
        <v>136</v>
      </c>
      <c r="R41" s="93">
        <v>518</v>
      </c>
      <c r="S41" s="92" t="s">
        <v>542</v>
      </c>
      <c r="T41" s="89" t="s">
        <v>136</v>
      </c>
      <c r="U41" s="93">
        <v>578</v>
      </c>
      <c r="V41" s="92" t="s">
        <v>603</v>
      </c>
      <c r="W41" s="89" t="s">
        <v>136</v>
      </c>
      <c r="X41" s="93">
        <v>638</v>
      </c>
      <c r="Y41" s="92" t="s">
        <v>664</v>
      </c>
      <c r="Z41" s="89" t="s">
        <v>136</v>
      </c>
      <c r="AA41" s="93">
        <v>698</v>
      </c>
      <c r="AB41" s="92" t="s">
        <v>727</v>
      </c>
      <c r="AC41" s="89" t="s">
        <v>136</v>
      </c>
      <c r="AD41" s="93">
        <v>758</v>
      </c>
      <c r="AE41" s="92" t="s">
        <v>787</v>
      </c>
      <c r="AF41" s="89" t="s">
        <v>136</v>
      </c>
      <c r="AG41" s="93">
        <v>818</v>
      </c>
      <c r="AH41" s="92" t="s">
        <v>847</v>
      </c>
      <c r="AI41" s="89" t="s">
        <v>136</v>
      </c>
      <c r="AJ41" s="93">
        <v>878</v>
      </c>
      <c r="AK41" s="92" t="s">
        <v>910</v>
      </c>
      <c r="AL41" s="89" t="s">
        <v>136</v>
      </c>
      <c r="AM41" s="93">
        <v>938</v>
      </c>
      <c r="AN41" s="92" t="s">
        <v>970</v>
      </c>
      <c r="AO41" s="89" t="s">
        <v>136</v>
      </c>
      <c r="AP41" s="93">
        <v>998</v>
      </c>
      <c r="AQ41" s="92" t="s">
        <v>1030</v>
      </c>
      <c r="AR41" s="89" t="s">
        <v>136</v>
      </c>
      <c r="AS41" s="93">
        <v>1058</v>
      </c>
    </row>
    <row r="42" spans="1:45" ht="14.25" thickBot="1" x14ac:dyDescent="0.2">
      <c r="A42" s="105" t="s">
        <v>182</v>
      </c>
      <c r="B42" s="106" t="s">
        <v>136</v>
      </c>
      <c r="C42" s="107">
        <v>219</v>
      </c>
      <c r="D42" s="105" t="s">
        <v>243</v>
      </c>
      <c r="E42" s="106" t="s">
        <v>136</v>
      </c>
      <c r="F42" s="108">
        <v>279</v>
      </c>
      <c r="G42" s="105" t="s">
        <v>303</v>
      </c>
      <c r="H42" s="106" t="s">
        <v>136</v>
      </c>
      <c r="I42" s="108">
        <v>339</v>
      </c>
      <c r="J42" s="105" t="s">
        <v>363</v>
      </c>
      <c r="K42" s="106" t="s">
        <v>136</v>
      </c>
      <c r="L42" s="108">
        <v>399</v>
      </c>
      <c r="M42" s="105" t="s">
        <v>423</v>
      </c>
      <c r="N42" s="106" t="s">
        <v>136</v>
      </c>
      <c r="O42" s="108">
        <v>459</v>
      </c>
      <c r="P42" s="105" t="s">
        <v>483</v>
      </c>
      <c r="Q42" s="106" t="s">
        <v>136</v>
      </c>
      <c r="R42" s="108">
        <v>519</v>
      </c>
      <c r="S42" s="105" t="s">
        <v>543</v>
      </c>
      <c r="T42" s="106" t="s">
        <v>136</v>
      </c>
      <c r="U42" s="108">
        <v>579</v>
      </c>
      <c r="V42" s="105" t="s">
        <v>604</v>
      </c>
      <c r="W42" s="106" t="s">
        <v>136</v>
      </c>
      <c r="X42" s="108">
        <v>639</v>
      </c>
      <c r="Y42" s="105" t="s">
        <v>665</v>
      </c>
      <c r="Z42" s="106" t="s">
        <v>136</v>
      </c>
      <c r="AA42" s="108">
        <v>699</v>
      </c>
      <c r="AB42" s="105" t="s">
        <v>728</v>
      </c>
      <c r="AC42" s="106" t="s">
        <v>136</v>
      </c>
      <c r="AD42" s="108">
        <v>759</v>
      </c>
      <c r="AE42" s="105" t="s">
        <v>788</v>
      </c>
      <c r="AF42" s="106" t="s">
        <v>136</v>
      </c>
      <c r="AG42" s="108">
        <v>819</v>
      </c>
      <c r="AH42" s="105" t="s">
        <v>848</v>
      </c>
      <c r="AI42" s="106" t="s">
        <v>136</v>
      </c>
      <c r="AJ42" s="108">
        <v>879</v>
      </c>
      <c r="AK42" s="105" t="s">
        <v>911</v>
      </c>
      <c r="AL42" s="106" t="s">
        <v>136</v>
      </c>
      <c r="AM42" s="108">
        <v>939</v>
      </c>
      <c r="AN42" s="105" t="s">
        <v>971</v>
      </c>
      <c r="AO42" s="106" t="s">
        <v>136</v>
      </c>
      <c r="AP42" s="108">
        <v>999</v>
      </c>
      <c r="AQ42" s="105" t="s">
        <v>1031</v>
      </c>
      <c r="AR42" s="106" t="s">
        <v>136</v>
      </c>
      <c r="AS42" s="108">
        <v>1059</v>
      </c>
    </row>
    <row r="43" spans="1:45" x14ac:dyDescent="0.15">
      <c r="A43" s="109" t="s">
        <v>183</v>
      </c>
      <c r="B43" s="110" t="s">
        <v>136</v>
      </c>
      <c r="C43" s="111">
        <v>220</v>
      </c>
      <c r="D43" s="109" t="s">
        <v>244</v>
      </c>
      <c r="E43" s="110" t="s">
        <v>136</v>
      </c>
      <c r="F43" s="112">
        <v>280</v>
      </c>
      <c r="G43" s="109" t="s">
        <v>304</v>
      </c>
      <c r="H43" s="110" t="s">
        <v>136</v>
      </c>
      <c r="I43" s="112">
        <v>340</v>
      </c>
      <c r="J43" s="109" t="s">
        <v>364</v>
      </c>
      <c r="K43" s="110" t="s">
        <v>136</v>
      </c>
      <c r="L43" s="112">
        <v>400</v>
      </c>
      <c r="M43" s="109" t="s">
        <v>424</v>
      </c>
      <c r="N43" s="110" t="s">
        <v>136</v>
      </c>
      <c r="O43" s="112">
        <v>460</v>
      </c>
      <c r="P43" s="109" t="s">
        <v>484</v>
      </c>
      <c r="Q43" s="110" t="s">
        <v>136</v>
      </c>
      <c r="R43" s="112">
        <v>520</v>
      </c>
      <c r="S43" s="109" t="s">
        <v>544</v>
      </c>
      <c r="T43" s="110" t="s">
        <v>136</v>
      </c>
      <c r="U43" s="112">
        <v>580</v>
      </c>
      <c r="V43" s="109" t="s">
        <v>605</v>
      </c>
      <c r="W43" s="110" t="s">
        <v>136</v>
      </c>
      <c r="X43" s="112">
        <v>640</v>
      </c>
      <c r="Y43" s="109" t="s">
        <v>666</v>
      </c>
      <c r="Z43" s="110" t="s">
        <v>136</v>
      </c>
      <c r="AA43" s="112">
        <v>700</v>
      </c>
      <c r="AB43" s="109" t="s">
        <v>729</v>
      </c>
      <c r="AC43" s="110" t="s">
        <v>136</v>
      </c>
      <c r="AD43" s="112">
        <v>760</v>
      </c>
      <c r="AE43" s="109" t="s">
        <v>789</v>
      </c>
      <c r="AF43" s="110" t="s">
        <v>136</v>
      </c>
      <c r="AG43" s="112">
        <v>820</v>
      </c>
      <c r="AH43" s="109" t="s">
        <v>849</v>
      </c>
      <c r="AI43" s="110" t="s">
        <v>136</v>
      </c>
      <c r="AJ43" s="112">
        <v>880</v>
      </c>
      <c r="AK43" s="109" t="s">
        <v>912</v>
      </c>
      <c r="AL43" s="110" t="s">
        <v>136</v>
      </c>
      <c r="AM43" s="112">
        <v>940</v>
      </c>
      <c r="AN43" s="109" t="s">
        <v>972</v>
      </c>
      <c r="AO43" s="110" t="s">
        <v>136</v>
      </c>
      <c r="AP43" s="112">
        <v>1000</v>
      </c>
      <c r="AQ43" s="109" t="s">
        <v>1032</v>
      </c>
      <c r="AR43" s="110" t="s">
        <v>136</v>
      </c>
      <c r="AS43" s="112">
        <v>1060</v>
      </c>
    </row>
    <row r="44" spans="1:45" x14ac:dyDescent="0.15">
      <c r="A44" s="92" t="s">
        <v>184</v>
      </c>
      <c r="B44" s="89" t="s">
        <v>136</v>
      </c>
      <c r="C44" s="88">
        <v>221</v>
      </c>
      <c r="D44" s="92" t="s">
        <v>245</v>
      </c>
      <c r="E44" s="89" t="s">
        <v>136</v>
      </c>
      <c r="F44" s="93">
        <v>281</v>
      </c>
      <c r="G44" s="92" t="s">
        <v>305</v>
      </c>
      <c r="H44" s="89" t="s">
        <v>136</v>
      </c>
      <c r="I44" s="93">
        <v>341</v>
      </c>
      <c r="J44" s="92" t="s">
        <v>365</v>
      </c>
      <c r="K44" s="89" t="s">
        <v>136</v>
      </c>
      <c r="L44" s="93">
        <v>401</v>
      </c>
      <c r="M44" s="92" t="s">
        <v>425</v>
      </c>
      <c r="N44" s="89" t="s">
        <v>136</v>
      </c>
      <c r="O44" s="93">
        <v>461</v>
      </c>
      <c r="P44" s="92" t="s">
        <v>485</v>
      </c>
      <c r="Q44" s="89" t="s">
        <v>136</v>
      </c>
      <c r="R44" s="93">
        <v>521</v>
      </c>
      <c r="S44" s="92" t="s">
        <v>545</v>
      </c>
      <c r="T44" s="89" t="s">
        <v>136</v>
      </c>
      <c r="U44" s="93">
        <v>581</v>
      </c>
      <c r="V44" s="92" t="s">
        <v>606</v>
      </c>
      <c r="W44" s="89" t="s">
        <v>136</v>
      </c>
      <c r="X44" s="93">
        <v>641</v>
      </c>
      <c r="Y44" s="92" t="s">
        <v>667</v>
      </c>
      <c r="Z44" s="89" t="s">
        <v>136</v>
      </c>
      <c r="AA44" s="93">
        <v>701</v>
      </c>
      <c r="AB44" s="92" t="s">
        <v>730</v>
      </c>
      <c r="AC44" s="89" t="s">
        <v>136</v>
      </c>
      <c r="AD44" s="93">
        <v>761</v>
      </c>
      <c r="AE44" s="92" t="s">
        <v>790</v>
      </c>
      <c r="AF44" s="89" t="s">
        <v>136</v>
      </c>
      <c r="AG44" s="93">
        <v>821</v>
      </c>
      <c r="AH44" s="92" t="s">
        <v>850</v>
      </c>
      <c r="AI44" s="89" t="s">
        <v>136</v>
      </c>
      <c r="AJ44" s="93">
        <v>881</v>
      </c>
      <c r="AK44" s="92" t="s">
        <v>913</v>
      </c>
      <c r="AL44" s="89" t="s">
        <v>136</v>
      </c>
      <c r="AM44" s="93">
        <v>941</v>
      </c>
      <c r="AN44" s="92" t="s">
        <v>973</v>
      </c>
      <c r="AO44" s="89" t="s">
        <v>136</v>
      </c>
      <c r="AP44" s="93">
        <v>1001</v>
      </c>
      <c r="AQ44" s="92" t="s">
        <v>1033</v>
      </c>
      <c r="AR44" s="89" t="s">
        <v>136</v>
      </c>
      <c r="AS44" s="93">
        <v>1061</v>
      </c>
    </row>
    <row r="45" spans="1:45" x14ac:dyDescent="0.15">
      <c r="A45" s="92" t="s">
        <v>185</v>
      </c>
      <c r="B45" s="89" t="s">
        <v>136</v>
      </c>
      <c r="C45" s="88">
        <v>222</v>
      </c>
      <c r="D45" s="92" t="s">
        <v>246</v>
      </c>
      <c r="E45" s="89" t="s">
        <v>136</v>
      </c>
      <c r="F45" s="93">
        <v>282</v>
      </c>
      <c r="G45" s="92" t="s">
        <v>306</v>
      </c>
      <c r="H45" s="89" t="s">
        <v>136</v>
      </c>
      <c r="I45" s="93">
        <v>342</v>
      </c>
      <c r="J45" s="92" t="s">
        <v>366</v>
      </c>
      <c r="K45" s="89" t="s">
        <v>136</v>
      </c>
      <c r="L45" s="93">
        <v>402</v>
      </c>
      <c r="M45" s="92" t="s">
        <v>426</v>
      </c>
      <c r="N45" s="89" t="s">
        <v>136</v>
      </c>
      <c r="O45" s="93">
        <v>462</v>
      </c>
      <c r="P45" s="92" t="s">
        <v>486</v>
      </c>
      <c r="Q45" s="89" t="s">
        <v>136</v>
      </c>
      <c r="R45" s="93">
        <v>522</v>
      </c>
      <c r="S45" s="92" t="s">
        <v>546</v>
      </c>
      <c r="T45" s="89" t="s">
        <v>136</v>
      </c>
      <c r="U45" s="93">
        <v>582</v>
      </c>
      <c r="V45" s="92" t="s">
        <v>607</v>
      </c>
      <c r="W45" s="89" t="s">
        <v>136</v>
      </c>
      <c r="X45" s="93">
        <v>642</v>
      </c>
      <c r="Y45" s="92" t="s">
        <v>668</v>
      </c>
      <c r="Z45" s="89" t="s">
        <v>136</v>
      </c>
      <c r="AA45" s="93">
        <v>702</v>
      </c>
      <c r="AB45" s="92" t="s">
        <v>731</v>
      </c>
      <c r="AC45" s="89" t="s">
        <v>136</v>
      </c>
      <c r="AD45" s="93">
        <v>762</v>
      </c>
      <c r="AE45" s="92" t="s">
        <v>791</v>
      </c>
      <c r="AF45" s="89" t="s">
        <v>136</v>
      </c>
      <c r="AG45" s="93">
        <v>822</v>
      </c>
      <c r="AH45" s="92" t="s">
        <v>851</v>
      </c>
      <c r="AI45" s="89" t="s">
        <v>136</v>
      </c>
      <c r="AJ45" s="93">
        <v>882</v>
      </c>
      <c r="AK45" s="92" t="s">
        <v>914</v>
      </c>
      <c r="AL45" s="89" t="s">
        <v>136</v>
      </c>
      <c r="AM45" s="93">
        <v>942</v>
      </c>
      <c r="AN45" s="92" t="s">
        <v>974</v>
      </c>
      <c r="AO45" s="89" t="s">
        <v>136</v>
      </c>
      <c r="AP45" s="93">
        <v>1002</v>
      </c>
      <c r="AQ45" s="92" t="s">
        <v>1034</v>
      </c>
      <c r="AR45" s="89" t="s">
        <v>136</v>
      </c>
      <c r="AS45" s="93">
        <v>1062</v>
      </c>
    </row>
    <row r="46" spans="1:45" x14ac:dyDescent="0.15">
      <c r="A46" s="92" t="s">
        <v>186</v>
      </c>
      <c r="B46" s="89" t="s">
        <v>136</v>
      </c>
      <c r="C46" s="88">
        <v>223</v>
      </c>
      <c r="D46" s="92" t="s">
        <v>247</v>
      </c>
      <c r="E46" s="89" t="s">
        <v>136</v>
      </c>
      <c r="F46" s="93">
        <v>283</v>
      </c>
      <c r="G46" s="92" t="s">
        <v>307</v>
      </c>
      <c r="H46" s="89" t="s">
        <v>136</v>
      </c>
      <c r="I46" s="93">
        <v>343</v>
      </c>
      <c r="J46" s="92" t="s">
        <v>367</v>
      </c>
      <c r="K46" s="89" t="s">
        <v>136</v>
      </c>
      <c r="L46" s="93">
        <v>403</v>
      </c>
      <c r="M46" s="92" t="s">
        <v>427</v>
      </c>
      <c r="N46" s="89" t="s">
        <v>136</v>
      </c>
      <c r="O46" s="93">
        <v>463</v>
      </c>
      <c r="P46" s="92" t="s">
        <v>487</v>
      </c>
      <c r="Q46" s="89" t="s">
        <v>136</v>
      </c>
      <c r="R46" s="93">
        <v>523</v>
      </c>
      <c r="S46" s="92" t="s">
        <v>547</v>
      </c>
      <c r="T46" s="89" t="s">
        <v>136</v>
      </c>
      <c r="U46" s="93">
        <v>583</v>
      </c>
      <c r="V46" s="92" t="s">
        <v>608</v>
      </c>
      <c r="W46" s="89" t="s">
        <v>136</v>
      </c>
      <c r="X46" s="93">
        <v>643</v>
      </c>
      <c r="Y46" s="92" t="s">
        <v>669</v>
      </c>
      <c r="Z46" s="89" t="s">
        <v>136</v>
      </c>
      <c r="AA46" s="93">
        <v>703</v>
      </c>
      <c r="AB46" s="92" t="s">
        <v>732</v>
      </c>
      <c r="AC46" s="89" t="s">
        <v>136</v>
      </c>
      <c r="AD46" s="93">
        <v>763</v>
      </c>
      <c r="AE46" s="92" t="s">
        <v>792</v>
      </c>
      <c r="AF46" s="89" t="s">
        <v>136</v>
      </c>
      <c r="AG46" s="93">
        <v>823</v>
      </c>
      <c r="AH46" s="92" t="s">
        <v>852</v>
      </c>
      <c r="AI46" s="89" t="s">
        <v>136</v>
      </c>
      <c r="AJ46" s="93">
        <v>883</v>
      </c>
      <c r="AK46" s="92" t="s">
        <v>915</v>
      </c>
      <c r="AL46" s="89" t="s">
        <v>136</v>
      </c>
      <c r="AM46" s="93">
        <v>943</v>
      </c>
      <c r="AN46" s="92" t="s">
        <v>975</v>
      </c>
      <c r="AO46" s="89" t="s">
        <v>136</v>
      </c>
      <c r="AP46" s="93">
        <v>1003</v>
      </c>
      <c r="AQ46" s="92" t="s">
        <v>1035</v>
      </c>
      <c r="AR46" s="89" t="s">
        <v>136</v>
      </c>
      <c r="AS46" s="93">
        <v>1063</v>
      </c>
    </row>
    <row r="47" spans="1:45" x14ac:dyDescent="0.15">
      <c r="A47" s="92" t="s">
        <v>187</v>
      </c>
      <c r="B47" s="89" t="s">
        <v>136</v>
      </c>
      <c r="C47" s="88">
        <v>224</v>
      </c>
      <c r="D47" s="92" t="s">
        <v>248</v>
      </c>
      <c r="E47" s="89" t="s">
        <v>136</v>
      </c>
      <c r="F47" s="93">
        <v>284</v>
      </c>
      <c r="G47" s="92" t="s">
        <v>308</v>
      </c>
      <c r="H47" s="89" t="s">
        <v>136</v>
      </c>
      <c r="I47" s="93">
        <v>344</v>
      </c>
      <c r="J47" s="92" t="s">
        <v>368</v>
      </c>
      <c r="K47" s="89" t="s">
        <v>136</v>
      </c>
      <c r="L47" s="93">
        <v>404</v>
      </c>
      <c r="M47" s="92" t="s">
        <v>428</v>
      </c>
      <c r="N47" s="89" t="s">
        <v>136</v>
      </c>
      <c r="O47" s="93">
        <v>464</v>
      </c>
      <c r="P47" s="92" t="s">
        <v>488</v>
      </c>
      <c r="Q47" s="89" t="s">
        <v>136</v>
      </c>
      <c r="R47" s="93">
        <v>524</v>
      </c>
      <c r="S47" s="92" t="s">
        <v>548</v>
      </c>
      <c r="T47" s="89" t="s">
        <v>136</v>
      </c>
      <c r="U47" s="93">
        <v>584</v>
      </c>
      <c r="V47" s="92" t="s">
        <v>609</v>
      </c>
      <c r="W47" s="89" t="s">
        <v>136</v>
      </c>
      <c r="X47" s="93">
        <v>644</v>
      </c>
      <c r="Y47" s="92" t="s">
        <v>670</v>
      </c>
      <c r="Z47" s="89" t="s">
        <v>136</v>
      </c>
      <c r="AA47" s="93">
        <v>704</v>
      </c>
      <c r="AB47" s="92" t="s">
        <v>733</v>
      </c>
      <c r="AC47" s="89" t="s">
        <v>136</v>
      </c>
      <c r="AD47" s="93">
        <v>764</v>
      </c>
      <c r="AE47" s="92" t="s">
        <v>793</v>
      </c>
      <c r="AF47" s="89" t="s">
        <v>136</v>
      </c>
      <c r="AG47" s="93">
        <v>824</v>
      </c>
      <c r="AH47" s="92" t="s">
        <v>853</v>
      </c>
      <c r="AI47" s="89" t="s">
        <v>136</v>
      </c>
      <c r="AJ47" s="93">
        <v>884</v>
      </c>
      <c r="AK47" s="92" t="s">
        <v>916</v>
      </c>
      <c r="AL47" s="89" t="s">
        <v>136</v>
      </c>
      <c r="AM47" s="93">
        <v>944</v>
      </c>
      <c r="AN47" s="92" t="s">
        <v>976</v>
      </c>
      <c r="AO47" s="89" t="s">
        <v>136</v>
      </c>
      <c r="AP47" s="93">
        <v>1004</v>
      </c>
      <c r="AQ47" s="92" t="s">
        <v>1036</v>
      </c>
      <c r="AR47" s="89" t="s">
        <v>136</v>
      </c>
      <c r="AS47" s="93">
        <v>1064</v>
      </c>
    </row>
    <row r="48" spans="1:45" x14ac:dyDescent="0.15">
      <c r="A48" s="92" t="s">
        <v>188</v>
      </c>
      <c r="B48" s="89" t="s">
        <v>136</v>
      </c>
      <c r="C48" s="88">
        <v>225</v>
      </c>
      <c r="D48" s="92" t="s">
        <v>249</v>
      </c>
      <c r="E48" s="89" t="s">
        <v>136</v>
      </c>
      <c r="F48" s="93">
        <v>285</v>
      </c>
      <c r="G48" s="92" t="s">
        <v>309</v>
      </c>
      <c r="H48" s="89" t="s">
        <v>136</v>
      </c>
      <c r="I48" s="93">
        <v>345</v>
      </c>
      <c r="J48" s="92" t="s">
        <v>369</v>
      </c>
      <c r="K48" s="89" t="s">
        <v>136</v>
      </c>
      <c r="L48" s="93">
        <v>405</v>
      </c>
      <c r="M48" s="92" t="s">
        <v>429</v>
      </c>
      <c r="N48" s="89" t="s">
        <v>136</v>
      </c>
      <c r="O48" s="93">
        <v>465</v>
      </c>
      <c r="P48" s="92" t="s">
        <v>489</v>
      </c>
      <c r="Q48" s="89" t="s">
        <v>136</v>
      </c>
      <c r="R48" s="93">
        <v>525</v>
      </c>
      <c r="S48" s="92" t="s">
        <v>549</v>
      </c>
      <c r="T48" s="89" t="s">
        <v>136</v>
      </c>
      <c r="U48" s="93">
        <v>585</v>
      </c>
      <c r="V48" s="92" t="s">
        <v>610</v>
      </c>
      <c r="W48" s="89" t="s">
        <v>136</v>
      </c>
      <c r="X48" s="93">
        <v>645</v>
      </c>
      <c r="Y48" s="92" t="s">
        <v>671</v>
      </c>
      <c r="Z48" s="89" t="s">
        <v>136</v>
      </c>
      <c r="AA48" s="93">
        <v>705</v>
      </c>
      <c r="AB48" s="92" t="s">
        <v>734</v>
      </c>
      <c r="AC48" s="89" t="s">
        <v>136</v>
      </c>
      <c r="AD48" s="93">
        <v>765</v>
      </c>
      <c r="AE48" s="92" t="s">
        <v>794</v>
      </c>
      <c r="AF48" s="89" t="s">
        <v>136</v>
      </c>
      <c r="AG48" s="93">
        <v>825</v>
      </c>
      <c r="AH48" s="92" t="s">
        <v>854</v>
      </c>
      <c r="AI48" s="89" t="s">
        <v>136</v>
      </c>
      <c r="AJ48" s="93">
        <v>885</v>
      </c>
      <c r="AK48" s="92" t="s">
        <v>917</v>
      </c>
      <c r="AL48" s="89" t="s">
        <v>136</v>
      </c>
      <c r="AM48" s="93">
        <v>945</v>
      </c>
      <c r="AN48" s="92" t="s">
        <v>977</v>
      </c>
      <c r="AO48" s="89" t="s">
        <v>136</v>
      </c>
      <c r="AP48" s="93">
        <v>1005</v>
      </c>
      <c r="AQ48" s="92" t="s">
        <v>1037</v>
      </c>
      <c r="AR48" s="89" t="s">
        <v>136</v>
      </c>
      <c r="AS48" s="93">
        <v>1065</v>
      </c>
    </row>
    <row r="49" spans="1:45" x14ac:dyDescent="0.15">
      <c r="A49" s="92" t="s">
        <v>189</v>
      </c>
      <c r="B49" s="89" t="s">
        <v>136</v>
      </c>
      <c r="C49" s="88">
        <v>226</v>
      </c>
      <c r="D49" s="92" t="s">
        <v>250</v>
      </c>
      <c r="E49" s="89" t="s">
        <v>136</v>
      </c>
      <c r="F49" s="93">
        <v>286</v>
      </c>
      <c r="G49" s="92" t="s">
        <v>310</v>
      </c>
      <c r="H49" s="89" t="s">
        <v>136</v>
      </c>
      <c r="I49" s="93">
        <v>346</v>
      </c>
      <c r="J49" s="92" t="s">
        <v>370</v>
      </c>
      <c r="K49" s="89" t="s">
        <v>136</v>
      </c>
      <c r="L49" s="93">
        <v>406</v>
      </c>
      <c r="M49" s="92" t="s">
        <v>430</v>
      </c>
      <c r="N49" s="89" t="s">
        <v>136</v>
      </c>
      <c r="O49" s="93">
        <v>466</v>
      </c>
      <c r="P49" s="92" t="s">
        <v>490</v>
      </c>
      <c r="Q49" s="89" t="s">
        <v>136</v>
      </c>
      <c r="R49" s="93">
        <v>526</v>
      </c>
      <c r="S49" s="92" t="s">
        <v>550</v>
      </c>
      <c r="T49" s="89" t="s">
        <v>136</v>
      </c>
      <c r="U49" s="93">
        <v>586</v>
      </c>
      <c r="V49" s="92" t="s">
        <v>611</v>
      </c>
      <c r="W49" s="89" t="s">
        <v>136</v>
      </c>
      <c r="X49" s="93">
        <v>646</v>
      </c>
      <c r="Y49" s="92" t="s">
        <v>672</v>
      </c>
      <c r="Z49" s="89" t="s">
        <v>136</v>
      </c>
      <c r="AA49" s="93">
        <v>706</v>
      </c>
      <c r="AB49" s="92" t="s">
        <v>735</v>
      </c>
      <c r="AC49" s="89" t="s">
        <v>136</v>
      </c>
      <c r="AD49" s="93">
        <v>766</v>
      </c>
      <c r="AE49" s="92" t="s">
        <v>795</v>
      </c>
      <c r="AF49" s="89" t="s">
        <v>136</v>
      </c>
      <c r="AG49" s="93">
        <v>826</v>
      </c>
      <c r="AH49" s="92" t="s">
        <v>855</v>
      </c>
      <c r="AI49" s="89" t="s">
        <v>136</v>
      </c>
      <c r="AJ49" s="93">
        <v>886</v>
      </c>
      <c r="AK49" s="92" t="s">
        <v>918</v>
      </c>
      <c r="AL49" s="89" t="s">
        <v>136</v>
      </c>
      <c r="AM49" s="93">
        <v>946</v>
      </c>
      <c r="AN49" s="92" t="s">
        <v>978</v>
      </c>
      <c r="AO49" s="89" t="s">
        <v>136</v>
      </c>
      <c r="AP49" s="93">
        <v>1006</v>
      </c>
      <c r="AQ49" s="92" t="s">
        <v>1038</v>
      </c>
      <c r="AR49" s="89" t="s">
        <v>136</v>
      </c>
      <c r="AS49" s="93">
        <v>1066</v>
      </c>
    </row>
    <row r="50" spans="1:45" x14ac:dyDescent="0.15">
      <c r="A50" s="92" t="s">
        <v>190</v>
      </c>
      <c r="B50" s="89" t="s">
        <v>136</v>
      </c>
      <c r="C50" s="88">
        <v>227</v>
      </c>
      <c r="D50" s="92" t="s">
        <v>251</v>
      </c>
      <c r="E50" s="89" t="s">
        <v>136</v>
      </c>
      <c r="F50" s="93">
        <v>287</v>
      </c>
      <c r="G50" s="92" t="s">
        <v>311</v>
      </c>
      <c r="H50" s="89" t="s">
        <v>136</v>
      </c>
      <c r="I50" s="93">
        <v>347</v>
      </c>
      <c r="J50" s="92" t="s">
        <v>371</v>
      </c>
      <c r="K50" s="89" t="s">
        <v>136</v>
      </c>
      <c r="L50" s="93">
        <v>407</v>
      </c>
      <c r="M50" s="92" t="s">
        <v>431</v>
      </c>
      <c r="N50" s="89" t="s">
        <v>136</v>
      </c>
      <c r="O50" s="93">
        <v>467</v>
      </c>
      <c r="P50" s="92" t="s">
        <v>491</v>
      </c>
      <c r="Q50" s="89" t="s">
        <v>136</v>
      </c>
      <c r="R50" s="93">
        <v>527</v>
      </c>
      <c r="S50" s="92" t="s">
        <v>551</v>
      </c>
      <c r="T50" s="89" t="s">
        <v>136</v>
      </c>
      <c r="U50" s="93">
        <v>587</v>
      </c>
      <c r="V50" s="92" t="s">
        <v>612</v>
      </c>
      <c r="W50" s="89" t="s">
        <v>136</v>
      </c>
      <c r="X50" s="93">
        <v>647</v>
      </c>
      <c r="Y50" s="92" t="s">
        <v>673</v>
      </c>
      <c r="Z50" s="89" t="s">
        <v>136</v>
      </c>
      <c r="AA50" s="93">
        <v>707</v>
      </c>
      <c r="AB50" s="92" t="s">
        <v>736</v>
      </c>
      <c r="AC50" s="89" t="s">
        <v>136</v>
      </c>
      <c r="AD50" s="93">
        <v>767</v>
      </c>
      <c r="AE50" s="92" t="s">
        <v>796</v>
      </c>
      <c r="AF50" s="89" t="s">
        <v>136</v>
      </c>
      <c r="AG50" s="93">
        <v>827</v>
      </c>
      <c r="AH50" s="92" t="s">
        <v>856</v>
      </c>
      <c r="AI50" s="89" t="s">
        <v>136</v>
      </c>
      <c r="AJ50" s="93">
        <v>887</v>
      </c>
      <c r="AK50" s="92" t="s">
        <v>919</v>
      </c>
      <c r="AL50" s="89" t="s">
        <v>136</v>
      </c>
      <c r="AM50" s="93">
        <v>947</v>
      </c>
      <c r="AN50" s="92" t="s">
        <v>979</v>
      </c>
      <c r="AO50" s="89" t="s">
        <v>136</v>
      </c>
      <c r="AP50" s="93">
        <v>1007</v>
      </c>
      <c r="AQ50" s="92" t="s">
        <v>1039</v>
      </c>
      <c r="AR50" s="89" t="s">
        <v>136</v>
      </c>
      <c r="AS50" s="93">
        <v>1067</v>
      </c>
    </row>
    <row r="51" spans="1:45" x14ac:dyDescent="0.15">
      <c r="A51" s="92" t="s">
        <v>191</v>
      </c>
      <c r="B51" s="89" t="s">
        <v>136</v>
      </c>
      <c r="C51" s="88">
        <v>228</v>
      </c>
      <c r="D51" s="92" t="s">
        <v>252</v>
      </c>
      <c r="E51" s="89" t="s">
        <v>136</v>
      </c>
      <c r="F51" s="93">
        <v>288</v>
      </c>
      <c r="G51" s="92" t="s">
        <v>312</v>
      </c>
      <c r="H51" s="89" t="s">
        <v>136</v>
      </c>
      <c r="I51" s="93">
        <v>348</v>
      </c>
      <c r="J51" s="92" t="s">
        <v>372</v>
      </c>
      <c r="K51" s="89" t="s">
        <v>136</v>
      </c>
      <c r="L51" s="93">
        <v>408</v>
      </c>
      <c r="M51" s="92" t="s">
        <v>432</v>
      </c>
      <c r="N51" s="89" t="s">
        <v>136</v>
      </c>
      <c r="O51" s="93">
        <v>468</v>
      </c>
      <c r="P51" s="92" t="s">
        <v>492</v>
      </c>
      <c r="Q51" s="89" t="s">
        <v>136</v>
      </c>
      <c r="R51" s="93">
        <v>528</v>
      </c>
      <c r="S51" s="92" t="s">
        <v>552</v>
      </c>
      <c r="T51" s="89" t="s">
        <v>136</v>
      </c>
      <c r="U51" s="93">
        <v>588</v>
      </c>
      <c r="V51" s="92" t="s">
        <v>613</v>
      </c>
      <c r="W51" s="89" t="s">
        <v>136</v>
      </c>
      <c r="X51" s="93">
        <v>648</v>
      </c>
      <c r="Y51" s="92" t="s">
        <v>674</v>
      </c>
      <c r="Z51" s="89" t="s">
        <v>136</v>
      </c>
      <c r="AA51" s="93">
        <v>708</v>
      </c>
      <c r="AB51" s="92" t="s">
        <v>737</v>
      </c>
      <c r="AC51" s="89" t="s">
        <v>136</v>
      </c>
      <c r="AD51" s="93">
        <v>768</v>
      </c>
      <c r="AE51" s="92" t="s">
        <v>797</v>
      </c>
      <c r="AF51" s="89" t="s">
        <v>136</v>
      </c>
      <c r="AG51" s="93">
        <v>828</v>
      </c>
      <c r="AH51" s="92" t="s">
        <v>857</v>
      </c>
      <c r="AI51" s="89" t="s">
        <v>136</v>
      </c>
      <c r="AJ51" s="93">
        <v>888</v>
      </c>
      <c r="AK51" s="92" t="s">
        <v>920</v>
      </c>
      <c r="AL51" s="89" t="s">
        <v>136</v>
      </c>
      <c r="AM51" s="93">
        <v>948</v>
      </c>
      <c r="AN51" s="92" t="s">
        <v>980</v>
      </c>
      <c r="AO51" s="89" t="s">
        <v>136</v>
      </c>
      <c r="AP51" s="93">
        <v>1008</v>
      </c>
      <c r="AQ51" s="92" t="s">
        <v>1040</v>
      </c>
      <c r="AR51" s="89" t="s">
        <v>136</v>
      </c>
      <c r="AS51" s="93">
        <v>1068</v>
      </c>
    </row>
    <row r="52" spans="1:45" ht="14.25" thickBot="1" x14ac:dyDescent="0.2">
      <c r="A52" s="103" t="s">
        <v>192</v>
      </c>
      <c r="B52" s="101" t="s">
        <v>136</v>
      </c>
      <c r="C52" s="102">
        <v>229</v>
      </c>
      <c r="D52" s="103" t="s">
        <v>253</v>
      </c>
      <c r="E52" s="101" t="s">
        <v>136</v>
      </c>
      <c r="F52" s="104">
        <v>289</v>
      </c>
      <c r="G52" s="103" t="s">
        <v>313</v>
      </c>
      <c r="H52" s="101" t="s">
        <v>136</v>
      </c>
      <c r="I52" s="104">
        <v>349</v>
      </c>
      <c r="J52" s="103" t="s">
        <v>373</v>
      </c>
      <c r="K52" s="101" t="s">
        <v>136</v>
      </c>
      <c r="L52" s="104">
        <v>409</v>
      </c>
      <c r="M52" s="103" t="s">
        <v>433</v>
      </c>
      <c r="N52" s="101" t="s">
        <v>136</v>
      </c>
      <c r="O52" s="104">
        <v>469</v>
      </c>
      <c r="P52" s="103" t="s">
        <v>493</v>
      </c>
      <c r="Q52" s="101" t="s">
        <v>136</v>
      </c>
      <c r="R52" s="104">
        <v>529</v>
      </c>
      <c r="S52" s="103" t="s">
        <v>553</v>
      </c>
      <c r="T52" s="101" t="s">
        <v>136</v>
      </c>
      <c r="U52" s="104">
        <v>589</v>
      </c>
      <c r="V52" s="103" t="s">
        <v>614</v>
      </c>
      <c r="W52" s="101" t="s">
        <v>136</v>
      </c>
      <c r="X52" s="104">
        <v>649</v>
      </c>
      <c r="Y52" s="103" t="s">
        <v>675</v>
      </c>
      <c r="Z52" s="101" t="s">
        <v>136</v>
      </c>
      <c r="AA52" s="104">
        <v>709</v>
      </c>
      <c r="AB52" s="103" t="s">
        <v>738</v>
      </c>
      <c r="AC52" s="101" t="s">
        <v>136</v>
      </c>
      <c r="AD52" s="104">
        <v>769</v>
      </c>
      <c r="AE52" s="103" t="s">
        <v>798</v>
      </c>
      <c r="AF52" s="101" t="s">
        <v>136</v>
      </c>
      <c r="AG52" s="104">
        <v>829</v>
      </c>
      <c r="AH52" s="103" t="s">
        <v>858</v>
      </c>
      <c r="AI52" s="101" t="s">
        <v>136</v>
      </c>
      <c r="AJ52" s="104">
        <v>889</v>
      </c>
      <c r="AK52" s="103" t="s">
        <v>921</v>
      </c>
      <c r="AL52" s="101" t="s">
        <v>136</v>
      </c>
      <c r="AM52" s="104">
        <v>949</v>
      </c>
      <c r="AN52" s="103" t="s">
        <v>981</v>
      </c>
      <c r="AO52" s="101" t="s">
        <v>136</v>
      </c>
      <c r="AP52" s="104">
        <v>1009</v>
      </c>
      <c r="AQ52" s="103" t="s">
        <v>1041</v>
      </c>
      <c r="AR52" s="101" t="s">
        <v>136</v>
      </c>
      <c r="AS52" s="104">
        <v>1069</v>
      </c>
    </row>
    <row r="53" spans="1:45" x14ac:dyDescent="0.15">
      <c r="A53" s="98" t="s">
        <v>193</v>
      </c>
      <c r="B53" s="99" t="s">
        <v>136</v>
      </c>
      <c r="C53" s="90">
        <v>230</v>
      </c>
      <c r="D53" s="98" t="s">
        <v>254</v>
      </c>
      <c r="E53" s="99" t="s">
        <v>136</v>
      </c>
      <c r="F53" s="100">
        <v>290</v>
      </c>
      <c r="G53" s="98" t="s">
        <v>314</v>
      </c>
      <c r="H53" s="99" t="s">
        <v>136</v>
      </c>
      <c r="I53" s="100">
        <v>350</v>
      </c>
      <c r="J53" s="98" t="s">
        <v>374</v>
      </c>
      <c r="K53" s="99" t="s">
        <v>136</v>
      </c>
      <c r="L53" s="100">
        <v>410</v>
      </c>
      <c r="M53" s="98" t="s">
        <v>434</v>
      </c>
      <c r="N53" s="99" t="s">
        <v>136</v>
      </c>
      <c r="O53" s="100">
        <v>470</v>
      </c>
      <c r="P53" s="98" t="s">
        <v>494</v>
      </c>
      <c r="Q53" s="99" t="s">
        <v>136</v>
      </c>
      <c r="R53" s="100">
        <v>530</v>
      </c>
      <c r="S53" s="98" t="s">
        <v>554</v>
      </c>
      <c r="T53" s="99" t="s">
        <v>136</v>
      </c>
      <c r="U53" s="100">
        <v>590</v>
      </c>
      <c r="V53" s="98" t="s">
        <v>615</v>
      </c>
      <c r="W53" s="99" t="s">
        <v>136</v>
      </c>
      <c r="X53" s="100">
        <v>650</v>
      </c>
      <c r="Y53" s="98" t="s">
        <v>676</v>
      </c>
      <c r="Z53" s="99" t="s">
        <v>136</v>
      </c>
      <c r="AA53" s="100">
        <v>710</v>
      </c>
      <c r="AB53" s="98" t="s">
        <v>739</v>
      </c>
      <c r="AC53" s="99" t="s">
        <v>136</v>
      </c>
      <c r="AD53" s="100">
        <v>770</v>
      </c>
      <c r="AE53" s="98" t="s">
        <v>799</v>
      </c>
      <c r="AF53" s="99" t="s">
        <v>136</v>
      </c>
      <c r="AG53" s="100">
        <v>830</v>
      </c>
      <c r="AH53" s="98" t="s">
        <v>859</v>
      </c>
      <c r="AI53" s="99" t="s">
        <v>136</v>
      </c>
      <c r="AJ53" s="100">
        <v>890</v>
      </c>
      <c r="AK53" s="98" t="s">
        <v>922</v>
      </c>
      <c r="AL53" s="99" t="s">
        <v>136</v>
      </c>
      <c r="AM53" s="100">
        <v>950</v>
      </c>
      <c r="AN53" s="98" t="s">
        <v>982</v>
      </c>
      <c r="AO53" s="99" t="s">
        <v>136</v>
      </c>
      <c r="AP53" s="100">
        <v>1010</v>
      </c>
      <c r="AQ53" s="98" t="s">
        <v>1042</v>
      </c>
      <c r="AR53" s="99" t="s">
        <v>136</v>
      </c>
      <c r="AS53" s="100">
        <v>1070</v>
      </c>
    </row>
    <row r="54" spans="1:45" x14ac:dyDescent="0.15">
      <c r="A54" s="92" t="s">
        <v>194</v>
      </c>
      <c r="B54" s="89" t="s">
        <v>136</v>
      </c>
      <c r="C54" s="88">
        <v>231</v>
      </c>
      <c r="D54" s="92" t="s">
        <v>255</v>
      </c>
      <c r="E54" s="89" t="s">
        <v>136</v>
      </c>
      <c r="F54" s="93">
        <v>291</v>
      </c>
      <c r="G54" s="92" t="s">
        <v>315</v>
      </c>
      <c r="H54" s="89" t="s">
        <v>136</v>
      </c>
      <c r="I54" s="93">
        <v>351</v>
      </c>
      <c r="J54" s="92" t="s">
        <v>375</v>
      </c>
      <c r="K54" s="89" t="s">
        <v>136</v>
      </c>
      <c r="L54" s="93">
        <v>411</v>
      </c>
      <c r="M54" s="92" t="s">
        <v>435</v>
      </c>
      <c r="N54" s="89" t="s">
        <v>136</v>
      </c>
      <c r="O54" s="93">
        <v>471</v>
      </c>
      <c r="P54" s="92" t="s">
        <v>495</v>
      </c>
      <c r="Q54" s="89" t="s">
        <v>136</v>
      </c>
      <c r="R54" s="93">
        <v>531</v>
      </c>
      <c r="S54" s="92" t="s">
        <v>555</v>
      </c>
      <c r="T54" s="89" t="s">
        <v>136</v>
      </c>
      <c r="U54" s="93">
        <v>591</v>
      </c>
      <c r="V54" s="92" t="s">
        <v>616</v>
      </c>
      <c r="W54" s="89" t="s">
        <v>136</v>
      </c>
      <c r="X54" s="93">
        <v>651</v>
      </c>
      <c r="Y54" s="92" t="s">
        <v>677</v>
      </c>
      <c r="Z54" s="89" t="s">
        <v>136</v>
      </c>
      <c r="AA54" s="93">
        <v>711</v>
      </c>
      <c r="AB54" s="92" t="s">
        <v>740</v>
      </c>
      <c r="AC54" s="89" t="s">
        <v>136</v>
      </c>
      <c r="AD54" s="93">
        <v>771</v>
      </c>
      <c r="AE54" s="92" t="s">
        <v>800</v>
      </c>
      <c r="AF54" s="89" t="s">
        <v>136</v>
      </c>
      <c r="AG54" s="93">
        <v>831</v>
      </c>
      <c r="AH54" s="92" t="s">
        <v>860</v>
      </c>
      <c r="AI54" s="89" t="s">
        <v>136</v>
      </c>
      <c r="AJ54" s="93">
        <v>891</v>
      </c>
      <c r="AK54" s="92" t="s">
        <v>923</v>
      </c>
      <c r="AL54" s="89" t="s">
        <v>136</v>
      </c>
      <c r="AM54" s="93">
        <v>951</v>
      </c>
      <c r="AN54" s="92" t="s">
        <v>983</v>
      </c>
      <c r="AO54" s="89" t="s">
        <v>136</v>
      </c>
      <c r="AP54" s="93">
        <v>1011</v>
      </c>
      <c r="AQ54" s="92" t="s">
        <v>1043</v>
      </c>
      <c r="AR54" s="89" t="s">
        <v>136</v>
      </c>
      <c r="AS54" s="93">
        <v>1071</v>
      </c>
    </row>
    <row r="55" spans="1:45" x14ac:dyDescent="0.15">
      <c r="A55" s="92" t="s">
        <v>195</v>
      </c>
      <c r="B55" s="89" t="s">
        <v>136</v>
      </c>
      <c r="C55" s="88">
        <v>232</v>
      </c>
      <c r="D55" s="92" t="s">
        <v>256</v>
      </c>
      <c r="E55" s="89" t="s">
        <v>136</v>
      </c>
      <c r="F55" s="93">
        <v>292</v>
      </c>
      <c r="G55" s="92" t="s">
        <v>316</v>
      </c>
      <c r="H55" s="89" t="s">
        <v>136</v>
      </c>
      <c r="I55" s="93">
        <v>352</v>
      </c>
      <c r="J55" s="92" t="s">
        <v>376</v>
      </c>
      <c r="K55" s="89" t="s">
        <v>136</v>
      </c>
      <c r="L55" s="93">
        <v>412</v>
      </c>
      <c r="M55" s="92" t="s">
        <v>436</v>
      </c>
      <c r="N55" s="89" t="s">
        <v>136</v>
      </c>
      <c r="O55" s="93">
        <v>472</v>
      </c>
      <c r="P55" s="92" t="s">
        <v>496</v>
      </c>
      <c r="Q55" s="89" t="s">
        <v>136</v>
      </c>
      <c r="R55" s="93">
        <v>532</v>
      </c>
      <c r="S55" s="92" t="s">
        <v>556</v>
      </c>
      <c r="T55" s="89" t="s">
        <v>136</v>
      </c>
      <c r="U55" s="93">
        <v>592</v>
      </c>
      <c r="V55" s="92" t="s">
        <v>617</v>
      </c>
      <c r="W55" s="89" t="s">
        <v>136</v>
      </c>
      <c r="X55" s="93">
        <v>652</v>
      </c>
      <c r="Y55" s="92" t="s">
        <v>678</v>
      </c>
      <c r="Z55" s="89" t="s">
        <v>136</v>
      </c>
      <c r="AA55" s="93">
        <v>712</v>
      </c>
      <c r="AB55" s="92" t="s">
        <v>741</v>
      </c>
      <c r="AC55" s="89" t="s">
        <v>136</v>
      </c>
      <c r="AD55" s="93">
        <v>772</v>
      </c>
      <c r="AE55" s="92" t="s">
        <v>801</v>
      </c>
      <c r="AF55" s="89" t="s">
        <v>136</v>
      </c>
      <c r="AG55" s="93">
        <v>832</v>
      </c>
      <c r="AH55" s="92" t="s">
        <v>861</v>
      </c>
      <c r="AI55" s="89" t="s">
        <v>136</v>
      </c>
      <c r="AJ55" s="93">
        <v>892</v>
      </c>
      <c r="AK55" s="92" t="s">
        <v>924</v>
      </c>
      <c r="AL55" s="89" t="s">
        <v>136</v>
      </c>
      <c r="AM55" s="93">
        <v>952</v>
      </c>
      <c r="AN55" s="92" t="s">
        <v>984</v>
      </c>
      <c r="AO55" s="89" t="s">
        <v>136</v>
      </c>
      <c r="AP55" s="93">
        <v>1012</v>
      </c>
      <c r="AQ55" s="92" t="s">
        <v>1044</v>
      </c>
      <c r="AR55" s="89" t="s">
        <v>136</v>
      </c>
      <c r="AS55" s="93">
        <v>1072</v>
      </c>
    </row>
    <row r="56" spans="1:45" x14ac:dyDescent="0.15">
      <c r="A56" s="92" t="s">
        <v>196</v>
      </c>
      <c r="B56" s="89" t="s">
        <v>136</v>
      </c>
      <c r="C56" s="88">
        <v>233</v>
      </c>
      <c r="D56" s="92" t="s">
        <v>257</v>
      </c>
      <c r="E56" s="89" t="s">
        <v>136</v>
      </c>
      <c r="F56" s="93">
        <v>293</v>
      </c>
      <c r="G56" s="92" t="s">
        <v>317</v>
      </c>
      <c r="H56" s="89" t="s">
        <v>136</v>
      </c>
      <c r="I56" s="93">
        <v>353</v>
      </c>
      <c r="J56" s="92" t="s">
        <v>377</v>
      </c>
      <c r="K56" s="89" t="s">
        <v>136</v>
      </c>
      <c r="L56" s="93">
        <v>413</v>
      </c>
      <c r="M56" s="92" t="s">
        <v>437</v>
      </c>
      <c r="N56" s="89" t="s">
        <v>136</v>
      </c>
      <c r="O56" s="93">
        <v>473</v>
      </c>
      <c r="P56" s="92" t="s">
        <v>497</v>
      </c>
      <c r="Q56" s="89" t="s">
        <v>136</v>
      </c>
      <c r="R56" s="93">
        <v>533</v>
      </c>
      <c r="S56" s="92" t="s">
        <v>557</v>
      </c>
      <c r="T56" s="89" t="s">
        <v>136</v>
      </c>
      <c r="U56" s="93">
        <v>593</v>
      </c>
      <c r="V56" s="92" t="s">
        <v>618</v>
      </c>
      <c r="W56" s="89" t="s">
        <v>136</v>
      </c>
      <c r="X56" s="93">
        <v>653</v>
      </c>
      <c r="Y56" s="92" t="s">
        <v>679</v>
      </c>
      <c r="Z56" s="89" t="s">
        <v>136</v>
      </c>
      <c r="AA56" s="93">
        <v>713</v>
      </c>
      <c r="AB56" s="92" t="s">
        <v>742</v>
      </c>
      <c r="AC56" s="89" t="s">
        <v>136</v>
      </c>
      <c r="AD56" s="93">
        <v>773</v>
      </c>
      <c r="AE56" s="92" t="s">
        <v>802</v>
      </c>
      <c r="AF56" s="89" t="s">
        <v>136</v>
      </c>
      <c r="AG56" s="93">
        <v>833</v>
      </c>
      <c r="AH56" s="92" t="s">
        <v>862</v>
      </c>
      <c r="AI56" s="89" t="s">
        <v>136</v>
      </c>
      <c r="AJ56" s="93">
        <v>893</v>
      </c>
      <c r="AK56" s="92" t="s">
        <v>925</v>
      </c>
      <c r="AL56" s="89" t="s">
        <v>136</v>
      </c>
      <c r="AM56" s="93">
        <v>953</v>
      </c>
      <c r="AN56" s="92" t="s">
        <v>985</v>
      </c>
      <c r="AO56" s="89" t="s">
        <v>136</v>
      </c>
      <c r="AP56" s="93">
        <v>1013</v>
      </c>
      <c r="AQ56" s="92" t="s">
        <v>1045</v>
      </c>
      <c r="AR56" s="89" t="s">
        <v>136</v>
      </c>
      <c r="AS56" s="93">
        <v>1073</v>
      </c>
    </row>
    <row r="57" spans="1:45" x14ac:dyDescent="0.15">
      <c r="A57" s="92" t="s">
        <v>197</v>
      </c>
      <c r="B57" s="89" t="s">
        <v>136</v>
      </c>
      <c r="C57" s="88">
        <v>234</v>
      </c>
      <c r="D57" s="92" t="s">
        <v>258</v>
      </c>
      <c r="E57" s="89" t="s">
        <v>136</v>
      </c>
      <c r="F57" s="93">
        <v>294</v>
      </c>
      <c r="G57" s="92" t="s">
        <v>318</v>
      </c>
      <c r="H57" s="89" t="s">
        <v>136</v>
      </c>
      <c r="I57" s="93">
        <v>354</v>
      </c>
      <c r="J57" s="92" t="s">
        <v>378</v>
      </c>
      <c r="K57" s="89" t="s">
        <v>136</v>
      </c>
      <c r="L57" s="93">
        <v>414</v>
      </c>
      <c r="M57" s="92" t="s">
        <v>438</v>
      </c>
      <c r="N57" s="89" t="s">
        <v>136</v>
      </c>
      <c r="O57" s="93">
        <v>474</v>
      </c>
      <c r="P57" s="92" t="s">
        <v>498</v>
      </c>
      <c r="Q57" s="89" t="s">
        <v>136</v>
      </c>
      <c r="R57" s="93">
        <v>534</v>
      </c>
      <c r="S57" s="92" t="s">
        <v>558</v>
      </c>
      <c r="T57" s="89" t="s">
        <v>136</v>
      </c>
      <c r="U57" s="93">
        <v>594</v>
      </c>
      <c r="V57" s="92" t="s">
        <v>619</v>
      </c>
      <c r="W57" s="89" t="s">
        <v>136</v>
      </c>
      <c r="X57" s="93">
        <v>654</v>
      </c>
      <c r="Y57" s="92" t="s">
        <v>680</v>
      </c>
      <c r="Z57" s="89" t="s">
        <v>136</v>
      </c>
      <c r="AA57" s="93">
        <v>714</v>
      </c>
      <c r="AB57" s="92" t="s">
        <v>743</v>
      </c>
      <c r="AC57" s="89" t="s">
        <v>136</v>
      </c>
      <c r="AD57" s="93">
        <v>774</v>
      </c>
      <c r="AE57" s="92" t="s">
        <v>803</v>
      </c>
      <c r="AF57" s="89" t="s">
        <v>136</v>
      </c>
      <c r="AG57" s="93">
        <v>834</v>
      </c>
      <c r="AH57" s="92" t="s">
        <v>863</v>
      </c>
      <c r="AI57" s="89" t="s">
        <v>136</v>
      </c>
      <c r="AJ57" s="93">
        <v>894</v>
      </c>
      <c r="AK57" s="92" t="s">
        <v>926</v>
      </c>
      <c r="AL57" s="89" t="s">
        <v>136</v>
      </c>
      <c r="AM57" s="93">
        <v>954</v>
      </c>
      <c r="AN57" s="92" t="s">
        <v>986</v>
      </c>
      <c r="AO57" s="89" t="s">
        <v>136</v>
      </c>
      <c r="AP57" s="93">
        <v>1014</v>
      </c>
      <c r="AQ57" s="92" t="s">
        <v>1046</v>
      </c>
      <c r="AR57" s="89" t="s">
        <v>136</v>
      </c>
      <c r="AS57" s="93">
        <v>1074</v>
      </c>
    </row>
    <row r="58" spans="1:45" x14ac:dyDescent="0.15">
      <c r="A58" s="92" t="s">
        <v>198</v>
      </c>
      <c r="B58" s="89" t="s">
        <v>136</v>
      </c>
      <c r="C58" s="88">
        <v>235</v>
      </c>
      <c r="D58" s="92" t="s">
        <v>259</v>
      </c>
      <c r="E58" s="89" t="s">
        <v>136</v>
      </c>
      <c r="F58" s="93">
        <v>295</v>
      </c>
      <c r="G58" s="92" t="s">
        <v>319</v>
      </c>
      <c r="H58" s="89" t="s">
        <v>136</v>
      </c>
      <c r="I58" s="93">
        <v>355</v>
      </c>
      <c r="J58" s="92" t="s">
        <v>379</v>
      </c>
      <c r="K58" s="89" t="s">
        <v>136</v>
      </c>
      <c r="L58" s="93">
        <v>415</v>
      </c>
      <c r="M58" s="92" t="s">
        <v>439</v>
      </c>
      <c r="N58" s="89" t="s">
        <v>136</v>
      </c>
      <c r="O58" s="93">
        <v>475</v>
      </c>
      <c r="P58" s="92" t="s">
        <v>499</v>
      </c>
      <c r="Q58" s="89" t="s">
        <v>136</v>
      </c>
      <c r="R58" s="93">
        <v>535</v>
      </c>
      <c r="S58" s="92" t="s">
        <v>559</v>
      </c>
      <c r="T58" s="89" t="s">
        <v>136</v>
      </c>
      <c r="U58" s="93">
        <v>595</v>
      </c>
      <c r="V58" s="92" t="s">
        <v>620</v>
      </c>
      <c r="W58" s="89" t="s">
        <v>136</v>
      </c>
      <c r="X58" s="93">
        <v>655</v>
      </c>
      <c r="Y58" s="92" t="s">
        <v>681</v>
      </c>
      <c r="Z58" s="89" t="s">
        <v>136</v>
      </c>
      <c r="AA58" s="93">
        <v>715</v>
      </c>
      <c r="AB58" s="92" t="s">
        <v>744</v>
      </c>
      <c r="AC58" s="89" t="s">
        <v>136</v>
      </c>
      <c r="AD58" s="93">
        <v>775</v>
      </c>
      <c r="AE58" s="92" t="s">
        <v>804</v>
      </c>
      <c r="AF58" s="89" t="s">
        <v>136</v>
      </c>
      <c r="AG58" s="93">
        <v>835</v>
      </c>
      <c r="AH58" s="92" t="s">
        <v>864</v>
      </c>
      <c r="AI58" s="89" t="s">
        <v>136</v>
      </c>
      <c r="AJ58" s="93">
        <v>895</v>
      </c>
      <c r="AK58" s="92" t="s">
        <v>927</v>
      </c>
      <c r="AL58" s="89" t="s">
        <v>136</v>
      </c>
      <c r="AM58" s="93">
        <v>955</v>
      </c>
      <c r="AN58" s="92" t="s">
        <v>987</v>
      </c>
      <c r="AO58" s="89" t="s">
        <v>136</v>
      </c>
      <c r="AP58" s="93">
        <v>1015</v>
      </c>
      <c r="AQ58" s="92" t="s">
        <v>1047</v>
      </c>
      <c r="AR58" s="89" t="s">
        <v>136</v>
      </c>
      <c r="AS58" s="93">
        <v>1075</v>
      </c>
    </row>
    <row r="59" spans="1:45" x14ac:dyDescent="0.15">
      <c r="A59" s="92" t="s">
        <v>199</v>
      </c>
      <c r="B59" s="89" t="s">
        <v>136</v>
      </c>
      <c r="C59" s="88">
        <v>236</v>
      </c>
      <c r="D59" s="92" t="s">
        <v>260</v>
      </c>
      <c r="E59" s="89" t="s">
        <v>136</v>
      </c>
      <c r="F59" s="93">
        <v>296</v>
      </c>
      <c r="G59" s="92" t="s">
        <v>320</v>
      </c>
      <c r="H59" s="89" t="s">
        <v>136</v>
      </c>
      <c r="I59" s="93">
        <v>356</v>
      </c>
      <c r="J59" s="92" t="s">
        <v>380</v>
      </c>
      <c r="K59" s="89" t="s">
        <v>136</v>
      </c>
      <c r="L59" s="93">
        <v>416</v>
      </c>
      <c r="M59" s="92" t="s">
        <v>440</v>
      </c>
      <c r="N59" s="89" t="s">
        <v>136</v>
      </c>
      <c r="O59" s="93">
        <v>476</v>
      </c>
      <c r="P59" s="92" t="s">
        <v>500</v>
      </c>
      <c r="Q59" s="89" t="s">
        <v>136</v>
      </c>
      <c r="R59" s="93">
        <v>536</v>
      </c>
      <c r="S59" s="92" t="s">
        <v>560</v>
      </c>
      <c r="T59" s="89" t="s">
        <v>136</v>
      </c>
      <c r="U59" s="93">
        <v>596</v>
      </c>
      <c r="V59" s="92" t="s">
        <v>621</v>
      </c>
      <c r="W59" s="89" t="s">
        <v>136</v>
      </c>
      <c r="X59" s="93">
        <v>656</v>
      </c>
      <c r="Y59" s="92" t="s">
        <v>682</v>
      </c>
      <c r="Z59" s="89" t="s">
        <v>136</v>
      </c>
      <c r="AA59" s="93">
        <v>716</v>
      </c>
      <c r="AB59" s="92" t="s">
        <v>745</v>
      </c>
      <c r="AC59" s="89" t="s">
        <v>136</v>
      </c>
      <c r="AD59" s="93">
        <v>776</v>
      </c>
      <c r="AE59" s="92" t="s">
        <v>805</v>
      </c>
      <c r="AF59" s="89" t="s">
        <v>136</v>
      </c>
      <c r="AG59" s="93">
        <v>836</v>
      </c>
      <c r="AH59" s="92" t="s">
        <v>865</v>
      </c>
      <c r="AI59" s="89" t="s">
        <v>136</v>
      </c>
      <c r="AJ59" s="93">
        <v>896</v>
      </c>
      <c r="AK59" s="92" t="s">
        <v>928</v>
      </c>
      <c r="AL59" s="89" t="s">
        <v>136</v>
      </c>
      <c r="AM59" s="93">
        <v>956</v>
      </c>
      <c r="AN59" s="92" t="s">
        <v>988</v>
      </c>
      <c r="AO59" s="89" t="s">
        <v>136</v>
      </c>
      <c r="AP59" s="93">
        <v>1016</v>
      </c>
      <c r="AQ59" s="92" t="s">
        <v>1048</v>
      </c>
      <c r="AR59" s="89" t="s">
        <v>136</v>
      </c>
      <c r="AS59" s="93">
        <v>1076</v>
      </c>
    </row>
    <row r="60" spans="1:45" x14ac:dyDescent="0.15">
      <c r="A60" s="92" t="s">
        <v>200</v>
      </c>
      <c r="B60" s="89" t="s">
        <v>136</v>
      </c>
      <c r="C60" s="88">
        <v>237</v>
      </c>
      <c r="D60" s="92" t="s">
        <v>261</v>
      </c>
      <c r="E60" s="89" t="s">
        <v>136</v>
      </c>
      <c r="F60" s="93">
        <v>297</v>
      </c>
      <c r="G60" s="92" t="s">
        <v>321</v>
      </c>
      <c r="H60" s="89" t="s">
        <v>136</v>
      </c>
      <c r="I60" s="93">
        <v>357</v>
      </c>
      <c r="J60" s="92" t="s">
        <v>381</v>
      </c>
      <c r="K60" s="89" t="s">
        <v>136</v>
      </c>
      <c r="L60" s="93">
        <v>417</v>
      </c>
      <c r="M60" s="92" t="s">
        <v>441</v>
      </c>
      <c r="N60" s="89" t="s">
        <v>136</v>
      </c>
      <c r="O60" s="93">
        <v>477</v>
      </c>
      <c r="P60" s="92" t="s">
        <v>501</v>
      </c>
      <c r="Q60" s="89" t="s">
        <v>136</v>
      </c>
      <c r="R60" s="93">
        <v>537</v>
      </c>
      <c r="S60" s="92" t="s">
        <v>561</v>
      </c>
      <c r="T60" s="89" t="s">
        <v>136</v>
      </c>
      <c r="U60" s="93">
        <v>597</v>
      </c>
      <c r="V60" s="92" t="s">
        <v>622</v>
      </c>
      <c r="W60" s="89" t="s">
        <v>136</v>
      </c>
      <c r="X60" s="93">
        <v>657</v>
      </c>
      <c r="Y60" s="92" t="s">
        <v>683</v>
      </c>
      <c r="Z60" s="89" t="s">
        <v>136</v>
      </c>
      <c r="AA60" s="93">
        <v>717</v>
      </c>
      <c r="AB60" s="92" t="s">
        <v>746</v>
      </c>
      <c r="AC60" s="89" t="s">
        <v>136</v>
      </c>
      <c r="AD60" s="93">
        <v>777</v>
      </c>
      <c r="AE60" s="92" t="s">
        <v>806</v>
      </c>
      <c r="AF60" s="89" t="s">
        <v>136</v>
      </c>
      <c r="AG60" s="93">
        <v>837</v>
      </c>
      <c r="AH60" s="92" t="s">
        <v>866</v>
      </c>
      <c r="AI60" s="89" t="s">
        <v>136</v>
      </c>
      <c r="AJ60" s="93">
        <v>897</v>
      </c>
      <c r="AK60" s="92" t="s">
        <v>929</v>
      </c>
      <c r="AL60" s="89" t="s">
        <v>136</v>
      </c>
      <c r="AM60" s="93">
        <v>957</v>
      </c>
      <c r="AN60" s="92" t="s">
        <v>989</v>
      </c>
      <c r="AO60" s="89" t="s">
        <v>136</v>
      </c>
      <c r="AP60" s="93">
        <v>1017</v>
      </c>
      <c r="AQ60" s="92" t="s">
        <v>1049</v>
      </c>
      <c r="AR60" s="89" t="s">
        <v>136</v>
      </c>
      <c r="AS60" s="93">
        <v>1077</v>
      </c>
    </row>
    <row r="61" spans="1:45" x14ac:dyDescent="0.15">
      <c r="A61" s="92" t="s">
        <v>201</v>
      </c>
      <c r="B61" s="89" t="s">
        <v>136</v>
      </c>
      <c r="C61" s="88">
        <v>238</v>
      </c>
      <c r="D61" s="92" t="s">
        <v>262</v>
      </c>
      <c r="E61" s="89" t="s">
        <v>136</v>
      </c>
      <c r="F61" s="93">
        <v>298</v>
      </c>
      <c r="G61" s="92" t="s">
        <v>322</v>
      </c>
      <c r="H61" s="89" t="s">
        <v>136</v>
      </c>
      <c r="I61" s="93">
        <v>358</v>
      </c>
      <c r="J61" s="92" t="s">
        <v>382</v>
      </c>
      <c r="K61" s="89" t="s">
        <v>136</v>
      </c>
      <c r="L61" s="93">
        <v>418</v>
      </c>
      <c r="M61" s="92" t="s">
        <v>442</v>
      </c>
      <c r="N61" s="89" t="s">
        <v>136</v>
      </c>
      <c r="O61" s="93">
        <v>478</v>
      </c>
      <c r="P61" s="92" t="s">
        <v>502</v>
      </c>
      <c r="Q61" s="89" t="s">
        <v>136</v>
      </c>
      <c r="R61" s="93">
        <v>538</v>
      </c>
      <c r="S61" s="92" t="s">
        <v>562</v>
      </c>
      <c r="T61" s="89" t="s">
        <v>136</v>
      </c>
      <c r="U61" s="93">
        <v>598</v>
      </c>
      <c r="V61" s="92" t="s">
        <v>623</v>
      </c>
      <c r="W61" s="89" t="s">
        <v>136</v>
      </c>
      <c r="X61" s="93">
        <v>658</v>
      </c>
      <c r="Y61" s="92" t="s">
        <v>684</v>
      </c>
      <c r="Z61" s="89" t="s">
        <v>136</v>
      </c>
      <c r="AA61" s="93">
        <v>718</v>
      </c>
      <c r="AB61" s="92" t="s">
        <v>747</v>
      </c>
      <c r="AC61" s="89" t="s">
        <v>136</v>
      </c>
      <c r="AD61" s="93">
        <v>778</v>
      </c>
      <c r="AE61" s="92" t="s">
        <v>807</v>
      </c>
      <c r="AF61" s="89" t="s">
        <v>136</v>
      </c>
      <c r="AG61" s="93">
        <v>838</v>
      </c>
      <c r="AH61" s="92" t="s">
        <v>867</v>
      </c>
      <c r="AI61" s="89" t="s">
        <v>136</v>
      </c>
      <c r="AJ61" s="93">
        <v>898</v>
      </c>
      <c r="AK61" s="92" t="s">
        <v>930</v>
      </c>
      <c r="AL61" s="89" t="s">
        <v>136</v>
      </c>
      <c r="AM61" s="93">
        <v>958</v>
      </c>
      <c r="AN61" s="92" t="s">
        <v>990</v>
      </c>
      <c r="AO61" s="89" t="s">
        <v>136</v>
      </c>
      <c r="AP61" s="93">
        <v>1018</v>
      </c>
      <c r="AQ61" s="92" t="s">
        <v>1050</v>
      </c>
      <c r="AR61" s="89" t="s">
        <v>136</v>
      </c>
      <c r="AS61" s="93">
        <v>1078</v>
      </c>
    </row>
    <row r="62" spans="1:45" ht="14.25" thickBot="1" x14ac:dyDescent="0.2">
      <c r="A62" s="94" t="s">
        <v>202</v>
      </c>
      <c r="B62" s="95" t="s">
        <v>136</v>
      </c>
      <c r="C62" s="97">
        <v>239</v>
      </c>
      <c r="D62" s="94" t="s">
        <v>263</v>
      </c>
      <c r="E62" s="95" t="s">
        <v>136</v>
      </c>
      <c r="F62" s="96">
        <v>299</v>
      </c>
      <c r="G62" s="94" t="s">
        <v>323</v>
      </c>
      <c r="H62" s="95" t="s">
        <v>136</v>
      </c>
      <c r="I62" s="96">
        <v>359</v>
      </c>
      <c r="J62" s="94" t="s">
        <v>383</v>
      </c>
      <c r="K62" s="95" t="s">
        <v>136</v>
      </c>
      <c r="L62" s="96">
        <v>419</v>
      </c>
      <c r="M62" s="94" t="s">
        <v>443</v>
      </c>
      <c r="N62" s="95" t="s">
        <v>136</v>
      </c>
      <c r="O62" s="96">
        <v>479</v>
      </c>
      <c r="P62" s="94" t="s">
        <v>503</v>
      </c>
      <c r="Q62" s="95" t="s">
        <v>136</v>
      </c>
      <c r="R62" s="96">
        <v>539</v>
      </c>
      <c r="S62" s="94" t="s">
        <v>563</v>
      </c>
      <c r="T62" s="95" t="s">
        <v>136</v>
      </c>
      <c r="U62" s="96">
        <v>599</v>
      </c>
      <c r="V62" s="94" t="s">
        <v>624</v>
      </c>
      <c r="W62" s="95" t="s">
        <v>136</v>
      </c>
      <c r="X62" s="96">
        <v>659</v>
      </c>
      <c r="Y62" s="94" t="s">
        <v>685</v>
      </c>
      <c r="Z62" s="95" t="s">
        <v>136</v>
      </c>
      <c r="AA62" s="96">
        <v>719</v>
      </c>
      <c r="AB62" s="94" t="s">
        <v>748</v>
      </c>
      <c r="AC62" s="95" t="s">
        <v>136</v>
      </c>
      <c r="AD62" s="96">
        <v>779</v>
      </c>
      <c r="AE62" s="94" t="s">
        <v>808</v>
      </c>
      <c r="AF62" s="95" t="s">
        <v>136</v>
      </c>
      <c r="AG62" s="96">
        <v>839</v>
      </c>
      <c r="AH62" s="94" t="s">
        <v>868</v>
      </c>
      <c r="AI62" s="95" t="s">
        <v>136</v>
      </c>
      <c r="AJ62" s="96">
        <v>899</v>
      </c>
      <c r="AK62" s="94" t="s">
        <v>931</v>
      </c>
      <c r="AL62" s="95" t="s">
        <v>136</v>
      </c>
      <c r="AM62" s="96">
        <v>959</v>
      </c>
      <c r="AN62" s="94" t="s">
        <v>991</v>
      </c>
      <c r="AO62" s="95" t="s">
        <v>136</v>
      </c>
      <c r="AP62" s="96">
        <v>1019</v>
      </c>
      <c r="AQ62" s="94" t="s">
        <v>1051</v>
      </c>
      <c r="AR62" s="95" t="s">
        <v>136</v>
      </c>
      <c r="AS62" s="96">
        <v>1079</v>
      </c>
    </row>
    <row r="63" spans="1:45" ht="14.25" thickTop="1" x14ac:dyDescent="0.15"/>
  </sheetData>
  <mergeCells count="15">
    <mergeCell ref="D1:F1"/>
    <mergeCell ref="G1:I1"/>
    <mergeCell ref="J1:L1"/>
    <mergeCell ref="AE1:AG1"/>
    <mergeCell ref="A1:C1"/>
    <mergeCell ref="AH1:AJ1"/>
    <mergeCell ref="AK1:AM1"/>
    <mergeCell ref="AN1:AP1"/>
    <mergeCell ref="AQ1:AS1"/>
    <mergeCell ref="M1:O1"/>
    <mergeCell ref="P1:R1"/>
    <mergeCell ref="S1:U1"/>
    <mergeCell ref="V1:X1"/>
    <mergeCell ref="Y1:AA1"/>
    <mergeCell ref="AB1:AD1"/>
  </mergeCells>
  <phoneticPr fontId="1"/>
  <conditionalFormatting sqref="A3:AS62">
    <cfRule type="expression" dxfId="0" priority="1">
      <formula>MOD(ROW(),2)=0</formula>
    </cfRule>
  </conditionalFormatting>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入力例(見本)</vt:lpstr>
      <vt:lpstr>入力シート</vt:lpstr>
      <vt:lpstr>（鑑）体力優良証交付申請報告書</vt:lpstr>
      <vt:lpstr>体力優良証交付申請書</vt:lpstr>
      <vt:lpstr>記録平均</vt:lpstr>
      <vt:lpstr>判定集計表</vt:lpstr>
      <vt:lpstr>記録表（参考）</vt:lpstr>
      <vt:lpstr>持久走早見表（参考）</vt:lpstr>
      <vt:lpstr>'（鑑）体力優良証交付申請報告書'!Print_Area</vt:lpstr>
      <vt:lpstr>記録平均!Print_Area</vt:lpstr>
      <vt:lpstr>体力優良証交付申請書!Print_Area</vt:lpstr>
      <vt:lpstr>入力シート!Print_Area</vt:lpstr>
      <vt:lpstr>'入力例(見本)'!Print_Area</vt:lpstr>
      <vt:lpstr>判定集計表!Print_Area</vt:lpstr>
      <vt:lpstr>体力優良証交付申請書!Print_Titles</vt:lpstr>
      <vt:lpstr>'入力例(見本)'!判定12歳</vt:lpstr>
      <vt:lpstr>判定12歳</vt:lpstr>
      <vt:lpstr>'入力例(見本)'!判定13歳</vt:lpstr>
      <vt:lpstr>判定13歳</vt:lpstr>
      <vt:lpstr>'入力例(見本)'!判定14歳</vt:lpstr>
      <vt:lpstr>判定14歳</vt:lpstr>
      <vt:lpstr>'入力例(見本)'!判定15歳</vt:lpstr>
      <vt:lpstr>判定15歳</vt:lpstr>
      <vt:lpstr>'入力例(見本)'!判定16歳</vt:lpstr>
      <vt:lpstr>判定16歳</vt:lpstr>
      <vt:lpstr>'入力例(見本)'!判定17歳</vt:lpstr>
      <vt:lpstr>判定17歳</vt:lpstr>
      <vt:lpstr>'入力例(見本)'!判定18歳</vt:lpstr>
      <vt:lpstr>判定18歳</vt:lpstr>
      <vt:lpstr>'入力例(見本)'!判定19歳</vt:lpstr>
      <vt:lpstr>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2019-12-17T08:01:24Z</dcterms:modified>
</cp:coreProperties>
</file>